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0D7D36A9-06FF-FA4B-80CA-0FACBF6880A1}" xr6:coauthVersionLast="45" xr6:coauthVersionMax="45" xr10:uidLastSave="{00000000-0000-0000-0000-000000000000}"/>
  <bookViews>
    <workbookView xWindow="1720" yWindow="460" windowWidth="27020" windowHeight="15980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4" r:id="rId5"/>
    <sheet name="WRPF Жим лежа без экип ДК" sheetId="10" r:id="rId6"/>
    <sheet name="WRPF Жим лежа без экип" sheetId="9" r:id="rId7"/>
    <sheet name="WRPF Тяга без экипировки ДК" sheetId="12" r:id="rId8"/>
    <sheet name="WRPF Тяга без экипировки" sheetId="11" r:id="rId9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4" l="1"/>
  <c r="O17" i="14"/>
  <c r="P14" i="14"/>
  <c r="O14" i="14"/>
  <c r="P13" i="14"/>
  <c r="O13" i="14"/>
  <c r="P10" i="14"/>
  <c r="O10" i="14"/>
  <c r="P9" i="14"/>
  <c r="O9" i="14"/>
  <c r="P6" i="14"/>
  <c r="O6" i="14"/>
  <c r="L25" i="12"/>
  <c r="K25" i="12"/>
  <c r="L24" i="12"/>
  <c r="K24" i="12"/>
  <c r="L21" i="12"/>
  <c r="K21" i="12"/>
  <c r="L18" i="12"/>
  <c r="K18" i="12"/>
  <c r="L17" i="12"/>
  <c r="K17" i="12"/>
  <c r="L14" i="12"/>
  <c r="K14" i="12"/>
  <c r="L13" i="12"/>
  <c r="K13" i="12"/>
  <c r="L10" i="12"/>
  <c r="K10" i="12"/>
  <c r="L9" i="12"/>
  <c r="K9" i="12"/>
  <c r="L6" i="12"/>
  <c r="K6" i="12"/>
  <c r="L12" i="11"/>
  <c r="K12" i="11"/>
  <c r="L9" i="11"/>
  <c r="K9" i="11"/>
  <c r="L6" i="11"/>
  <c r="K6" i="11"/>
  <c r="L45" i="10"/>
  <c r="K45" i="10"/>
  <c r="L42" i="10"/>
  <c r="K42" i="10"/>
  <c r="L41" i="10"/>
  <c r="K41" i="10"/>
  <c r="L40" i="10"/>
  <c r="K40" i="10"/>
  <c r="L39" i="10"/>
  <c r="K39" i="10"/>
  <c r="L36" i="10"/>
  <c r="K36" i="10"/>
  <c r="L35" i="10"/>
  <c r="K35" i="10"/>
  <c r="L32" i="10"/>
  <c r="K32" i="10"/>
  <c r="L31" i="10"/>
  <c r="K31" i="10"/>
  <c r="L30" i="10"/>
  <c r="K30" i="10"/>
  <c r="L29" i="10"/>
  <c r="K29" i="10"/>
  <c r="L26" i="10"/>
  <c r="K26" i="10"/>
  <c r="L25" i="10"/>
  <c r="K25" i="10"/>
  <c r="L24" i="10"/>
  <c r="K24" i="10"/>
  <c r="L23" i="10"/>
  <c r="K23" i="10"/>
  <c r="L22" i="10"/>
  <c r="K22" i="10"/>
  <c r="L19" i="10"/>
  <c r="K19" i="10"/>
  <c r="L18" i="10"/>
  <c r="K18" i="10"/>
  <c r="L17" i="10"/>
  <c r="K17" i="10"/>
  <c r="L16" i="10"/>
  <c r="K16" i="10"/>
  <c r="L13" i="10"/>
  <c r="K13" i="10"/>
  <c r="L12" i="10"/>
  <c r="K12" i="10"/>
  <c r="L9" i="10"/>
  <c r="K9" i="10"/>
  <c r="L6" i="10"/>
  <c r="K6" i="10"/>
  <c r="L30" i="9"/>
  <c r="K30" i="9"/>
  <c r="L27" i="9"/>
  <c r="K27" i="9"/>
  <c r="L26" i="9"/>
  <c r="K26" i="9"/>
  <c r="L25" i="9"/>
  <c r="K25" i="9"/>
  <c r="L22" i="9"/>
  <c r="K22" i="9"/>
  <c r="L21" i="9"/>
  <c r="K21" i="9"/>
  <c r="L20" i="9"/>
  <c r="K20" i="9"/>
  <c r="L19" i="9"/>
  <c r="K19" i="9"/>
  <c r="L16" i="9"/>
  <c r="K16" i="9"/>
  <c r="L15" i="9"/>
  <c r="K15" i="9"/>
  <c r="L12" i="9"/>
  <c r="K12" i="9"/>
  <c r="L11" i="9"/>
  <c r="K11" i="9"/>
  <c r="L10" i="9"/>
  <c r="K10" i="9"/>
  <c r="L9" i="9"/>
  <c r="K9" i="9"/>
  <c r="L6" i="9"/>
  <c r="K6" i="9"/>
  <c r="T15" i="8"/>
  <c r="S15" i="8"/>
  <c r="T12" i="8"/>
  <c r="S12" i="8"/>
  <c r="T11" i="8"/>
  <c r="S11" i="8"/>
  <c r="T8" i="8"/>
  <c r="S8" i="8"/>
  <c r="T7" i="8"/>
  <c r="S7" i="8"/>
  <c r="T6" i="8"/>
  <c r="S6" i="8"/>
  <c r="T9" i="7"/>
  <c r="S9" i="7"/>
  <c r="T6" i="7"/>
  <c r="S6" i="7"/>
  <c r="T22" i="6"/>
  <c r="S22" i="6"/>
  <c r="T21" i="6"/>
  <c r="S21" i="6"/>
  <c r="T18" i="6"/>
  <c r="S18" i="6"/>
  <c r="T15" i="6"/>
  <c r="S15" i="6"/>
  <c r="T12" i="6"/>
  <c r="S12" i="6"/>
  <c r="T9" i="6"/>
  <c r="S9" i="6"/>
  <c r="T6" i="6"/>
  <c r="S6" i="6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<sst xmlns="http://schemas.openxmlformats.org/spreadsheetml/2006/main" count="1204" uniqueCount="400">
  <si>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</si>
  <si>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</si>
  <si>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</si>
  <si>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</si>
  <si>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</si>
  <si>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</si>
  <si>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</si>
  <si>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</si>
  <si>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</si>
  <si>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</si>
  <si>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</si>
  <si>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Фёдоров Илья</t>
  </si>
  <si>
    <t>Открытая (29.08.1992)/28</t>
  </si>
  <si>
    <t>89,10</t>
  </si>
  <si>
    <t>280,0</t>
  </si>
  <si>
    <t>300,0</t>
  </si>
  <si>
    <t>310,0</t>
  </si>
  <si>
    <t>195,0</t>
  </si>
  <si>
    <t>207,5</t>
  </si>
  <si>
    <t>215,0</t>
  </si>
  <si>
    <t>345,0</t>
  </si>
  <si>
    <t>360,0</t>
  </si>
  <si>
    <t>375,0</t>
  </si>
  <si>
    <t>390,0</t>
  </si>
  <si>
    <t xml:space="preserve">Суслов Н. </t>
  </si>
  <si>
    <t>ВЕСОВАЯ КАТЕГОРИЯ   110</t>
  </si>
  <si>
    <t>Разудалов Сергей</t>
  </si>
  <si>
    <t>Открытая (11.06.1990)/30</t>
  </si>
  <si>
    <t>108,10</t>
  </si>
  <si>
    <t xml:space="preserve">Пенза/Пензенская область </t>
  </si>
  <si>
    <t>315,0</t>
  </si>
  <si>
    <t>230,0</t>
  </si>
  <si>
    <t>240,0</t>
  </si>
  <si>
    <t>245,0</t>
  </si>
  <si>
    <t>330,0</t>
  </si>
  <si>
    <t>ВЕСОВАЯ КАТЕГОРИЯ   125</t>
  </si>
  <si>
    <t>Фурцев Данила</t>
  </si>
  <si>
    <t>Открытая (21.07.1995)/25</t>
  </si>
  <si>
    <t>119,70</t>
  </si>
  <si>
    <t xml:space="preserve">Мурманск/Мурманская область </t>
  </si>
  <si>
    <t>270,0</t>
  </si>
  <si>
    <t>290,0</t>
  </si>
  <si>
    <t>172,5</t>
  </si>
  <si>
    <t>180,0</t>
  </si>
  <si>
    <t>185,0</t>
  </si>
  <si>
    <t>297,5</t>
  </si>
  <si>
    <t>305,0</t>
  </si>
  <si>
    <t xml:space="preserve">Поздеев К.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</si>
  <si>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</si>
  <si>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</si>
  <si>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</si>
  <si>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</si>
  <si>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</si>
  <si>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</si>
  <si>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</si>
  <si>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</si>
  <si>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90</t>
  </si>
  <si>
    <t>110</t>
  </si>
  <si>
    <t>125</t>
  </si>
  <si>
    <t>1</t>
  </si>
  <si>
    <t/>
  </si>
  <si>
    <t>ВЕСОВАЯ КАТЕГОРИЯ   44</t>
  </si>
  <si>
    <t>Воронкова Ирина</t>
  </si>
  <si>
    <t>Открытая (02.02.1990)/31</t>
  </si>
  <si>
    <t>42,40</t>
  </si>
  <si>
    <t xml:space="preserve">Рязань/Рязанская область </t>
  </si>
  <si>
    <t>50,0</t>
  </si>
  <si>
    <t>55,0</t>
  </si>
  <si>
    <t>30,0</t>
  </si>
  <si>
    <t>60,0</t>
  </si>
  <si>
    <t>70,0</t>
  </si>
  <si>
    <t xml:space="preserve">Андрюшин А. </t>
  </si>
  <si>
    <t>ВЕСОВАЯ КАТЕГОРИЯ   75</t>
  </si>
  <si>
    <t>Калинин Даниил</t>
  </si>
  <si>
    <t>Открытая (12.06.1988)/32</t>
  </si>
  <si>
    <t>74,70</t>
  </si>
  <si>
    <t>165,0</t>
  </si>
  <si>
    <t>115,0</t>
  </si>
  <si>
    <t>120,0</t>
  </si>
  <si>
    <t>125,0</t>
  </si>
  <si>
    <t>175,0</t>
  </si>
  <si>
    <t>182,5</t>
  </si>
  <si>
    <t>190,0</t>
  </si>
  <si>
    <t xml:space="preserve">Щенников А. </t>
  </si>
  <si>
    <t>Майоров Дмитрий</t>
  </si>
  <si>
    <t>Открытая (04.09.1992)/28</t>
  </si>
  <si>
    <t>89,40</t>
  </si>
  <si>
    <t>255,0</t>
  </si>
  <si>
    <t>265,0</t>
  </si>
  <si>
    <t>152,5</t>
  </si>
  <si>
    <t>160,0</t>
  </si>
  <si>
    <t>167,5</t>
  </si>
  <si>
    <t>267,5</t>
  </si>
  <si>
    <t>ВЕСОВАЯ КАТЕГОРИЯ   100</t>
  </si>
  <si>
    <t>Дроганов Дмитрий</t>
  </si>
  <si>
    <t>Открытая (01.01.1988)/33</t>
  </si>
  <si>
    <t>98,70</t>
  </si>
  <si>
    <t>200,0</t>
  </si>
  <si>
    <t>117,5</t>
  </si>
  <si>
    <t>Першин Антон</t>
  </si>
  <si>
    <t>Мастера 40-49 (04.04.1981)/40</t>
  </si>
  <si>
    <t>108,30</t>
  </si>
  <si>
    <t xml:space="preserve">Москва </t>
  </si>
  <si>
    <t>135,0</t>
  </si>
  <si>
    <t>142,5</t>
  </si>
  <si>
    <t>247,5</t>
  </si>
  <si>
    <t>252,5</t>
  </si>
  <si>
    <t>ВЕСОВАЯ КАТЕГОРИЯ   140</t>
  </si>
  <si>
    <t>Зариньш Жанис</t>
  </si>
  <si>
    <t>Юниоры (15.11.1999)/21</t>
  </si>
  <si>
    <t>138,00</t>
  </si>
  <si>
    <t>250,0</t>
  </si>
  <si>
    <t>260,0</t>
  </si>
  <si>
    <t>140,0</t>
  </si>
  <si>
    <t>145,0</t>
  </si>
  <si>
    <t>Открытая (15.11.1999)/21</t>
  </si>
  <si>
    <t>140</t>
  </si>
  <si>
    <t>672,5</t>
  </si>
  <si>
    <t>376,6000</t>
  </si>
  <si>
    <t>700,0</t>
  </si>
  <si>
    <t>448,4200</t>
  </si>
  <si>
    <t>75</t>
  </si>
  <si>
    <t>467,5</t>
  </si>
  <si>
    <t>334,0755</t>
  </si>
  <si>
    <t>ВЕСОВАЯ КАТЕГОРИЯ   90+</t>
  </si>
  <si>
    <t>Зубко Диана</t>
  </si>
  <si>
    <t>Открытая (25.09.1992)/28</t>
  </si>
  <si>
    <t>96,90</t>
  </si>
  <si>
    <t xml:space="preserve">Тула/Тульская область </t>
  </si>
  <si>
    <t>85,0</t>
  </si>
  <si>
    <t>90,0</t>
  </si>
  <si>
    <t>97,5</t>
  </si>
  <si>
    <t>45,0</t>
  </si>
  <si>
    <t>100,0</t>
  </si>
  <si>
    <t>110,0</t>
  </si>
  <si>
    <t xml:space="preserve">Фомин И. </t>
  </si>
  <si>
    <t>Решетов Виктор</t>
  </si>
  <si>
    <t>Юниоры (24.02.2000)/21</t>
  </si>
  <si>
    <t>90,90</t>
  </si>
  <si>
    <t>155,0</t>
  </si>
  <si>
    <t>162,5</t>
  </si>
  <si>
    <t>82,5</t>
  </si>
  <si>
    <t>95,0</t>
  </si>
  <si>
    <t>150,0</t>
  </si>
  <si>
    <t>100</t>
  </si>
  <si>
    <t>Сазонов Виталий</t>
  </si>
  <si>
    <t>Открытая (14.08.1988)/32</t>
  </si>
  <si>
    <t xml:space="preserve">Куровское/Московская область </t>
  </si>
  <si>
    <t>235,0</t>
  </si>
  <si>
    <t>275,0</t>
  </si>
  <si>
    <t>Решетов Владимир</t>
  </si>
  <si>
    <t>Открытая (07.07.1975)/45</t>
  </si>
  <si>
    <t>88,30</t>
  </si>
  <si>
    <t>210,0</t>
  </si>
  <si>
    <t>220,0</t>
  </si>
  <si>
    <t>170,0</t>
  </si>
  <si>
    <t>227,5</t>
  </si>
  <si>
    <t xml:space="preserve">Власкин С. </t>
  </si>
  <si>
    <t>Мастера 40-49 (07.07.1975)/45</t>
  </si>
  <si>
    <t>Каменский Дмитрий</t>
  </si>
  <si>
    <t>Открытая (10.05.1990)/30</t>
  </si>
  <si>
    <t>95,30</t>
  </si>
  <si>
    <t xml:space="preserve">Тимофеев Д. </t>
  </si>
  <si>
    <t>Панкрушин Максим</t>
  </si>
  <si>
    <t>Открытая (13.10.1986)/34</t>
  </si>
  <si>
    <t>93,30</t>
  </si>
  <si>
    <t>122,5</t>
  </si>
  <si>
    <t>Ломов Дмитрий</t>
  </si>
  <si>
    <t>Открытая (04.10.1984)/36</t>
  </si>
  <si>
    <t>101,70</t>
  </si>
  <si>
    <t>720,0</t>
  </si>
  <si>
    <t>462,0240</t>
  </si>
  <si>
    <t>635,0</t>
  </si>
  <si>
    <t>409,3845</t>
  </si>
  <si>
    <t>565,0</t>
  </si>
  <si>
    <t>350,9215</t>
  </si>
  <si>
    <t>2</t>
  </si>
  <si>
    <t>ВЕСОВАЯ КАТЕГОРИЯ   56</t>
  </si>
  <si>
    <t>Астанина Элеонора</t>
  </si>
  <si>
    <t>Открытая (14.09.1991)/29</t>
  </si>
  <si>
    <t>54,20</t>
  </si>
  <si>
    <t xml:space="preserve">Воронеж/Воронежская область </t>
  </si>
  <si>
    <t>Рудаков Максим</t>
  </si>
  <si>
    <t>Открытая (12.03.1991)/30</t>
  </si>
  <si>
    <t>89,50</t>
  </si>
  <si>
    <t xml:space="preserve">Воскресенск/Московская область </t>
  </si>
  <si>
    <t xml:space="preserve">Сенькин В. </t>
  </si>
  <si>
    <t>Комраков Никита</t>
  </si>
  <si>
    <t>Открытая (23.06.1995)/25</t>
  </si>
  <si>
    <t>Новосёлов Александр</t>
  </si>
  <si>
    <t>Открытая (05.12.1987)/33</t>
  </si>
  <si>
    <t>86,90</t>
  </si>
  <si>
    <t xml:space="preserve">Леонов П. </t>
  </si>
  <si>
    <t>Клиншов Дмитрий</t>
  </si>
  <si>
    <t>Открытая (22.02.1991)/30</t>
  </si>
  <si>
    <t>85,00</t>
  </si>
  <si>
    <t>130,0</t>
  </si>
  <si>
    <t>Сущенко Алексей</t>
  </si>
  <si>
    <t>Открытая (21.10.1980)/40</t>
  </si>
  <si>
    <t>99,20</t>
  </si>
  <si>
    <t>Бизюков Артем</t>
  </si>
  <si>
    <t>Открытая (20.03.1992)/29</t>
  </si>
  <si>
    <t>94,70</t>
  </si>
  <si>
    <t>Соловьев Алексей</t>
  </si>
  <si>
    <t>Открытая (01.07.1990)/30</t>
  </si>
  <si>
    <t>106,50</t>
  </si>
  <si>
    <t>Леонов Павел</t>
  </si>
  <si>
    <t>Открытая (08.11.1983)/37</t>
  </si>
  <si>
    <t>102,70</t>
  </si>
  <si>
    <t xml:space="preserve">Лосино-Петровский/Московская область </t>
  </si>
  <si>
    <t>Тарасов Игорь</t>
  </si>
  <si>
    <t>Открытая (30.09.1992)/28</t>
  </si>
  <si>
    <t>106,30</t>
  </si>
  <si>
    <t xml:space="preserve">Павлово/Нижегородская область </t>
  </si>
  <si>
    <t>202,5</t>
  </si>
  <si>
    <t xml:space="preserve">Хомутов М. </t>
  </si>
  <si>
    <t>Асадчих Станислав</t>
  </si>
  <si>
    <t>Открытая (17.01.1989)/32</t>
  </si>
  <si>
    <t>107,30</t>
  </si>
  <si>
    <t xml:space="preserve">Надым/Ямало-Ненецкий автономный округ </t>
  </si>
  <si>
    <t>Жаченков Александр</t>
  </si>
  <si>
    <t>Открытая (30.07.1981)/39</t>
  </si>
  <si>
    <t>113,70</t>
  </si>
  <si>
    <t xml:space="preserve">Протвино/Московская область </t>
  </si>
  <si>
    <t>Романов Дмитрий</t>
  </si>
  <si>
    <t>Открытая (16.06.1987)/33</t>
  </si>
  <si>
    <t>124,10</t>
  </si>
  <si>
    <t>192,5</t>
  </si>
  <si>
    <t>197,5</t>
  </si>
  <si>
    <t xml:space="preserve">Чибисов С. </t>
  </si>
  <si>
    <t>Орлов Евгений</t>
  </si>
  <si>
    <t>Открытая (15.11.1996)/24</t>
  </si>
  <si>
    <t>123,50</t>
  </si>
  <si>
    <t>Фомин Илья</t>
  </si>
  <si>
    <t>Открытая (04.08.1994)/26</t>
  </si>
  <si>
    <t>136,80</t>
  </si>
  <si>
    <t xml:space="preserve">Результат </t>
  </si>
  <si>
    <t>142,7040</t>
  </si>
  <si>
    <t>139,8720</t>
  </si>
  <si>
    <t>138,5520</t>
  </si>
  <si>
    <t>Результат</t>
  </si>
  <si>
    <t>3</t>
  </si>
  <si>
    <t>4</t>
  </si>
  <si>
    <t>ВЕСОВАЯ КАТЕГОРИЯ   52</t>
  </si>
  <si>
    <t>Жулидова Ирина</t>
  </si>
  <si>
    <t>Открытая (24.04.1982)/39</t>
  </si>
  <si>
    <t>51,00</t>
  </si>
  <si>
    <t>40,0</t>
  </si>
  <si>
    <t>ВЕСОВАЯ КАТЕГОРИЯ   82.5</t>
  </si>
  <si>
    <t>Махова Дарья</t>
  </si>
  <si>
    <t>Открытая (16.05.2000)/20</t>
  </si>
  <si>
    <t>77,90</t>
  </si>
  <si>
    <t xml:space="preserve">Коломна/Московская область </t>
  </si>
  <si>
    <t>72,5</t>
  </si>
  <si>
    <t>77,5</t>
  </si>
  <si>
    <t>ВЕСОВАЯ КАТЕГОРИЯ   67.5</t>
  </si>
  <si>
    <t>Комков Иван</t>
  </si>
  <si>
    <t>Юноши 17-19 (09.03.2003)/18</t>
  </si>
  <si>
    <t>66,70</t>
  </si>
  <si>
    <t>102,5</t>
  </si>
  <si>
    <t>Мохов Алексей</t>
  </si>
  <si>
    <t>Открытая (19.03.1995)/26</t>
  </si>
  <si>
    <t>63,50</t>
  </si>
  <si>
    <t xml:space="preserve">Скопин/Рязанская область </t>
  </si>
  <si>
    <t>107,5</t>
  </si>
  <si>
    <t>Тарарухин Андрей</t>
  </si>
  <si>
    <t>Юноши 17-19 (25.11.2003)/17</t>
  </si>
  <si>
    <t>69,50</t>
  </si>
  <si>
    <t xml:space="preserve">Махонин А. </t>
  </si>
  <si>
    <t>Жирухин Никита</t>
  </si>
  <si>
    <t>Юниоры (23.04.1998)/23</t>
  </si>
  <si>
    <t>73,80</t>
  </si>
  <si>
    <t>92,5</t>
  </si>
  <si>
    <t xml:space="preserve">Наторкин М. </t>
  </si>
  <si>
    <t>Тришкин Дмитрий</t>
  </si>
  <si>
    <t>Открытая (07.04.1995)/26</t>
  </si>
  <si>
    <t>70,20</t>
  </si>
  <si>
    <t>112,5</t>
  </si>
  <si>
    <t>Денисов Серафим</t>
  </si>
  <si>
    <t>Юноши 14-16 (12.03.2005)/16</t>
  </si>
  <si>
    <t>81,00</t>
  </si>
  <si>
    <t xml:space="preserve">Денисов С. </t>
  </si>
  <si>
    <t>Борисов Кирилл</t>
  </si>
  <si>
    <t>Юноши 17-19 (10.07.2002)/18</t>
  </si>
  <si>
    <t>80,40</t>
  </si>
  <si>
    <t>127,5</t>
  </si>
  <si>
    <t>Клопотенко Александр</t>
  </si>
  <si>
    <t>Открытая (28.02.1992)/29</t>
  </si>
  <si>
    <t>80,50</t>
  </si>
  <si>
    <t>Открытая (10.07.2002)/18</t>
  </si>
  <si>
    <t>Гриненко Артём</t>
  </si>
  <si>
    <t>Открытая (22.06.1995)/25</t>
  </si>
  <si>
    <t>81,40</t>
  </si>
  <si>
    <t>Кашпар Константин</t>
  </si>
  <si>
    <t>Юниоры (03.11.1997)/23</t>
  </si>
  <si>
    <t>86,00</t>
  </si>
  <si>
    <t>Щенников Андрей</t>
  </si>
  <si>
    <t>Открытая (14.10.1974)/46</t>
  </si>
  <si>
    <t>90,00</t>
  </si>
  <si>
    <t>Синицин Андрей</t>
  </si>
  <si>
    <t>Открытая (28.09.1989)/31</t>
  </si>
  <si>
    <t>84,90</t>
  </si>
  <si>
    <t>Петриченко Максим</t>
  </si>
  <si>
    <t>Открытая (31.05.1987)/33</t>
  </si>
  <si>
    <t>96,00</t>
  </si>
  <si>
    <t>Пугачев Владислав</t>
  </si>
  <si>
    <t>Открытая (23.12.1994)/26</t>
  </si>
  <si>
    <t>97,70</t>
  </si>
  <si>
    <t>Зань Владислав</t>
  </si>
  <si>
    <t>Юниоры (24.06.1998)/22</t>
  </si>
  <si>
    <t>108,00</t>
  </si>
  <si>
    <t>Стрижков Андрей</t>
  </si>
  <si>
    <t>Открытая (03.01.1984)/37</t>
  </si>
  <si>
    <t>109,80</t>
  </si>
  <si>
    <t>225,0</t>
  </si>
  <si>
    <t xml:space="preserve">Изюменко В. </t>
  </si>
  <si>
    <t>Открытая (24.06.1998)/22</t>
  </si>
  <si>
    <t>Денисов Сергей</t>
  </si>
  <si>
    <t>Открытая (07.05.1982)/38</t>
  </si>
  <si>
    <t>114,10</t>
  </si>
  <si>
    <t>82.5</t>
  </si>
  <si>
    <t>121,9230</t>
  </si>
  <si>
    <t>112,0928</t>
  </si>
  <si>
    <t>108,5280</t>
  </si>
  <si>
    <t>Бозян Арман</t>
  </si>
  <si>
    <t>Юноши 14-16 (07.07.2009)/11</t>
  </si>
  <si>
    <t>41,30</t>
  </si>
  <si>
    <t>65,0</t>
  </si>
  <si>
    <t>Наторкин Максим</t>
  </si>
  <si>
    <t>Открытая (23.07.1986)/34</t>
  </si>
  <si>
    <t>129,20</t>
  </si>
  <si>
    <t>Денисова Ульяна</t>
  </si>
  <si>
    <t>Девушки 14-16 (20.12.2009)/11</t>
  </si>
  <si>
    <t>51,70</t>
  </si>
  <si>
    <t>Пронин Евгений</t>
  </si>
  <si>
    <t>Юноши 17-19 (03.02.2002)/19</t>
  </si>
  <si>
    <t>72,20</t>
  </si>
  <si>
    <t xml:space="preserve">Луховицы/Московская область </t>
  </si>
  <si>
    <t xml:space="preserve">Есаков А. </t>
  </si>
  <si>
    <t>Силкин Владимир</t>
  </si>
  <si>
    <t>Юноши 17-19 (23.09.2003)/17</t>
  </si>
  <si>
    <t>71,30</t>
  </si>
  <si>
    <t xml:space="preserve">Касимов/Рязанская область </t>
  </si>
  <si>
    <t>137,5</t>
  </si>
  <si>
    <t>147,5</t>
  </si>
  <si>
    <t>Самойлов Максим</t>
  </si>
  <si>
    <t>Открытая (04.05.1996)/24</t>
  </si>
  <si>
    <t xml:space="preserve">Савин А. </t>
  </si>
  <si>
    <t>Журавлев Роман</t>
  </si>
  <si>
    <t>Мастера 40-49 (22.02.1979)/42</t>
  </si>
  <si>
    <t>81,60</t>
  </si>
  <si>
    <t>176,4675</t>
  </si>
  <si>
    <t>156,4080</t>
  </si>
  <si>
    <t>151,9650</t>
  </si>
  <si>
    <t>Князева Анастасия</t>
  </si>
  <si>
    <t>Юниорки (14.06.2000)/20</t>
  </si>
  <si>
    <t>108,60</t>
  </si>
  <si>
    <t>47,5</t>
  </si>
  <si>
    <t>52,5</t>
  </si>
  <si>
    <t>Денисов Павел</t>
  </si>
  <si>
    <t>Юноши 14-16 (19.06.2004)/16</t>
  </si>
  <si>
    <t>71,50</t>
  </si>
  <si>
    <t>75,0</t>
  </si>
  <si>
    <t>80,0</t>
  </si>
  <si>
    <t>Крюков Сергей</t>
  </si>
  <si>
    <t>Мастера 40-49 (30.07.1980)/40</t>
  </si>
  <si>
    <t>79,30</t>
  </si>
  <si>
    <t xml:space="preserve">Зариньш Ж. </t>
  </si>
  <si>
    <t>410,0</t>
  </si>
  <si>
    <t>241,4080</t>
  </si>
  <si>
    <t>355,0</t>
  </si>
  <si>
    <t>241,4000</t>
  </si>
  <si>
    <t>302,5</t>
  </si>
  <si>
    <t>216,1665</t>
  </si>
  <si>
    <t>Весовая категория</t>
  </si>
  <si>
    <t>Открытый Кубок города Рязани "Рязань косопузая"
WRPF любители Силовое двоеборье без экипировки ДК
Рязань/Рязанская область, 24 апреля 2021 года</t>
  </si>
  <si>
    <t>Открытый Кубок города Рязани "Рязань косопузая"
WRPF любители Становая тяга без экипировки ДК
Рязань/Рязанская область, 24 апреля 2021 года</t>
  </si>
  <si>
    <t>Открытый Кубок города Рязани "Рязань косопузая"
WRPF любители Становая тяга без экипировки
Рязань/Рязанская область, 24 апреля 2021 года</t>
  </si>
  <si>
    <t>Открытый Кубок города Рязани "Рязань косопузая"
WRPF любители Жим лежа без экипировки ДК
Рязань/Рязанская область, 24 апреля 2021 года</t>
  </si>
  <si>
    <t>Открытый Кубок города Рязани "Рязань косопузая"
WRPF любители Жим лежа без экипировки
Рязань/Рязанская область, 24 апреля 2021 года</t>
  </si>
  <si>
    <t>Открытый Кубок города Рязани "Рязань косопузая"
WRPF любители Пауэрлифтинг без экипировки ДК
Рязань/Рязанская область, 24 апреля 2021 года</t>
  </si>
  <si>
    <t>Открытый Кубок города Рязани "Рязань косопузая"
WRPF любители Пауэрлифтинг без экипировки
Рязань/Рязанская область, 24 апреля 2021 года</t>
  </si>
  <si>
    <t>Открытый Кубок города Рязани "Рязань косопузая"
WRPF любители Пауэрлифтинг классический в бинтах ДК
Рязань/Рязанская область, 24 апреля 2021 года</t>
  </si>
  <si>
    <t>Открытый Кубок города Рязани "Рязань косопузая"
WRPF любители Пауэрлифтинг классический в бинтах
Рязань/Рязанская область, 24 апреля 2021 года</t>
  </si>
  <si>
    <t>Старожилово/Рязанская область</t>
  </si>
  <si>
    <t xml:space="preserve">Наро-Фоминск/Московская область </t>
  </si>
  <si>
    <t>Донецк/Ураина</t>
  </si>
  <si>
    <t>Брест/Беларусь</t>
  </si>
  <si>
    <t>Минск/Беларусь</t>
  </si>
  <si>
    <t>Кольчугино/Владимирская область</t>
  </si>
  <si>
    <t>Гусь-Хрустальный/Владимирская область</t>
  </si>
  <si>
    <t>Наро-Фоминск/Московская область</t>
  </si>
  <si>
    <t>№</t>
  </si>
  <si>
    <t xml:space="preserve">
Дата рождения/Возраст</t>
  </si>
  <si>
    <t>Возрастная группа</t>
  </si>
  <si>
    <t>T1</t>
  </si>
  <si>
    <t>O</t>
  </si>
  <si>
    <t>T2</t>
  </si>
  <si>
    <t>M1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</si>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</sst>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434F-2872-4AE4-9CB9-B28EE985C0D7}">
  <dimension ref="A1:U25"/>
  <sheetViews>
    <sheetView tabSelected="1"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32" t="s">
        <v>380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28" t="s">
        <v>2</v>
      </c>
    </row>
    <row r="4" spans="1:21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29"/>
    </row>
    <row r="5" spans="1:21" ht="16">
      <c r="A5" s="30" t="s">
        <v>10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1">
      <c r="A6" s="17" t="s">
        <v>59</v>
      </c>
      <c r="B6" s="16" t="s">
        <v>145</v>
      </c>
      <c r="C6" s="16" t="s">
        <v>146</v>
      </c>
      <c r="D6" s="16" t="s">
        <v>13</v>
      </c>
      <c r="E6" s="16" t="s">
        <v>396</v>
      </c>
      <c r="F6" s="16" t="s">
        <v>147</v>
      </c>
      <c r="G6" s="20" t="s">
        <v>148</v>
      </c>
      <c r="H6" s="20" t="s">
        <v>111</v>
      </c>
      <c r="I6" s="20" t="s">
        <v>87</v>
      </c>
      <c r="J6" s="17"/>
      <c r="K6" s="20" t="s">
        <v>43</v>
      </c>
      <c r="L6" s="20" t="s">
        <v>82</v>
      </c>
      <c r="M6" s="17"/>
      <c r="N6" s="17"/>
      <c r="O6" s="20" t="s">
        <v>87</v>
      </c>
      <c r="P6" s="20" t="s">
        <v>40</v>
      </c>
      <c r="Q6" s="20" t="s">
        <v>149</v>
      </c>
      <c r="R6" s="17"/>
      <c r="S6" s="17" t="str">
        <f>"720,0"</f>
        <v>720,0</v>
      </c>
      <c r="T6" s="17" t="str">
        <f>"462,0240"</f>
        <v>462,0240</v>
      </c>
      <c r="U6" s="16"/>
    </row>
    <row r="7" spans="1:21">
      <c r="A7" s="23" t="s">
        <v>176</v>
      </c>
      <c r="B7" s="22" t="s">
        <v>150</v>
      </c>
      <c r="C7" s="22" t="s">
        <v>151</v>
      </c>
      <c r="D7" s="22" t="s">
        <v>152</v>
      </c>
      <c r="E7" s="22" t="s">
        <v>396</v>
      </c>
      <c r="F7" s="22" t="s">
        <v>65</v>
      </c>
      <c r="G7" s="24" t="s">
        <v>153</v>
      </c>
      <c r="H7" s="24" t="s">
        <v>154</v>
      </c>
      <c r="I7" s="24" t="s">
        <v>31</v>
      </c>
      <c r="J7" s="23"/>
      <c r="K7" s="24" t="s">
        <v>143</v>
      </c>
      <c r="L7" s="24" t="s">
        <v>90</v>
      </c>
      <c r="M7" s="24" t="s">
        <v>155</v>
      </c>
      <c r="N7" s="23"/>
      <c r="O7" s="24" t="s">
        <v>153</v>
      </c>
      <c r="P7" s="24" t="s">
        <v>156</v>
      </c>
      <c r="Q7" s="24" t="s">
        <v>148</v>
      </c>
      <c r="R7" s="23"/>
      <c r="S7" s="23" t="str">
        <f>"635,0"</f>
        <v>635,0</v>
      </c>
      <c r="T7" s="23" t="str">
        <f>"409,3845"</f>
        <v>409,3845</v>
      </c>
      <c r="U7" s="22" t="s">
        <v>157</v>
      </c>
    </row>
    <row r="8" spans="1:21">
      <c r="A8" s="19" t="s">
        <v>59</v>
      </c>
      <c r="B8" s="18" t="s">
        <v>150</v>
      </c>
      <c r="C8" s="18" t="s">
        <v>158</v>
      </c>
      <c r="D8" s="18" t="s">
        <v>152</v>
      </c>
      <c r="E8" s="18" t="s">
        <v>398</v>
      </c>
      <c r="F8" s="18" t="s">
        <v>65</v>
      </c>
      <c r="G8" s="21" t="s">
        <v>153</v>
      </c>
      <c r="H8" s="21" t="s">
        <v>154</v>
      </c>
      <c r="I8" s="21" t="s">
        <v>31</v>
      </c>
      <c r="J8" s="19"/>
      <c r="K8" s="21" t="s">
        <v>143</v>
      </c>
      <c r="L8" s="21" t="s">
        <v>90</v>
      </c>
      <c r="M8" s="21" t="s">
        <v>155</v>
      </c>
      <c r="N8" s="19"/>
      <c r="O8" s="21" t="s">
        <v>153</v>
      </c>
      <c r="P8" s="21" t="s">
        <v>156</v>
      </c>
      <c r="Q8" s="21" t="s">
        <v>148</v>
      </c>
      <c r="R8" s="19"/>
      <c r="S8" s="19" t="str">
        <f>"635,0"</f>
        <v>635,0</v>
      </c>
      <c r="T8" s="19" t="str">
        <f>"433,9476"</f>
        <v>433,9476</v>
      </c>
      <c r="U8" s="18" t="s">
        <v>157</v>
      </c>
    </row>
    <row r="9" spans="1:21">
      <c r="B9" s="5" t="s">
        <v>60</v>
      </c>
    </row>
    <row r="10" spans="1:21" ht="16">
      <c r="A10" s="45" t="s">
        <v>93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21">
      <c r="A11" s="17" t="s">
        <v>59</v>
      </c>
      <c r="B11" s="16" t="s">
        <v>159</v>
      </c>
      <c r="C11" s="16" t="s">
        <v>160</v>
      </c>
      <c r="D11" s="16" t="s">
        <v>161</v>
      </c>
      <c r="E11" s="16" t="s">
        <v>396</v>
      </c>
      <c r="F11" s="16" t="s">
        <v>65</v>
      </c>
      <c r="G11" s="20" t="s">
        <v>43</v>
      </c>
      <c r="H11" s="20" t="s">
        <v>82</v>
      </c>
      <c r="I11" s="25" t="s">
        <v>97</v>
      </c>
      <c r="J11" s="17"/>
      <c r="K11" s="20" t="s">
        <v>143</v>
      </c>
      <c r="L11" s="25" t="s">
        <v>139</v>
      </c>
      <c r="M11" s="20" t="s">
        <v>139</v>
      </c>
      <c r="N11" s="17"/>
      <c r="O11" s="20" t="s">
        <v>97</v>
      </c>
      <c r="P11" s="20" t="s">
        <v>153</v>
      </c>
      <c r="Q11" s="20" t="s">
        <v>154</v>
      </c>
      <c r="R11" s="17"/>
      <c r="S11" s="17" t="str">
        <f>"565,0"</f>
        <v>565,0</v>
      </c>
      <c r="T11" s="17" t="str">
        <f>"350,9215"</f>
        <v>350,9215</v>
      </c>
      <c r="U11" s="16" t="s">
        <v>162</v>
      </c>
    </row>
    <row r="12" spans="1:21">
      <c r="A12" s="19" t="s">
        <v>176</v>
      </c>
      <c r="B12" s="18" t="s">
        <v>163</v>
      </c>
      <c r="C12" s="18" t="s">
        <v>164</v>
      </c>
      <c r="D12" s="18" t="s">
        <v>165</v>
      </c>
      <c r="E12" s="18" t="s">
        <v>396</v>
      </c>
      <c r="F12" s="18" t="s">
        <v>65</v>
      </c>
      <c r="G12" s="21" t="s">
        <v>80</v>
      </c>
      <c r="H12" s="21" t="s">
        <v>43</v>
      </c>
      <c r="I12" s="26" t="s">
        <v>82</v>
      </c>
      <c r="J12" s="19"/>
      <c r="K12" s="21" t="s">
        <v>98</v>
      </c>
      <c r="L12" s="21" t="s">
        <v>166</v>
      </c>
      <c r="M12" s="21" t="s">
        <v>79</v>
      </c>
      <c r="N12" s="19"/>
      <c r="O12" s="21" t="s">
        <v>97</v>
      </c>
      <c r="P12" s="21" t="s">
        <v>153</v>
      </c>
      <c r="Q12" s="26" t="s">
        <v>19</v>
      </c>
      <c r="R12" s="19"/>
      <c r="S12" s="19" t="str">
        <f>"515,0"</f>
        <v>515,0</v>
      </c>
      <c r="T12" s="19" t="str">
        <f>"323,0080"</f>
        <v>323,0080</v>
      </c>
      <c r="U12" s="18" t="s">
        <v>83</v>
      </c>
    </row>
    <row r="13" spans="1:21">
      <c r="B13" s="5" t="s">
        <v>60</v>
      </c>
    </row>
    <row r="14" spans="1:21" ht="16">
      <c r="A14" s="45" t="s">
        <v>25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1">
      <c r="A15" s="8" t="s">
        <v>59</v>
      </c>
      <c r="B15" s="7" t="s">
        <v>167</v>
      </c>
      <c r="C15" s="7" t="s">
        <v>168</v>
      </c>
      <c r="D15" s="7" t="s">
        <v>169</v>
      </c>
      <c r="E15" s="7" t="s">
        <v>396</v>
      </c>
      <c r="F15" s="7" t="s">
        <v>384</v>
      </c>
      <c r="G15" s="15" t="s">
        <v>113</v>
      </c>
      <c r="H15" s="14" t="s">
        <v>113</v>
      </c>
      <c r="I15" s="15" t="s">
        <v>143</v>
      </c>
      <c r="J15" s="8"/>
      <c r="K15" s="15" t="s">
        <v>134</v>
      </c>
      <c r="L15" s="14" t="s">
        <v>134</v>
      </c>
      <c r="M15" s="15" t="s">
        <v>77</v>
      </c>
      <c r="N15" s="8"/>
      <c r="O15" s="14" t="s">
        <v>155</v>
      </c>
      <c r="P15" s="14" t="s">
        <v>82</v>
      </c>
      <c r="Q15" s="15" t="s">
        <v>97</v>
      </c>
      <c r="R15" s="8"/>
      <c r="S15" s="8" t="str">
        <f>"440,0"</f>
        <v>440,0</v>
      </c>
      <c r="T15" s="8" t="str">
        <f>"266,0240"</f>
        <v>266,0240</v>
      </c>
      <c r="U15" s="7"/>
    </row>
    <row r="16" spans="1:21">
      <c r="B16" s="5" t="s">
        <v>60</v>
      </c>
    </row>
    <row r="17" spans="2:6">
      <c r="B17" s="5" t="s">
        <v>60</v>
      </c>
    </row>
    <row r="18" spans="2:6">
      <c r="B18" s="5" t="s">
        <v>60</v>
      </c>
    </row>
    <row r="19" spans="2:6" ht="18">
      <c r="B19" s="9" t="s">
        <v>48</v>
      </c>
      <c r="C19" s="9"/>
      <c r="F19" s="3"/>
    </row>
    <row r="20" spans="2:6" ht="16">
      <c r="B20" s="10" t="s">
        <v>49</v>
      </c>
      <c r="C20" s="10"/>
      <c r="F20" s="3"/>
    </row>
    <row r="21" spans="2:6" ht="14">
      <c r="B21" s="11"/>
      <c r="C21" s="12" t="s">
        <v>50</v>
      </c>
      <c r="F21" s="3"/>
    </row>
    <row r="22" spans="2:6" ht="14">
      <c r="B22" s="13" t="s">
        <v>51</v>
      </c>
      <c r="C22" s="13" t="s">
        <v>52</v>
      </c>
      <c r="D22" s="13" t="s">
        <v>374</v>
      </c>
      <c r="E22" s="13" t="s">
        <v>54</v>
      </c>
      <c r="F22" s="13" t="s">
        <v>55</v>
      </c>
    </row>
    <row r="23" spans="2:6">
      <c r="B23" s="5" t="s">
        <v>145</v>
      </c>
      <c r="C23" s="5" t="s">
        <v>50</v>
      </c>
      <c r="D23" s="6" t="s">
        <v>56</v>
      </c>
      <c r="E23" s="6" t="s">
        <v>170</v>
      </c>
      <c r="F23" s="6" t="s">
        <v>171</v>
      </c>
    </row>
    <row r="24" spans="2:6">
      <c r="B24" s="5" t="s">
        <v>150</v>
      </c>
      <c r="C24" s="5" t="s">
        <v>50</v>
      </c>
      <c r="D24" s="6" t="s">
        <v>56</v>
      </c>
      <c r="E24" s="6" t="s">
        <v>172</v>
      </c>
      <c r="F24" s="6" t="s">
        <v>173</v>
      </c>
    </row>
    <row r="25" spans="2:6">
      <c r="B25" s="5" t="s">
        <v>159</v>
      </c>
      <c r="C25" s="5" t="s">
        <v>50</v>
      </c>
      <c r="D25" s="6" t="s">
        <v>144</v>
      </c>
      <c r="E25" s="6" t="s">
        <v>174</v>
      </c>
      <c r="F25" s="6" t="s">
        <v>175</v>
      </c>
    </row>
  </sheetData>
  <mergeCells count="16">
    <mergeCell ref="A10:R10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B136-2316-4DFC-A338-77B4CA74FC25}">
  <dimension ref="A1:U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5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2" width="4.5" style="6" customWidth="1"/>
    <col min="13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2" t="s">
        <v>381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28" t="s">
        <v>2</v>
      </c>
    </row>
    <row r="4" spans="1:21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29"/>
    </row>
    <row r="5" spans="1:21" ht="16">
      <c r="A5" s="30" t="s">
        <v>124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1">
      <c r="A6" s="8" t="s">
        <v>59</v>
      </c>
      <c r="B6" s="7" t="s">
        <v>125</v>
      </c>
      <c r="C6" s="7" t="s">
        <v>126</v>
      </c>
      <c r="D6" s="7" t="s">
        <v>127</v>
      </c>
      <c r="E6" s="7" t="s">
        <v>396</v>
      </c>
      <c r="F6" s="7" t="s">
        <v>128</v>
      </c>
      <c r="G6" s="14" t="s">
        <v>129</v>
      </c>
      <c r="H6" s="14" t="s">
        <v>130</v>
      </c>
      <c r="I6" s="15" t="s">
        <v>131</v>
      </c>
      <c r="J6" s="8"/>
      <c r="K6" s="14" t="s">
        <v>132</v>
      </c>
      <c r="L6" s="14" t="s">
        <v>66</v>
      </c>
      <c r="M6" s="14" t="s">
        <v>67</v>
      </c>
      <c r="N6" s="8"/>
      <c r="O6" s="14" t="s">
        <v>133</v>
      </c>
      <c r="P6" s="14" t="s">
        <v>134</v>
      </c>
      <c r="Q6" s="14" t="s">
        <v>98</v>
      </c>
      <c r="R6" s="8"/>
      <c r="S6" s="8" t="str">
        <f>"262,5"</f>
        <v>262,5</v>
      </c>
      <c r="T6" s="8" t="str">
        <f>"220,6837"</f>
        <v>220,6837</v>
      </c>
      <c r="U6" s="7" t="s">
        <v>135</v>
      </c>
    </row>
    <row r="7" spans="1:21">
      <c r="B7" s="5" t="s">
        <v>60</v>
      </c>
    </row>
    <row r="8" spans="1:21" ht="16">
      <c r="A8" s="45" t="s">
        <v>93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59</v>
      </c>
      <c r="B9" s="7" t="s">
        <v>136</v>
      </c>
      <c r="C9" s="7" t="s">
        <v>137</v>
      </c>
      <c r="D9" s="7" t="s">
        <v>138</v>
      </c>
      <c r="E9" s="7" t="s">
        <v>399</v>
      </c>
      <c r="F9" s="7" t="s">
        <v>65</v>
      </c>
      <c r="G9" s="14" t="s">
        <v>113</v>
      </c>
      <c r="H9" s="14" t="s">
        <v>139</v>
      </c>
      <c r="I9" s="14" t="s">
        <v>140</v>
      </c>
      <c r="J9" s="8"/>
      <c r="K9" s="14" t="s">
        <v>141</v>
      </c>
      <c r="L9" s="14" t="s">
        <v>142</v>
      </c>
      <c r="M9" s="15" t="s">
        <v>133</v>
      </c>
      <c r="N9" s="8"/>
      <c r="O9" s="14" t="s">
        <v>143</v>
      </c>
      <c r="P9" s="14" t="s">
        <v>91</v>
      </c>
      <c r="Q9" s="14" t="s">
        <v>80</v>
      </c>
      <c r="R9" s="8"/>
      <c r="S9" s="8" t="str">
        <f>"432,5"</f>
        <v>432,5</v>
      </c>
      <c r="T9" s="8" t="str">
        <f>"274,7240"</f>
        <v>274,7240</v>
      </c>
      <c r="U9" s="7"/>
    </row>
    <row r="10" spans="1:21">
      <c r="B10" s="5" t="s">
        <v>60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8D4E-3489-4488-B323-C556B159DB60}">
  <dimension ref="A1:U33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6.83203125" style="5" customWidth="1"/>
    <col min="22" max="16384" width="9.1640625" style="3"/>
  </cols>
  <sheetData>
    <row r="1" spans="1:21" s="2" customFormat="1" ht="29" customHeight="1">
      <c r="A1" s="32" t="s">
        <v>382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28" t="s">
        <v>2</v>
      </c>
    </row>
    <row r="4" spans="1:21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29"/>
    </row>
    <row r="5" spans="1:21" ht="16">
      <c r="A5" s="30" t="s">
        <v>61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1">
      <c r="A6" s="8" t="s">
        <v>59</v>
      </c>
      <c r="B6" s="7" t="s">
        <v>62</v>
      </c>
      <c r="C6" s="7" t="s">
        <v>63</v>
      </c>
      <c r="D6" s="7" t="s">
        <v>64</v>
      </c>
      <c r="E6" s="7" t="s">
        <v>396</v>
      </c>
      <c r="F6" s="7" t="s">
        <v>65</v>
      </c>
      <c r="G6" s="15" t="s">
        <v>66</v>
      </c>
      <c r="H6" s="15" t="s">
        <v>67</v>
      </c>
      <c r="I6" s="14" t="s">
        <v>67</v>
      </c>
      <c r="J6" s="8"/>
      <c r="K6" s="15" t="s">
        <v>68</v>
      </c>
      <c r="L6" s="15" t="s">
        <v>68</v>
      </c>
      <c r="M6" s="14" t="s">
        <v>68</v>
      </c>
      <c r="N6" s="8"/>
      <c r="O6" s="14" t="s">
        <v>66</v>
      </c>
      <c r="P6" s="14" t="s">
        <v>69</v>
      </c>
      <c r="Q6" s="15" t="s">
        <v>70</v>
      </c>
      <c r="R6" s="8"/>
      <c r="S6" s="8" t="str">
        <f>"145,0"</f>
        <v>145,0</v>
      </c>
      <c r="T6" s="8" t="str">
        <f>"209,1480"</f>
        <v>209,1480</v>
      </c>
      <c r="U6" s="7" t="s">
        <v>71</v>
      </c>
    </row>
    <row r="7" spans="1:21">
      <c r="B7" s="5" t="s">
        <v>60</v>
      </c>
    </row>
    <row r="8" spans="1:21" ht="16">
      <c r="A8" s="45" t="s">
        <v>72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59</v>
      </c>
      <c r="B9" s="7" t="s">
        <v>73</v>
      </c>
      <c r="C9" s="7" t="s">
        <v>74</v>
      </c>
      <c r="D9" s="7" t="s">
        <v>75</v>
      </c>
      <c r="E9" s="7" t="s">
        <v>396</v>
      </c>
      <c r="F9" s="7" t="s">
        <v>65</v>
      </c>
      <c r="G9" s="15" t="s">
        <v>76</v>
      </c>
      <c r="H9" s="15" t="s">
        <v>76</v>
      </c>
      <c r="I9" s="14" t="s">
        <v>76</v>
      </c>
      <c r="J9" s="8"/>
      <c r="K9" s="14" t="s">
        <v>77</v>
      </c>
      <c r="L9" s="14" t="s">
        <v>78</v>
      </c>
      <c r="M9" s="15" t="s">
        <v>79</v>
      </c>
      <c r="N9" s="8"/>
      <c r="O9" s="14" t="s">
        <v>80</v>
      </c>
      <c r="P9" s="14" t="s">
        <v>81</v>
      </c>
      <c r="Q9" s="15" t="s">
        <v>82</v>
      </c>
      <c r="R9" s="8"/>
      <c r="S9" s="8" t="str">
        <f>"467,5"</f>
        <v>467,5</v>
      </c>
      <c r="T9" s="8" t="str">
        <f>"334,0755"</f>
        <v>334,0755</v>
      </c>
      <c r="U9" s="7" t="s">
        <v>83</v>
      </c>
    </row>
    <row r="10" spans="1:21">
      <c r="B10" s="5" t="s">
        <v>60</v>
      </c>
    </row>
    <row r="11" spans="1:21" ht="16">
      <c r="A11" s="45" t="s">
        <v>10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>
      <c r="A12" s="8" t="s">
        <v>59</v>
      </c>
      <c r="B12" s="7" t="s">
        <v>84</v>
      </c>
      <c r="C12" s="7" t="s">
        <v>85</v>
      </c>
      <c r="D12" s="7" t="s">
        <v>86</v>
      </c>
      <c r="E12" s="7" t="s">
        <v>396</v>
      </c>
      <c r="F12" s="7" t="s">
        <v>390</v>
      </c>
      <c r="G12" s="14" t="s">
        <v>33</v>
      </c>
      <c r="H12" s="14" t="s">
        <v>87</v>
      </c>
      <c r="I12" s="14" t="s">
        <v>88</v>
      </c>
      <c r="J12" s="8"/>
      <c r="K12" s="14" t="s">
        <v>89</v>
      </c>
      <c r="L12" s="14" t="s">
        <v>90</v>
      </c>
      <c r="M12" s="14" t="s">
        <v>91</v>
      </c>
      <c r="N12" s="8"/>
      <c r="O12" s="14" t="s">
        <v>87</v>
      </c>
      <c r="P12" s="14" t="s">
        <v>92</v>
      </c>
      <c r="Q12" s="15" t="s">
        <v>14</v>
      </c>
      <c r="R12" s="8"/>
      <c r="S12" s="8" t="str">
        <f>"700,0"</f>
        <v>700,0</v>
      </c>
      <c r="T12" s="8" t="str">
        <f>"448,4200"</f>
        <v>448,4200</v>
      </c>
      <c r="U12" s="7" t="s">
        <v>24</v>
      </c>
    </row>
    <row r="13" spans="1:21">
      <c r="B13" s="5" t="s">
        <v>60</v>
      </c>
    </row>
    <row r="14" spans="1:21" ht="16">
      <c r="A14" s="45" t="s">
        <v>93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1">
      <c r="A15" s="8" t="s">
        <v>59</v>
      </c>
      <c r="B15" s="7" t="s">
        <v>94</v>
      </c>
      <c r="C15" s="7" t="s">
        <v>95</v>
      </c>
      <c r="D15" s="7" t="s">
        <v>96</v>
      </c>
      <c r="E15" s="7" t="s">
        <v>396</v>
      </c>
      <c r="F15" s="7" t="s">
        <v>65</v>
      </c>
      <c r="G15" s="14" t="s">
        <v>44</v>
      </c>
      <c r="H15" s="15" t="s">
        <v>97</v>
      </c>
      <c r="I15" s="15" t="s">
        <v>97</v>
      </c>
      <c r="J15" s="8"/>
      <c r="K15" s="14" t="s">
        <v>98</v>
      </c>
      <c r="L15" s="15" t="s">
        <v>79</v>
      </c>
      <c r="M15" s="8"/>
      <c r="N15" s="8"/>
      <c r="O15" s="14" t="s">
        <v>97</v>
      </c>
      <c r="P15" s="15" t="s">
        <v>19</v>
      </c>
      <c r="Q15" s="8"/>
      <c r="R15" s="8"/>
      <c r="S15" s="8" t="str">
        <f>"502,5"</f>
        <v>502,5</v>
      </c>
      <c r="T15" s="8" t="str">
        <f>"307,4295"</f>
        <v>307,4295</v>
      </c>
      <c r="U15" s="7" t="s">
        <v>83</v>
      </c>
    </row>
    <row r="16" spans="1:21">
      <c r="B16" s="5" t="s">
        <v>60</v>
      </c>
    </row>
    <row r="17" spans="1:21" ht="16">
      <c r="A17" s="45" t="s">
        <v>25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21">
      <c r="A18" s="8" t="s">
        <v>59</v>
      </c>
      <c r="B18" s="7" t="s">
        <v>99</v>
      </c>
      <c r="C18" s="7" t="s">
        <v>100</v>
      </c>
      <c r="D18" s="7" t="s">
        <v>101</v>
      </c>
      <c r="E18" s="7" t="s">
        <v>398</v>
      </c>
      <c r="F18" s="7" t="s">
        <v>102</v>
      </c>
      <c r="G18" s="14" t="s">
        <v>32</v>
      </c>
      <c r="H18" s="14" t="s">
        <v>87</v>
      </c>
      <c r="I18" s="14" t="s">
        <v>88</v>
      </c>
      <c r="J18" s="8"/>
      <c r="K18" s="15" t="s">
        <v>103</v>
      </c>
      <c r="L18" s="14" t="s">
        <v>103</v>
      </c>
      <c r="M18" s="15" t="s">
        <v>104</v>
      </c>
      <c r="N18" s="8"/>
      <c r="O18" s="14" t="s">
        <v>31</v>
      </c>
      <c r="P18" s="14" t="s">
        <v>105</v>
      </c>
      <c r="Q18" s="14" t="s">
        <v>106</v>
      </c>
      <c r="R18" s="8"/>
      <c r="S18" s="8" t="str">
        <f>"652,5"</f>
        <v>652,5</v>
      </c>
      <c r="T18" s="8" t="str">
        <f>"385,8885"</f>
        <v>385,8885</v>
      </c>
      <c r="U18" s="7" t="s">
        <v>47</v>
      </c>
    </row>
    <row r="19" spans="1:21">
      <c r="B19" s="5" t="s">
        <v>60</v>
      </c>
    </row>
    <row r="20" spans="1:21" ht="16">
      <c r="A20" s="45" t="s">
        <v>107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21">
      <c r="A21" s="17" t="s">
        <v>59</v>
      </c>
      <c r="B21" s="16" t="s">
        <v>108</v>
      </c>
      <c r="C21" s="16" t="s">
        <v>109</v>
      </c>
      <c r="D21" s="16" t="s">
        <v>110</v>
      </c>
      <c r="E21" s="16" t="s">
        <v>399</v>
      </c>
      <c r="F21" s="16" t="s">
        <v>65</v>
      </c>
      <c r="G21" s="20" t="s">
        <v>32</v>
      </c>
      <c r="H21" s="20" t="s">
        <v>111</v>
      </c>
      <c r="I21" s="20" t="s">
        <v>112</v>
      </c>
      <c r="J21" s="17"/>
      <c r="K21" s="20" t="s">
        <v>113</v>
      </c>
      <c r="L21" s="20" t="s">
        <v>114</v>
      </c>
      <c r="M21" s="20" t="s">
        <v>89</v>
      </c>
      <c r="N21" s="17"/>
      <c r="O21" s="20" t="s">
        <v>31</v>
      </c>
      <c r="P21" s="20" t="s">
        <v>105</v>
      </c>
      <c r="Q21" s="20" t="s">
        <v>112</v>
      </c>
      <c r="R21" s="17"/>
      <c r="S21" s="17" t="str">
        <f>"672,5"</f>
        <v>672,5</v>
      </c>
      <c r="T21" s="17" t="str">
        <f>"376,6000"</f>
        <v>376,6000</v>
      </c>
      <c r="U21" s="16"/>
    </row>
    <row r="22" spans="1:21">
      <c r="A22" s="19" t="s">
        <v>59</v>
      </c>
      <c r="B22" s="18" t="s">
        <v>108</v>
      </c>
      <c r="C22" s="18" t="s">
        <v>115</v>
      </c>
      <c r="D22" s="18" t="s">
        <v>110</v>
      </c>
      <c r="E22" s="18" t="s">
        <v>396</v>
      </c>
      <c r="F22" s="18" t="s">
        <v>65</v>
      </c>
      <c r="G22" s="21" t="s">
        <v>32</v>
      </c>
      <c r="H22" s="21" t="s">
        <v>111</v>
      </c>
      <c r="I22" s="21" t="s">
        <v>112</v>
      </c>
      <c r="J22" s="19"/>
      <c r="K22" s="21" t="s">
        <v>113</v>
      </c>
      <c r="L22" s="21" t="s">
        <v>114</v>
      </c>
      <c r="M22" s="21" t="s">
        <v>89</v>
      </c>
      <c r="N22" s="19"/>
      <c r="O22" s="21" t="s">
        <v>31</v>
      </c>
      <c r="P22" s="21" t="s">
        <v>105</v>
      </c>
      <c r="Q22" s="21" t="s">
        <v>112</v>
      </c>
      <c r="R22" s="19"/>
      <c r="S22" s="19" t="str">
        <f>"672,5"</f>
        <v>672,5</v>
      </c>
      <c r="T22" s="19" t="str">
        <f>"376,6000"</f>
        <v>376,6000</v>
      </c>
      <c r="U22" s="18"/>
    </row>
    <row r="23" spans="1:21">
      <c r="B23" s="5" t="s">
        <v>60</v>
      </c>
    </row>
    <row r="24" spans="1:21">
      <c r="B24" s="5" t="s">
        <v>60</v>
      </c>
    </row>
    <row r="25" spans="1:21">
      <c r="B25" s="5" t="s">
        <v>60</v>
      </c>
    </row>
    <row r="26" spans="1:21" ht="18">
      <c r="B26" s="9" t="s">
        <v>48</v>
      </c>
      <c r="C26" s="9"/>
      <c r="F26" s="3"/>
    </row>
    <row r="27" spans="1:21" ht="16">
      <c r="B27" s="10" t="s">
        <v>49</v>
      </c>
      <c r="C27" s="10"/>
      <c r="F27" s="3"/>
    </row>
    <row r="28" spans="1:21" ht="14">
      <c r="B28" s="11"/>
      <c r="C28" s="12" t="s">
        <v>50</v>
      </c>
      <c r="F28" s="3"/>
    </row>
    <row r="29" spans="1:21" ht="14">
      <c r="B29" s="13" t="s">
        <v>51</v>
      </c>
      <c r="C29" s="13" t="s">
        <v>52</v>
      </c>
      <c r="D29" s="13" t="s">
        <v>374</v>
      </c>
      <c r="E29" s="13" t="s">
        <v>54</v>
      </c>
      <c r="F29" s="13" t="s">
        <v>55</v>
      </c>
    </row>
    <row r="30" spans="1:21">
      <c r="B30" s="5" t="s">
        <v>84</v>
      </c>
      <c r="C30" s="5" t="s">
        <v>50</v>
      </c>
      <c r="D30" s="6" t="s">
        <v>56</v>
      </c>
      <c r="E30" s="6" t="s">
        <v>119</v>
      </c>
      <c r="F30" s="6" t="s">
        <v>120</v>
      </c>
    </row>
    <row r="31" spans="1:21">
      <c r="B31" s="5" t="s">
        <v>108</v>
      </c>
      <c r="C31" s="5" t="s">
        <v>50</v>
      </c>
      <c r="D31" s="6" t="s">
        <v>116</v>
      </c>
      <c r="E31" s="6" t="s">
        <v>117</v>
      </c>
      <c r="F31" s="6" t="s">
        <v>118</v>
      </c>
    </row>
    <row r="32" spans="1:21">
      <c r="B32" s="5" t="s">
        <v>73</v>
      </c>
      <c r="C32" s="5" t="s">
        <v>50</v>
      </c>
      <c r="D32" s="6" t="s">
        <v>121</v>
      </c>
      <c r="E32" s="6" t="s">
        <v>122</v>
      </c>
      <c r="F32" s="6" t="s">
        <v>123</v>
      </c>
    </row>
    <row r="33" spans="6:6">
      <c r="F33" s="3"/>
    </row>
  </sheetData>
  <mergeCells count="19">
    <mergeCell ref="A20:R20"/>
    <mergeCell ref="A5:R5"/>
    <mergeCell ref="A8:R8"/>
    <mergeCell ref="A11:R11"/>
    <mergeCell ref="A14:R14"/>
    <mergeCell ref="A17:R17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8" width="5.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2" t="s">
        <v>383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7</v>
      </c>
      <c r="H3" s="44"/>
      <c r="I3" s="44"/>
      <c r="J3" s="44"/>
      <c r="K3" s="44" t="s">
        <v>8</v>
      </c>
      <c r="L3" s="44"/>
      <c r="M3" s="44"/>
      <c r="N3" s="44"/>
      <c r="O3" s="44" t="s">
        <v>9</v>
      </c>
      <c r="P3" s="44"/>
      <c r="Q3" s="44"/>
      <c r="R3" s="44"/>
      <c r="S3" s="44" t="s">
        <v>1</v>
      </c>
      <c r="T3" s="44" t="s">
        <v>3</v>
      </c>
      <c r="U3" s="28" t="s">
        <v>2</v>
      </c>
    </row>
    <row r="4" spans="1:21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3"/>
      <c r="T4" s="43"/>
      <c r="U4" s="29"/>
    </row>
    <row r="5" spans="1:21" ht="16">
      <c r="A5" s="30" t="s">
        <v>10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1">
      <c r="A6" s="8" t="s">
        <v>59</v>
      </c>
      <c r="B6" s="7" t="s">
        <v>11</v>
      </c>
      <c r="C6" s="7" t="s">
        <v>12</v>
      </c>
      <c r="D6" s="7" t="s">
        <v>13</v>
      </c>
      <c r="E6" s="7" t="s">
        <v>396</v>
      </c>
      <c r="F6" s="7" t="s">
        <v>391</v>
      </c>
      <c r="G6" s="14" t="s">
        <v>14</v>
      </c>
      <c r="H6" s="14" t="s">
        <v>15</v>
      </c>
      <c r="I6" s="14" t="s">
        <v>16</v>
      </c>
      <c r="J6" s="8"/>
      <c r="K6" s="14" t="s">
        <v>17</v>
      </c>
      <c r="L6" s="14" t="s">
        <v>18</v>
      </c>
      <c r="M6" s="14" t="s">
        <v>19</v>
      </c>
      <c r="N6" s="8"/>
      <c r="O6" s="14" t="s">
        <v>20</v>
      </c>
      <c r="P6" s="14" t="s">
        <v>21</v>
      </c>
      <c r="Q6" s="14" t="s">
        <v>22</v>
      </c>
      <c r="R6" s="15" t="s">
        <v>23</v>
      </c>
      <c r="S6" s="8" t="str">
        <f>"900,0"</f>
        <v>900,0</v>
      </c>
      <c r="T6" s="8" t="str">
        <f>"577,5300"</f>
        <v>577,5300</v>
      </c>
      <c r="U6" s="7" t="s">
        <v>24</v>
      </c>
    </row>
    <row r="7" spans="1:21">
      <c r="B7" s="5" t="s">
        <v>60</v>
      </c>
    </row>
    <row r="8" spans="1:21" ht="16">
      <c r="A8" s="45" t="s">
        <v>25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>
      <c r="A9" s="8" t="s">
        <v>59</v>
      </c>
      <c r="B9" s="7" t="s">
        <v>26</v>
      </c>
      <c r="C9" s="7" t="s">
        <v>27</v>
      </c>
      <c r="D9" s="7" t="s">
        <v>28</v>
      </c>
      <c r="E9" s="7" t="s">
        <v>396</v>
      </c>
      <c r="F9" s="7" t="s">
        <v>29</v>
      </c>
      <c r="G9" s="15" t="s">
        <v>15</v>
      </c>
      <c r="H9" s="14" t="s">
        <v>15</v>
      </c>
      <c r="I9" s="15" t="s">
        <v>30</v>
      </c>
      <c r="J9" s="8"/>
      <c r="K9" s="14" t="s">
        <v>31</v>
      </c>
      <c r="L9" s="14" t="s">
        <v>32</v>
      </c>
      <c r="M9" s="15" t="s">
        <v>33</v>
      </c>
      <c r="N9" s="8"/>
      <c r="O9" s="14" t="s">
        <v>16</v>
      </c>
      <c r="P9" s="14" t="s">
        <v>34</v>
      </c>
      <c r="Q9" s="15" t="s">
        <v>20</v>
      </c>
      <c r="R9" s="8"/>
      <c r="S9" s="8" t="str">
        <f>"870,0"</f>
        <v>870,0</v>
      </c>
      <c r="T9" s="8" t="str">
        <f>"514,7790"</f>
        <v>514,7790</v>
      </c>
      <c r="U9" s="7"/>
    </row>
    <row r="10" spans="1:21">
      <c r="B10" s="5" t="s">
        <v>60</v>
      </c>
    </row>
    <row r="11" spans="1:21" ht="16">
      <c r="A11" s="45" t="s">
        <v>35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>
      <c r="A12" s="8" t="s">
        <v>59</v>
      </c>
      <c r="B12" s="7" t="s">
        <v>36</v>
      </c>
      <c r="C12" s="7" t="s">
        <v>37</v>
      </c>
      <c r="D12" s="7" t="s">
        <v>38</v>
      </c>
      <c r="E12" s="7" t="s">
        <v>396</v>
      </c>
      <c r="F12" s="7" t="s">
        <v>39</v>
      </c>
      <c r="G12" s="14" t="s">
        <v>40</v>
      </c>
      <c r="H12" s="14" t="s">
        <v>41</v>
      </c>
      <c r="I12" s="15" t="s">
        <v>15</v>
      </c>
      <c r="J12" s="8"/>
      <c r="K12" s="14" t="s">
        <v>42</v>
      </c>
      <c r="L12" s="14" t="s">
        <v>43</v>
      </c>
      <c r="M12" s="15" t="s">
        <v>44</v>
      </c>
      <c r="N12" s="8"/>
      <c r="O12" s="14" t="s">
        <v>40</v>
      </c>
      <c r="P12" s="14" t="s">
        <v>45</v>
      </c>
      <c r="Q12" s="15" t="s">
        <v>46</v>
      </c>
      <c r="R12" s="8"/>
      <c r="S12" s="8" t="str">
        <f>"767,5"</f>
        <v>767,5</v>
      </c>
      <c r="T12" s="8" t="str">
        <f>"441,5427"</f>
        <v>441,5427</v>
      </c>
      <c r="U12" s="7" t="s">
        <v>47</v>
      </c>
    </row>
    <row r="13" spans="1:21">
      <c r="B13" s="5" t="s">
        <v>60</v>
      </c>
    </row>
  </sheetData>
  <mergeCells count="16">
    <mergeCell ref="A5:R5"/>
    <mergeCell ref="A8:R8"/>
    <mergeCell ref="A11:R11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6555E-AD37-4C0E-8EC8-F1DF1FC4C84A}">
  <dimension ref="A1:Q2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32" t="s">
        <v>375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</row>
    <row r="3" spans="1:17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8</v>
      </c>
      <c r="H3" s="44"/>
      <c r="I3" s="44"/>
      <c r="J3" s="44"/>
      <c r="K3" s="44" t="s">
        <v>9</v>
      </c>
      <c r="L3" s="44"/>
      <c r="M3" s="44"/>
      <c r="N3" s="44"/>
      <c r="O3" s="44" t="s">
        <v>1</v>
      </c>
      <c r="P3" s="44" t="s">
        <v>3</v>
      </c>
      <c r="Q3" s="28" t="s">
        <v>2</v>
      </c>
    </row>
    <row r="4" spans="1:17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3"/>
      <c r="P4" s="43"/>
      <c r="Q4" s="29"/>
    </row>
    <row r="5" spans="1:17" ht="16">
      <c r="A5" s="30" t="s">
        <v>124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7">
      <c r="A6" s="8" t="s">
        <v>59</v>
      </c>
      <c r="B6" s="7" t="s">
        <v>354</v>
      </c>
      <c r="C6" s="7" t="s">
        <v>355</v>
      </c>
      <c r="D6" s="7" t="s">
        <v>356</v>
      </c>
      <c r="E6" s="7" t="s">
        <v>399</v>
      </c>
      <c r="F6" s="7" t="s">
        <v>65</v>
      </c>
      <c r="G6" s="14" t="s">
        <v>357</v>
      </c>
      <c r="H6" s="14" t="s">
        <v>66</v>
      </c>
      <c r="I6" s="14" t="s">
        <v>358</v>
      </c>
      <c r="J6" s="8"/>
      <c r="K6" s="15" t="s">
        <v>130</v>
      </c>
      <c r="L6" s="14" t="s">
        <v>130</v>
      </c>
      <c r="M6" s="15" t="s">
        <v>133</v>
      </c>
      <c r="N6" s="8"/>
      <c r="O6" s="8" t="str">
        <f>"142,5"</f>
        <v>142,5</v>
      </c>
      <c r="P6" s="8" t="str">
        <f>"116,1802"</f>
        <v>116,1802</v>
      </c>
      <c r="Q6" s="7" t="s">
        <v>162</v>
      </c>
    </row>
    <row r="7" spans="1:17">
      <c r="B7" s="5" t="s">
        <v>60</v>
      </c>
    </row>
    <row r="8" spans="1:17" ht="16">
      <c r="A8" s="45" t="s">
        <v>72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>
      <c r="A9" s="17" t="s">
        <v>59</v>
      </c>
      <c r="B9" s="16" t="s">
        <v>359</v>
      </c>
      <c r="C9" s="16" t="s">
        <v>360</v>
      </c>
      <c r="D9" s="16" t="s">
        <v>361</v>
      </c>
      <c r="E9" s="16" t="s">
        <v>395</v>
      </c>
      <c r="F9" s="16" t="s">
        <v>384</v>
      </c>
      <c r="G9" s="20" t="s">
        <v>362</v>
      </c>
      <c r="H9" s="25" t="s">
        <v>363</v>
      </c>
      <c r="I9" s="25" t="s">
        <v>363</v>
      </c>
      <c r="J9" s="17"/>
      <c r="K9" s="20" t="s">
        <v>78</v>
      </c>
      <c r="L9" s="20" t="s">
        <v>196</v>
      </c>
      <c r="M9" s="20" t="s">
        <v>103</v>
      </c>
      <c r="N9" s="17"/>
      <c r="O9" s="17" t="str">
        <f>"210,0"</f>
        <v>210,0</v>
      </c>
      <c r="P9" s="17" t="str">
        <f>"154,8750"</f>
        <v>154,8750</v>
      </c>
      <c r="Q9" s="16"/>
    </row>
    <row r="10" spans="1:17">
      <c r="A10" s="19" t="s">
        <v>59</v>
      </c>
      <c r="B10" s="18" t="s">
        <v>73</v>
      </c>
      <c r="C10" s="18" t="s">
        <v>74</v>
      </c>
      <c r="D10" s="18" t="s">
        <v>75</v>
      </c>
      <c r="E10" s="18" t="s">
        <v>396</v>
      </c>
      <c r="F10" s="18" t="s">
        <v>65</v>
      </c>
      <c r="G10" s="21" t="s">
        <v>77</v>
      </c>
      <c r="H10" s="21" t="s">
        <v>78</v>
      </c>
      <c r="I10" s="26" t="s">
        <v>79</v>
      </c>
      <c r="J10" s="19"/>
      <c r="K10" s="21" t="s">
        <v>80</v>
      </c>
      <c r="L10" s="21" t="s">
        <v>81</v>
      </c>
      <c r="M10" s="26" t="s">
        <v>82</v>
      </c>
      <c r="N10" s="19"/>
      <c r="O10" s="19" t="str">
        <f>"302,5"</f>
        <v>302,5</v>
      </c>
      <c r="P10" s="19" t="str">
        <f>"216,1665"</f>
        <v>216,1665</v>
      </c>
      <c r="Q10" s="18" t="s">
        <v>83</v>
      </c>
    </row>
    <row r="11" spans="1:17">
      <c r="B11" s="5" t="s">
        <v>60</v>
      </c>
    </row>
    <row r="12" spans="1:17" ht="16">
      <c r="A12" s="45" t="s">
        <v>248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7">
      <c r="A13" s="17" t="s">
        <v>59</v>
      </c>
      <c r="B13" s="16" t="s">
        <v>286</v>
      </c>
      <c r="C13" s="16" t="s">
        <v>287</v>
      </c>
      <c r="D13" s="16" t="s">
        <v>288</v>
      </c>
      <c r="E13" s="16" t="s">
        <v>396</v>
      </c>
      <c r="F13" s="16" t="s">
        <v>65</v>
      </c>
      <c r="G13" s="20" t="s">
        <v>113</v>
      </c>
      <c r="H13" s="20" t="s">
        <v>139</v>
      </c>
      <c r="I13" s="25" t="s">
        <v>90</v>
      </c>
      <c r="J13" s="17"/>
      <c r="K13" s="20" t="s">
        <v>97</v>
      </c>
      <c r="L13" s="25" t="s">
        <v>153</v>
      </c>
      <c r="M13" s="25" t="s">
        <v>153</v>
      </c>
      <c r="N13" s="17"/>
      <c r="O13" s="17" t="str">
        <f>"355,0"</f>
        <v>355,0</v>
      </c>
      <c r="P13" s="17" t="str">
        <f>"241,4000"</f>
        <v>241,4000</v>
      </c>
      <c r="Q13" s="16"/>
    </row>
    <row r="14" spans="1:17">
      <c r="A14" s="19" t="s">
        <v>59</v>
      </c>
      <c r="B14" s="18" t="s">
        <v>364</v>
      </c>
      <c r="C14" s="18" t="s">
        <v>365</v>
      </c>
      <c r="D14" s="18" t="s">
        <v>366</v>
      </c>
      <c r="E14" s="18" t="s">
        <v>398</v>
      </c>
      <c r="F14" s="18" t="s">
        <v>65</v>
      </c>
      <c r="G14" s="21" t="s">
        <v>77</v>
      </c>
      <c r="H14" s="26" t="s">
        <v>78</v>
      </c>
      <c r="I14" s="26" t="s">
        <v>166</v>
      </c>
      <c r="J14" s="19"/>
      <c r="K14" s="26" t="s">
        <v>80</v>
      </c>
      <c r="L14" s="21" t="s">
        <v>44</v>
      </c>
      <c r="M14" s="21" t="s">
        <v>82</v>
      </c>
      <c r="N14" s="19"/>
      <c r="O14" s="19" t="str">
        <f>"305,0"</f>
        <v>305,0</v>
      </c>
      <c r="P14" s="19" t="str">
        <f>"209,3825"</f>
        <v>209,3825</v>
      </c>
      <c r="Q14" s="18" t="s">
        <v>367</v>
      </c>
    </row>
    <row r="15" spans="1:17">
      <c r="B15" s="5" t="s">
        <v>60</v>
      </c>
    </row>
    <row r="16" spans="1:17" ht="16">
      <c r="A16" s="45" t="s">
        <v>25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7">
      <c r="A17" s="8" t="s">
        <v>59</v>
      </c>
      <c r="B17" s="7" t="s">
        <v>311</v>
      </c>
      <c r="C17" s="7" t="s">
        <v>312</v>
      </c>
      <c r="D17" s="7" t="s">
        <v>313</v>
      </c>
      <c r="E17" s="7" t="s">
        <v>396</v>
      </c>
      <c r="F17" s="7" t="s">
        <v>181</v>
      </c>
      <c r="G17" s="14" t="s">
        <v>155</v>
      </c>
      <c r="H17" s="14" t="s">
        <v>43</v>
      </c>
      <c r="I17" s="15" t="s">
        <v>44</v>
      </c>
      <c r="J17" s="8"/>
      <c r="K17" s="15" t="s">
        <v>314</v>
      </c>
      <c r="L17" s="15" t="s">
        <v>314</v>
      </c>
      <c r="M17" s="14" t="s">
        <v>31</v>
      </c>
      <c r="N17" s="8"/>
      <c r="O17" s="8" t="str">
        <f>"410,0"</f>
        <v>410,0</v>
      </c>
      <c r="P17" s="8" t="str">
        <f>"241,4080"</f>
        <v>241,4080</v>
      </c>
      <c r="Q17" s="7" t="s">
        <v>315</v>
      </c>
    </row>
    <row r="18" spans="1:17">
      <c r="B18" s="5" t="s">
        <v>60</v>
      </c>
    </row>
    <row r="19" spans="1:17">
      <c r="B19" s="5" t="s">
        <v>60</v>
      </c>
    </row>
    <row r="20" spans="1:17">
      <c r="B20" s="5" t="s">
        <v>60</v>
      </c>
    </row>
    <row r="21" spans="1:17" ht="18">
      <c r="B21" s="9" t="s">
        <v>48</v>
      </c>
      <c r="C21" s="9"/>
      <c r="F21" s="3"/>
    </row>
    <row r="22" spans="1:17" ht="16">
      <c r="B22" s="10" t="s">
        <v>49</v>
      </c>
      <c r="C22" s="10"/>
      <c r="F22" s="3"/>
    </row>
    <row r="23" spans="1:17" ht="14">
      <c r="B23" s="11"/>
      <c r="C23" s="12" t="s">
        <v>50</v>
      </c>
      <c r="F23" s="3"/>
    </row>
    <row r="24" spans="1:17" ht="14">
      <c r="B24" s="13" t="s">
        <v>51</v>
      </c>
      <c r="C24" s="13" t="s">
        <v>52</v>
      </c>
      <c r="D24" s="13" t="s">
        <v>374</v>
      </c>
      <c r="E24" s="13" t="s">
        <v>54</v>
      </c>
      <c r="F24" s="13" t="s">
        <v>55</v>
      </c>
    </row>
    <row r="25" spans="1:17">
      <c r="B25" s="5" t="s">
        <v>311</v>
      </c>
      <c r="C25" s="5" t="s">
        <v>50</v>
      </c>
      <c r="D25" s="6" t="s">
        <v>57</v>
      </c>
      <c r="E25" s="6" t="s">
        <v>368</v>
      </c>
      <c r="F25" s="6" t="s">
        <v>369</v>
      </c>
    </row>
    <row r="26" spans="1:17">
      <c r="B26" s="5" t="s">
        <v>286</v>
      </c>
      <c r="C26" s="5" t="s">
        <v>50</v>
      </c>
      <c r="D26" s="6" t="s">
        <v>320</v>
      </c>
      <c r="E26" s="6" t="s">
        <v>370</v>
      </c>
      <c r="F26" s="6" t="s">
        <v>371</v>
      </c>
    </row>
    <row r="27" spans="1:17">
      <c r="B27" s="5" t="s">
        <v>73</v>
      </c>
      <c r="C27" s="5" t="s">
        <v>50</v>
      </c>
      <c r="D27" s="6" t="s">
        <v>121</v>
      </c>
      <c r="E27" s="6" t="s">
        <v>372</v>
      </c>
      <c r="F27" s="6" t="s">
        <v>373</v>
      </c>
    </row>
  </sheetData>
  <mergeCells count="16">
    <mergeCell ref="A8:N8"/>
    <mergeCell ref="A12:N12"/>
    <mergeCell ref="A16:N16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CCA5E-9363-4E17-8625-47C78750895E}">
  <dimension ref="A1:M55"/>
  <sheetViews>
    <sheetView topLeftCell="A14" workbookViewId="0">
      <selection activeCell="E46" sqref="E46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32" t="s">
        <v>378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8</v>
      </c>
      <c r="H3" s="44"/>
      <c r="I3" s="44"/>
      <c r="J3" s="44"/>
      <c r="K3" s="44" t="s">
        <v>240</v>
      </c>
      <c r="L3" s="44" t="s">
        <v>3</v>
      </c>
      <c r="M3" s="28" t="s">
        <v>2</v>
      </c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29"/>
    </row>
    <row r="5" spans="1:13" ht="16">
      <c r="A5" s="30" t="s">
        <v>243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59</v>
      </c>
      <c r="B6" s="7" t="s">
        <v>244</v>
      </c>
      <c r="C6" s="7" t="s">
        <v>245</v>
      </c>
      <c r="D6" s="7" t="s">
        <v>246</v>
      </c>
      <c r="E6" s="7" t="s">
        <v>396</v>
      </c>
      <c r="F6" s="7" t="s">
        <v>65</v>
      </c>
      <c r="G6" s="14" t="s">
        <v>247</v>
      </c>
      <c r="H6" s="15" t="s">
        <v>132</v>
      </c>
      <c r="I6" s="15" t="s">
        <v>66</v>
      </c>
      <c r="J6" s="8"/>
      <c r="K6" s="8" t="str">
        <f>"40,0"</f>
        <v>40,0</v>
      </c>
      <c r="L6" s="8" t="str">
        <f>"50,6160"</f>
        <v>50,6160</v>
      </c>
      <c r="M6" s="7" t="s">
        <v>83</v>
      </c>
    </row>
    <row r="7" spans="1:13">
      <c r="B7" s="5" t="s">
        <v>60</v>
      </c>
    </row>
    <row r="8" spans="1:13" ht="16">
      <c r="A8" s="45" t="s">
        <v>248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59</v>
      </c>
      <c r="B9" s="7" t="s">
        <v>249</v>
      </c>
      <c r="C9" s="7" t="s">
        <v>250</v>
      </c>
      <c r="D9" s="7" t="s">
        <v>251</v>
      </c>
      <c r="E9" s="7" t="s">
        <v>396</v>
      </c>
      <c r="F9" s="7" t="s">
        <v>252</v>
      </c>
      <c r="G9" s="14" t="s">
        <v>253</v>
      </c>
      <c r="H9" s="15" t="s">
        <v>254</v>
      </c>
      <c r="I9" s="15" t="s">
        <v>254</v>
      </c>
      <c r="J9" s="8"/>
      <c r="K9" s="8" t="str">
        <f>"72,5"</f>
        <v>72,5</v>
      </c>
      <c r="L9" s="8" t="str">
        <f>"67,3525"</f>
        <v>67,3525</v>
      </c>
      <c r="M9" s="7" t="s">
        <v>83</v>
      </c>
    </row>
    <row r="10" spans="1:13">
      <c r="B10" s="5" t="s">
        <v>60</v>
      </c>
    </row>
    <row r="11" spans="1:13" ht="16">
      <c r="A11" s="45" t="s">
        <v>255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17" t="s">
        <v>59</v>
      </c>
      <c r="B12" s="16" t="s">
        <v>256</v>
      </c>
      <c r="C12" s="16" t="s">
        <v>257</v>
      </c>
      <c r="D12" s="16" t="s">
        <v>258</v>
      </c>
      <c r="E12" s="16" t="s">
        <v>397</v>
      </c>
      <c r="F12" s="16" t="s">
        <v>65</v>
      </c>
      <c r="G12" s="20" t="s">
        <v>142</v>
      </c>
      <c r="H12" s="25" t="s">
        <v>259</v>
      </c>
      <c r="I12" s="20" t="s">
        <v>259</v>
      </c>
      <c r="J12" s="17"/>
      <c r="K12" s="17" t="str">
        <f>"102,5"</f>
        <v>102,5</v>
      </c>
      <c r="L12" s="17" t="str">
        <f>"79,7963"</f>
        <v>79,7963</v>
      </c>
      <c r="M12" s="16"/>
    </row>
    <row r="13" spans="1:13">
      <c r="A13" s="19" t="s">
        <v>59</v>
      </c>
      <c r="B13" s="18" t="s">
        <v>260</v>
      </c>
      <c r="C13" s="18" t="s">
        <v>261</v>
      </c>
      <c r="D13" s="18" t="s">
        <v>262</v>
      </c>
      <c r="E13" s="18" t="s">
        <v>396</v>
      </c>
      <c r="F13" s="18" t="s">
        <v>263</v>
      </c>
      <c r="G13" s="21" t="s">
        <v>130</v>
      </c>
      <c r="H13" s="21" t="s">
        <v>133</v>
      </c>
      <c r="I13" s="21" t="s">
        <v>264</v>
      </c>
      <c r="J13" s="19"/>
      <c r="K13" s="19" t="str">
        <f>"107,5"</f>
        <v>107,5</v>
      </c>
      <c r="L13" s="19" t="str">
        <f>"87,1933"</f>
        <v>87,1933</v>
      </c>
      <c r="M13" s="18"/>
    </row>
    <row r="14" spans="1:13">
      <c r="B14" s="5" t="s">
        <v>60</v>
      </c>
    </row>
    <row r="15" spans="1:13" ht="16">
      <c r="A15" s="45" t="s">
        <v>72</v>
      </c>
      <c r="B15" s="45"/>
      <c r="C15" s="46"/>
      <c r="D15" s="46"/>
      <c r="E15" s="46"/>
      <c r="F15" s="46"/>
      <c r="G15" s="46"/>
      <c r="H15" s="46"/>
      <c r="I15" s="46"/>
      <c r="J15" s="46"/>
    </row>
    <row r="16" spans="1:13">
      <c r="A16" s="17" t="s">
        <v>59</v>
      </c>
      <c r="B16" s="16" t="s">
        <v>265</v>
      </c>
      <c r="C16" s="16" t="s">
        <v>266</v>
      </c>
      <c r="D16" s="16" t="s">
        <v>267</v>
      </c>
      <c r="E16" s="16" t="s">
        <v>397</v>
      </c>
      <c r="F16" s="16" t="s">
        <v>65</v>
      </c>
      <c r="G16" s="20" t="s">
        <v>130</v>
      </c>
      <c r="H16" s="20" t="s">
        <v>142</v>
      </c>
      <c r="I16" s="20" t="s">
        <v>131</v>
      </c>
      <c r="J16" s="17"/>
      <c r="K16" s="17" t="str">
        <f>"97,5"</f>
        <v>97,5</v>
      </c>
      <c r="L16" s="17" t="str">
        <f>"73,4662"</f>
        <v>73,4662</v>
      </c>
      <c r="M16" s="16" t="s">
        <v>268</v>
      </c>
    </row>
    <row r="17" spans="1:13">
      <c r="A17" s="23" t="s">
        <v>59</v>
      </c>
      <c r="B17" s="22" t="s">
        <v>269</v>
      </c>
      <c r="C17" s="22" t="s">
        <v>270</v>
      </c>
      <c r="D17" s="22" t="s">
        <v>271</v>
      </c>
      <c r="E17" s="22" t="s">
        <v>399</v>
      </c>
      <c r="F17" s="22" t="s">
        <v>65</v>
      </c>
      <c r="G17" s="24" t="s">
        <v>129</v>
      </c>
      <c r="H17" s="24" t="s">
        <v>272</v>
      </c>
      <c r="I17" s="27" t="s">
        <v>133</v>
      </c>
      <c r="J17" s="23"/>
      <c r="K17" s="23" t="str">
        <f>"92,5"</f>
        <v>92,5</v>
      </c>
      <c r="L17" s="23" t="str">
        <f>"66,6648"</f>
        <v>66,6648</v>
      </c>
      <c r="M17" s="22" t="s">
        <v>273</v>
      </c>
    </row>
    <row r="18" spans="1:13">
      <c r="A18" s="23" t="s">
        <v>59</v>
      </c>
      <c r="B18" s="22" t="s">
        <v>73</v>
      </c>
      <c r="C18" s="22" t="s">
        <v>74</v>
      </c>
      <c r="D18" s="22" t="s">
        <v>75</v>
      </c>
      <c r="E18" s="22" t="s">
        <v>396</v>
      </c>
      <c r="F18" s="22" t="s">
        <v>65</v>
      </c>
      <c r="G18" s="24" t="s">
        <v>77</v>
      </c>
      <c r="H18" s="24" t="s">
        <v>78</v>
      </c>
      <c r="I18" s="27" t="s">
        <v>79</v>
      </c>
      <c r="J18" s="23"/>
      <c r="K18" s="23" t="str">
        <f>"120,0"</f>
        <v>120,0</v>
      </c>
      <c r="L18" s="23" t="str">
        <f>"85,7520"</f>
        <v>85,7520</v>
      </c>
      <c r="M18" s="22" t="s">
        <v>83</v>
      </c>
    </row>
    <row r="19" spans="1:13">
      <c r="A19" s="19" t="s">
        <v>176</v>
      </c>
      <c r="B19" s="18" t="s">
        <v>274</v>
      </c>
      <c r="C19" s="18" t="s">
        <v>275</v>
      </c>
      <c r="D19" s="18" t="s">
        <v>276</v>
      </c>
      <c r="E19" s="18" t="s">
        <v>396</v>
      </c>
      <c r="F19" s="18" t="s">
        <v>65</v>
      </c>
      <c r="G19" s="21" t="s">
        <v>142</v>
      </c>
      <c r="H19" s="21" t="s">
        <v>264</v>
      </c>
      <c r="I19" s="21" t="s">
        <v>277</v>
      </c>
      <c r="J19" s="19"/>
      <c r="K19" s="19" t="str">
        <f>"112,5"</f>
        <v>112,5</v>
      </c>
      <c r="L19" s="19" t="str">
        <f>"84,1275"</f>
        <v>84,1275</v>
      </c>
      <c r="M19" s="18"/>
    </row>
    <row r="20" spans="1:13">
      <c r="B20" s="5" t="s">
        <v>60</v>
      </c>
    </row>
    <row r="21" spans="1:13" ht="16">
      <c r="A21" s="45" t="s">
        <v>248</v>
      </c>
      <c r="B21" s="45"/>
      <c r="C21" s="46"/>
      <c r="D21" s="46"/>
      <c r="E21" s="46"/>
      <c r="F21" s="46"/>
      <c r="G21" s="46"/>
      <c r="H21" s="46"/>
      <c r="I21" s="46"/>
      <c r="J21" s="46"/>
    </row>
    <row r="22" spans="1:13">
      <c r="A22" s="17" t="s">
        <v>59</v>
      </c>
      <c r="B22" s="16" t="s">
        <v>278</v>
      </c>
      <c r="C22" s="16" t="s">
        <v>279</v>
      </c>
      <c r="D22" s="16" t="s">
        <v>280</v>
      </c>
      <c r="E22" s="16" t="s">
        <v>395</v>
      </c>
      <c r="F22" s="16" t="s">
        <v>65</v>
      </c>
      <c r="G22" s="25" t="s">
        <v>196</v>
      </c>
      <c r="H22" s="20" t="s">
        <v>196</v>
      </c>
      <c r="I22" s="25" t="s">
        <v>103</v>
      </c>
      <c r="J22" s="17"/>
      <c r="K22" s="17" t="str">
        <f>"130,0"</f>
        <v>130,0</v>
      </c>
      <c r="L22" s="17" t="str">
        <f>"88,0620"</f>
        <v>88,0620</v>
      </c>
      <c r="M22" s="16" t="s">
        <v>281</v>
      </c>
    </row>
    <row r="23" spans="1:13">
      <c r="A23" s="23" t="s">
        <v>59</v>
      </c>
      <c r="B23" s="22" t="s">
        <v>282</v>
      </c>
      <c r="C23" s="22" t="s">
        <v>283</v>
      </c>
      <c r="D23" s="22" t="s">
        <v>284</v>
      </c>
      <c r="E23" s="22" t="s">
        <v>397</v>
      </c>
      <c r="F23" s="22" t="s">
        <v>388</v>
      </c>
      <c r="G23" s="24" t="s">
        <v>79</v>
      </c>
      <c r="H23" s="24" t="s">
        <v>285</v>
      </c>
      <c r="I23" s="24" t="s">
        <v>103</v>
      </c>
      <c r="J23" s="23"/>
      <c r="K23" s="23" t="str">
        <f>"135,0"</f>
        <v>135,0</v>
      </c>
      <c r="L23" s="23" t="str">
        <f>"91,8810"</f>
        <v>91,8810</v>
      </c>
      <c r="M23" s="22"/>
    </row>
    <row r="24" spans="1:13">
      <c r="A24" s="23" t="s">
        <v>59</v>
      </c>
      <c r="B24" s="22" t="s">
        <v>286</v>
      </c>
      <c r="C24" s="22" t="s">
        <v>287</v>
      </c>
      <c r="D24" s="22" t="s">
        <v>288</v>
      </c>
      <c r="E24" s="22" t="s">
        <v>396</v>
      </c>
      <c r="F24" s="22" t="s">
        <v>65</v>
      </c>
      <c r="G24" s="24" t="s">
        <v>143</v>
      </c>
      <c r="H24" s="24" t="s">
        <v>139</v>
      </c>
      <c r="I24" s="27" t="s">
        <v>90</v>
      </c>
      <c r="J24" s="23"/>
      <c r="K24" s="23" t="str">
        <f>"155,0"</f>
        <v>155,0</v>
      </c>
      <c r="L24" s="23" t="str">
        <f>"105,4000"</f>
        <v>105,4000</v>
      </c>
      <c r="M24" s="22"/>
    </row>
    <row r="25" spans="1:13">
      <c r="A25" s="23" t="s">
        <v>176</v>
      </c>
      <c r="B25" s="22" t="s">
        <v>282</v>
      </c>
      <c r="C25" s="22" t="s">
        <v>289</v>
      </c>
      <c r="D25" s="22" t="s">
        <v>284</v>
      </c>
      <c r="E25" s="22" t="s">
        <v>396</v>
      </c>
      <c r="F25" s="22" t="s">
        <v>388</v>
      </c>
      <c r="G25" s="24" t="s">
        <v>79</v>
      </c>
      <c r="H25" s="24" t="s">
        <v>285</v>
      </c>
      <c r="I25" s="24" t="s">
        <v>103</v>
      </c>
      <c r="J25" s="23"/>
      <c r="K25" s="23" t="str">
        <f>"135,0"</f>
        <v>135,0</v>
      </c>
      <c r="L25" s="23" t="str">
        <f>"91,8810"</f>
        <v>91,8810</v>
      </c>
      <c r="M25" s="22"/>
    </row>
    <row r="26" spans="1:13">
      <c r="A26" s="19" t="s">
        <v>241</v>
      </c>
      <c r="B26" s="18" t="s">
        <v>290</v>
      </c>
      <c r="C26" s="18" t="s">
        <v>291</v>
      </c>
      <c r="D26" s="18" t="s">
        <v>292</v>
      </c>
      <c r="E26" s="18" t="s">
        <v>396</v>
      </c>
      <c r="F26" s="18" t="s">
        <v>65</v>
      </c>
      <c r="G26" s="21" t="s">
        <v>196</v>
      </c>
      <c r="H26" s="26" t="s">
        <v>114</v>
      </c>
      <c r="I26" s="26" t="s">
        <v>114</v>
      </c>
      <c r="J26" s="19"/>
      <c r="K26" s="19" t="str">
        <f>"130,0"</f>
        <v>130,0</v>
      </c>
      <c r="L26" s="19" t="str">
        <f>"87,8020"</f>
        <v>87,8020</v>
      </c>
      <c r="M26" s="18"/>
    </row>
    <row r="27" spans="1:13">
      <c r="B27" s="5" t="s">
        <v>60</v>
      </c>
    </row>
    <row r="28" spans="1:13" ht="16">
      <c r="A28" s="45" t="s">
        <v>10</v>
      </c>
      <c r="B28" s="45"/>
      <c r="C28" s="46"/>
      <c r="D28" s="46"/>
      <c r="E28" s="46"/>
      <c r="F28" s="46"/>
      <c r="G28" s="46"/>
      <c r="H28" s="46"/>
      <c r="I28" s="46"/>
      <c r="J28" s="46"/>
    </row>
    <row r="29" spans="1:13">
      <c r="A29" s="17" t="s">
        <v>59</v>
      </c>
      <c r="B29" s="16" t="s">
        <v>293</v>
      </c>
      <c r="C29" s="16" t="s">
        <v>294</v>
      </c>
      <c r="D29" s="16" t="s">
        <v>295</v>
      </c>
      <c r="E29" s="16" t="s">
        <v>399</v>
      </c>
      <c r="F29" s="16" t="s">
        <v>65</v>
      </c>
      <c r="G29" s="20" t="s">
        <v>139</v>
      </c>
      <c r="H29" s="20" t="s">
        <v>90</v>
      </c>
      <c r="I29" s="20" t="s">
        <v>91</v>
      </c>
      <c r="J29" s="17"/>
      <c r="K29" s="17" t="str">
        <f>"167,5"</f>
        <v>167,5</v>
      </c>
      <c r="L29" s="17" t="str">
        <f>"109,5450"</f>
        <v>109,5450</v>
      </c>
      <c r="M29" s="16"/>
    </row>
    <row r="30" spans="1:13">
      <c r="A30" s="23" t="s">
        <v>59</v>
      </c>
      <c r="B30" s="22" t="s">
        <v>145</v>
      </c>
      <c r="C30" s="22" t="s">
        <v>146</v>
      </c>
      <c r="D30" s="22" t="s">
        <v>13</v>
      </c>
      <c r="E30" s="22" t="s">
        <v>396</v>
      </c>
      <c r="F30" s="22" t="s">
        <v>147</v>
      </c>
      <c r="G30" s="24" t="s">
        <v>43</v>
      </c>
      <c r="H30" s="24" t="s">
        <v>82</v>
      </c>
      <c r="I30" s="23"/>
      <c r="J30" s="23"/>
      <c r="K30" s="23" t="str">
        <f>"190,0"</f>
        <v>190,0</v>
      </c>
      <c r="L30" s="23" t="str">
        <f>"121,9230"</f>
        <v>121,9230</v>
      </c>
      <c r="M30" s="22"/>
    </row>
    <row r="31" spans="1:13">
      <c r="A31" s="23" t="s">
        <v>176</v>
      </c>
      <c r="B31" s="22" t="s">
        <v>296</v>
      </c>
      <c r="C31" s="22" t="s">
        <v>297</v>
      </c>
      <c r="D31" s="22" t="s">
        <v>298</v>
      </c>
      <c r="E31" s="22" t="s">
        <v>396</v>
      </c>
      <c r="F31" s="22" t="s">
        <v>65</v>
      </c>
      <c r="G31" s="24" t="s">
        <v>76</v>
      </c>
      <c r="H31" s="24" t="s">
        <v>155</v>
      </c>
      <c r="I31" s="27" t="s">
        <v>80</v>
      </c>
      <c r="J31" s="23"/>
      <c r="K31" s="23" t="str">
        <f>"170,0"</f>
        <v>170,0</v>
      </c>
      <c r="L31" s="23" t="str">
        <f>"108,5280"</f>
        <v>108,5280</v>
      </c>
      <c r="M31" s="22"/>
    </row>
    <row r="32" spans="1:13">
      <c r="A32" s="19" t="s">
        <v>241</v>
      </c>
      <c r="B32" s="18" t="s">
        <v>299</v>
      </c>
      <c r="C32" s="18" t="s">
        <v>300</v>
      </c>
      <c r="D32" s="18" t="s">
        <v>301</v>
      </c>
      <c r="E32" s="18" t="s">
        <v>396</v>
      </c>
      <c r="F32" s="18" t="s">
        <v>65</v>
      </c>
      <c r="G32" s="21" t="s">
        <v>113</v>
      </c>
      <c r="H32" s="21" t="s">
        <v>114</v>
      </c>
      <c r="I32" s="26" t="s">
        <v>89</v>
      </c>
      <c r="J32" s="19"/>
      <c r="K32" s="19" t="str">
        <f>"145,0"</f>
        <v>145,0</v>
      </c>
      <c r="L32" s="19" t="str">
        <f>"95,5260"</f>
        <v>95,5260</v>
      </c>
      <c r="M32" s="18"/>
    </row>
    <row r="33" spans="1:13">
      <c r="B33" s="5" t="s">
        <v>60</v>
      </c>
    </row>
    <row r="34" spans="1:13" ht="16">
      <c r="A34" s="45" t="s">
        <v>93</v>
      </c>
      <c r="B34" s="45"/>
      <c r="C34" s="46"/>
      <c r="D34" s="46"/>
      <c r="E34" s="46"/>
      <c r="F34" s="46"/>
      <c r="G34" s="46"/>
      <c r="H34" s="46"/>
      <c r="I34" s="46"/>
      <c r="J34" s="46"/>
    </row>
    <row r="35" spans="1:13">
      <c r="A35" s="17" t="s">
        <v>59</v>
      </c>
      <c r="B35" s="16" t="s">
        <v>302</v>
      </c>
      <c r="C35" s="16" t="s">
        <v>303</v>
      </c>
      <c r="D35" s="16" t="s">
        <v>304</v>
      </c>
      <c r="E35" s="16" t="s">
        <v>396</v>
      </c>
      <c r="F35" s="16" t="s">
        <v>386</v>
      </c>
      <c r="G35" s="20" t="s">
        <v>90</v>
      </c>
      <c r="H35" s="20" t="s">
        <v>76</v>
      </c>
      <c r="I35" s="20" t="s">
        <v>91</v>
      </c>
      <c r="J35" s="17"/>
      <c r="K35" s="17" t="str">
        <f>"167,5"</f>
        <v>167,5</v>
      </c>
      <c r="L35" s="17" t="str">
        <f>"103,6992"</f>
        <v>103,6992</v>
      </c>
      <c r="M35" s="16"/>
    </row>
    <row r="36" spans="1:13">
      <c r="A36" s="19" t="s">
        <v>176</v>
      </c>
      <c r="B36" s="18" t="s">
        <v>305</v>
      </c>
      <c r="C36" s="18" t="s">
        <v>306</v>
      </c>
      <c r="D36" s="18" t="s">
        <v>307</v>
      </c>
      <c r="E36" s="18" t="s">
        <v>396</v>
      </c>
      <c r="F36" s="18" t="s">
        <v>65</v>
      </c>
      <c r="G36" s="21" t="s">
        <v>143</v>
      </c>
      <c r="H36" s="26" t="s">
        <v>140</v>
      </c>
      <c r="I36" s="26" t="s">
        <v>140</v>
      </c>
      <c r="J36" s="19"/>
      <c r="K36" s="19" t="str">
        <f>"150,0"</f>
        <v>150,0</v>
      </c>
      <c r="L36" s="19" t="str">
        <f>"92,1600"</f>
        <v>92,1600</v>
      </c>
      <c r="M36" s="18"/>
    </row>
    <row r="37" spans="1:13">
      <c r="B37" s="5" t="s">
        <v>60</v>
      </c>
    </row>
    <row r="38" spans="1:13" ht="16">
      <c r="A38" s="45" t="s">
        <v>25</v>
      </c>
      <c r="B38" s="45"/>
      <c r="C38" s="46"/>
      <c r="D38" s="46"/>
      <c r="E38" s="46"/>
      <c r="F38" s="46"/>
      <c r="G38" s="46"/>
      <c r="H38" s="46"/>
      <c r="I38" s="46"/>
      <c r="J38" s="46"/>
    </row>
    <row r="39" spans="1:13">
      <c r="A39" s="17" t="s">
        <v>59</v>
      </c>
      <c r="B39" s="16" t="s">
        <v>308</v>
      </c>
      <c r="C39" s="16" t="s">
        <v>309</v>
      </c>
      <c r="D39" s="16" t="s">
        <v>310</v>
      </c>
      <c r="E39" s="16" t="s">
        <v>399</v>
      </c>
      <c r="F39" s="16" t="s">
        <v>387</v>
      </c>
      <c r="G39" s="20" t="s">
        <v>76</v>
      </c>
      <c r="H39" s="20" t="s">
        <v>155</v>
      </c>
      <c r="I39" s="20" t="s">
        <v>80</v>
      </c>
      <c r="J39" s="17"/>
      <c r="K39" s="17" t="str">
        <f>"175,0"</f>
        <v>175,0</v>
      </c>
      <c r="L39" s="17" t="str">
        <f>"103,5825"</f>
        <v>103,5825</v>
      </c>
      <c r="M39" s="16"/>
    </row>
    <row r="40" spans="1:13">
      <c r="A40" s="23" t="s">
        <v>59</v>
      </c>
      <c r="B40" s="22" t="s">
        <v>311</v>
      </c>
      <c r="C40" s="22" t="s">
        <v>312</v>
      </c>
      <c r="D40" s="22" t="s">
        <v>313</v>
      </c>
      <c r="E40" s="22" t="s">
        <v>396</v>
      </c>
      <c r="F40" s="22" t="s">
        <v>181</v>
      </c>
      <c r="G40" s="24" t="s">
        <v>155</v>
      </c>
      <c r="H40" s="24" t="s">
        <v>43</v>
      </c>
      <c r="I40" s="27" t="s">
        <v>44</v>
      </c>
      <c r="J40" s="23"/>
      <c r="K40" s="23" t="str">
        <f>"180,0"</f>
        <v>180,0</v>
      </c>
      <c r="L40" s="23" t="str">
        <f>"105,9840"</f>
        <v>105,9840</v>
      </c>
      <c r="M40" s="22" t="s">
        <v>315</v>
      </c>
    </row>
    <row r="41" spans="1:13">
      <c r="A41" s="23" t="s">
        <v>176</v>
      </c>
      <c r="B41" s="22" t="s">
        <v>308</v>
      </c>
      <c r="C41" s="22" t="s">
        <v>316</v>
      </c>
      <c r="D41" s="22" t="s">
        <v>310</v>
      </c>
      <c r="E41" s="22" t="s">
        <v>396</v>
      </c>
      <c r="F41" s="22" t="s">
        <v>387</v>
      </c>
      <c r="G41" s="24" t="s">
        <v>76</v>
      </c>
      <c r="H41" s="24" t="s">
        <v>155</v>
      </c>
      <c r="I41" s="24" t="s">
        <v>80</v>
      </c>
      <c r="J41" s="23"/>
      <c r="K41" s="23" t="str">
        <f>"175,0"</f>
        <v>175,0</v>
      </c>
      <c r="L41" s="23" t="str">
        <f>"103,5825"</f>
        <v>103,5825</v>
      </c>
      <c r="M41" s="22"/>
    </row>
    <row r="42" spans="1:13">
      <c r="A42" s="19" t="s">
        <v>59</v>
      </c>
      <c r="B42" s="18" t="s">
        <v>99</v>
      </c>
      <c r="C42" s="18" t="s">
        <v>100</v>
      </c>
      <c r="D42" s="18" t="s">
        <v>101</v>
      </c>
      <c r="E42" s="18" t="s">
        <v>398</v>
      </c>
      <c r="F42" s="18" t="s">
        <v>102</v>
      </c>
      <c r="G42" s="26" t="s">
        <v>103</v>
      </c>
      <c r="H42" s="21" t="s">
        <v>103</v>
      </c>
      <c r="I42" s="26" t="s">
        <v>104</v>
      </c>
      <c r="J42" s="19"/>
      <c r="K42" s="19" t="str">
        <f>"135,0"</f>
        <v>135,0</v>
      </c>
      <c r="L42" s="19" t="str">
        <f>"79,8390"</f>
        <v>79,8390</v>
      </c>
      <c r="M42" s="18" t="s">
        <v>47</v>
      </c>
    </row>
    <row r="43" spans="1:13">
      <c r="B43" s="5" t="s">
        <v>60</v>
      </c>
    </row>
    <row r="44" spans="1:13" ht="16">
      <c r="A44" s="45" t="s">
        <v>35</v>
      </c>
      <c r="B44" s="45"/>
      <c r="C44" s="46"/>
      <c r="D44" s="46"/>
      <c r="E44" s="46"/>
      <c r="F44" s="46"/>
      <c r="G44" s="46"/>
      <c r="H44" s="46"/>
      <c r="I44" s="46"/>
      <c r="J44" s="46"/>
    </row>
    <row r="45" spans="1:13">
      <c r="A45" s="8" t="s">
        <v>59</v>
      </c>
      <c r="B45" s="7" t="s">
        <v>317</v>
      </c>
      <c r="C45" s="7" t="s">
        <v>318</v>
      </c>
      <c r="D45" s="7" t="s">
        <v>319</v>
      </c>
      <c r="E45" s="7" t="s">
        <v>396</v>
      </c>
      <c r="F45" s="7" t="s">
        <v>65</v>
      </c>
      <c r="G45" s="14" t="s">
        <v>227</v>
      </c>
      <c r="H45" s="15" t="s">
        <v>228</v>
      </c>
      <c r="I45" s="15" t="s">
        <v>228</v>
      </c>
      <c r="J45" s="8"/>
      <c r="K45" s="8" t="str">
        <f>"192,5"</f>
        <v>192,5</v>
      </c>
      <c r="L45" s="8" t="str">
        <f>"112,0928"</f>
        <v>112,0928</v>
      </c>
      <c r="M45" s="7"/>
    </row>
    <row r="46" spans="1:13">
      <c r="B46" s="5" t="s">
        <v>60</v>
      </c>
    </row>
    <row r="47" spans="1:13">
      <c r="B47" s="5" t="s">
        <v>60</v>
      </c>
    </row>
    <row r="48" spans="1:13">
      <c r="B48" s="5" t="s">
        <v>60</v>
      </c>
    </row>
    <row r="49" spans="2:6" ht="18">
      <c r="B49" s="9" t="s">
        <v>48</v>
      </c>
      <c r="C49" s="9"/>
      <c r="F49" s="3"/>
    </row>
    <row r="50" spans="2:6" ht="16">
      <c r="B50" s="10" t="s">
        <v>49</v>
      </c>
      <c r="C50" s="10"/>
      <c r="F50" s="3"/>
    </row>
    <row r="51" spans="2:6" ht="14">
      <c r="B51" s="11"/>
      <c r="C51" s="12" t="s">
        <v>50</v>
      </c>
      <c r="F51" s="3"/>
    </row>
    <row r="52" spans="2:6" ht="14">
      <c r="B52" s="13" t="s">
        <v>51</v>
      </c>
      <c r="C52" s="13" t="s">
        <v>52</v>
      </c>
      <c r="D52" s="13" t="s">
        <v>374</v>
      </c>
      <c r="E52" s="13" t="s">
        <v>236</v>
      </c>
      <c r="F52" s="13" t="s">
        <v>55</v>
      </c>
    </row>
    <row r="53" spans="2:6">
      <c r="B53" s="5" t="s">
        <v>145</v>
      </c>
      <c r="C53" s="5" t="s">
        <v>50</v>
      </c>
      <c r="D53" s="6" t="s">
        <v>56</v>
      </c>
      <c r="E53" s="6" t="s">
        <v>82</v>
      </c>
      <c r="F53" s="6" t="s">
        <v>321</v>
      </c>
    </row>
    <row r="54" spans="2:6">
      <c r="B54" s="5" t="s">
        <v>317</v>
      </c>
      <c r="C54" s="5" t="s">
        <v>50</v>
      </c>
      <c r="D54" s="6" t="s">
        <v>58</v>
      </c>
      <c r="E54" s="6" t="s">
        <v>227</v>
      </c>
      <c r="F54" s="6" t="s">
        <v>322</v>
      </c>
    </row>
    <row r="55" spans="2:6">
      <c r="B55" s="5" t="s">
        <v>296</v>
      </c>
      <c r="C55" s="5" t="s">
        <v>50</v>
      </c>
      <c r="D55" s="6" t="s">
        <v>56</v>
      </c>
      <c r="E55" s="6" t="s">
        <v>155</v>
      </c>
      <c r="F55" s="6" t="s">
        <v>323</v>
      </c>
    </row>
  </sheetData>
  <mergeCells count="20">
    <mergeCell ref="A38:J38"/>
    <mergeCell ref="A44:J44"/>
    <mergeCell ref="B3:B4"/>
    <mergeCell ref="A8:J8"/>
    <mergeCell ref="A11:J11"/>
    <mergeCell ref="A15:J15"/>
    <mergeCell ref="A21:J21"/>
    <mergeCell ref="A28:J28"/>
    <mergeCell ref="A34:J3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CDE7-2198-402D-A4D7-6B076698BF01}">
  <dimension ref="A1:M41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9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1640625" style="5" customWidth="1"/>
    <col min="14" max="16384" width="9.1640625" style="3"/>
  </cols>
  <sheetData>
    <row r="1" spans="1:13" s="2" customFormat="1" ht="29" customHeight="1">
      <c r="A1" s="32" t="s">
        <v>379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8</v>
      </c>
      <c r="H3" s="44"/>
      <c r="I3" s="44"/>
      <c r="J3" s="44"/>
      <c r="K3" s="44" t="s">
        <v>240</v>
      </c>
      <c r="L3" s="44" t="s">
        <v>3</v>
      </c>
      <c r="M3" s="28" t="s">
        <v>2</v>
      </c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29"/>
    </row>
    <row r="5" spans="1:13" ht="16">
      <c r="A5" s="30" t="s">
        <v>177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59</v>
      </c>
      <c r="B6" s="7" t="s">
        <v>178</v>
      </c>
      <c r="C6" s="7" t="s">
        <v>179</v>
      </c>
      <c r="D6" s="7" t="s">
        <v>180</v>
      </c>
      <c r="E6" s="7" t="s">
        <v>396</v>
      </c>
      <c r="F6" s="7" t="s">
        <v>181</v>
      </c>
      <c r="G6" s="14" t="s">
        <v>67</v>
      </c>
      <c r="H6" s="15" t="s">
        <v>69</v>
      </c>
      <c r="I6" s="15" t="s">
        <v>69</v>
      </c>
      <c r="J6" s="8"/>
      <c r="K6" s="8" t="str">
        <f>"55,0"</f>
        <v>55,0</v>
      </c>
      <c r="L6" s="8" t="str">
        <f>"66,3905"</f>
        <v>66,3905</v>
      </c>
      <c r="M6" s="7"/>
    </row>
    <row r="7" spans="1:13">
      <c r="B7" s="5" t="s">
        <v>60</v>
      </c>
    </row>
    <row r="8" spans="1:13" ht="16">
      <c r="A8" s="45" t="s">
        <v>10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17" t="s">
        <v>59</v>
      </c>
      <c r="B9" s="16" t="s">
        <v>182</v>
      </c>
      <c r="C9" s="16" t="s">
        <v>183</v>
      </c>
      <c r="D9" s="16" t="s">
        <v>184</v>
      </c>
      <c r="E9" s="16" t="s">
        <v>396</v>
      </c>
      <c r="F9" s="16" t="s">
        <v>185</v>
      </c>
      <c r="G9" s="20" t="s">
        <v>155</v>
      </c>
      <c r="H9" s="20" t="s">
        <v>43</v>
      </c>
      <c r="I9" s="20" t="s">
        <v>44</v>
      </c>
      <c r="J9" s="17"/>
      <c r="K9" s="17" t="str">
        <f>"185,0"</f>
        <v>185,0</v>
      </c>
      <c r="L9" s="17" t="str">
        <f>"118,4370"</f>
        <v>118,4370</v>
      </c>
      <c r="M9" s="16" t="s">
        <v>186</v>
      </c>
    </row>
    <row r="10" spans="1:13">
      <c r="A10" s="23" t="s">
        <v>176</v>
      </c>
      <c r="B10" s="22" t="s">
        <v>187</v>
      </c>
      <c r="C10" s="22" t="s">
        <v>188</v>
      </c>
      <c r="D10" s="22" t="s">
        <v>184</v>
      </c>
      <c r="E10" s="22" t="s">
        <v>396</v>
      </c>
      <c r="F10" s="22" t="s">
        <v>65</v>
      </c>
      <c r="G10" s="24" t="s">
        <v>80</v>
      </c>
      <c r="H10" s="24" t="s">
        <v>81</v>
      </c>
      <c r="I10" s="27" t="s">
        <v>82</v>
      </c>
      <c r="J10" s="23"/>
      <c r="K10" s="23" t="str">
        <f>"182,5"</f>
        <v>182,5</v>
      </c>
      <c r="L10" s="23" t="str">
        <f>"116,8365"</f>
        <v>116,8365</v>
      </c>
      <c r="M10" s="22"/>
    </row>
    <row r="11" spans="1:13">
      <c r="A11" s="23" t="s">
        <v>241</v>
      </c>
      <c r="B11" s="22" t="s">
        <v>189</v>
      </c>
      <c r="C11" s="22" t="s">
        <v>190</v>
      </c>
      <c r="D11" s="22" t="s">
        <v>191</v>
      </c>
      <c r="E11" s="22" t="s">
        <v>396</v>
      </c>
      <c r="F11" s="22" t="s">
        <v>209</v>
      </c>
      <c r="G11" s="27" t="s">
        <v>155</v>
      </c>
      <c r="H11" s="24" t="s">
        <v>155</v>
      </c>
      <c r="I11" s="24" t="s">
        <v>43</v>
      </c>
      <c r="J11" s="23"/>
      <c r="K11" s="23" t="str">
        <f>"180,0"</f>
        <v>180,0</v>
      </c>
      <c r="L11" s="23" t="str">
        <f>"117,0540"</f>
        <v>117,0540</v>
      </c>
      <c r="M11" s="22" t="s">
        <v>192</v>
      </c>
    </row>
    <row r="12" spans="1:13">
      <c r="A12" s="19" t="s">
        <v>242</v>
      </c>
      <c r="B12" s="18" t="s">
        <v>193</v>
      </c>
      <c r="C12" s="18" t="s">
        <v>194</v>
      </c>
      <c r="D12" s="18" t="s">
        <v>195</v>
      </c>
      <c r="E12" s="18" t="s">
        <v>396</v>
      </c>
      <c r="F12" s="18" t="s">
        <v>65</v>
      </c>
      <c r="G12" s="21" t="s">
        <v>77</v>
      </c>
      <c r="H12" s="21" t="s">
        <v>166</v>
      </c>
      <c r="I12" s="21" t="s">
        <v>196</v>
      </c>
      <c r="J12" s="19"/>
      <c r="K12" s="19" t="str">
        <f>"130,0"</f>
        <v>130,0</v>
      </c>
      <c r="L12" s="19" t="str">
        <f>"85,5790"</f>
        <v>85,5790</v>
      </c>
      <c r="M12" s="18"/>
    </row>
    <row r="13" spans="1:13">
      <c r="B13" s="5" t="s">
        <v>60</v>
      </c>
    </row>
    <row r="14" spans="1:13" ht="16">
      <c r="A14" s="45" t="s">
        <v>93</v>
      </c>
      <c r="B14" s="45"/>
      <c r="C14" s="46"/>
      <c r="D14" s="46"/>
      <c r="E14" s="46"/>
      <c r="F14" s="46"/>
      <c r="G14" s="46"/>
      <c r="H14" s="46"/>
      <c r="I14" s="46"/>
      <c r="J14" s="46"/>
    </row>
    <row r="15" spans="1:13">
      <c r="A15" s="17" t="s">
        <v>59</v>
      </c>
      <c r="B15" s="16" t="s">
        <v>197</v>
      </c>
      <c r="C15" s="16" t="s">
        <v>198</v>
      </c>
      <c r="D15" s="16" t="s">
        <v>199</v>
      </c>
      <c r="E15" s="16" t="s">
        <v>396</v>
      </c>
      <c r="F15" s="16" t="s">
        <v>181</v>
      </c>
      <c r="G15" s="25" t="s">
        <v>44</v>
      </c>
      <c r="H15" s="20" t="s">
        <v>44</v>
      </c>
      <c r="I15" s="25" t="s">
        <v>82</v>
      </c>
      <c r="J15" s="17"/>
      <c r="K15" s="17" t="str">
        <f>"185,0"</f>
        <v>185,0</v>
      </c>
      <c r="L15" s="17" t="str">
        <f>"112,9610"</f>
        <v>112,9610</v>
      </c>
      <c r="M15" s="16"/>
    </row>
    <row r="16" spans="1:13">
      <c r="A16" s="19" t="s">
        <v>176</v>
      </c>
      <c r="B16" s="18" t="s">
        <v>200</v>
      </c>
      <c r="C16" s="18" t="s">
        <v>201</v>
      </c>
      <c r="D16" s="18" t="s">
        <v>202</v>
      </c>
      <c r="E16" s="18" t="s">
        <v>396</v>
      </c>
      <c r="F16" s="18" t="s">
        <v>65</v>
      </c>
      <c r="G16" s="21" t="s">
        <v>143</v>
      </c>
      <c r="H16" s="21" t="s">
        <v>90</v>
      </c>
      <c r="I16" s="21" t="s">
        <v>155</v>
      </c>
      <c r="J16" s="19"/>
      <c r="K16" s="19" t="str">
        <f>"170,0"</f>
        <v>170,0</v>
      </c>
      <c r="L16" s="19" t="str">
        <f>"105,8930"</f>
        <v>105,8930</v>
      </c>
      <c r="M16" s="18"/>
    </row>
    <row r="17" spans="1:13">
      <c r="B17" s="5" t="s">
        <v>60</v>
      </c>
    </row>
    <row r="18" spans="1:13" ht="16">
      <c r="A18" s="45" t="s">
        <v>25</v>
      </c>
      <c r="B18" s="45"/>
      <c r="C18" s="46"/>
      <c r="D18" s="46"/>
      <c r="E18" s="46"/>
      <c r="F18" s="46"/>
      <c r="G18" s="46"/>
      <c r="H18" s="46"/>
      <c r="I18" s="46"/>
      <c r="J18" s="46"/>
    </row>
    <row r="19" spans="1:13">
      <c r="A19" s="17" t="s">
        <v>59</v>
      </c>
      <c r="B19" s="16" t="s">
        <v>203</v>
      </c>
      <c r="C19" s="16" t="s">
        <v>204</v>
      </c>
      <c r="D19" s="16" t="s">
        <v>205</v>
      </c>
      <c r="E19" s="16" t="s">
        <v>396</v>
      </c>
      <c r="F19" s="16" t="s">
        <v>389</v>
      </c>
      <c r="G19" s="20" t="s">
        <v>31</v>
      </c>
      <c r="H19" s="20" t="s">
        <v>32</v>
      </c>
      <c r="I19" s="25" t="s">
        <v>33</v>
      </c>
      <c r="J19" s="17"/>
      <c r="K19" s="17" t="str">
        <f>"240,0"</f>
        <v>240,0</v>
      </c>
      <c r="L19" s="17" t="str">
        <f>"142,7040"</f>
        <v>142,7040</v>
      </c>
      <c r="M19" s="16"/>
    </row>
    <row r="20" spans="1:13">
      <c r="A20" s="23" t="s">
        <v>176</v>
      </c>
      <c r="B20" s="22" t="s">
        <v>206</v>
      </c>
      <c r="C20" s="22" t="s">
        <v>207</v>
      </c>
      <c r="D20" s="22" t="s">
        <v>208</v>
      </c>
      <c r="E20" s="22" t="s">
        <v>396</v>
      </c>
      <c r="F20" s="22" t="s">
        <v>209</v>
      </c>
      <c r="G20" s="24" t="s">
        <v>154</v>
      </c>
      <c r="H20" s="24" t="s">
        <v>31</v>
      </c>
      <c r="I20" s="27" t="s">
        <v>32</v>
      </c>
      <c r="J20" s="23"/>
      <c r="K20" s="23" t="str">
        <f>"230,0"</f>
        <v>230,0</v>
      </c>
      <c r="L20" s="23" t="str">
        <f>"138,5520"</f>
        <v>138,5520</v>
      </c>
      <c r="M20" s="22"/>
    </row>
    <row r="21" spans="1:13">
      <c r="A21" s="23" t="s">
        <v>241</v>
      </c>
      <c r="B21" s="22" t="s">
        <v>210</v>
      </c>
      <c r="C21" s="22" t="s">
        <v>211</v>
      </c>
      <c r="D21" s="22" t="s">
        <v>212</v>
      </c>
      <c r="E21" s="22" t="s">
        <v>396</v>
      </c>
      <c r="F21" s="22" t="s">
        <v>213</v>
      </c>
      <c r="G21" s="24" t="s">
        <v>17</v>
      </c>
      <c r="H21" s="24" t="s">
        <v>214</v>
      </c>
      <c r="I21" s="27" t="s">
        <v>18</v>
      </c>
      <c r="J21" s="23"/>
      <c r="K21" s="23" t="str">
        <f>"202,5"</f>
        <v>202,5</v>
      </c>
      <c r="L21" s="23" t="str">
        <f>"120,4875"</f>
        <v>120,4875</v>
      </c>
      <c r="M21" s="22" t="s">
        <v>215</v>
      </c>
    </row>
    <row r="22" spans="1:13">
      <c r="A22" s="19" t="s">
        <v>242</v>
      </c>
      <c r="B22" s="18" t="s">
        <v>216</v>
      </c>
      <c r="C22" s="18" t="s">
        <v>217</v>
      </c>
      <c r="D22" s="18" t="s">
        <v>218</v>
      </c>
      <c r="E22" s="18" t="s">
        <v>396</v>
      </c>
      <c r="F22" s="18" t="s">
        <v>219</v>
      </c>
      <c r="G22" s="21" t="s">
        <v>82</v>
      </c>
      <c r="H22" s="26" t="s">
        <v>97</v>
      </c>
      <c r="I22" s="26" t="s">
        <v>97</v>
      </c>
      <c r="J22" s="19"/>
      <c r="K22" s="19" t="str">
        <f>"190,0"</f>
        <v>190,0</v>
      </c>
      <c r="L22" s="19" t="str">
        <f>"112,7080"</f>
        <v>112,7080</v>
      </c>
      <c r="M22" s="18"/>
    </row>
    <row r="23" spans="1:13">
      <c r="B23" s="5" t="s">
        <v>60</v>
      </c>
    </row>
    <row r="24" spans="1:13" ht="16">
      <c r="A24" s="45" t="s">
        <v>35</v>
      </c>
      <c r="B24" s="45"/>
      <c r="C24" s="46"/>
      <c r="D24" s="46"/>
      <c r="E24" s="46"/>
      <c r="F24" s="46"/>
      <c r="G24" s="46"/>
      <c r="H24" s="46"/>
      <c r="I24" s="46"/>
      <c r="J24" s="46"/>
    </row>
    <row r="25" spans="1:13">
      <c r="A25" s="17" t="s">
        <v>59</v>
      </c>
      <c r="B25" s="16" t="s">
        <v>220</v>
      </c>
      <c r="C25" s="16" t="s">
        <v>221</v>
      </c>
      <c r="D25" s="16" t="s">
        <v>222</v>
      </c>
      <c r="E25" s="16" t="s">
        <v>396</v>
      </c>
      <c r="F25" s="16" t="s">
        <v>223</v>
      </c>
      <c r="G25" s="20" t="s">
        <v>31</v>
      </c>
      <c r="H25" s="20" t="s">
        <v>32</v>
      </c>
      <c r="I25" s="25" t="s">
        <v>111</v>
      </c>
      <c r="J25" s="17"/>
      <c r="K25" s="17" t="str">
        <f>"240,0"</f>
        <v>240,0</v>
      </c>
      <c r="L25" s="17" t="str">
        <f>"139,8720"</f>
        <v>139,8720</v>
      </c>
      <c r="M25" s="16"/>
    </row>
    <row r="26" spans="1:13">
      <c r="A26" s="23" t="s">
        <v>176</v>
      </c>
      <c r="B26" s="22" t="s">
        <v>224</v>
      </c>
      <c r="C26" s="22" t="s">
        <v>225</v>
      </c>
      <c r="D26" s="22" t="s">
        <v>226</v>
      </c>
      <c r="E26" s="22" t="s">
        <v>396</v>
      </c>
      <c r="F26" s="22" t="s">
        <v>65</v>
      </c>
      <c r="G26" s="24" t="s">
        <v>227</v>
      </c>
      <c r="H26" s="27" t="s">
        <v>228</v>
      </c>
      <c r="I26" s="27" t="s">
        <v>228</v>
      </c>
      <c r="J26" s="23"/>
      <c r="K26" s="23" t="str">
        <f>"192,5"</f>
        <v>192,5</v>
      </c>
      <c r="L26" s="23" t="str">
        <f>"109,8597"</f>
        <v>109,8597</v>
      </c>
      <c r="M26" s="22" t="s">
        <v>229</v>
      </c>
    </row>
    <row r="27" spans="1:13">
      <c r="A27" s="19" t="s">
        <v>241</v>
      </c>
      <c r="B27" s="18" t="s">
        <v>230</v>
      </c>
      <c r="C27" s="18" t="s">
        <v>231</v>
      </c>
      <c r="D27" s="18" t="s">
        <v>232</v>
      </c>
      <c r="E27" s="18" t="s">
        <v>396</v>
      </c>
      <c r="F27" s="18" t="s">
        <v>65</v>
      </c>
      <c r="G27" s="21" t="s">
        <v>80</v>
      </c>
      <c r="H27" s="26" t="s">
        <v>82</v>
      </c>
      <c r="I27" s="21" t="s">
        <v>82</v>
      </c>
      <c r="J27" s="19"/>
      <c r="K27" s="19" t="str">
        <f>"190,0"</f>
        <v>190,0</v>
      </c>
      <c r="L27" s="19" t="str">
        <f>"108,5470"</f>
        <v>108,5470</v>
      </c>
      <c r="M27" s="18"/>
    </row>
    <row r="28" spans="1:13">
      <c r="B28" s="5" t="s">
        <v>60</v>
      </c>
    </row>
    <row r="29" spans="1:13" ht="16">
      <c r="A29" s="45" t="s">
        <v>107</v>
      </c>
      <c r="B29" s="45"/>
      <c r="C29" s="46"/>
      <c r="D29" s="46"/>
      <c r="E29" s="46"/>
      <c r="F29" s="46"/>
      <c r="G29" s="46"/>
      <c r="H29" s="46"/>
      <c r="I29" s="46"/>
      <c r="J29" s="46"/>
    </row>
    <row r="30" spans="1:13">
      <c r="A30" s="8" t="s">
        <v>59</v>
      </c>
      <c r="B30" s="7" t="s">
        <v>233</v>
      </c>
      <c r="C30" s="7" t="s">
        <v>234</v>
      </c>
      <c r="D30" s="7" t="s">
        <v>235</v>
      </c>
      <c r="E30" s="7" t="s">
        <v>396</v>
      </c>
      <c r="F30" s="7" t="s">
        <v>128</v>
      </c>
      <c r="G30" s="14" t="s">
        <v>97</v>
      </c>
      <c r="H30" s="15" t="s">
        <v>153</v>
      </c>
      <c r="I30" s="15" t="s">
        <v>153</v>
      </c>
      <c r="J30" s="8"/>
      <c r="K30" s="8" t="str">
        <f>"200,0"</f>
        <v>200,0</v>
      </c>
      <c r="L30" s="8" t="str">
        <f>"112,1600"</f>
        <v>112,1600</v>
      </c>
      <c r="M30" s="7"/>
    </row>
    <row r="31" spans="1:13">
      <c r="B31" s="5" t="s">
        <v>60</v>
      </c>
    </row>
    <row r="32" spans="1:13">
      <c r="B32" s="5" t="s">
        <v>60</v>
      </c>
    </row>
    <row r="33" spans="2:6">
      <c r="B33" s="5" t="s">
        <v>60</v>
      </c>
    </row>
    <row r="34" spans="2:6" ht="18">
      <c r="B34" s="9" t="s">
        <v>48</v>
      </c>
      <c r="C34" s="9"/>
      <c r="F34" s="3"/>
    </row>
    <row r="35" spans="2:6" ht="16">
      <c r="B35" s="10" t="s">
        <v>49</v>
      </c>
      <c r="C35" s="10"/>
      <c r="F35" s="3"/>
    </row>
    <row r="36" spans="2:6" ht="14">
      <c r="B36" s="11"/>
      <c r="C36" s="12" t="s">
        <v>50</v>
      </c>
      <c r="F36" s="3"/>
    </row>
    <row r="37" spans="2:6" ht="14">
      <c r="B37" s="13" t="s">
        <v>51</v>
      </c>
      <c r="C37" s="13" t="s">
        <v>52</v>
      </c>
      <c r="D37" s="13" t="s">
        <v>53</v>
      </c>
      <c r="E37" s="13" t="s">
        <v>236</v>
      </c>
      <c r="F37" s="13" t="s">
        <v>55</v>
      </c>
    </row>
    <row r="38" spans="2:6">
      <c r="B38" s="5" t="s">
        <v>203</v>
      </c>
      <c r="C38" s="5" t="s">
        <v>50</v>
      </c>
      <c r="D38" s="6" t="s">
        <v>57</v>
      </c>
      <c r="E38" s="6" t="s">
        <v>32</v>
      </c>
      <c r="F38" s="6" t="s">
        <v>237</v>
      </c>
    </row>
    <row r="39" spans="2:6">
      <c r="B39" s="5" t="s">
        <v>220</v>
      </c>
      <c r="C39" s="5" t="s">
        <v>50</v>
      </c>
      <c r="D39" s="6" t="s">
        <v>58</v>
      </c>
      <c r="E39" s="6" t="s">
        <v>32</v>
      </c>
      <c r="F39" s="6" t="s">
        <v>238</v>
      </c>
    </row>
    <row r="40" spans="2:6">
      <c r="B40" s="5" t="s">
        <v>206</v>
      </c>
      <c r="C40" s="5" t="s">
        <v>50</v>
      </c>
      <c r="D40" s="6" t="s">
        <v>57</v>
      </c>
      <c r="E40" s="6" t="s">
        <v>31</v>
      </c>
      <c r="F40" s="6" t="s">
        <v>239</v>
      </c>
    </row>
    <row r="41" spans="2:6">
      <c r="B41" s="5" t="s">
        <v>60</v>
      </c>
    </row>
  </sheetData>
  <mergeCells count="17">
    <mergeCell ref="A29:J29"/>
    <mergeCell ref="A5:J5"/>
    <mergeCell ref="A8:J8"/>
    <mergeCell ref="A14:J14"/>
    <mergeCell ref="A18:J18"/>
    <mergeCell ref="A24:J24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8D86-52ED-4D52-BDC8-915EF807995F}">
  <dimension ref="A1:M3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9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2" t="s">
        <v>376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9</v>
      </c>
      <c r="H3" s="44"/>
      <c r="I3" s="44"/>
      <c r="J3" s="44"/>
      <c r="K3" s="44" t="s">
        <v>240</v>
      </c>
      <c r="L3" s="44" t="s">
        <v>3</v>
      </c>
      <c r="M3" s="28" t="s">
        <v>2</v>
      </c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29"/>
    </row>
    <row r="5" spans="1:13" ht="16">
      <c r="A5" s="30" t="s">
        <v>243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59</v>
      </c>
      <c r="B6" s="7" t="s">
        <v>331</v>
      </c>
      <c r="C6" s="7" t="s">
        <v>332</v>
      </c>
      <c r="D6" s="7" t="s">
        <v>333</v>
      </c>
      <c r="E6" s="7" t="s">
        <v>395</v>
      </c>
      <c r="F6" s="7" t="s">
        <v>65</v>
      </c>
      <c r="G6" s="14" t="s">
        <v>142</v>
      </c>
      <c r="H6" s="14" t="s">
        <v>133</v>
      </c>
      <c r="I6" s="15" t="s">
        <v>259</v>
      </c>
      <c r="J6" s="8"/>
      <c r="K6" s="8" t="str">
        <f>"100,0"</f>
        <v>100,0</v>
      </c>
      <c r="L6" s="8" t="str">
        <f>"125,2200"</f>
        <v>125,2200</v>
      </c>
      <c r="M6" s="7" t="s">
        <v>281</v>
      </c>
    </row>
    <row r="7" spans="1:13">
      <c r="B7" s="5" t="s">
        <v>60</v>
      </c>
    </row>
    <row r="8" spans="1:13" ht="16">
      <c r="A8" s="45" t="s">
        <v>72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17" t="s">
        <v>59</v>
      </c>
      <c r="B9" s="16" t="s">
        <v>334</v>
      </c>
      <c r="C9" s="16" t="s">
        <v>335</v>
      </c>
      <c r="D9" s="16" t="s">
        <v>336</v>
      </c>
      <c r="E9" s="16" t="s">
        <v>397</v>
      </c>
      <c r="F9" s="16" t="s">
        <v>337</v>
      </c>
      <c r="G9" s="25" t="s">
        <v>80</v>
      </c>
      <c r="H9" s="20" t="s">
        <v>80</v>
      </c>
      <c r="I9" s="20" t="s">
        <v>82</v>
      </c>
      <c r="J9" s="17"/>
      <c r="K9" s="17" t="str">
        <f>"190,0"</f>
        <v>190,0</v>
      </c>
      <c r="L9" s="17" t="str">
        <f>"139,1180"</f>
        <v>139,1180</v>
      </c>
      <c r="M9" s="16" t="s">
        <v>338</v>
      </c>
    </row>
    <row r="10" spans="1:13">
      <c r="A10" s="19" t="s">
        <v>176</v>
      </c>
      <c r="B10" s="18" t="s">
        <v>339</v>
      </c>
      <c r="C10" s="18" t="s">
        <v>340</v>
      </c>
      <c r="D10" s="18" t="s">
        <v>341</v>
      </c>
      <c r="E10" s="18" t="s">
        <v>397</v>
      </c>
      <c r="F10" s="18" t="s">
        <v>342</v>
      </c>
      <c r="G10" s="26" t="s">
        <v>343</v>
      </c>
      <c r="H10" s="21" t="s">
        <v>343</v>
      </c>
      <c r="I10" s="21" t="s">
        <v>344</v>
      </c>
      <c r="J10" s="19"/>
      <c r="K10" s="19" t="str">
        <f>"147,5"</f>
        <v>147,5</v>
      </c>
      <c r="L10" s="19" t="str">
        <f>"109,0025"</f>
        <v>109,0025</v>
      </c>
      <c r="M10" s="18"/>
    </row>
    <row r="11" spans="1:13">
      <c r="B11" s="5" t="s">
        <v>60</v>
      </c>
    </row>
    <row r="12" spans="1:13" ht="16">
      <c r="A12" s="45" t="s">
        <v>248</v>
      </c>
      <c r="B12" s="45"/>
      <c r="C12" s="46"/>
      <c r="D12" s="46"/>
      <c r="E12" s="46"/>
      <c r="F12" s="46"/>
      <c r="G12" s="46"/>
      <c r="H12" s="46"/>
      <c r="I12" s="46"/>
      <c r="J12" s="46"/>
    </row>
    <row r="13" spans="1:13">
      <c r="A13" s="17" t="s">
        <v>59</v>
      </c>
      <c r="B13" s="16" t="s">
        <v>345</v>
      </c>
      <c r="C13" s="16" t="s">
        <v>346</v>
      </c>
      <c r="D13" s="16" t="s">
        <v>292</v>
      </c>
      <c r="E13" s="16" t="s">
        <v>396</v>
      </c>
      <c r="F13" s="16" t="s">
        <v>102</v>
      </c>
      <c r="G13" s="20" t="s">
        <v>19</v>
      </c>
      <c r="H13" s="20" t="s">
        <v>314</v>
      </c>
      <c r="I13" s="25" t="s">
        <v>31</v>
      </c>
      <c r="J13" s="17"/>
      <c r="K13" s="17" t="str">
        <f>"225,0"</f>
        <v>225,0</v>
      </c>
      <c r="L13" s="17" t="str">
        <f>"151,9650"</f>
        <v>151,9650</v>
      </c>
      <c r="M13" s="16" t="s">
        <v>347</v>
      </c>
    </row>
    <row r="14" spans="1:13">
      <c r="A14" s="19" t="s">
        <v>59</v>
      </c>
      <c r="B14" s="18" t="s">
        <v>348</v>
      </c>
      <c r="C14" s="18" t="s">
        <v>349</v>
      </c>
      <c r="D14" s="18" t="s">
        <v>350</v>
      </c>
      <c r="E14" s="18" t="s">
        <v>398</v>
      </c>
      <c r="F14" s="18" t="s">
        <v>65</v>
      </c>
      <c r="G14" s="21" t="s">
        <v>43</v>
      </c>
      <c r="H14" s="21" t="s">
        <v>82</v>
      </c>
      <c r="I14" s="21" t="s">
        <v>97</v>
      </c>
      <c r="J14" s="19"/>
      <c r="K14" s="19" t="str">
        <f>"200,0"</f>
        <v>200,0</v>
      </c>
      <c r="L14" s="19" t="str">
        <f>"136,7683"</f>
        <v>136,7683</v>
      </c>
      <c r="M14" s="18" t="s">
        <v>83</v>
      </c>
    </row>
    <row r="15" spans="1:13">
      <c r="B15" s="5" t="s">
        <v>60</v>
      </c>
    </row>
    <row r="16" spans="1:13" ht="16">
      <c r="A16" s="45" t="s">
        <v>10</v>
      </c>
      <c r="B16" s="45"/>
      <c r="C16" s="46"/>
      <c r="D16" s="46"/>
      <c r="E16" s="46"/>
      <c r="F16" s="46"/>
      <c r="G16" s="46"/>
      <c r="H16" s="46"/>
      <c r="I16" s="46"/>
      <c r="J16" s="46"/>
    </row>
    <row r="17" spans="1:13">
      <c r="A17" s="17" t="s">
        <v>59</v>
      </c>
      <c r="B17" s="16" t="s">
        <v>145</v>
      </c>
      <c r="C17" s="16" t="s">
        <v>146</v>
      </c>
      <c r="D17" s="16" t="s">
        <v>13</v>
      </c>
      <c r="E17" s="16" t="s">
        <v>396</v>
      </c>
      <c r="F17" s="16" t="s">
        <v>147</v>
      </c>
      <c r="G17" s="20" t="s">
        <v>87</v>
      </c>
      <c r="H17" s="20" t="s">
        <v>40</v>
      </c>
      <c r="I17" s="20" t="s">
        <v>149</v>
      </c>
      <c r="J17" s="17"/>
      <c r="K17" s="17" t="str">
        <f>"275,0"</f>
        <v>275,0</v>
      </c>
      <c r="L17" s="17" t="str">
        <f>"176,4675"</f>
        <v>176,4675</v>
      </c>
      <c r="M17" s="16"/>
    </row>
    <row r="18" spans="1:13">
      <c r="A18" s="19" t="s">
        <v>176</v>
      </c>
      <c r="B18" s="18" t="s">
        <v>296</v>
      </c>
      <c r="C18" s="18" t="s">
        <v>297</v>
      </c>
      <c r="D18" s="18" t="s">
        <v>298</v>
      </c>
      <c r="E18" s="18" t="s">
        <v>396</v>
      </c>
      <c r="F18" s="18" t="s">
        <v>65</v>
      </c>
      <c r="G18" s="21" t="s">
        <v>314</v>
      </c>
      <c r="H18" s="21" t="s">
        <v>32</v>
      </c>
      <c r="I18" s="21" t="s">
        <v>33</v>
      </c>
      <c r="J18" s="19"/>
      <c r="K18" s="19" t="str">
        <f>"245,0"</f>
        <v>245,0</v>
      </c>
      <c r="L18" s="19" t="str">
        <f>"156,4080"</f>
        <v>156,4080</v>
      </c>
      <c r="M18" s="18"/>
    </row>
    <row r="19" spans="1:13">
      <c r="B19" s="5" t="s">
        <v>60</v>
      </c>
    </row>
    <row r="20" spans="1:13" ht="16">
      <c r="A20" s="45" t="s">
        <v>93</v>
      </c>
      <c r="B20" s="45"/>
      <c r="C20" s="46"/>
      <c r="D20" s="46"/>
      <c r="E20" s="46"/>
      <c r="F20" s="46"/>
      <c r="G20" s="46"/>
      <c r="H20" s="46"/>
      <c r="I20" s="46"/>
      <c r="J20" s="46"/>
    </row>
    <row r="21" spans="1:13">
      <c r="A21" s="8" t="s">
        <v>59</v>
      </c>
      <c r="B21" s="7" t="s">
        <v>94</v>
      </c>
      <c r="C21" s="7" t="s">
        <v>95</v>
      </c>
      <c r="D21" s="7" t="s">
        <v>96</v>
      </c>
      <c r="E21" s="7" t="s">
        <v>396</v>
      </c>
      <c r="F21" s="7" t="s">
        <v>65</v>
      </c>
      <c r="G21" s="14" t="s">
        <v>97</v>
      </c>
      <c r="H21" s="15" t="s">
        <v>19</v>
      </c>
      <c r="I21" s="8"/>
      <c r="J21" s="8"/>
      <c r="K21" s="8" t="str">
        <f>"200,0"</f>
        <v>200,0</v>
      </c>
      <c r="L21" s="8" t="str">
        <f>"122,3600"</f>
        <v>122,3600</v>
      </c>
      <c r="M21" s="7" t="s">
        <v>83</v>
      </c>
    </row>
    <row r="22" spans="1:13">
      <c r="B22" s="5" t="s">
        <v>60</v>
      </c>
    </row>
    <row r="23" spans="1:13" ht="16">
      <c r="A23" s="45" t="s">
        <v>25</v>
      </c>
      <c r="B23" s="45"/>
      <c r="C23" s="46"/>
      <c r="D23" s="46"/>
      <c r="E23" s="46"/>
      <c r="F23" s="46"/>
      <c r="G23" s="46"/>
      <c r="H23" s="46"/>
      <c r="I23" s="46"/>
      <c r="J23" s="46"/>
    </row>
    <row r="24" spans="1:13">
      <c r="A24" s="17" t="s">
        <v>59</v>
      </c>
      <c r="B24" s="16" t="s">
        <v>167</v>
      </c>
      <c r="C24" s="16" t="s">
        <v>168</v>
      </c>
      <c r="D24" s="16" t="s">
        <v>169</v>
      </c>
      <c r="E24" s="16" t="s">
        <v>396</v>
      </c>
      <c r="F24" s="16" t="s">
        <v>384</v>
      </c>
      <c r="G24" s="20" t="s">
        <v>155</v>
      </c>
      <c r="H24" s="20" t="s">
        <v>82</v>
      </c>
      <c r="I24" s="25" t="s">
        <v>97</v>
      </c>
      <c r="J24" s="17"/>
      <c r="K24" s="17" t="str">
        <f>"190,0"</f>
        <v>190,0</v>
      </c>
      <c r="L24" s="17" t="str">
        <f>"114,8740"</f>
        <v>114,8740</v>
      </c>
      <c r="M24" s="16"/>
    </row>
    <row r="25" spans="1:13">
      <c r="A25" s="19" t="s">
        <v>59</v>
      </c>
      <c r="B25" s="18" t="s">
        <v>99</v>
      </c>
      <c r="C25" s="18" t="s">
        <v>100</v>
      </c>
      <c r="D25" s="18" t="s">
        <v>101</v>
      </c>
      <c r="E25" s="18" t="s">
        <v>398</v>
      </c>
      <c r="F25" s="18" t="s">
        <v>102</v>
      </c>
      <c r="G25" s="21" t="s">
        <v>31</v>
      </c>
      <c r="H25" s="21" t="s">
        <v>105</v>
      </c>
      <c r="I25" s="21" t="s">
        <v>106</v>
      </c>
      <c r="J25" s="19"/>
      <c r="K25" s="19" t="str">
        <f>"252,5"</f>
        <v>252,5</v>
      </c>
      <c r="L25" s="19" t="str">
        <f>"149,3285"</f>
        <v>149,3285</v>
      </c>
      <c r="M25" s="18" t="s">
        <v>47</v>
      </c>
    </row>
    <row r="26" spans="1:13">
      <c r="B26" s="5" t="s">
        <v>60</v>
      </c>
    </row>
    <row r="27" spans="1:13">
      <c r="B27" s="5" t="s">
        <v>60</v>
      </c>
    </row>
    <row r="28" spans="1:13">
      <c r="B28" s="5" t="s">
        <v>60</v>
      </c>
    </row>
    <row r="29" spans="1:13" ht="18">
      <c r="B29" s="9" t="s">
        <v>48</v>
      </c>
      <c r="C29" s="9"/>
      <c r="F29" s="3"/>
    </row>
    <row r="30" spans="1:13" ht="16">
      <c r="B30" s="10" t="s">
        <v>49</v>
      </c>
      <c r="C30" s="10"/>
      <c r="F30" s="3"/>
    </row>
    <row r="31" spans="1:13" ht="14">
      <c r="B31" s="11"/>
      <c r="C31" s="12" t="s">
        <v>50</v>
      </c>
      <c r="F31" s="3"/>
    </row>
    <row r="32" spans="1:13" ht="14">
      <c r="B32" s="13" t="s">
        <v>51</v>
      </c>
      <c r="C32" s="13" t="s">
        <v>52</v>
      </c>
      <c r="D32" s="13" t="s">
        <v>53</v>
      </c>
      <c r="E32" s="13" t="s">
        <v>236</v>
      </c>
      <c r="F32" s="13" t="s">
        <v>55</v>
      </c>
    </row>
    <row r="33" spans="2:6">
      <c r="B33" s="5" t="s">
        <v>145</v>
      </c>
      <c r="C33" s="5" t="s">
        <v>50</v>
      </c>
      <c r="D33" s="6" t="s">
        <v>56</v>
      </c>
      <c r="E33" s="6" t="s">
        <v>149</v>
      </c>
      <c r="F33" s="6" t="s">
        <v>351</v>
      </c>
    </row>
    <row r="34" spans="2:6">
      <c r="B34" s="5" t="s">
        <v>296</v>
      </c>
      <c r="C34" s="5" t="s">
        <v>50</v>
      </c>
      <c r="D34" s="6" t="s">
        <v>56</v>
      </c>
      <c r="E34" s="6" t="s">
        <v>33</v>
      </c>
      <c r="F34" s="6" t="s">
        <v>352</v>
      </c>
    </row>
    <row r="35" spans="2:6">
      <c r="B35" s="5" t="s">
        <v>345</v>
      </c>
      <c r="C35" s="5" t="s">
        <v>50</v>
      </c>
      <c r="D35" s="6" t="s">
        <v>320</v>
      </c>
      <c r="E35" s="6" t="s">
        <v>314</v>
      </c>
      <c r="F35" s="6" t="s">
        <v>353</v>
      </c>
    </row>
  </sheetData>
  <mergeCells count="17">
    <mergeCell ref="A23:J23"/>
    <mergeCell ref="A5:J5"/>
    <mergeCell ref="A8:J8"/>
    <mergeCell ref="A12:J12"/>
    <mergeCell ref="A16:J16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E1D2-CC2B-4F6A-AB71-7DCF635A12C4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6.3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32" t="s">
        <v>377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s="1" customFormat="1" ht="12.75" customHeight="1">
      <c r="A3" s="40" t="s">
        <v>392</v>
      </c>
      <c r="B3" s="47" t="s">
        <v>0</v>
      </c>
      <c r="C3" s="42" t="s">
        <v>393</v>
      </c>
      <c r="D3" s="42" t="s">
        <v>6</v>
      </c>
      <c r="E3" s="44" t="s">
        <v>394</v>
      </c>
      <c r="F3" s="44" t="s">
        <v>5</v>
      </c>
      <c r="G3" s="44" t="s">
        <v>9</v>
      </c>
      <c r="H3" s="44"/>
      <c r="I3" s="44"/>
      <c r="J3" s="44"/>
      <c r="K3" s="44" t="s">
        <v>240</v>
      </c>
      <c r="L3" s="44" t="s">
        <v>3</v>
      </c>
      <c r="M3" s="28" t="s">
        <v>2</v>
      </c>
    </row>
    <row r="4" spans="1:13" s="1" customFormat="1" ht="21" customHeight="1" thickBot="1">
      <c r="A4" s="41"/>
      <c r="B4" s="48"/>
      <c r="C4" s="43"/>
      <c r="D4" s="43"/>
      <c r="E4" s="43"/>
      <c r="F4" s="43"/>
      <c r="G4" s="4">
        <v>1</v>
      </c>
      <c r="H4" s="4">
        <v>2</v>
      </c>
      <c r="I4" s="4">
        <v>3</v>
      </c>
      <c r="J4" s="4" t="s">
        <v>4</v>
      </c>
      <c r="K4" s="43"/>
      <c r="L4" s="43"/>
      <c r="M4" s="29"/>
    </row>
    <row r="5" spans="1:13" ht="16">
      <c r="A5" s="30" t="s">
        <v>243</v>
      </c>
      <c r="B5" s="30"/>
      <c r="C5" s="31"/>
      <c r="D5" s="31"/>
      <c r="E5" s="31"/>
      <c r="F5" s="31"/>
      <c r="G5" s="31"/>
      <c r="H5" s="31"/>
      <c r="I5" s="31"/>
      <c r="J5" s="31"/>
    </row>
    <row r="6" spans="1:13">
      <c r="A6" s="8" t="s">
        <v>59</v>
      </c>
      <c r="B6" s="7" t="s">
        <v>324</v>
      </c>
      <c r="C6" s="7" t="s">
        <v>325</v>
      </c>
      <c r="D6" s="7" t="s">
        <v>326</v>
      </c>
      <c r="E6" s="7" t="s">
        <v>395</v>
      </c>
      <c r="F6" s="7" t="s">
        <v>65</v>
      </c>
      <c r="G6" s="14" t="s">
        <v>66</v>
      </c>
      <c r="H6" s="14" t="s">
        <v>69</v>
      </c>
      <c r="I6" s="14" t="s">
        <v>327</v>
      </c>
      <c r="J6" s="8"/>
      <c r="K6" s="8" t="str">
        <f>"65,0"</f>
        <v>65,0</v>
      </c>
      <c r="L6" s="8" t="str">
        <f>"83,2910"</f>
        <v>83,2910</v>
      </c>
      <c r="M6" s="7" t="s">
        <v>83</v>
      </c>
    </row>
    <row r="7" spans="1:13">
      <c r="B7" s="5" t="s">
        <v>60</v>
      </c>
    </row>
    <row r="8" spans="1:13" ht="16">
      <c r="A8" s="45" t="s">
        <v>10</v>
      </c>
      <c r="B8" s="45"/>
      <c r="C8" s="46"/>
      <c r="D8" s="46"/>
      <c r="E8" s="46"/>
      <c r="F8" s="46"/>
      <c r="G8" s="46"/>
      <c r="H8" s="46"/>
      <c r="I8" s="46"/>
      <c r="J8" s="46"/>
    </row>
    <row r="9" spans="1:13">
      <c r="A9" s="8" t="s">
        <v>59</v>
      </c>
      <c r="B9" s="7" t="s">
        <v>11</v>
      </c>
      <c r="C9" s="7" t="s">
        <v>12</v>
      </c>
      <c r="D9" s="7" t="s">
        <v>13</v>
      </c>
      <c r="E9" s="7" t="s">
        <v>396</v>
      </c>
      <c r="F9" s="7" t="s">
        <v>385</v>
      </c>
      <c r="G9" s="14" t="s">
        <v>20</v>
      </c>
      <c r="H9" s="14" t="s">
        <v>21</v>
      </c>
      <c r="I9" s="14" t="s">
        <v>22</v>
      </c>
      <c r="J9" s="15" t="s">
        <v>23</v>
      </c>
      <c r="K9" s="8" t="str">
        <f>"375,0"</f>
        <v>375,0</v>
      </c>
      <c r="L9" s="8" t="str">
        <f>"240,6375"</f>
        <v>240,6375</v>
      </c>
      <c r="M9" s="7" t="s">
        <v>24</v>
      </c>
    </row>
    <row r="10" spans="1:13">
      <c r="B10" s="5" t="s">
        <v>60</v>
      </c>
    </row>
    <row r="11" spans="1:13" ht="16">
      <c r="A11" s="45" t="s">
        <v>107</v>
      </c>
      <c r="B11" s="45"/>
      <c r="C11" s="46"/>
      <c r="D11" s="46"/>
      <c r="E11" s="46"/>
      <c r="F11" s="46"/>
      <c r="G11" s="46"/>
      <c r="H11" s="46"/>
      <c r="I11" s="46"/>
      <c r="J11" s="46"/>
    </row>
    <row r="12" spans="1:13">
      <c r="A12" s="8" t="s">
        <v>59</v>
      </c>
      <c r="B12" s="7" t="s">
        <v>328</v>
      </c>
      <c r="C12" s="7" t="s">
        <v>329</v>
      </c>
      <c r="D12" s="7" t="s">
        <v>330</v>
      </c>
      <c r="E12" s="7" t="s">
        <v>396</v>
      </c>
      <c r="F12" s="7" t="s">
        <v>65</v>
      </c>
      <c r="G12" s="14" t="s">
        <v>31</v>
      </c>
      <c r="H12" s="14" t="s">
        <v>32</v>
      </c>
      <c r="I12" s="14" t="s">
        <v>112</v>
      </c>
      <c r="J12" s="8"/>
      <c r="K12" s="8" t="str">
        <f>"260,0"</f>
        <v>260,0</v>
      </c>
      <c r="L12" s="8" t="str">
        <f>"147,2120"</f>
        <v>147,2120</v>
      </c>
      <c r="M12" s="7"/>
    </row>
    <row r="13" spans="1:13">
      <c r="B13" s="5" t="s">
        <v>60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2021-04-26T16:49:35Z</dcterms:modified>
</cp:coreProperties>
</file>