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Сентябрь/"/>
    </mc:Choice>
  </mc:AlternateContent>
  <xr:revisionPtr revIDLastSave="0" documentId="13_ncr:1_{31987258-149D-0940-A22A-9A07861EBCDF}" xr6:coauthVersionLast="45" xr6:coauthVersionMax="45" xr10:uidLastSave="{00000000-0000-0000-0000-000000000000}"/>
  <bookViews>
    <workbookView xWindow="0" yWindow="460" windowWidth="28800" windowHeight="16240" tabRatio="922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Жим лежа без экип ДК" sheetId="11" r:id="rId5"/>
    <sheet name="WRPF Жим лежа без экип" sheetId="10" r:id="rId6"/>
    <sheet name="WEPF Жим однослой ДК" sheetId="14" r:id="rId7"/>
    <sheet name="WEPF Жим софт многопетельная" sheetId="15" r:id="rId8"/>
    <sheet name="WRPF Тяга без экипировки ДК" sheetId="18" r:id="rId9"/>
    <sheet name="WRPF Тяга без экипировки" sheetId="17" r:id="rId10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8" l="1"/>
  <c r="K11" i="18"/>
  <c r="E11" i="18"/>
  <c r="L10" i="18"/>
  <c r="K10" i="18"/>
  <c r="E10" i="18"/>
  <c r="L7" i="18"/>
  <c r="K7" i="18"/>
  <c r="E7" i="18"/>
  <c r="L6" i="18"/>
  <c r="K6" i="18"/>
  <c r="E6" i="18"/>
  <c r="L18" i="17"/>
  <c r="K18" i="17"/>
  <c r="E18" i="17"/>
  <c r="L15" i="17"/>
  <c r="K15" i="17"/>
  <c r="E15" i="17"/>
  <c r="L12" i="17"/>
  <c r="K12" i="17"/>
  <c r="E12" i="17"/>
  <c r="L9" i="17"/>
  <c r="K9" i="17"/>
  <c r="E9" i="17"/>
  <c r="L6" i="17"/>
  <c r="K6" i="17"/>
  <c r="E6" i="17"/>
  <c r="L12" i="15"/>
  <c r="K12" i="15"/>
  <c r="E12" i="15"/>
  <c r="L9" i="15"/>
  <c r="K9" i="15"/>
  <c r="E9" i="15"/>
  <c r="L6" i="15"/>
  <c r="K6" i="15"/>
  <c r="E6" i="15"/>
  <c r="L6" i="14"/>
  <c r="K6" i="14"/>
  <c r="E6" i="14"/>
  <c r="L35" i="11"/>
  <c r="K35" i="11"/>
  <c r="E35" i="11"/>
  <c r="L32" i="11"/>
  <c r="K32" i="11"/>
  <c r="E32" i="11"/>
  <c r="L31" i="11"/>
  <c r="K31" i="11"/>
  <c r="E31" i="11"/>
  <c r="L30" i="11"/>
  <c r="K30" i="11"/>
  <c r="E30" i="11"/>
  <c r="L27" i="11"/>
  <c r="K27" i="11"/>
  <c r="E27" i="11"/>
  <c r="L26" i="11"/>
  <c r="K26" i="11"/>
  <c r="E26" i="11"/>
  <c r="L23" i="11"/>
  <c r="K23" i="11"/>
  <c r="E23" i="11"/>
  <c r="L22" i="11"/>
  <c r="K22" i="11"/>
  <c r="E22" i="11"/>
  <c r="L21" i="11"/>
  <c r="K21" i="11"/>
  <c r="E21" i="11"/>
  <c r="L18" i="11"/>
  <c r="K18" i="11"/>
  <c r="E18" i="11"/>
  <c r="L15" i="11"/>
  <c r="K15" i="11"/>
  <c r="E15" i="11"/>
  <c r="L14" i="11"/>
  <c r="K14" i="11"/>
  <c r="E14" i="11"/>
  <c r="L11" i="11"/>
  <c r="K11" i="11"/>
  <c r="E11" i="11"/>
  <c r="L8" i="11"/>
  <c r="K8" i="11"/>
  <c r="E8" i="11"/>
  <c r="L7" i="11"/>
  <c r="K7" i="11"/>
  <c r="E7" i="11"/>
  <c r="L6" i="11"/>
  <c r="K6" i="11"/>
  <c r="E6" i="11"/>
  <c r="L53" i="10"/>
  <c r="K53" i="10"/>
  <c r="E53" i="10"/>
  <c r="L50" i="10"/>
  <c r="K50" i="10"/>
  <c r="E50" i="10"/>
  <c r="L47" i="10"/>
  <c r="K47" i="10"/>
  <c r="E47" i="10"/>
  <c r="L46" i="10"/>
  <c r="K46" i="10"/>
  <c r="E46" i="10"/>
  <c r="L45" i="10"/>
  <c r="K45" i="10"/>
  <c r="E45" i="10"/>
  <c r="L44" i="10"/>
  <c r="K44" i="10"/>
  <c r="E44" i="10"/>
  <c r="L41" i="10"/>
  <c r="K41" i="10"/>
  <c r="E41" i="10"/>
  <c r="L40" i="10"/>
  <c r="K40" i="10"/>
  <c r="E40" i="10"/>
  <c r="L39" i="10"/>
  <c r="K39" i="10"/>
  <c r="E39" i="10"/>
  <c r="L38" i="10"/>
  <c r="K38" i="10"/>
  <c r="E38" i="10"/>
  <c r="L37" i="10"/>
  <c r="K37" i="10"/>
  <c r="E37" i="10"/>
  <c r="L34" i="10"/>
  <c r="K34" i="10"/>
  <c r="E34" i="10"/>
  <c r="L33" i="10"/>
  <c r="K33" i="10"/>
  <c r="E33" i="10"/>
  <c r="L32" i="10"/>
  <c r="K32" i="10"/>
  <c r="E32" i="10"/>
  <c r="L29" i="10"/>
  <c r="K29" i="10"/>
  <c r="E29" i="10"/>
  <c r="L28" i="10"/>
  <c r="K28" i="10"/>
  <c r="E28" i="10"/>
  <c r="L27" i="10"/>
  <c r="E27" i="10"/>
  <c r="L26" i="10"/>
  <c r="K26" i="10"/>
  <c r="E26" i="10"/>
  <c r="L25" i="10"/>
  <c r="K25" i="10"/>
  <c r="E25" i="10"/>
  <c r="L22" i="10"/>
  <c r="K22" i="10"/>
  <c r="E22" i="10"/>
  <c r="L19" i="10"/>
  <c r="K19" i="10"/>
  <c r="E19" i="10"/>
  <c r="L16" i="10"/>
  <c r="K16" i="10"/>
  <c r="E16" i="10"/>
  <c r="L13" i="10"/>
  <c r="K13" i="10"/>
  <c r="E13" i="10"/>
  <c r="L12" i="10"/>
  <c r="K12" i="10"/>
  <c r="E12" i="10"/>
  <c r="L9" i="10"/>
  <c r="K9" i="10"/>
  <c r="E9" i="10"/>
  <c r="L6" i="10"/>
  <c r="K6" i="10"/>
  <c r="E6" i="10"/>
  <c r="T16" i="8"/>
  <c r="S16" i="8"/>
  <c r="E16" i="8"/>
  <c r="T13" i="8"/>
  <c r="S13" i="8"/>
  <c r="E13" i="8"/>
  <c r="T10" i="8"/>
  <c r="S10" i="8"/>
  <c r="E10" i="8"/>
  <c r="T7" i="8"/>
  <c r="S7" i="8"/>
  <c r="E7" i="8"/>
  <c r="T6" i="8"/>
  <c r="S6" i="8"/>
  <c r="E6" i="8"/>
  <c r="T21" i="7"/>
  <c r="S21" i="7"/>
  <c r="E21" i="7"/>
  <c r="T18" i="7"/>
  <c r="E18" i="7"/>
  <c r="T15" i="7"/>
  <c r="S15" i="7"/>
  <c r="E15" i="7"/>
  <c r="T12" i="7"/>
  <c r="S12" i="7"/>
  <c r="E12" i="7"/>
  <c r="T9" i="7"/>
  <c r="S9" i="7"/>
  <c r="E9" i="7"/>
  <c r="T6" i="7"/>
  <c r="S6" i="7"/>
  <c r="E6" i="7"/>
  <c r="T23" i="6"/>
  <c r="S23" i="6"/>
  <c r="E23" i="6"/>
  <c r="T20" i="6"/>
  <c r="E20" i="6"/>
  <c r="T17" i="6"/>
  <c r="S17" i="6"/>
  <c r="E17" i="6"/>
  <c r="T16" i="6"/>
  <c r="S16" i="6"/>
  <c r="E16" i="6"/>
  <c r="T15" i="6"/>
  <c r="S15" i="6"/>
  <c r="E15" i="6"/>
  <c r="T12" i="6"/>
  <c r="S12" i="6"/>
  <c r="E12" i="6"/>
  <c r="T9" i="6"/>
  <c r="S9" i="6"/>
  <c r="E9" i="6"/>
  <c r="T6" i="6"/>
  <c r="S6" i="6"/>
  <c r="E6" i="6"/>
  <c r="T34" i="5"/>
  <c r="S34" i="5"/>
  <c r="E34" i="5"/>
  <c r="T31" i="5"/>
  <c r="S31" i="5"/>
  <c r="E31" i="5"/>
  <c r="T30" i="5"/>
  <c r="S30" i="5"/>
  <c r="E30" i="5"/>
  <c r="T29" i="5"/>
  <c r="S29" i="5"/>
  <c r="E29" i="5"/>
  <c r="T28" i="5"/>
  <c r="S28" i="5"/>
  <c r="E28" i="5"/>
  <c r="T25" i="5"/>
  <c r="E25" i="5"/>
  <c r="T24" i="5"/>
  <c r="S24" i="5"/>
  <c r="E24" i="5"/>
  <c r="T23" i="5"/>
  <c r="S23" i="5"/>
  <c r="E23" i="5"/>
  <c r="T20" i="5"/>
  <c r="S20" i="5"/>
  <c r="E20" i="5"/>
  <c r="T17" i="5"/>
  <c r="S17" i="5"/>
  <c r="E17" i="5"/>
  <c r="T16" i="5"/>
  <c r="S16" i="5"/>
  <c r="E16" i="5"/>
  <c r="T13" i="5"/>
  <c r="S13" i="5"/>
  <c r="E13" i="5"/>
  <c r="T12" i="5"/>
  <c r="S12" i="5"/>
  <c r="E12" i="5"/>
  <c r="T9" i="5"/>
  <c r="S9" i="5"/>
  <c r="E9" i="5"/>
  <c r="T6" i="5"/>
  <c r="S6" i="5"/>
  <c r="E6" i="5"/>
</calcChain>
</file>

<file path=xl/sharedStrings.xml><?xml version="1.0" encoding="utf-8"?>
<sst xmlns="http://schemas.openxmlformats.org/spreadsheetml/2006/main" count="1298" uniqueCount="416">
  <si>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</si>
  <si>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</si>
  <si>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</si>
  <si>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</si>
  <si>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</si>
  <si>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</si>
  <si>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</si>
  <si>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Собственный 
вес</t>
  </si>
  <si>
    <t>Wilks</t>
  </si>
  <si>
    <t>Приседание</t>
  </si>
  <si>
    <t>Жим лёжа</t>
  </si>
  <si>
    <t>Становая тяга</t>
  </si>
  <si>
    <t>ВЕСОВАЯ КАТЕГОРИЯ   67.5</t>
  </si>
  <si>
    <t>Буторина Наталья</t>
  </si>
  <si>
    <t>Открытая (27.02.1985)/35</t>
  </si>
  <si>
    <t>64,50</t>
  </si>
  <si>
    <t xml:space="preserve">Киров/Кировская область </t>
  </si>
  <si>
    <t>100,0</t>
  </si>
  <si>
    <t>110,0</t>
  </si>
  <si>
    <t>52,5</t>
  </si>
  <si>
    <t>57,5</t>
  </si>
  <si>
    <t>120,0</t>
  </si>
  <si>
    <t xml:space="preserve">Обухов Ф. </t>
  </si>
  <si>
    <t>ВЕСОВАЯ КАТЕГОРИЯ   90</t>
  </si>
  <si>
    <t>Куртеева Наталья</t>
  </si>
  <si>
    <t>Открытая (12.07.1996)/24</t>
  </si>
  <si>
    <t>88,30</t>
  </si>
  <si>
    <t>140,0</t>
  </si>
  <si>
    <t>155,0</t>
  </si>
  <si>
    <t>170,0</t>
  </si>
  <si>
    <t>105,0</t>
  </si>
  <si>
    <t>165,0</t>
  </si>
  <si>
    <t>ВЕСОВАЯ КАТЕГОРИЯ   75</t>
  </si>
  <si>
    <t>Захлестин Никита</t>
  </si>
  <si>
    <t>Юниоры (08.09.1998)/22</t>
  </si>
  <si>
    <t>75,00</t>
  </si>
  <si>
    <t>210,0</t>
  </si>
  <si>
    <t>220,0</t>
  </si>
  <si>
    <t>150,0</t>
  </si>
  <si>
    <t>200,0</t>
  </si>
  <si>
    <t>217,5</t>
  </si>
  <si>
    <t>230,0</t>
  </si>
  <si>
    <t>Абашев Артём</t>
  </si>
  <si>
    <t>Юниоры (22.01.1999)/21</t>
  </si>
  <si>
    <t>72,90</t>
  </si>
  <si>
    <t>190,0</t>
  </si>
  <si>
    <t>205,0</t>
  </si>
  <si>
    <t>215,0</t>
  </si>
  <si>
    <t>130,0</t>
  </si>
  <si>
    <t>147,5</t>
  </si>
  <si>
    <t>250,0</t>
  </si>
  <si>
    <t>270,0</t>
  </si>
  <si>
    <t>ВЕСОВАЯ КАТЕГОРИЯ   82.5</t>
  </si>
  <si>
    <t>Гущин Александр</t>
  </si>
  <si>
    <t>Открытая (03.07.1990)/30</t>
  </si>
  <si>
    <t>81,70</t>
  </si>
  <si>
    <t>225,0</t>
  </si>
  <si>
    <t xml:space="preserve">Меркулов С. </t>
  </si>
  <si>
    <t>Крекнин Дмитрий</t>
  </si>
  <si>
    <t>Открытая (09.07.1995)/25</t>
  </si>
  <si>
    <t>78,90</t>
  </si>
  <si>
    <t xml:space="preserve">Кирово-Чепецк/Кировская область </t>
  </si>
  <si>
    <t>160,0</t>
  </si>
  <si>
    <t>115,0</t>
  </si>
  <si>
    <t>175,0</t>
  </si>
  <si>
    <t xml:space="preserve">Гущин А. </t>
  </si>
  <si>
    <t>Асапов Антон</t>
  </si>
  <si>
    <t>Открытая (15.01.1985)/35</t>
  </si>
  <si>
    <t>88,70</t>
  </si>
  <si>
    <t>240,0</t>
  </si>
  <si>
    <t>245,0</t>
  </si>
  <si>
    <t>260,0</t>
  </si>
  <si>
    <t>ВЕСОВАЯ КАТЕГОРИЯ   100</t>
  </si>
  <si>
    <t>Ионичев Артур</t>
  </si>
  <si>
    <t>Открытая (03.12.1982)/37</t>
  </si>
  <si>
    <t>99,00</t>
  </si>
  <si>
    <t>280,0</t>
  </si>
  <si>
    <t>185,0</t>
  </si>
  <si>
    <t>Джумков Степан</t>
  </si>
  <si>
    <t>Открытая (29.07.1994)/26</t>
  </si>
  <si>
    <t>100,00</t>
  </si>
  <si>
    <t xml:space="preserve">Зуевка/Кировская область </t>
  </si>
  <si>
    <t>180,0</t>
  </si>
  <si>
    <t>Быданов Никита</t>
  </si>
  <si>
    <t>Открытая (17.01.1996)/24</t>
  </si>
  <si>
    <t>99,60</t>
  </si>
  <si>
    <t xml:space="preserve">Слободской/Кировская область </t>
  </si>
  <si>
    <t>ВЕСОВАЯ КАТЕГОРИЯ   110</t>
  </si>
  <si>
    <t>Чакин Сергей</t>
  </si>
  <si>
    <t>Открытая (24.03.1974)/46</t>
  </si>
  <si>
    <t>108,10</t>
  </si>
  <si>
    <t>300,0</t>
  </si>
  <si>
    <t>320,0</t>
  </si>
  <si>
    <t xml:space="preserve">Обухов Ф.с. </t>
  </si>
  <si>
    <t>Новоселов Дмитрий</t>
  </si>
  <si>
    <t>Открытая (03.04.1994)/26</t>
  </si>
  <si>
    <t>106,20</t>
  </si>
  <si>
    <t>290,0</t>
  </si>
  <si>
    <t>282,5</t>
  </si>
  <si>
    <t>292,5</t>
  </si>
  <si>
    <t>Ямшанов Олег</t>
  </si>
  <si>
    <t>Открытая (21.05.1992)/28</t>
  </si>
  <si>
    <t>109,20</t>
  </si>
  <si>
    <t>235,0</t>
  </si>
  <si>
    <t>262,5</t>
  </si>
  <si>
    <t>285,0</t>
  </si>
  <si>
    <t xml:space="preserve">Дудинец А. </t>
  </si>
  <si>
    <t>Мастера 40-49 (24.03.1974)/46</t>
  </si>
  <si>
    <t>ВЕСОВАЯ КАТЕГОРИЯ   140</t>
  </si>
  <si>
    <t>Пахтусов Семен</t>
  </si>
  <si>
    <t>Открытая (31.05.1996)/24</t>
  </si>
  <si>
    <t>126,20</t>
  </si>
  <si>
    <t>340,0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</si>
  <si>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</si>
  <si>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</si>
  <si>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</si>
  <si>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</si>
  <si>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</si>
  <si>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</si>
  <si>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</si>
  <si>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90</t>
  </si>
  <si>
    <t xml:space="preserve">Мужчины </t>
  </si>
  <si>
    <t>75</t>
  </si>
  <si>
    <t>140</t>
  </si>
  <si>
    <t>840,0</t>
  </si>
  <si>
    <t>477,7920</t>
  </si>
  <si>
    <t>110</t>
  </si>
  <si>
    <t>785,0</t>
  </si>
  <si>
    <t>464,4845</t>
  </si>
  <si>
    <t>742,5</t>
  </si>
  <si>
    <t>441,9360</t>
  </si>
  <si>
    <t>1</t>
  </si>
  <si>
    <t/>
  </si>
  <si>
    <t>2</t>
  </si>
  <si>
    <t>-</t>
  </si>
  <si>
    <t>3</t>
  </si>
  <si>
    <t>Место</t>
  </si>
  <si>
    <t>ВЕСОВАЯ КАТЕГОРИЯ   56</t>
  </si>
  <si>
    <t>Мальщукова Екатерина</t>
  </si>
  <si>
    <t>Открытая (22.12.1990)/29</t>
  </si>
  <si>
    <t>55,70</t>
  </si>
  <si>
    <t>90,0</t>
  </si>
  <si>
    <t>50,0</t>
  </si>
  <si>
    <t>55,0</t>
  </si>
  <si>
    <t>95,0</t>
  </si>
  <si>
    <t xml:space="preserve">Мухаметдинов В. </t>
  </si>
  <si>
    <t>ВЕСОВАЯ КАТЕГОРИЯ   60</t>
  </si>
  <si>
    <t>Тарасова Татьяна</t>
  </si>
  <si>
    <t>Открытая (03.08.1973)/47</t>
  </si>
  <si>
    <t>59,70</t>
  </si>
  <si>
    <t>92,5</t>
  </si>
  <si>
    <t>97,5</t>
  </si>
  <si>
    <t>60,0</t>
  </si>
  <si>
    <t>Кучергин Артем</t>
  </si>
  <si>
    <t>Открытая (02.05.1990)/30</t>
  </si>
  <si>
    <t>82,00</t>
  </si>
  <si>
    <t>195,0</t>
  </si>
  <si>
    <t>112,5</t>
  </si>
  <si>
    <t>Баранцев Илья</t>
  </si>
  <si>
    <t>Юниоры (13.07.1998)/22</t>
  </si>
  <si>
    <t>89,40</t>
  </si>
  <si>
    <t>Пенегин Михаил</t>
  </si>
  <si>
    <t>Открытая (17.08.1992)/28</t>
  </si>
  <si>
    <t>88,20</t>
  </si>
  <si>
    <t>192,5</t>
  </si>
  <si>
    <t>122,5</t>
  </si>
  <si>
    <t xml:space="preserve">Радашкевич Я. </t>
  </si>
  <si>
    <t>Караваев Артем</t>
  </si>
  <si>
    <t>Открытая (07.09.1995)/25</t>
  </si>
  <si>
    <t>87,20</t>
  </si>
  <si>
    <t>125,0</t>
  </si>
  <si>
    <t>132,5</t>
  </si>
  <si>
    <t>207,5</t>
  </si>
  <si>
    <t>Топоров Никита</t>
  </si>
  <si>
    <t>Юноши 17-19 (24.08.2002)/18</t>
  </si>
  <si>
    <t>90,70</t>
  </si>
  <si>
    <t>ВЕСОВАЯ КАТЕГОРИЯ   125</t>
  </si>
  <si>
    <t>Шепелин Кирилл</t>
  </si>
  <si>
    <t>Открытая (23.04.1993)/27</t>
  </si>
  <si>
    <t>120,10</t>
  </si>
  <si>
    <t>135,0</t>
  </si>
  <si>
    <t>142,5</t>
  </si>
  <si>
    <t>265,0</t>
  </si>
  <si>
    <t>56</t>
  </si>
  <si>
    <t>125</t>
  </si>
  <si>
    <t>Кравченко Ангелина</t>
  </si>
  <si>
    <t>Открытая (14.06.1995)/25</t>
  </si>
  <si>
    <t>71,30</t>
  </si>
  <si>
    <t xml:space="preserve">Погудина Ю. </t>
  </si>
  <si>
    <t>Шуклин Артём</t>
  </si>
  <si>
    <t>Юноши 14-16 (06.09.2008)/12</t>
  </si>
  <si>
    <t>58,10</t>
  </si>
  <si>
    <t>62,5</t>
  </si>
  <si>
    <t>65,0</t>
  </si>
  <si>
    <t>42,5</t>
  </si>
  <si>
    <t>45,0</t>
  </si>
  <si>
    <t>70,0</t>
  </si>
  <si>
    <t>80,0</t>
  </si>
  <si>
    <t xml:space="preserve">Шуклин </t>
  </si>
  <si>
    <t>Трофимов Антон</t>
  </si>
  <si>
    <t>Открытая (12.11.1990)/29</t>
  </si>
  <si>
    <t>72,50</t>
  </si>
  <si>
    <t xml:space="preserve">Вятские Поляны/Кировская область </t>
  </si>
  <si>
    <t xml:space="preserve">Колохин П. </t>
  </si>
  <si>
    <t>Нестерко Сергей</t>
  </si>
  <si>
    <t>Открытая (29.04.1983)/37</t>
  </si>
  <si>
    <t>77,60</t>
  </si>
  <si>
    <t>252,5</t>
  </si>
  <si>
    <t xml:space="preserve">Бурлаков Б. </t>
  </si>
  <si>
    <t>Колабин Степан</t>
  </si>
  <si>
    <t>Открытая (19.11.1993)/26</t>
  </si>
  <si>
    <t>84,20</t>
  </si>
  <si>
    <t>Решетников Александр</t>
  </si>
  <si>
    <t>Юниоры (22.02.1999)/21</t>
  </si>
  <si>
    <t>99,50</t>
  </si>
  <si>
    <t>295,0</t>
  </si>
  <si>
    <t>330,0</t>
  </si>
  <si>
    <t xml:space="preserve">Суслов Н. </t>
  </si>
  <si>
    <t>100</t>
  </si>
  <si>
    <t>ВЕСОВАЯ КАТЕГОРИЯ   52</t>
  </si>
  <si>
    <t>Кропотова Анастасия</t>
  </si>
  <si>
    <t>Открытая (30.01.1994)/26</t>
  </si>
  <si>
    <t>51,00</t>
  </si>
  <si>
    <t>87,5</t>
  </si>
  <si>
    <t>117,5</t>
  </si>
  <si>
    <t>Задиранова Елизавета</t>
  </si>
  <si>
    <t>Открытая (25.02.1990)/30</t>
  </si>
  <si>
    <t>51,80</t>
  </si>
  <si>
    <t>82,5</t>
  </si>
  <si>
    <t>Мечева Анна</t>
  </si>
  <si>
    <t>Открытая (17.02.1991)/29</t>
  </si>
  <si>
    <t>74,50</t>
  </si>
  <si>
    <t xml:space="preserve">Омутнинск/Кировская область </t>
  </si>
  <si>
    <t>145,0</t>
  </si>
  <si>
    <t>Истомин Владислав</t>
  </si>
  <si>
    <t>Юниоры (14.05.1997)/23</t>
  </si>
  <si>
    <t>Солоницын Даниил</t>
  </si>
  <si>
    <t>Юноши 17-19 (12.09.2001)/19</t>
  </si>
  <si>
    <t>89,50</t>
  </si>
  <si>
    <t>162,5</t>
  </si>
  <si>
    <t>212,5</t>
  </si>
  <si>
    <t>52</t>
  </si>
  <si>
    <t>Результат</t>
  </si>
  <si>
    <t>ВЕСОВАЯ КАТЕГОРИЯ   48</t>
  </si>
  <si>
    <t>Гулина Татьяна</t>
  </si>
  <si>
    <t>Открытая (28.04.1973)/47</t>
  </si>
  <si>
    <t>47,40</t>
  </si>
  <si>
    <t xml:space="preserve">Котельнич/Кировская область </t>
  </si>
  <si>
    <t xml:space="preserve">Лялин М. </t>
  </si>
  <si>
    <t>Кузнецова Татьяна</t>
  </si>
  <si>
    <t>Открытая (29.06.1991)/29</t>
  </si>
  <si>
    <t>59,00</t>
  </si>
  <si>
    <t>67,5</t>
  </si>
  <si>
    <t>72,5</t>
  </si>
  <si>
    <t>77,5</t>
  </si>
  <si>
    <t>Вепрёва Дарья</t>
  </si>
  <si>
    <t>Девушки 14-16 (13.06.2004)/16</t>
  </si>
  <si>
    <t>63,60</t>
  </si>
  <si>
    <t>Юрлов Игорь</t>
  </si>
  <si>
    <t>Юниоры (16.11.1996)/23</t>
  </si>
  <si>
    <t>60,90</t>
  </si>
  <si>
    <t xml:space="preserve">Красильников П. </t>
  </si>
  <si>
    <t>Лялин Михаил</t>
  </si>
  <si>
    <t>Мастера 40-49 (28.06.1976)/44</t>
  </si>
  <si>
    <t>69,80</t>
  </si>
  <si>
    <t>102,5</t>
  </si>
  <si>
    <t>Батухтин Никита</t>
  </si>
  <si>
    <t>Юноши 14-16 (10.06.2005)/15</t>
  </si>
  <si>
    <t>81,90</t>
  </si>
  <si>
    <t>Лукоянов Алексей</t>
  </si>
  <si>
    <t>Юниоры (28.04.1997)/23</t>
  </si>
  <si>
    <t>80,80</t>
  </si>
  <si>
    <t>137,5</t>
  </si>
  <si>
    <t>Прахов Денис</t>
  </si>
  <si>
    <t>Юниоры (03.07.1999)/21</t>
  </si>
  <si>
    <t>82,50</t>
  </si>
  <si>
    <t>Иванов Дмитрий</t>
  </si>
  <si>
    <t>Открытая (07.07.1976)/44</t>
  </si>
  <si>
    <t>88,80</t>
  </si>
  <si>
    <t>Петухов Сергей</t>
  </si>
  <si>
    <t>Открытая (04.08.1982)/38</t>
  </si>
  <si>
    <t>90,00</t>
  </si>
  <si>
    <t>Баженов Валерий</t>
  </si>
  <si>
    <t>Мастера 60-69 (16.08.1960)/60</t>
  </si>
  <si>
    <t>84,90</t>
  </si>
  <si>
    <t>Шургин Станислав</t>
  </si>
  <si>
    <t>Открытая (14.08.1986)/34</t>
  </si>
  <si>
    <t xml:space="preserve">Советск/Кировская область </t>
  </si>
  <si>
    <t>Прокопчук Дмитрий</t>
  </si>
  <si>
    <t>Открытая (24.07.1988)/32</t>
  </si>
  <si>
    <t>98,90</t>
  </si>
  <si>
    <t>Борняков Дмитрий</t>
  </si>
  <si>
    <t>Открытая (12.08.1981)/39</t>
  </si>
  <si>
    <t>94,60</t>
  </si>
  <si>
    <t>Сенин Иван</t>
  </si>
  <si>
    <t>Открытая (29.08.1991)/29</t>
  </si>
  <si>
    <t>95,80</t>
  </si>
  <si>
    <t>Митягин Сергей</t>
  </si>
  <si>
    <t>Открытая (15.01.1983)/37</t>
  </si>
  <si>
    <t>109,10</t>
  </si>
  <si>
    <t>Мальков Дмитрий</t>
  </si>
  <si>
    <t>Открытая (13.06.1983)/37</t>
  </si>
  <si>
    <t>110,00</t>
  </si>
  <si>
    <t>Цыбелев Алексей</t>
  </si>
  <si>
    <t>Открытая (13.06.1973)/47</t>
  </si>
  <si>
    <t xml:space="preserve">Уржум/Кировская область </t>
  </si>
  <si>
    <t>Мастера 40-49 (13.06.1973)/47</t>
  </si>
  <si>
    <t>Бахтин Станислав</t>
  </si>
  <si>
    <t>Открытая (06.06.1989)/31</t>
  </si>
  <si>
    <t>110,80</t>
  </si>
  <si>
    <t>Бронников Игорь</t>
  </si>
  <si>
    <t>Мастера 40-49 (11.01.1975)/45</t>
  </si>
  <si>
    <t>132,10</t>
  </si>
  <si>
    <t xml:space="preserve">Результат </t>
  </si>
  <si>
    <t>152,6720</t>
  </si>
  <si>
    <t>117,6368</t>
  </si>
  <si>
    <t>109,2760</t>
  </si>
  <si>
    <t>4</t>
  </si>
  <si>
    <t>5</t>
  </si>
  <si>
    <t>Трушкова Ольга</t>
  </si>
  <si>
    <t>Открытая (10.03.1988)/32</t>
  </si>
  <si>
    <t>51,20</t>
  </si>
  <si>
    <t>Геташвили Мария</t>
  </si>
  <si>
    <t>Открытая (18.06.1980)/40</t>
  </si>
  <si>
    <t>55,00</t>
  </si>
  <si>
    <t xml:space="preserve">Пермь/Пермский край </t>
  </si>
  <si>
    <t>75,0</t>
  </si>
  <si>
    <t>Талипова Рамиля</t>
  </si>
  <si>
    <t>Открытая (26.05.1992)/28</t>
  </si>
  <si>
    <t>59,10</t>
  </si>
  <si>
    <t>Досхоева Марет</t>
  </si>
  <si>
    <t>Открытая (03.12.1999)/20</t>
  </si>
  <si>
    <t>73,10</t>
  </si>
  <si>
    <t>Петухов Андрей</t>
  </si>
  <si>
    <t>Юниоры (01.03.1999)/21</t>
  </si>
  <si>
    <t>80,90</t>
  </si>
  <si>
    <t>107,5</t>
  </si>
  <si>
    <t>Вязников Алексей</t>
  </si>
  <si>
    <t>Открытая (03.03.1989)/31</t>
  </si>
  <si>
    <t>81,60</t>
  </si>
  <si>
    <t>152,5</t>
  </si>
  <si>
    <t>Николаев Александр</t>
  </si>
  <si>
    <t>Мастера 60-69 (08.07.1959)/61</t>
  </si>
  <si>
    <t>78,20</t>
  </si>
  <si>
    <t>Баландин Сергей</t>
  </si>
  <si>
    <t>Открытая (14.12.1984)/35</t>
  </si>
  <si>
    <t>Ефимовский Владислав</t>
  </si>
  <si>
    <t>Открытая (20.12.1995)/24</t>
  </si>
  <si>
    <t>98,10</t>
  </si>
  <si>
    <t xml:space="preserve">Котлас/Архангельская область </t>
  </si>
  <si>
    <t>Гречишников Александр</t>
  </si>
  <si>
    <t>Открытая (20.09.1986)/33</t>
  </si>
  <si>
    <t>99,90</t>
  </si>
  <si>
    <t>Вожегов Александр</t>
  </si>
  <si>
    <t>Открытая (12.04.1989)/31</t>
  </si>
  <si>
    <t>Лихачёв Михаил</t>
  </si>
  <si>
    <t>Мастера 40-49 (29.05.1976)/44</t>
  </si>
  <si>
    <t>104,70</t>
  </si>
  <si>
    <t>172,5</t>
  </si>
  <si>
    <t>92,4808</t>
  </si>
  <si>
    <t>84,5513</t>
  </si>
  <si>
    <t>71,8980</t>
  </si>
  <si>
    <t>Пантюхин Артём</t>
  </si>
  <si>
    <t>Юноши 17-19 (23.11.2000)/19</t>
  </si>
  <si>
    <t>82,30</t>
  </si>
  <si>
    <t>Gloss</t>
  </si>
  <si>
    <t>Шестаков Максим</t>
  </si>
  <si>
    <t>Открытая (04.11.1986)/33</t>
  </si>
  <si>
    <t>97,20</t>
  </si>
  <si>
    <t>310,0</t>
  </si>
  <si>
    <t xml:space="preserve">Галкин В. </t>
  </si>
  <si>
    <t>400,0</t>
  </si>
  <si>
    <t>415,0</t>
  </si>
  <si>
    <t>Хлызов Александр</t>
  </si>
  <si>
    <t>Открытая (15.05.1984)/36</t>
  </si>
  <si>
    <t>137,20</t>
  </si>
  <si>
    <t xml:space="preserve">Соликамск/Пермский край </t>
  </si>
  <si>
    <t>350,0</t>
  </si>
  <si>
    <t>370,0</t>
  </si>
  <si>
    <t>Ляпустин Дмитрий</t>
  </si>
  <si>
    <t>Открытая (06.12.1992)/27</t>
  </si>
  <si>
    <t>102,70</t>
  </si>
  <si>
    <t>255,0</t>
  </si>
  <si>
    <t xml:space="preserve">Юферев В. </t>
  </si>
  <si>
    <t>Чепурных Роман</t>
  </si>
  <si>
    <t>Открытая (09.06.1992)/28</t>
  </si>
  <si>
    <t>Холмогоров А.</t>
  </si>
  <si>
    <t xml:space="preserve">Баландин С. </t>
  </si>
  <si>
    <t>Караваев Р.</t>
  </si>
  <si>
    <t xml:space="preserve">Решетников А. </t>
  </si>
  <si>
    <t>Новокшонов Н.</t>
  </si>
  <si>
    <t>Волков А.</t>
  </si>
  <si>
    <t>Кирово-Чепецк/Кировская область</t>
  </si>
  <si>
    <t xml:space="preserve">Прозоров Д. </t>
  </si>
  <si>
    <t>Воронин Е.</t>
  </si>
  <si>
    <t>Гончаров А.</t>
  </si>
  <si>
    <t xml:space="preserve">Погодина Ю. </t>
  </si>
  <si>
    <t>Обухов Ф.</t>
  </si>
  <si>
    <t xml:space="preserve">Волков А. </t>
  </si>
  <si>
    <t>Открытый мастерский турнир "II Кубок имени Андрея Беляева"
WEPF любители Жим лежа в однослойной экипировке ДК
Киров/Кировская область, 12-13 сентября 2020 года</t>
  </si>
  <si>
    <t>Открытый мастерский турнир "II Кубок имени Андрея Беляева"
WEPF Жим лежа в многопетельной софт экипировке
Киров/Кировская область, 12-13 сентября 2020 года</t>
  </si>
  <si>
    <t xml:space="preserve">Ижевск/Республика Удмуртия </t>
  </si>
  <si>
    <t xml:space="preserve">Чебоксары/Республика Чувашия </t>
  </si>
  <si>
    <t>Весовая категория</t>
  </si>
  <si>
    <t xml:space="preserve">Ухта/Республика Коми </t>
  </si>
  <si>
    <t xml:space="preserve">Глазов/Республика Удмуртия </t>
  </si>
  <si>
    <t>Открытый мастерский турнир "II Кубок имени Андрея Беляева"
любители Пауэрлифтинг без экипировки ДК
Киров/Кировская область, 12-13 сентября 2020 года</t>
  </si>
  <si>
    <t>Открытый мастерский турнир "II Кубок имени Андрея Беляева"
любители Пауэрлифтинг без экипировки
Киров/Кировская область, 12-13 сентября 2020 года</t>
  </si>
  <si>
    <t>Открытый мастерский турнир "II Кубок имени Андрея Беляева"
любители Пауэрлифтинг классический в бинтах ДК
Киров/Кировская область, 12-13 сентября 2020 года</t>
  </si>
  <si>
    <t>Открытый мастерский турнир "II Кубок имени Андрея Беляева"
любители Пауэрлифтинг классический в бинтах
Киров/Кировская область, 12-13 сентября 2020 года</t>
  </si>
  <si>
    <t>Открытый мастерский турнир "II Кубок имени Андрея Беляева"
любители Жим лежа без экипировки ДК
Киров/Кировская область, 12-13 сентября 2020 года</t>
  </si>
  <si>
    <t>Открытый мастерский турнир "II Кубок имени Андрея Беляева"
любители Жим лежа без экипировки
Киров/Кировская область, 12-13 сентября 2020 года</t>
  </si>
  <si>
    <t>Открытый мастерский турнир "II Кубок имени Андрея Беляева"
любители Становая тяга без экипировки ДК
Киров/Кировская область, 12-13 сентября 2020 года</t>
  </si>
  <si>
    <t>Открытый мастерский турнир "II Кубок имени Андрея Беляева"
любители Становая тяга без экипировки
Киров/Кировская область, 12-13 сентября 2020 года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</si>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</sst>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4DC7E-6C44-4B1E-ADE1-488CB82EAD33}">
  <dimension ref="A1:U17"/>
  <sheetViews>
    <sheetView tabSelected="1"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21" style="7" bestFit="1" customWidth="1"/>
    <col min="3" max="3" width="26.5" style="7" bestFit="1" customWidth="1"/>
    <col min="4" max="4" width="15.83203125" style="7" customWidth="1"/>
    <col min="5" max="5" width="10.5" style="7" bestFit="1" customWidth="1"/>
    <col min="6" max="6" width="28.33203125" style="7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8" bestFit="1" customWidth="1"/>
    <col min="20" max="20" width="8.5" style="8" bestFit="1" customWidth="1"/>
    <col min="21" max="21" width="24.33203125" style="7" bestFit="1" customWidth="1"/>
    <col min="22" max="16384" width="9.1640625" style="3"/>
  </cols>
  <sheetData>
    <row r="1" spans="1:21" s="2" customFormat="1" ht="29" customHeight="1">
      <c r="A1" s="40" t="s">
        <v>406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136</v>
      </c>
      <c r="B3" s="53" t="s">
        <v>0</v>
      </c>
      <c r="C3" s="50" t="s">
        <v>5</v>
      </c>
      <c r="D3" s="50" t="s">
        <v>7</v>
      </c>
      <c r="E3" s="34" t="s">
        <v>8</v>
      </c>
      <c r="F3" s="34" t="s">
        <v>6</v>
      </c>
      <c r="G3" s="34" t="s">
        <v>9</v>
      </c>
      <c r="H3" s="34"/>
      <c r="I3" s="34"/>
      <c r="J3" s="34"/>
      <c r="K3" s="34" t="s">
        <v>10</v>
      </c>
      <c r="L3" s="34"/>
      <c r="M3" s="34"/>
      <c r="N3" s="34"/>
      <c r="O3" s="34" t="s">
        <v>11</v>
      </c>
      <c r="P3" s="34"/>
      <c r="Q3" s="34"/>
      <c r="R3" s="34"/>
      <c r="S3" s="34" t="s">
        <v>1</v>
      </c>
      <c r="T3" s="34" t="s">
        <v>3</v>
      </c>
      <c r="U3" s="36" t="s">
        <v>2</v>
      </c>
    </row>
    <row r="4" spans="1:21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5"/>
      <c r="T4" s="35"/>
      <c r="U4" s="37"/>
    </row>
    <row r="5" spans="1:21" ht="16">
      <c r="A5" s="38" t="s">
        <v>219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12" t="s">
        <v>131</v>
      </c>
      <c r="B6" s="11" t="s">
        <v>220</v>
      </c>
      <c r="C6" s="11" t="s">
        <v>221</v>
      </c>
      <c r="D6" s="11" t="s">
        <v>222</v>
      </c>
      <c r="E6" s="11" t="str">
        <f>"1,2654"</f>
        <v>1,2654</v>
      </c>
      <c r="F6" s="11" t="s">
        <v>16</v>
      </c>
      <c r="G6" s="24" t="s">
        <v>223</v>
      </c>
      <c r="H6" s="24" t="s">
        <v>141</v>
      </c>
      <c r="I6" s="24" t="s">
        <v>144</v>
      </c>
      <c r="J6" s="12"/>
      <c r="K6" s="24" t="s">
        <v>19</v>
      </c>
      <c r="L6" s="24" t="s">
        <v>143</v>
      </c>
      <c r="M6" s="23" t="s">
        <v>20</v>
      </c>
      <c r="N6" s="12"/>
      <c r="O6" s="24" t="s">
        <v>157</v>
      </c>
      <c r="P6" s="24" t="s">
        <v>224</v>
      </c>
      <c r="Q6" s="24" t="s">
        <v>21</v>
      </c>
      <c r="R6" s="12"/>
      <c r="S6" s="12" t="str">
        <f>"270,0"</f>
        <v>270,0</v>
      </c>
      <c r="T6" s="12" t="str">
        <f>"341,6580"</f>
        <v>341,6580</v>
      </c>
      <c r="U6" s="11" t="s">
        <v>106</v>
      </c>
    </row>
    <row r="7" spans="1:21">
      <c r="A7" s="14" t="s">
        <v>133</v>
      </c>
      <c r="B7" s="13" t="s">
        <v>225</v>
      </c>
      <c r="C7" s="13" t="s">
        <v>226</v>
      </c>
      <c r="D7" s="13" t="s">
        <v>227</v>
      </c>
      <c r="E7" s="13" t="str">
        <f>"1,2504"</f>
        <v>1,2504</v>
      </c>
      <c r="F7" s="13" t="s">
        <v>401</v>
      </c>
      <c r="G7" s="25" t="s">
        <v>197</v>
      </c>
      <c r="H7" s="26" t="s">
        <v>197</v>
      </c>
      <c r="I7" s="26" t="s">
        <v>228</v>
      </c>
      <c r="J7" s="14"/>
      <c r="K7" s="26" t="s">
        <v>142</v>
      </c>
      <c r="L7" s="26" t="s">
        <v>143</v>
      </c>
      <c r="M7" s="26" t="s">
        <v>20</v>
      </c>
      <c r="N7" s="14"/>
      <c r="O7" s="26" t="s">
        <v>223</v>
      </c>
      <c r="P7" s="26" t="s">
        <v>141</v>
      </c>
      <c r="Q7" s="14"/>
      <c r="R7" s="14"/>
      <c r="S7" s="14" t="str">
        <f>"230,0"</f>
        <v>230,0</v>
      </c>
      <c r="T7" s="14" t="str">
        <f>"287,5920"</f>
        <v>287,5920</v>
      </c>
      <c r="U7" s="13" t="s">
        <v>391</v>
      </c>
    </row>
    <row r="8" spans="1:21">
      <c r="B8" s="7" t="s">
        <v>132</v>
      </c>
    </row>
    <row r="9" spans="1:21" ht="16">
      <c r="A9" s="51" t="s">
        <v>32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21">
      <c r="A10" s="10" t="s">
        <v>131</v>
      </c>
      <c r="B10" s="9" t="s">
        <v>229</v>
      </c>
      <c r="C10" s="9" t="s">
        <v>230</v>
      </c>
      <c r="D10" s="9" t="s">
        <v>231</v>
      </c>
      <c r="E10" s="9" t="str">
        <f>"0,9547"</f>
        <v>0,9547</v>
      </c>
      <c r="F10" s="9" t="s">
        <v>232</v>
      </c>
      <c r="G10" s="21" t="s">
        <v>63</v>
      </c>
      <c r="H10" s="21" t="s">
        <v>165</v>
      </c>
      <c r="I10" s="21" t="s">
        <v>171</v>
      </c>
      <c r="J10" s="10"/>
      <c r="K10" s="21" t="s">
        <v>143</v>
      </c>
      <c r="L10" s="21" t="s">
        <v>152</v>
      </c>
      <c r="M10" s="21" t="s">
        <v>193</v>
      </c>
      <c r="N10" s="10"/>
      <c r="O10" s="22" t="s">
        <v>180</v>
      </c>
      <c r="P10" s="21" t="s">
        <v>180</v>
      </c>
      <c r="Q10" s="22" t="s">
        <v>233</v>
      </c>
      <c r="R10" s="10"/>
      <c r="S10" s="10" t="str">
        <f>"332,5"</f>
        <v>332,5</v>
      </c>
      <c r="T10" s="10" t="str">
        <f>"317,4377"</f>
        <v>317,4377</v>
      </c>
      <c r="U10" s="9" t="s">
        <v>396</v>
      </c>
    </row>
    <row r="11" spans="1:21">
      <c r="B11" s="7" t="s">
        <v>132</v>
      </c>
    </row>
    <row r="12" spans="1:21" ht="16">
      <c r="A12" s="51" t="s">
        <v>52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21">
      <c r="A13" s="10" t="s">
        <v>131</v>
      </c>
      <c r="B13" s="9" t="s">
        <v>234</v>
      </c>
      <c r="C13" s="9" t="s">
        <v>235</v>
      </c>
      <c r="D13" s="9" t="s">
        <v>60</v>
      </c>
      <c r="E13" s="9" t="str">
        <f>"0,6888"</f>
        <v>0,6888</v>
      </c>
      <c r="F13" s="9" t="s">
        <v>16</v>
      </c>
      <c r="G13" s="21" t="s">
        <v>38</v>
      </c>
      <c r="H13" s="22" t="s">
        <v>62</v>
      </c>
      <c r="I13" s="22" t="s">
        <v>31</v>
      </c>
      <c r="J13" s="10"/>
      <c r="K13" s="21" t="s">
        <v>30</v>
      </c>
      <c r="L13" s="22" t="s">
        <v>63</v>
      </c>
      <c r="M13" s="21" t="s">
        <v>21</v>
      </c>
      <c r="N13" s="10"/>
      <c r="O13" s="21" t="s">
        <v>38</v>
      </c>
      <c r="P13" s="22" t="s">
        <v>62</v>
      </c>
      <c r="Q13" s="21" t="s">
        <v>62</v>
      </c>
      <c r="R13" s="10"/>
      <c r="S13" s="10" t="str">
        <f>"430,0"</f>
        <v>430,0</v>
      </c>
      <c r="T13" s="10" t="str">
        <f>"296,1840"</f>
        <v>296,1840</v>
      </c>
      <c r="U13" s="9" t="s">
        <v>22</v>
      </c>
    </row>
    <row r="14" spans="1:21">
      <c r="B14" s="7" t="s">
        <v>132</v>
      </c>
    </row>
    <row r="15" spans="1:21" ht="16">
      <c r="A15" s="51" t="s">
        <v>23</v>
      </c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21">
      <c r="A16" s="10" t="s">
        <v>131</v>
      </c>
      <c r="B16" s="9" t="s">
        <v>236</v>
      </c>
      <c r="C16" s="9" t="s">
        <v>237</v>
      </c>
      <c r="D16" s="9" t="s">
        <v>238</v>
      </c>
      <c r="E16" s="9" t="str">
        <f>"0,6402"</f>
        <v>0,6402</v>
      </c>
      <c r="F16" s="9" t="s">
        <v>16</v>
      </c>
      <c r="G16" s="21" t="s">
        <v>28</v>
      </c>
      <c r="H16" s="21" t="s">
        <v>239</v>
      </c>
      <c r="I16" s="21" t="s">
        <v>29</v>
      </c>
      <c r="J16" s="10"/>
      <c r="K16" s="21" t="s">
        <v>38</v>
      </c>
      <c r="L16" s="21" t="s">
        <v>62</v>
      </c>
      <c r="M16" s="22" t="s">
        <v>239</v>
      </c>
      <c r="N16" s="10"/>
      <c r="O16" s="21" t="s">
        <v>156</v>
      </c>
      <c r="P16" s="21" t="s">
        <v>46</v>
      </c>
      <c r="Q16" s="22" t="s">
        <v>240</v>
      </c>
      <c r="R16" s="10"/>
      <c r="S16" s="10" t="str">
        <f>"535,0"</f>
        <v>535,0</v>
      </c>
      <c r="T16" s="10" t="str">
        <f>"342,5070"</f>
        <v>342,5070</v>
      </c>
      <c r="U16" s="9" t="s">
        <v>414</v>
      </c>
    </row>
    <row r="17" spans="2:2">
      <c r="B17" s="7" t="s">
        <v>132</v>
      </c>
    </row>
  </sheetData>
  <mergeCells count="17">
    <mergeCell ref="A9:R9"/>
    <mergeCell ref="A12:R12"/>
    <mergeCell ref="A15:R15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C0567-22F0-4229-9E1A-83475EA4ABB9}">
  <dimension ref="A1:M19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17" style="7" bestFit="1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30.5" style="7" bestFit="1" customWidth="1"/>
    <col min="7" max="10" width="5.5" style="8" customWidth="1"/>
    <col min="11" max="11" width="10.5" style="8" bestFit="1" customWidth="1"/>
    <col min="12" max="12" width="8.5" style="8" bestFit="1" customWidth="1"/>
    <col min="13" max="13" width="19.33203125" style="7" customWidth="1"/>
    <col min="14" max="16384" width="9.1640625" style="3"/>
  </cols>
  <sheetData>
    <row r="1" spans="1:13" s="2" customFormat="1" ht="29" customHeight="1">
      <c r="A1" s="40" t="s">
        <v>413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136</v>
      </c>
      <c r="B3" s="53" t="s">
        <v>0</v>
      </c>
      <c r="C3" s="50" t="s">
        <v>5</v>
      </c>
      <c r="D3" s="50" t="s">
        <v>7</v>
      </c>
      <c r="E3" s="34" t="s">
        <v>8</v>
      </c>
      <c r="F3" s="34" t="s">
        <v>6</v>
      </c>
      <c r="G3" s="34" t="s">
        <v>11</v>
      </c>
      <c r="H3" s="34"/>
      <c r="I3" s="34"/>
      <c r="J3" s="34"/>
      <c r="K3" s="34" t="s">
        <v>242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12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10" t="s">
        <v>131</v>
      </c>
      <c r="B6" s="9" t="s">
        <v>13</v>
      </c>
      <c r="C6" s="9" t="s">
        <v>14</v>
      </c>
      <c r="D6" s="9" t="s">
        <v>15</v>
      </c>
      <c r="E6" s="9" t="str">
        <f>"1,0551"</f>
        <v>1,0551</v>
      </c>
      <c r="F6" s="9" t="s">
        <v>16</v>
      </c>
      <c r="G6" s="21" t="s">
        <v>17</v>
      </c>
      <c r="H6" s="21" t="s">
        <v>18</v>
      </c>
      <c r="I6" s="21" t="s">
        <v>21</v>
      </c>
      <c r="J6" s="10"/>
      <c r="K6" s="10" t="str">
        <f>"120,0"</f>
        <v>120,0</v>
      </c>
      <c r="L6" s="10" t="str">
        <f>"126,6120"</f>
        <v>126,6120</v>
      </c>
      <c r="M6" s="9" t="s">
        <v>22</v>
      </c>
    </row>
    <row r="7" spans="1:13">
      <c r="B7" s="7" t="s">
        <v>132</v>
      </c>
    </row>
    <row r="8" spans="1:13" ht="16">
      <c r="A8" s="51" t="s">
        <v>32</v>
      </c>
      <c r="B8" s="51"/>
      <c r="C8" s="52"/>
      <c r="D8" s="52"/>
      <c r="E8" s="52"/>
      <c r="F8" s="52"/>
      <c r="G8" s="52"/>
      <c r="H8" s="52"/>
      <c r="I8" s="52"/>
      <c r="J8" s="52"/>
    </row>
    <row r="9" spans="1:13">
      <c r="A9" s="10" t="s">
        <v>131</v>
      </c>
      <c r="B9" s="9" t="s">
        <v>42</v>
      </c>
      <c r="C9" s="9" t="s">
        <v>43</v>
      </c>
      <c r="D9" s="9" t="s">
        <v>44</v>
      </c>
      <c r="E9" s="9" t="str">
        <f>"0,7271"</f>
        <v>0,7271</v>
      </c>
      <c r="F9" s="9" t="s">
        <v>16</v>
      </c>
      <c r="G9" s="22" t="s">
        <v>50</v>
      </c>
      <c r="H9" s="22" t="s">
        <v>50</v>
      </c>
      <c r="I9" s="21" t="s">
        <v>50</v>
      </c>
      <c r="J9" s="21" t="s">
        <v>51</v>
      </c>
      <c r="K9" s="10" t="str">
        <f>"250,0"</f>
        <v>250,0</v>
      </c>
      <c r="L9" s="10" t="str">
        <f>"181,7750"</f>
        <v>181,7750</v>
      </c>
      <c r="M9" s="9" t="s">
        <v>22</v>
      </c>
    </row>
    <row r="10" spans="1:13">
      <c r="B10" s="7" t="s">
        <v>132</v>
      </c>
    </row>
    <row r="11" spans="1:13" ht="16">
      <c r="A11" s="51" t="s">
        <v>52</v>
      </c>
      <c r="B11" s="51"/>
      <c r="C11" s="52"/>
      <c r="D11" s="52"/>
      <c r="E11" s="52"/>
      <c r="F11" s="52"/>
      <c r="G11" s="52"/>
      <c r="H11" s="52"/>
      <c r="I11" s="52"/>
      <c r="J11" s="52"/>
    </row>
    <row r="12" spans="1:13">
      <c r="A12" s="10" t="s">
        <v>131</v>
      </c>
      <c r="B12" s="9" t="s">
        <v>204</v>
      </c>
      <c r="C12" s="9" t="s">
        <v>205</v>
      </c>
      <c r="D12" s="9" t="s">
        <v>206</v>
      </c>
      <c r="E12" s="9" t="str">
        <f>"0,6963"</f>
        <v>0,6963</v>
      </c>
      <c r="F12" s="9" t="s">
        <v>402</v>
      </c>
      <c r="G12" s="21" t="s">
        <v>41</v>
      </c>
      <c r="H12" s="21" t="s">
        <v>69</v>
      </c>
      <c r="I12" s="22" t="s">
        <v>207</v>
      </c>
      <c r="J12" s="10"/>
      <c r="K12" s="10" t="str">
        <f>"240,0"</f>
        <v>240,0</v>
      </c>
      <c r="L12" s="10" t="str">
        <f>"167,1120"</f>
        <v>167,1120</v>
      </c>
      <c r="M12" s="9" t="s">
        <v>208</v>
      </c>
    </row>
    <row r="13" spans="1:13">
      <c r="B13" s="7" t="s">
        <v>132</v>
      </c>
    </row>
    <row r="14" spans="1:13" ht="16">
      <c r="A14" s="51" t="s">
        <v>23</v>
      </c>
      <c r="B14" s="51"/>
      <c r="C14" s="52"/>
      <c r="D14" s="52"/>
      <c r="E14" s="52"/>
      <c r="F14" s="52"/>
      <c r="G14" s="52"/>
      <c r="H14" s="52"/>
      <c r="I14" s="52"/>
      <c r="J14" s="52"/>
    </row>
    <row r="15" spans="1:13">
      <c r="A15" s="10" t="s">
        <v>131</v>
      </c>
      <c r="B15" s="9" t="s">
        <v>66</v>
      </c>
      <c r="C15" s="9" t="s">
        <v>67</v>
      </c>
      <c r="D15" s="9" t="s">
        <v>68</v>
      </c>
      <c r="E15" s="9" t="str">
        <f>"0,6432"</f>
        <v>0,6432</v>
      </c>
      <c r="F15" s="9" t="s">
        <v>16</v>
      </c>
      <c r="G15" s="21" t="s">
        <v>50</v>
      </c>
      <c r="H15" s="21" t="s">
        <v>71</v>
      </c>
      <c r="I15" s="10"/>
      <c r="J15" s="10"/>
      <c r="K15" s="10" t="str">
        <f>"260,0"</f>
        <v>260,0</v>
      </c>
      <c r="L15" s="10" t="str">
        <f>"167,2320"</f>
        <v>167,2320</v>
      </c>
      <c r="M15" s="9" t="s">
        <v>22</v>
      </c>
    </row>
    <row r="16" spans="1:13">
      <c r="B16" s="7" t="s">
        <v>132</v>
      </c>
    </row>
    <row r="17" spans="1:13" ht="16">
      <c r="A17" s="51" t="s">
        <v>87</v>
      </c>
      <c r="B17" s="51"/>
      <c r="C17" s="52"/>
      <c r="D17" s="52"/>
      <c r="E17" s="52"/>
      <c r="F17" s="52"/>
      <c r="G17" s="52"/>
      <c r="H17" s="52"/>
      <c r="I17" s="52"/>
      <c r="J17" s="52"/>
    </row>
    <row r="18" spans="1:13">
      <c r="A18" s="10" t="s">
        <v>131</v>
      </c>
      <c r="B18" s="9" t="s">
        <v>379</v>
      </c>
      <c r="C18" s="9" t="s">
        <v>380</v>
      </c>
      <c r="D18" s="9" t="s">
        <v>381</v>
      </c>
      <c r="E18" s="9" t="str">
        <f>"0,6024"</f>
        <v>0,6024</v>
      </c>
      <c r="F18" s="9" t="s">
        <v>16</v>
      </c>
      <c r="G18" s="22" t="s">
        <v>382</v>
      </c>
      <c r="H18" s="21" t="s">
        <v>51</v>
      </c>
      <c r="I18" s="21" t="s">
        <v>105</v>
      </c>
      <c r="J18" s="10"/>
      <c r="K18" s="10" t="str">
        <f>"285,0"</f>
        <v>285,0</v>
      </c>
      <c r="L18" s="10" t="str">
        <f>"171,6840"</f>
        <v>171,6840</v>
      </c>
      <c r="M18" s="9" t="s">
        <v>383</v>
      </c>
    </row>
    <row r="19" spans="1:13">
      <c r="B19" s="7" t="s">
        <v>132</v>
      </c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7EFAA-F7A6-47CC-AA87-296E2D2D1A85}">
  <dimension ref="A1:U22"/>
  <sheetViews>
    <sheetView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21.6640625" style="7" bestFit="1" customWidth="1"/>
    <col min="3" max="3" width="26.5" style="7" bestFit="1" customWidth="1"/>
    <col min="4" max="4" width="15.83203125" style="7" customWidth="1"/>
    <col min="5" max="5" width="10.5" style="7" bestFit="1" customWidth="1"/>
    <col min="6" max="6" width="33.1640625" style="7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8" width="5.5" style="8" customWidth="1"/>
    <col min="19" max="19" width="7.83203125" style="29" bestFit="1" customWidth="1"/>
    <col min="20" max="20" width="8.5" style="8" bestFit="1" customWidth="1"/>
    <col min="21" max="21" width="15.5" style="7" bestFit="1" customWidth="1"/>
    <col min="22" max="16384" width="9.1640625" style="3"/>
  </cols>
  <sheetData>
    <row r="1" spans="1:21" s="2" customFormat="1" ht="29" customHeight="1">
      <c r="A1" s="40" t="s">
        <v>407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136</v>
      </c>
      <c r="B3" s="53" t="s">
        <v>0</v>
      </c>
      <c r="C3" s="50" t="s">
        <v>5</v>
      </c>
      <c r="D3" s="50" t="s">
        <v>7</v>
      </c>
      <c r="E3" s="34" t="s">
        <v>8</v>
      </c>
      <c r="F3" s="34" t="s">
        <v>6</v>
      </c>
      <c r="G3" s="34" t="s">
        <v>9</v>
      </c>
      <c r="H3" s="34"/>
      <c r="I3" s="34"/>
      <c r="J3" s="34"/>
      <c r="K3" s="34" t="s">
        <v>10</v>
      </c>
      <c r="L3" s="34"/>
      <c r="M3" s="34"/>
      <c r="N3" s="34"/>
      <c r="O3" s="34" t="s">
        <v>11</v>
      </c>
      <c r="P3" s="34"/>
      <c r="Q3" s="34"/>
      <c r="R3" s="34"/>
      <c r="S3" s="55" t="s">
        <v>1</v>
      </c>
      <c r="T3" s="34" t="s">
        <v>3</v>
      </c>
      <c r="U3" s="36" t="s">
        <v>2</v>
      </c>
    </row>
    <row r="4" spans="1:21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6"/>
      <c r="T4" s="35"/>
      <c r="U4" s="37"/>
    </row>
    <row r="5" spans="1:21" ht="16">
      <c r="A5" s="38" t="s">
        <v>32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10" t="s">
        <v>131</v>
      </c>
      <c r="B6" s="9" t="s">
        <v>185</v>
      </c>
      <c r="C6" s="9" t="s">
        <v>186</v>
      </c>
      <c r="D6" s="9" t="s">
        <v>187</v>
      </c>
      <c r="E6" s="9" t="str">
        <f>"0,9824"</f>
        <v>0,9824</v>
      </c>
      <c r="F6" s="9" t="s">
        <v>16</v>
      </c>
      <c r="G6" s="21" t="s">
        <v>17</v>
      </c>
      <c r="H6" s="21" t="s">
        <v>30</v>
      </c>
      <c r="I6" s="21" t="s">
        <v>157</v>
      </c>
      <c r="J6" s="10"/>
      <c r="K6" s="21" t="s">
        <v>19</v>
      </c>
      <c r="L6" s="21" t="s">
        <v>143</v>
      </c>
      <c r="M6" s="21" t="s">
        <v>20</v>
      </c>
      <c r="N6" s="10"/>
      <c r="O6" s="21" t="s">
        <v>17</v>
      </c>
      <c r="P6" s="21" t="s">
        <v>18</v>
      </c>
      <c r="Q6" s="21" t="s">
        <v>21</v>
      </c>
      <c r="R6" s="10"/>
      <c r="S6" s="30" t="str">
        <f>"290,0"</f>
        <v>290,0</v>
      </c>
      <c r="T6" s="10" t="str">
        <f>"284,8960"</f>
        <v>284,8960</v>
      </c>
      <c r="U6" s="9" t="s">
        <v>188</v>
      </c>
    </row>
    <row r="7" spans="1:21">
      <c r="B7" s="7" t="s">
        <v>132</v>
      </c>
    </row>
    <row r="8" spans="1:21" ht="16">
      <c r="A8" s="51" t="s">
        <v>146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10" t="s">
        <v>131</v>
      </c>
      <c r="B9" s="9" t="s">
        <v>189</v>
      </c>
      <c r="C9" s="9" t="s">
        <v>190</v>
      </c>
      <c r="D9" s="9" t="s">
        <v>191</v>
      </c>
      <c r="E9" s="9" t="str">
        <f>"0,8787"</f>
        <v>0,8787</v>
      </c>
      <c r="F9" s="9" t="s">
        <v>16</v>
      </c>
      <c r="G9" s="21" t="s">
        <v>152</v>
      </c>
      <c r="H9" s="21" t="s">
        <v>192</v>
      </c>
      <c r="I9" s="21" t="s">
        <v>193</v>
      </c>
      <c r="J9" s="10"/>
      <c r="K9" s="21" t="s">
        <v>194</v>
      </c>
      <c r="L9" s="21" t="s">
        <v>195</v>
      </c>
      <c r="M9" s="21" t="s">
        <v>142</v>
      </c>
      <c r="N9" s="10"/>
      <c r="O9" s="21" t="s">
        <v>152</v>
      </c>
      <c r="P9" s="21" t="s">
        <v>196</v>
      </c>
      <c r="Q9" s="21" t="s">
        <v>197</v>
      </c>
      <c r="R9" s="10"/>
      <c r="S9" s="30" t="str">
        <f>"195,0"</f>
        <v>195,0</v>
      </c>
      <c r="T9" s="10" t="str">
        <f>"171,3465"</f>
        <v>171,3465</v>
      </c>
      <c r="U9" s="9" t="s">
        <v>198</v>
      </c>
    </row>
    <row r="10" spans="1:21">
      <c r="B10" s="7" t="s">
        <v>132</v>
      </c>
    </row>
    <row r="11" spans="1:21" ht="16">
      <c r="A11" s="51" t="s">
        <v>32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1">
      <c r="A12" s="10" t="s">
        <v>131</v>
      </c>
      <c r="B12" s="9" t="s">
        <v>199</v>
      </c>
      <c r="C12" s="9" t="s">
        <v>200</v>
      </c>
      <c r="D12" s="9" t="s">
        <v>201</v>
      </c>
      <c r="E12" s="9" t="str">
        <f>"0,7300"</f>
        <v>0,7300</v>
      </c>
      <c r="F12" s="9" t="s">
        <v>202</v>
      </c>
      <c r="G12" s="21" t="s">
        <v>62</v>
      </c>
      <c r="H12" s="22" t="s">
        <v>64</v>
      </c>
      <c r="I12" s="22" t="s">
        <v>64</v>
      </c>
      <c r="J12" s="10"/>
      <c r="K12" s="21" t="s">
        <v>144</v>
      </c>
      <c r="L12" s="22" t="s">
        <v>30</v>
      </c>
      <c r="M12" s="22" t="s">
        <v>63</v>
      </c>
      <c r="N12" s="10"/>
      <c r="O12" s="22" t="s">
        <v>77</v>
      </c>
      <c r="P12" s="21" t="s">
        <v>77</v>
      </c>
      <c r="Q12" s="22" t="s">
        <v>164</v>
      </c>
      <c r="R12" s="10"/>
      <c r="S12" s="30" t="str">
        <f>"440,0"</f>
        <v>440,0</v>
      </c>
      <c r="T12" s="10" t="str">
        <f>"321,2000"</f>
        <v>321,2000</v>
      </c>
      <c r="U12" s="9" t="s">
        <v>203</v>
      </c>
    </row>
    <row r="13" spans="1:21">
      <c r="B13" s="7" t="s">
        <v>132</v>
      </c>
    </row>
    <row r="14" spans="1:21" ht="16">
      <c r="A14" s="51" t="s">
        <v>52</v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21">
      <c r="A15" s="10" t="s">
        <v>131</v>
      </c>
      <c r="B15" s="9" t="s">
        <v>204</v>
      </c>
      <c r="C15" s="9" t="s">
        <v>205</v>
      </c>
      <c r="D15" s="9" t="s">
        <v>206</v>
      </c>
      <c r="E15" s="9" t="str">
        <f>"0,6963"</f>
        <v>0,6963</v>
      </c>
      <c r="F15" s="9" t="s">
        <v>402</v>
      </c>
      <c r="G15" s="21" t="s">
        <v>38</v>
      </c>
      <c r="H15" s="21" t="s">
        <v>62</v>
      </c>
      <c r="I15" s="22" t="s">
        <v>29</v>
      </c>
      <c r="J15" s="10"/>
      <c r="K15" s="22" t="s">
        <v>48</v>
      </c>
      <c r="L15" s="22" t="s">
        <v>48</v>
      </c>
      <c r="M15" s="21" t="s">
        <v>48</v>
      </c>
      <c r="N15" s="10"/>
      <c r="O15" s="21" t="s">
        <v>41</v>
      </c>
      <c r="P15" s="21" t="s">
        <v>69</v>
      </c>
      <c r="Q15" s="22" t="s">
        <v>207</v>
      </c>
      <c r="R15" s="10"/>
      <c r="S15" s="30" t="str">
        <f>"530,0"</f>
        <v>530,0</v>
      </c>
      <c r="T15" s="10" t="str">
        <f>"369,0390"</f>
        <v>369,0390</v>
      </c>
      <c r="U15" s="9" t="s">
        <v>208</v>
      </c>
    </row>
    <row r="16" spans="1:21">
      <c r="B16" s="7" t="s">
        <v>132</v>
      </c>
    </row>
    <row r="17" spans="1:21" ht="16">
      <c r="A17" s="51" t="s">
        <v>23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21">
      <c r="A18" s="10" t="s">
        <v>134</v>
      </c>
      <c r="B18" s="9" t="s">
        <v>209</v>
      </c>
      <c r="C18" s="9" t="s">
        <v>210</v>
      </c>
      <c r="D18" s="9" t="s">
        <v>211</v>
      </c>
      <c r="E18" s="9" t="str">
        <f>"0,6619"</f>
        <v>0,6619</v>
      </c>
      <c r="F18" s="9" t="s">
        <v>16</v>
      </c>
      <c r="G18" s="22" t="s">
        <v>45</v>
      </c>
      <c r="H18" s="10"/>
      <c r="I18" s="10"/>
      <c r="J18" s="10"/>
      <c r="K18" s="22"/>
      <c r="L18" s="10"/>
      <c r="M18" s="10"/>
      <c r="N18" s="10"/>
      <c r="O18" s="22"/>
      <c r="P18" s="10"/>
      <c r="Q18" s="10"/>
      <c r="R18" s="10"/>
      <c r="S18" s="30">
        <v>0</v>
      </c>
      <c r="T18" s="10" t="str">
        <f>"0,0000"</f>
        <v>0,0000</v>
      </c>
      <c r="U18" s="9" t="s">
        <v>414</v>
      </c>
    </row>
    <row r="19" spans="1:21">
      <c r="B19" s="7" t="s">
        <v>132</v>
      </c>
    </row>
    <row r="20" spans="1:21" ht="16">
      <c r="A20" s="51" t="s">
        <v>72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21">
      <c r="A21" s="10" t="s">
        <v>131</v>
      </c>
      <c r="B21" s="9" t="s">
        <v>212</v>
      </c>
      <c r="C21" s="9" t="s">
        <v>213</v>
      </c>
      <c r="D21" s="9" t="s">
        <v>214</v>
      </c>
      <c r="E21" s="9" t="str">
        <f>"0,6098"</f>
        <v>0,6098</v>
      </c>
      <c r="F21" s="9" t="s">
        <v>16</v>
      </c>
      <c r="G21" s="21" t="s">
        <v>51</v>
      </c>
      <c r="H21" s="21" t="s">
        <v>105</v>
      </c>
      <c r="I21" s="21" t="s">
        <v>215</v>
      </c>
      <c r="J21" s="10"/>
      <c r="K21" s="21" t="s">
        <v>82</v>
      </c>
      <c r="L21" s="21" t="s">
        <v>45</v>
      </c>
      <c r="M21" s="21" t="s">
        <v>39</v>
      </c>
      <c r="N21" s="10"/>
      <c r="O21" s="21" t="s">
        <v>76</v>
      </c>
      <c r="P21" s="21" t="s">
        <v>91</v>
      </c>
      <c r="Q21" s="21" t="s">
        <v>92</v>
      </c>
      <c r="R21" s="21" t="s">
        <v>216</v>
      </c>
      <c r="S21" s="30" t="str">
        <f>"815,0"</f>
        <v>815,0</v>
      </c>
      <c r="T21" s="10" t="str">
        <f>"496,9870"</f>
        <v>496,9870</v>
      </c>
      <c r="U21" s="9" t="s">
        <v>217</v>
      </c>
    </row>
    <row r="22" spans="1:21">
      <c r="B22" s="7" t="s">
        <v>132</v>
      </c>
    </row>
  </sheetData>
  <mergeCells count="19">
    <mergeCell ref="A20:R20"/>
    <mergeCell ref="A5:R5"/>
    <mergeCell ref="A8:R8"/>
    <mergeCell ref="A11:R11"/>
    <mergeCell ref="A14:R14"/>
    <mergeCell ref="A17:R17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D8EF5-0A5A-47FA-B742-FF0FB1039497}">
  <dimension ref="A1:U24"/>
  <sheetViews>
    <sheetView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22" style="7" bestFit="1" customWidth="1"/>
    <col min="3" max="3" width="26.5" style="7" bestFit="1" customWidth="1"/>
    <col min="4" max="4" width="21.5" style="7" bestFit="1" customWidth="1"/>
    <col min="5" max="5" width="10.5" style="7" bestFit="1" customWidth="1"/>
    <col min="6" max="6" width="29.33203125" style="7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29" bestFit="1" customWidth="1"/>
    <col min="20" max="20" width="8.5" style="8" bestFit="1" customWidth="1"/>
    <col min="21" max="21" width="16.83203125" style="7" bestFit="1" customWidth="1"/>
    <col min="22" max="16384" width="9.1640625" style="3"/>
  </cols>
  <sheetData>
    <row r="1" spans="1:21" s="2" customFormat="1" ht="29" customHeight="1">
      <c r="A1" s="40" t="s">
        <v>408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136</v>
      </c>
      <c r="B3" s="53" t="s">
        <v>0</v>
      </c>
      <c r="C3" s="50" t="s">
        <v>5</v>
      </c>
      <c r="D3" s="50" t="s">
        <v>7</v>
      </c>
      <c r="E3" s="34" t="s">
        <v>8</v>
      </c>
      <c r="F3" s="34" t="s">
        <v>6</v>
      </c>
      <c r="G3" s="34" t="s">
        <v>9</v>
      </c>
      <c r="H3" s="34"/>
      <c r="I3" s="34"/>
      <c r="J3" s="34"/>
      <c r="K3" s="34" t="s">
        <v>10</v>
      </c>
      <c r="L3" s="34"/>
      <c r="M3" s="34"/>
      <c r="N3" s="34"/>
      <c r="O3" s="34" t="s">
        <v>11</v>
      </c>
      <c r="P3" s="34"/>
      <c r="Q3" s="34"/>
      <c r="R3" s="34"/>
      <c r="S3" s="55" t="s">
        <v>1</v>
      </c>
      <c r="T3" s="34" t="s">
        <v>3</v>
      </c>
      <c r="U3" s="36" t="s">
        <v>2</v>
      </c>
    </row>
    <row r="4" spans="1:21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6"/>
      <c r="T4" s="35"/>
      <c r="U4" s="37"/>
    </row>
    <row r="5" spans="1:21" ht="16">
      <c r="A5" s="38" t="s">
        <v>137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10" t="s">
        <v>131</v>
      </c>
      <c r="B6" s="9" t="s">
        <v>138</v>
      </c>
      <c r="C6" s="9" t="s">
        <v>139</v>
      </c>
      <c r="D6" s="9" t="s">
        <v>140</v>
      </c>
      <c r="E6" s="9" t="str">
        <f>"1,1816"</f>
        <v>1,1816</v>
      </c>
      <c r="F6" s="9" t="s">
        <v>16</v>
      </c>
      <c r="G6" s="21" t="s">
        <v>141</v>
      </c>
      <c r="H6" s="22" t="s">
        <v>17</v>
      </c>
      <c r="I6" s="22" t="s">
        <v>17</v>
      </c>
      <c r="J6" s="10"/>
      <c r="K6" s="21" t="s">
        <v>142</v>
      </c>
      <c r="L6" s="21" t="s">
        <v>143</v>
      </c>
      <c r="M6" s="21" t="s">
        <v>20</v>
      </c>
      <c r="N6" s="10"/>
      <c r="O6" s="21" t="s">
        <v>144</v>
      </c>
      <c r="P6" s="21" t="s">
        <v>30</v>
      </c>
      <c r="Q6" s="21" t="s">
        <v>63</v>
      </c>
      <c r="R6" s="10"/>
      <c r="S6" s="30" t="str">
        <f>"262,5"</f>
        <v>262,5</v>
      </c>
      <c r="T6" s="10" t="str">
        <f>"310,1700"</f>
        <v>310,1700</v>
      </c>
      <c r="U6" s="9" t="s">
        <v>145</v>
      </c>
    </row>
    <row r="7" spans="1:21">
      <c r="B7" s="7" t="s">
        <v>132</v>
      </c>
    </row>
    <row r="8" spans="1:21" ht="16">
      <c r="A8" s="51" t="s">
        <v>146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10" t="s">
        <v>131</v>
      </c>
      <c r="B9" s="9" t="s">
        <v>147</v>
      </c>
      <c r="C9" s="9" t="s">
        <v>148</v>
      </c>
      <c r="D9" s="9" t="s">
        <v>149</v>
      </c>
      <c r="E9" s="9" t="str">
        <f>"1,1192"</f>
        <v>1,1192</v>
      </c>
      <c r="F9" s="9" t="s">
        <v>16</v>
      </c>
      <c r="G9" s="21" t="s">
        <v>150</v>
      </c>
      <c r="H9" s="22" t="s">
        <v>144</v>
      </c>
      <c r="I9" s="22" t="s">
        <v>151</v>
      </c>
      <c r="J9" s="10"/>
      <c r="K9" s="21" t="s">
        <v>143</v>
      </c>
      <c r="L9" s="21" t="s">
        <v>20</v>
      </c>
      <c r="M9" s="22" t="s">
        <v>152</v>
      </c>
      <c r="N9" s="10"/>
      <c r="O9" s="21" t="s">
        <v>141</v>
      </c>
      <c r="P9" s="21" t="s">
        <v>151</v>
      </c>
      <c r="Q9" s="10"/>
      <c r="R9" s="10"/>
      <c r="S9" s="30" t="str">
        <f>"247,5"</f>
        <v>247,5</v>
      </c>
      <c r="T9" s="10" t="str">
        <f>"277,0020"</f>
        <v>277,0020</v>
      </c>
      <c r="U9" s="9" t="s">
        <v>106</v>
      </c>
    </row>
    <row r="10" spans="1:21">
      <c r="B10" s="7" t="s">
        <v>132</v>
      </c>
    </row>
    <row r="11" spans="1:21" ht="16">
      <c r="A11" s="51" t="s">
        <v>52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1">
      <c r="A12" s="10" t="s">
        <v>131</v>
      </c>
      <c r="B12" s="9" t="s">
        <v>153</v>
      </c>
      <c r="C12" s="9" t="s">
        <v>154</v>
      </c>
      <c r="D12" s="9" t="s">
        <v>155</v>
      </c>
      <c r="E12" s="9" t="str">
        <f>"0,6724"</f>
        <v>0,6724</v>
      </c>
      <c r="F12" s="9" t="s">
        <v>16</v>
      </c>
      <c r="G12" s="22" t="s">
        <v>156</v>
      </c>
      <c r="H12" s="22" t="s">
        <v>156</v>
      </c>
      <c r="I12" s="21" t="s">
        <v>156</v>
      </c>
      <c r="J12" s="10"/>
      <c r="K12" s="21" t="s">
        <v>30</v>
      </c>
      <c r="L12" s="21" t="s">
        <v>18</v>
      </c>
      <c r="M12" s="21" t="s">
        <v>157</v>
      </c>
      <c r="N12" s="10"/>
      <c r="O12" s="22" t="s">
        <v>36</v>
      </c>
      <c r="P12" s="21" t="s">
        <v>37</v>
      </c>
      <c r="Q12" s="21" t="s">
        <v>103</v>
      </c>
      <c r="R12" s="10"/>
      <c r="S12" s="30" t="str">
        <f>"542,5"</f>
        <v>542,5</v>
      </c>
      <c r="T12" s="10" t="str">
        <f>"364,7770"</f>
        <v>364,7770</v>
      </c>
      <c r="U12" s="9" t="s">
        <v>414</v>
      </c>
    </row>
    <row r="13" spans="1:21">
      <c r="B13" s="7" t="s">
        <v>132</v>
      </c>
    </row>
    <row r="14" spans="1:21" ht="16">
      <c r="A14" s="51" t="s">
        <v>23</v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21">
      <c r="A15" s="12" t="s">
        <v>131</v>
      </c>
      <c r="B15" s="11" t="s">
        <v>158</v>
      </c>
      <c r="C15" s="11" t="s">
        <v>159</v>
      </c>
      <c r="D15" s="11" t="s">
        <v>160</v>
      </c>
      <c r="E15" s="11" t="str">
        <f>"0,6406"</f>
        <v>0,6406</v>
      </c>
      <c r="F15" s="11" t="s">
        <v>16</v>
      </c>
      <c r="G15" s="24" t="s">
        <v>29</v>
      </c>
      <c r="H15" s="23" t="s">
        <v>82</v>
      </c>
      <c r="I15" s="23" t="s">
        <v>82</v>
      </c>
      <c r="J15" s="12"/>
      <c r="K15" s="24" t="s">
        <v>21</v>
      </c>
      <c r="L15" s="23" t="s">
        <v>48</v>
      </c>
      <c r="M15" s="24" t="s">
        <v>48</v>
      </c>
      <c r="N15" s="12"/>
      <c r="O15" s="24" t="s">
        <v>82</v>
      </c>
      <c r="P15" s="24" t="s">
        <v>45</v>
      </c>
      <c r="Q15" s="24" t="s">
        <v>39</v>
      </c>
      <c r="R15" s="12"/>
      <c r="S15" s="31" t="str">
        <f>"500,0"</f>
        <v>500,0</v>
      </c>
      <c r="T15" s="12" t="str">
        <f>"320,3000"</f>
        <v>320,3000</v>
      </c>
      <c r="U15" s="11" t="s">
        <v>22</v>
      </c>
    </row>
    <row r="16" spans="1:21">
      <c r="A16" s="16" t="s">
        <v>131</v>
      </c>
      <c r="B16" s="15" t="s">
        <v>161</v>
      </c>
      <c r="C16" s="15" t="s">
        <v>162</v>
      </c>
      <c r="D16" s="15" t="s">
        <v>163</v>
      </c>
      <c r="E16" s="15" t="str">
        <f>"0,6451"</f>
        <v>0,6451</v>
      </c>
      <c r="F16" s="15" t="s">
        <v>16</v>
      </c>
      <c r="G16" s="27" t="s">
        <v>77</v>
      </c>
      <c r="H16" s="28" t="s">
        <v>164</v>
      </c>
      <c r="I16" s="27" t="s">
        <v>39</v>
      </c>
      <c r="J16" s="16"/>
      <c r="K16" s="28" t="s">
        <v>63</v>
      </c>
      <c r="L16" s="28" t="s">
        <v>21</v>
      </c>
      <c r="M16" s="27" t="s">
        <v>165</v>
      </c>
      <c r="N16" s="16"/>
      <c r="O16" s="27" t="s">
        <v>37</v>
      </c>
      <c r="P16" s="28" t="s">
        <v>41</v>
      </c>
      <c r="Q16" s="28" t="s">
        <v>69</v>
      </c>
      <c r="R16" s="16"/>
      <c r="S16" s="32" t="str">
        <f>"552,5"</f>
        <v>552,5</v>
      </c>
      <c r="T16" s="16" t="str">
        <f>"356,4177"</f>
        <v>356,4177</v>
      </c>
      <c r="U16" s="15" t="s">
        <v>166</v>
      </c>
    </row>
    <row r="17" spans="1:21">
      <c r="A17" s="14" t="s">
        <v>133</v>
      </c>
      <c r="B17" s="13" t="s">
        <v>167</v>
      </c>
      <c r="C17" s="13" t="s">
        <v>168</v>
      </c>
      <c r="D17" s="13" t="s">
        <v>169</v>
      </c>
      <c r="E17" s="13" t="str">
        <f>"0,6491"</f>
        <v>0,6491</v>
      </c>
      <c r="F17" s="13" t="s">
        <v>16</v>
      </c>
      <c r="G17" s="26" t="s">
        <v>77</v>
      </c>
      <c r="H17" s="26" t="s">
        <v>39</v>
      </c>
      <c r="I17" s="25" t="s">
        <v>46</v>
      </c>
      <c r="J17" s="14"/>
      <c r="K17" s="26" t="s">
        <v>170</v>
      </c>
      <c r="L17" s="26" t="s">
        <v>48</v>
      </c>
      <c r="M17" s="25" t="s">
        <v>171</v>
      </c>
      <c r="N17" s="14"/>
      <c r="O17" s="26" t="s">
        <v>45</v>
      </c>
      <c r="P17" s="26" t="s">
        <v>39</v>
      </c>
      <c r="Q17" s="25" t="s">
        <v>172</v>
      </c>
      <c r="R17" s="14"/>
      <c r="S17" s="33" t="str">
        <f>"530,0"</f>
        <v>530,0</v>
      </c>
      <c r="T17" s="14" t="str">
        <f>"344,0230"</f>
        <v>344,0230</v>
      </c>
      <c r="U17" s="13" t="s">
        <v>414</v>
      </c>
    </row>
    <row r="18" spans="1:21">
      <c r="B18" s="7" t="s">
        <v>132</v>
      </c>
    </row>
    <row r="19" spans="1:21" ht="16">
      <c r="A19" s="51" t="s">
        <v>72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21">
      <c r="A20" s="10" t="s">
        <v>134</v>
      </c>
      <c r="B20" s="9" t="s">
        <v>173</v>
      </c>
      <c r="C20" s="9" t="s">
        <v>174</v>
      </c>
      <c r="D20" s="9" t="s">
        <v>175</v>
      </c>
      <c r="E20" s="9" t="str">
        <f>"0,6359"</f>
        <v>0,6359</v>
      </c>
      <c r="F20" s="9" t="s">
        <v>16</v>
      </c>
      <c r="G20" s="21" t="s">
        <v>29</v>
      </c>
      <c r="H20" s="22" t="s">
        <v>82</v>
      </c>
      <c r="I20" s="22" t="s">
        <v>45</v>
      </c>
      <c r="J20" s="10"/>
      <c r="K20" s="22" t="s">
        <v>18</v>
      </c>
      <c r="L20" s="22" t="s">
        <v>21</v>
      </c>
      <c r="M20" s="22" t="s">
        <v>21</v>
      </c>
      <c r="N20" s="10"/>
      <c r="O20" s="22"/>
      <c r="P20" s="10"/>
      <c r="Q20" s="10"/>
      <c r="R20" s="10"/>
      <c r="S20" s="30">
        <v>0</v>
      </c>
      <c r="T20" s="10" t="str">
        <f>"0,0000"</f>
        <v>0,0000</v>
      </c>
      <c r="U20" s="9" t="s">
        <v>22</v>
      </c>
    </row>
    <row r="21" spans="1:21">
      <c r="B21" s="7" t="s">
        <v>132</v>
      </c>
    </row>
    <row r="22" spans="1:21" ht="16">
      <c r="A22" s="51" t="s">
        <v>176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21">
      <c r="A23" s="10" t="s">
        <v>131</v>
      </c>
      <c r="B23" s="9" t="s">
        <v>177</v>
      </c>
      <c r="C23" s="9" t="s">
        <v>178</v>
      </c>
      <c r="D23" s="9" t="s">
        <v>179</v>
      </c>
      <c r="E23" s="9" t="str">
        <f>"0,5748"</f>
        <v>0,5748</v>
      </c>
      <c r="F23" s="9" t="s">
        <v>86</v>
      </c>
      <c r="G23" s="21" t="s">
        <v>69</v>
      </c>
      <c r="H23" s="21" t="s">
        <v>50</v>
      </c>
      <c r="I23" s="22" t="s">
        <v>71</v>
      </c>
      <c r="J23" s="10"/>
      <c r="K23" s="22" t="s">
        <v>48</v>
      </c>
      <c r="L23" s="21" t="s">
        <v>180</v>
      </c>
      <c r="M23" s="22" t="s">
        <v>181</v>
      </c>
      <c r="N23" s="10"/>
      <c r="O23" s="21" t="s">
        <v>41</v>
      </c>
      <c r="P23" s="21" t="s">
        <v>50</v>
      </c>
      <c r="Q23" s="22" t="s">
        <v>182</v>
      </c>
      <c r="R23" s="10"/>
      <c r="S23" s="30" t="str">
        <f>"635,0"</f>
        <v>635,0</v>
      </c>
      <c r="T23" s="10" t="str">
        <f>"364,9980"</f>
        <v>364,9980</v>
      </c>
      <c r="U23" s="9" t="s">
        <v>22</v>
      </c>
    </row>
    <row r="24" spans="1:21">
      <c r="B24" s="7" t="s">
        <v>132</v>
      </c>
    </row>
  </sheetData>
  <mergeCells count="19">
    <mergeCell ref="A22:R22"/>
    <mergeCell ref="A5:R5"/>
    <mergeCell ref="A8:R8"/>
    <mergeCell ref="A11:R11"/>
    <mergeCell ref="A14:R14"/>
    <mergeCell ref="A19:R19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44"/>
  <sheetViews>
    <sheetView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25.83203125" style="7" customWidth="1"/>
    <col min="3" max="3" width="27.5" style="7" bestFit="1" customWidth="1"/>
    <col min="4" max="4" width="15.5" style="7" customWidth="1"/>
    <col min="5" max="5" width="10.5" style="7" bestFit="1" customWidth="1"/>
    <col min="6" max="6" width="32" style="7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8" width="5.5" style="8" customWidth="1"/>
    <col min="19" max="19" width="7.83203125" style="29" bestFit="1" customWidth="1"/>
    <col min="20" max="20" width="8.5" style="8" bestFit="1" customWidth="1"/>
    <col min="21" max="21" width="15.5" style="7" bestFit="1" customWidth="1"/>
    <col min="22" max="16384" width="9.1640625" style="3"/>
  </cols>
  <sheetData>
    <row r="1" spans="1:21" s="2" customFormat="1" ht="29" customHeight="1">
      <c r="A1" s="40" t="s">
        <v>409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136</v>
      </c>
      <c r="B3" s="53" t="s">
        <v>0</v>
      </c>
      <c r="C3" s="50" t="s">
        <v>5</v>
      </c>
      <c r="D3" s="50" t="s">
        <v>7</v>
      </c>
      <c r="E3" s="34" t="s">
        <v>8</v>
      </c>
      <c r="F3" s="34" t="s">
        <v>6</v>
      </c>
      <c r="G3" s="34" t="s">
        <v>9</v>
      </c>
      <c r="H3" s="34"/>
      <c r="I3" s="34"/>
      <c r="J3" s="34"/>
      <c r="K3" s="34" t="s">
        <v>10</v>
      </c>
      <c r="L3" s="34"/>
      <c r="M3" s="34"/>
      <c r="N3" s="34"/>
      <c r="O3" s="34" t="s">
        <v>11</v>
      </c>
      <c r="P3" s="34"/>
      <c r="Q3" s="34"/>
      <c r="R3" s="34"/>
      <c r="S3" s="55" t="s">
        <v>1</v>
      </c>
      <c r="T3" s="34" t="s">
        <v>3</v>
      </c>
      <c r="U3" s="36" t="s">
        <v>2</v>
      </c>
    </row>
    <row r="4" spans="1:21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6"/>
      <c r="T4" s="35"/>
      <c r="U4" s="37"/>
    </row>
    <row r="5" spans="1:21" ht="16">
      <c r="A5" s="38" t="s">
        <v>12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10" t="s">
        <v>131</v>
      </c>
      <c r="B6" s="9" t="s">
        <v>13</v>
      </c>
      <c r="C6" s="9" t="s">
        <v>14</v>
      </c>
      <c r="D6" s="9" t="s">
        <v>15</v>
      </c>
      <c r="E6" s="9" t="str">
        <f>"1,0551"</f>
        <v>1,0551</v>
      </c>
      <c r="F6" s="9" t="s">
        <v>16</v>
      </c>
      <c r="G6" s="21" t="s">
        <v>17</v>
      </c>
      <c r="H6" s="22" t="s">
        <v>18</v>
      </c>
      <c r="I6" s="21" t="s">
        <v>18</v>
      </c>
      <c r="J6" s="10"/>
      <c r="K6" s="21" t="s">
        <v>19</v>
      </c>
      <c r="L6" s="22" t="s">
        <v>20</v>
      </c>
      <c r="M6" s="21" t="s">
        <v>20</v>
      </c>
      <c r="N6" s="10"/>
      <c r="O6" s="21" t="s">
        <v>17</v>
      </c>
      <c r="P6" s="21" t="s">
        <v>18</v>
      </c>
      <c r="Q6" s="21" t="s">
        <v>21</v>
      </c>
      <c r="R6" s="10"/>
      <c r="S6" s="30" t="str">
        <f>"287,5"</f>
        <v>287,5</v>
      </c>
      <c r="T6" s="10" t="str">
        <f>"303,3412"</f>
        <v>303,3412</v>
      </c>
      <c r="U6" s="9" t="s">
        <v>22</v>
      </c>
    </row>
    <row r="7" spans="1:21">
      <c r="B7" s="7" t="s">
        <v>132</v>
      </c>
    </row>
    <row r="8" spans="1:21" ht="16">
      <c r="A8" s="51" t="s">
        <v>23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10" t="s">
        <v>131</v>
      </c>
      <c r="B9" s="9" t="s">
        <v>24</v>
      </c>
      <c r="C9" s="9" t="s">
        <v>25</v>
      </c>
      <c r="D9" s="9" t="s">
        <v>26</v>
      </c>
      <c r="E9" s="9" t="str">
        <f>"0,8711"</f>
        <v>0,8711</v>
      </c>
      <c r="F9" s="9" t="s">
        <v>16</v>
      </c>
      <c r="G9" s="21" t="s">
        <v>27</v>
      </c>
      <c r="H9" s="21" t="s">
        <v>28</v>
      </c>
      <c r="I9" s="22" t="s">
        <v>29</v>
      </c>
      <c r="J9" s="10"/>
      <c r="K9" s="21" t="s">
        <v>17</v>
      </c>
      <c r="L9" s="21" t="s">
        <v>30</v>
      </c>
      <c r="M9" s="21" t="s">
        <v>18</v>
      </c>
      <c r="N9" s="10"/>
      <c r="O9" s="21" t="s">
        <v>27</v>
      </c>
      <c r="P9" s="21" t="s">
        <v>28</v>
      </c>
      <c r="Q9" s="21" t="s">
        <v>31</v>
      </c>
      <c r="R9" s="10"/>
      <c r="S9" s="30" t="str">
        <f>"430,0"</f>
        <v>430,0</v>
      </c>
      <c r="T9" s="10" t="str">
        <f>"374,5730"</f>
        <v>374,5730</v>
      </c>
      <c r="U9" s="9" t="s">
        <v>22</v>
      </c>
    </row>
    <row r="10" spans="1:21">
      <c r="B10" s="7" t="s">
        <v>132</v>
      </c>
    </row>
    <row r="11" spans="1:21" ht="16">
      <c r="A11" s="51" t="s">
        <v>32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1">
      <c r="A12" s="12" t="s">
        <v>131</v>
      </c>
      <c r="B12" s="11" t="s">
        <v>33</v>
      </c>
      <c r="C12" s="11" t="s">
        <v>34</v>
      </c>
      <c r="D12" s="11" t="s">
        <v>35</v>
      </c>
      <c r="E12" s="11" t="str">
        <f>"0,7126"</f>
        <v>0,7126</v>
      </c>
      <c r="F12" s="11" t="s">
        <v>16</v>
      </c>
      <c r="G12" s="23" t="s">
        <v>36</v>
      </c>
      <c r="H12" s="23" t="s">
        <v>37</v>
      </c>
      <c r="I12" s="24" t="s">
        <v>37</v>
      </c>
      <c r="J12" s="12"/>
      <c r="K12" s="24" t="s">
        <v>27</v>
      </c>
      <c r="L12" s="24" t="s">
        <v>38</v>
      </c>
      <c r="M12" s="24" t="s">
        <v>28</v>
      </c>
      <c r="N12" s="12"/>
      <c r="O12" s="24" t="s">
        <v>39</v>
      </c>
      <c r="P12" s="24" t="s">
        <v>40</v>
      </c>
      <c r="Q12" s="24" t="s">
        <v>41</v>
      </c>
      <c r="R12" s="12"/>
      <c r="S12" s="31" t="str">
        <f>"605,0"</f>
        <v>605,0</v>
      </c>
      <c r="T12" s="12" t="str">
        <f>"431,1230"</f>
        <v>431,1230</v>
      </c>
      <c r="U12" s="11" t="s">
        <v>22</v>
      </c>
    </row>
    <row r="13" spans="1:21">
      <c r="A13" s="14" t="s">
        <v>133</v>
      </c>
      <c r="B13" s="13" t="s">
        <v>42</v>
      </c>
      <c r="C13" s="13" t="s">
        <v>43</v>
      </c>
      <c r="D13" s="13" t="s">
        <v>44</v>
      </c>
      <c r="E13" s="13" t="str">
        <f>"0,7271"</f>
        <v>0,7271</v>
      </c>
      <c r="F13" s="13" t="s">
        <v>16</v>
      </c>
      <c r="G13" s="25" t="s">
        <v>45</v>
      </c>
      <c r="H13" s="26" t="s">
        <v>46</v>
      </c>
      <c r="I13" s="25" t="s">
        <v>47</v>
      </c>
      <c r="J13" s="14"/>
      <c r="K13" s="26" t="s">
        <v>48</v>
      </c>
      <c r="L13" s="26" t="s">
        <v>27</v>
      </c>
      <c r="M13" s="25" t="s">
        <v>49</v>
      </c>
      <c r="N13" s="14"/>
      <c r="O13" s="25" t="s">
        <v>50</v>
      </c>
      <c r="P13" s="25" t="s">
        <v>50</v>
      </c>
      <c r="Q13" s="26" t="s">
        <v>50</v>
      </c>
      <c r="R13" s="26" t="s">
        <v>51</v>
      </c>
      <c r="S13" s="33" t="str">
        <f>"595,0"</f>
        <v>595,0</v>
      </c>
      <c r="T13" s="14" t="str">
        <f>"432,6245"</f>
        <v>432,6245</v>
      </c>
      <c r="U13" s="13" t="s">
        <v>22</v>
      </c>
    </row>
    <row r="14" spans="1:21">
      <c r="B14" s="7" t="s">
        <v>132</v>
      </c>
    </row>
    <row r="15" spans="1:21" ht="16">
      <c r="A15" s="51" t="s">
        <v>52</v>
      </c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21">
      <c r="A16" s="12" t="s">
        <v>131</v>
      </c>
      <c r="B16" s="11" t="s">
        <v>53</v>
      </c>
      <c r="C16" s="11" t="s">
        <v>54</v>
      </c>
      <c r="D16" s="11" t="s">
        <v>55</v>
      </c>
      <c r="E16" s="11" t="str">
        <f>"0,6739"</f>
        <v>0,6739</v>
      </c>
      <c r="F16" s="11" t="s">
        <v>16</v>
      </c>
      <c r="G16" s="24" t="s">
        <v>36</v>
      </c>
      <c r="H16" s="24" t="s">
        <v>37</v>
      </c>
      <c r="I16" s="23" t="s">
        <v>56</v>
      </c>
      <c r="J16" s="12"/>
      <c r="K16" s="24" t="s">
        <v>38</v>
      </c>
      <c r="L16" s="23" t="s">
        <v>28</v>
      </c>
      <c r="M16" s="23" t="s">
        <v>28</v>
      </c>
      <c r="N16" s="12"/>
      <c r="O16" s="24" t="s">
        <v>36</v>
      </c>
      <c r="P16" s="24" t="s">
        <v>37</v>
      </c>
      <c r="Q16" s="23" t="s">
        <v>41</v>
      </c>
      <c r="R16" s="12"/>
      <c r="S16" s="31" t="str">
        <f>"590,0"</f>
        <v>590,0</v>
      </c>
      <c r="T16" s="12" t="str">
        <f>"397,6010"</f>
        <v>397,6010</v>
      </c>
      <c r="U16" s="11" t="s">
        <v>57</v>
      </c>
    </row>
    <row r="17" spans="1:21">
      <c r="A17" s="14" t="s">
        <v>133</v>
      </c>
      <c r="B17" s="13" t="s">
        <v>58</v>
      </c>
      <c r="C17" s="13" t="s">
        <v>59</v>
      </c>
      <c r="D17" s="13" t="s">
        <v>60</v>
      </c>
      <c r="E17" s="13" t="str">
        <f>"0,6888"</f>
        <v>0,6888</v>
      </c>
      <c r="F17" s="13" t="s">
        <v>61</v>
      </c>
      <c r="G17" s="25" t="s">
        <v>28</v>
      </c>
      <c r="H17" s="25" t="s">
        <v>28</v>
      </c>
      <c r="I17" s="26" t="s">
        <v>62</v>
      </c>
      <c r="J17" s="14"/>
      <c r="K17" s="26" t="s">
        <v>18</v>
      </c>
      <c r="L17" s="26" t="s">
        <v>63</v>
      </c>
      <c r="M17" s="25" t="s">
        <v>21</v>
      </c>
      <c r="N17" s="14"/>
      <c r="O17" s="26" t="s">
        <v>29</v>
      </c>
      <c r="P17" s="25" t="s">
        <v>64</v>
      </c>
      <c r="Q17" s="14"/>
      <c r="R17" s="14"/>
      <c r="S17" s="33" t="str">
        <f>"445,0"</f>
        <v>445,0</v>
      </c>
      <c r="T17" s="14" t="str">
        <f>"306,5160"</f>
        <v>306,5160</v>
      </c>
      <c r="U17" s="13" t="s">
        <v>65</v>
      </c>
    </row>
    <row r="18" spans="1:21">
      <c r="B18" s="7" t="s">
        <v>132</v>
      </c>
    </row>
    <row r="19" spans="1:21" ht="16">
      <c r="A19" s="51" t="s">
        <v>23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21">
      <c r="A20" s="10" t="s">
        <v>131</v>
      </c>
      <c r="B20" s="9" t="s">
        <v>66</v>
      </c>
      <c r="C20" s="9" t="s">
        <v>67</v>
      </c>
      <c r="D20" s="9" t="s">
        <v>68</v>
      </c>
      <c r="E20" s="9" t="str">
        <f>"0,6432"</f>
        <v>0,6432</v>
      </c>
      <c r="F20" s="9" t="s">
        <v>16</v>
      </c>
      <c r="G20" s="22" t="s">
        <v>69</v>
      </c>
      <c r="H20" s="22" t="s">
        <v>70</v>
      </c>
      <c r="I20" s="21" t="s">
        <v>70</v>
      </c>
      <c r="J20" s="10"/>
      <c r="K20" s="21" t="s">
        <v>17</v>
      </c>
      <c r="L20" s="10"/>
      <c r="M20" s="10"/>
      <c r="N20" s="10"/>
      <c r="O20" s="21" t="s">
        <v>50</v>
      </c>
      <c r="P20" s="21" t="s">
        <v>71</v>
      </c>
      <c r="Q20" s="10"/>
      <c r="R20" s="10"/>
      <c r="S20" s="30" t="str">
        <f>"605,0"</f>
        <v>605,0</v>
      </c>
      <c r="T20" s="10" t="str">
        <f>"389,1360"</f>
        <v>389,1360</v>
      </c>
      <c r="U20" s="9" t="s">
        <v>22</v>
      </c>
    </row>
    <row r="21" spans="1:21">
      <c r="B21" s="7" t="s">
        <v>132</v>
      </c>
    </row>
    <row r="22" spans="1:21" ht="16">
      <c r="A22" s="51" t="s">
        <v>72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21">
      <c r="A23" s="12" t="s">
        <v>131</v>
      </c>
      <c r="B23" s="11" t="s">
        <v>73</v>
      </c>
      <c r="C23" s="11" t="s">
        <v>74</v>
      </c>
      <c r="D23" s="11" t="s">
        <v>75</v>
      </c>
      <c r="E23" s="11" t="str">
        <f>"0,6111"</f>
        <v>0,6111</v>
      </c>
      <c r="F23" s="11" t="s">
        <v>16</v>
      </c>
      <c r="G23" s="23" t="s">
        <v>71</v>
      </c>
      <c r="H23" s="24" t="s">
        <v>71</v>
      </c>
      <c r="I23" s="23" t="s">
        <v>76</v>
      </c>
      <c r="J23" s="12"/>
      <c r="K23" s="24" t="s">
        <v>29</v>
      </c>
      <c r="L23" s="23" t="s">
        <v>77</v>
      </c>
      <c r="M23" s="23" t="s">
        <v>77</v>
      </c>
      <c r="N23" s="12"/>
      <c r="O23" s="24" t="s">
        <v>41</v>
      </c>
      <c r="P23" s="23" t="s">
        <v>50</v>
      </c>
      <c r="Q23" s="12"/>
      <c r="R23" s="12"/>
      <c r="S23" s="31" t="str">
        <f>"660,0"</f>
        <v>660,0</v>
      </c>
      <c r="T23" s="12" t="str">
        <f>"403,3260"</f>
        <v>403,3260</v>
      </c>
      <c r="U23" s="11" t="s">
        <v>22</v>
      </c>
    </row>
    <row r="24" spans="1:21">
      <c r="A24" s="16" t="s">
        <v>133</v>
      </c>
      <c r="B24" s="15" t="s">
        <v>78</v>
      </c>
      <c r="C24" s="15" t="s">
        <v>79</v>
      </c>
      <c r="D24" s="15" t="s">
        <v>80</v>
      </c>
      <c r="E24" s="15" t="str">
        <f>"0,6086"</f>
        <v>0,6086</v>
      </c>
      <c r="F24" s="15" t="s">
        <v>81</v>
      </c>
      <c r="G24" s="27" t="s">
        <v>29</v>
      </c>
      <c r="H24" s="27" t="s">
        <v>29</v>
      </c>
      <c r="I24" s="28" t="s">
        <v>29</v>
      </c>
      <c r="J24" s="16"/>
      <c r="K24" s="28" t="s">
        <v>18</v>
      </c>
      <c r="L24" s="27" t="s">
        <v>63</v>
      </c>
      <c r="M24" s="27" t="s">
        <v>63</v>
      </c>
      <c r="N24" s="16"/>
      <c r="O24" s="28" t="s">
        <v>82</v>
      </c>
      <c r="P24" s="28" t="s">
        <v>45</v>
      </c>
      <c r="Q24" s="28" t="s">
        <v>39</v>
      </c>
      <c r="R24" s="16"/>
      <c r="S24" s="32" t="str">
        <f>"480,0"</f>
        <v>480,0</v>
      </c>
      <c r="T24" s="16" t="str">
        <f>"292,1280"</f>
        <v>292,1280</v>
      </c>
      <c r="U24" s="15" t="s">
        <v>57</v>
      </c>
    </row>
    <row r="25" spans="1:21">
      <c r="A25" s="14" t="s">
        <v>134</v>
      </c>
      <c r="B25" s="13" t="s">
        <v>83</v>
      </c>
      <c r="C25" s="13" t="s">
        <v>84</v>
      </c>
      <c r="D25" s="13" t="s">
        <v>85</v>
      </c>
      <c r="E25" s="13" t="str">
        <f>"0,6096"</f>
        <v>0,6096</v>
      </c>
      <c r="F25" s="13" t="s">
        <v>86</v>
      </c>
      <c r="G25" s="25" t="s">
        <v>69</v>
      </c>
      <c r="H25" s="25" t="s">
        <v>69</v>
      </c>
      <c r="I25" s="25" t="s">
        <v>69</v>
      </c>
      <c r="J25" s="14"/>
      <c r="K25" s="14"/>
      <c r="L25" s="25"/>
      <c r="M25" s="14"/>
      <c r="N25" s="14"/>
      <c r="O25" s="25"/>
      <c r="P25" s="14"/>
      <c r="Q25" s="14"/>
      <c r="R25" s="14"/>
      <c r="S25" s="33">
        <v>0</v>
      </c>
      <c r="T25" s="14" t="str">
        <f>"0,0000"</f>
        <v>0,0000</v>
      </c>
      <c r="U25" s="13" t="s">
        <v>22</v>
      </c>
    </row>
    <row r="26" spans="1:21">
      <c r="B26" s="7" t="s">
        <v>132</v>
      </c>
    </row>
    <row r="27" spans="1:21" ht="16">
      <c r="A27" s="51" t="s">
        <v>87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21">
      <c r="A28" s="12" t="s">
        <v>131</v>
      </c>
      <c r="B28" s="11" t="s">
        <v>88</v>
      </c>
      <c r="C28" s="11" t="s">
        <v>89</v>
      </c>
      <c r="D28" s="11" t="s">
        <v>90</v>
      </c>
      <c r="E28" s="11" t="str">
        <f>"0,5917"</f>
        <v>0,5917</v>
      </c>
      <c r="F28" s="11" t="s">
        <v>16</v>
      </c>
      <c r="G28" s="24" t="s">
        <v>76</v>
      </c>
      <c r="H28" s="23" t="s">
        <v>91</v>
      </c>
      <c r="I28" s="24" t="s">
        <v>92</v>
      </c>
      <c r="J28" s="12"/>
      <c r="K28" s="24" t="s">
        <v>29</v>
      </c>
      <c r="L28" s="24" t="s">
        <v>82</v>
      </c>
      <c r="M28" s="24" t="s">
        <v>77</v>
      </c>
      <c r="N28" s="12"/>
      <c r="O28" s="24" t="s">
        <v>71</v>
      </c>
      <c r="P28" s="24" t="s">
        <v>51</v>
      </c>
      <c r="Q28" s="24" t="s">
        <v>76</v>
      </c>
      <c r="R28" s="12"/>
      <c r="S28" s="31" t="str">
        <f>"785,0"</f>
        <v>785,0</v>
      </c>
      <c r="T28" s="12" t="str">
        <f>"464,4845"</f>
        <v>464,4845</v>
      </c>
      <c r="U28" s="11" t="s">
        <v>93</v>
      </c>
    </row>
    <row r="29" spans="1:21">
      <c r="A29" s="16" t="s">
        <v>133</v>
      </c>
      <c r="B29" s="15" t="s">
        <v>94</v>
      </c>
      <c r="C29" s="15" t="s">
        <v>95</v>
      </c>
      <c r="D29" s="15" t="s">
        <v>96</v>
      </c>
      <c r="E29" s="15" t="str">
        <f>"0,5952"</f>
        <v>0,5952</v>
      </c>
      <c r="F29" s="15" t="s">
        <v>16</v>
      </c>
      <c r="G29" s="27" t="s">
        <v>71</v>
      </c>
      <c r="H29" s="28" t="s">
        <v>71</v>
      </c>
      <c r="I29" s="27" t="s">
        <v>97</v>
      </c>
      <c r="J29" s="16"/>
      <c r="K29" s="28" t="s">
        <v>64</v>
      </c>
      <c r="L29" s="27" t="s">
        <v>45</v>
      </c>
      <c r="M29" s="28" t="s">
        <v>45</v>
      </c>
      <c r="N29" s="16"/>
      <c r="O29" s="28" t="s">
        <v>71</v>
      </c>
      <c r="P29" s="28" t="s">
        <v>98</v>
      </c>
      <c r="Q29" s="28" t="s">
        <v>99</v>
      </c>
      <c r="R29" s="16"/>
      <c r="S29" s="32" t="str">
        <f>"742,5"</f>
        <v>742,5</v>
      </c>
      <c r="T29" s="16" t="str">
        <f>"441,9360"</f>
        <v>441,9360</v>
      </c>
      <c r="U29" s="15" t="s">
        <v>414</v>
      </c>
    </row>
    <row r="30" spans="1:21">
      <c r="A30" s="16" t="s">
        <v>135</v>
      </c>
      <c r="B30" s="15" t="s">
        <v>100</v>
      </c>
      <c r="C30" s="15" t="s">
        <v>101</v>
      </c>
      <c r="D30" s="15" t="s">
        <v>102</v>
      </c>
      <c r="E30" s="15" t="str">
        <f>"0,5898"</f>
        <v>0,5898</v>
      </c>
      <c r="F30" s="15" t="s">
        <v>16</v>
      </c>
      <c r="G30" s="28" t="s">
        <v>103</v>
      </c>
      <c r="H30" s="28" t="s">
        <v>50</v>
      </c>
      <c r="I30" s="28" t="s">
        <v>71</v>
      </c>
      <c r="J30" s="16"/>
      <c r="K30" s="28" t="s">
        <v>29</v>
      </c>
      <c r="L30" s="28" t="s">
        <v>82</v>
      </c>
      <c r="M30" s="28" t="s">
        <v>45</v>
      </c>
      <c r="N30" s="16"/>
      <c r="O30" s="28" t="s">
        <v>69</v>
      </c>
      <c r="P30" s="28" t="s">
        <v>104</v>
      </c>
      <c r="Q30" s="27" t="s">
        <v>105</v>
      </c>
      <c r="R30" s="16"/>
      <c r="S30" s="32" t="str">
        <f>"712,5"</f>
        <v>712,5</v>
      </c>
      <c r="T30" s="16" t="str">
        <f>"420,2325"</f>
        <v>420,2325</v>
      </c>
      <c r="U30" s="15" t="s">
        <v>106</v>
      </c>
    </row>
    <row r="31" spans="1:21">
      <c r="A31" s="14" t="s">
        <v>131</v>
      </c>
      <c r="B31" s="13" t="s">
        <v>88</v>
      </c>
      <c r="C31" s="13" t="s">
        <v>107</v>
      </c>
      <c r="D31" s="13" t="s">
        <v>90</v>
      </c>
      <c r="E31" s="13" t="str">
        <f>"0,5917"</f>
        <v>0,5917</v>
      </c>
      <c r="F31" s="13" t="s">
        <v>16</v>
      </c>
      <c r="G31" s="26" t="s">
        <v>76</v>
      </c>
      <c r="H31" s="25" t="s">
        <v>91</v>
      </c>
      <c r="I31" s="26" t="s">
        <v>92</v>
      </c>
      <c r="J31" s="14"/>
      <c r="K31" s="26" t="s">
        <v>29</v>
      </c>
      <c r="L31" s="26" t="s">
        <v>82</v>
      </c>
      <c r="M31" s="26" t="s">
        <v>77</v>
      </c>
      <c r="N31" s="14"/>
      <c r="O31" s="26" t="s">
        <v>71</v>
      </c>
      <c r="P31" s="26" t="s">
        <v>51</v>
      </c>
      <c r="Q31" s="26" t="s">
        <v>76</v>
      </c>
      <c r="R31" s="14"/>
      <c r="S31" s="33" t="str">
        <f>"785,0"</f>
        <v>785,0</v>
      </c>
      <c r="T31" s="14" t="str">
        <f>"500,7143"</f>
        <v>500,7143</v>
      </c>
      <c r="U31" s="13" t="s">
        <v>397</v>
      </c>
    </row>
    <row r="32" spans="1:21">
      <c r="B32" s="7" t="s">
        <v>132</v>
      </c>
    </row>
    <row r="33" spans="1:21" ht="16">
      <c r="A33" s="51" t="s">
        <v>108</v>
      </c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21">
      <c r="A34" s="10" t="s">
        <v>131</v>
      </c>
      <c r="B34" s="9" t="s">
        <v>109</v>
      </c>
      <c r="C34" s="9" t="s">
        <v>110</v>
      </c>
      <c r="D34" s="9" t="s">
        <v>111</v>
      </c>
      <c r="E34" s="9" t="str">
        <f>"0,5688"</f>
        <v>0,5688</v>
      </c>
      <c r="F34" s="9" t="s">
        <v>86</v>
      </c>
      <c r="G34" s="21" t="s">
        <v>91</v>
      </c>
      <c r="H34" s="22" t="s">
        <v>112</v>
      </c>
      <c r="I34" s="21" t="s">
        <v>112</v>
      </c>
      <c r="J34" s="10"/>
      <c r="K34" s="21" t="s">
        <v>82</v>
      </c>
      <c r="L34" s="21" t="s">
        <v>39</v>
      </c>
      <c r="M34" s="10"/>
      <c r="N34" s="10"/>
      <c r="O34" s="21" t="s">
        <v>71</v>
      </c>
      <c r="P34" s="21" t="s">
        <v>76</v>
      </c>
      <c r="Q34" s="21" t="s">
        <v>91</v>
      </c>
      <c r="R34" s="10"/>
      <c r="S34" s="30" t="str">
        <f>"840,0"</f>
        <v>840,0</v>
      </c>
      <c r="T34" s="10" t="str">
        <f>"477,7920"</f>
        <v>477,7920</v>
      </c>
      <c r="U34" s="9" t="s">
        <v>414</v>
      </c>
    </row>
    <row r="35" spans="1:21">
      <c r="B35" s="7" t="s">
        <v>132</v>
      </c>
    </row>
    <row r="38" spans="1:21" ht="18">
      <c r="B38" s="17" t="s">
        <v>113</v>
      </c>
      <c r="C38" s="17"/>
    </row>
    <row r="39" spans="1:21" ht="16">
      <c r="B39" s="18" t="s">
        <v>121</v>
      </c>
      <c r="C39" s="18"/>
    </row>
    <row r="40" spans="1:21" ht="14">
      <c r="B40" s="19"/>
      <c r="C40" s="20" t="s">
        <v>115</v>
      </c>
    </row>
    <row r="41" spans="1:21" ht="14">
      <c r="A41" s="8"/>
      <c r="B41" s="6" t="s">
        <v>116</v>
      </c>
      <c r="C41" s="6" t="s">
        <v>117</v>
      </c>
      <c r="D41" s="5" t="s">
        <v>403</v>
      </c>
      <c r="E41" s="5" t="s">
        <v>118</v>
      </c>
      <c r="F41" s="5" t="s">
        <v>119</v>
      </c>
    </row>
    <row r="42" spans="1:21">
      <c r="A42" s="8"/>
      <c r="B42" s="7" t="s">
        <v>109</v>
      </c>
      <c r="C42" s="7" t="s">
        <v>115</v>
      </c>
      <c r="D42" s="8" t="s">
        <v>123</v>
      </c>
      <c r="E42" s="8" t="s">
        <v>124</v>
      </c>
      <c r="F42" s="8" t="s">
        <v>125</v>
      </c>
    </row>
    <row r="43" spans="1:21">
      <c r="A43" s="8"/>
      <c r="B43" s="7" t="s">
        <v>88</v>
      </c>
      <c r="C43" s="7" t="s">
        <v>115</v>
      </c>
      <c r="D43" s="8" t="s">
        <v>126</v>
      </c>
      <c r="E43" s="8" t="s">
        <v>127</v>
      </c>
      <c r="F43" s="8" t="s">
        <v>128</v>
      </c>
    </row>
    <row r="44" spans="1:21">
      <c r="A44" s="8"/>
      <c r="B44" s="7" t="s">
        <v>94</v>
      </c>
      <c r="C44" s="7" t="s">
        <v>115</v>
      </c>
      <c r="D44" s="8" t="s">
        <v>126</v>
      </c>
      <c r="E44" s="8" t="s">
        <v>129</v>
      </c>
      <c r="F44" s="8" t="s">
        <v>130</v>
      </c>
    </row>
  </sheetData>
  <mergeCells count="21">
    <mergeCell ref="A22:R22"/>
    <mergeCell ref="A27:R27"/>
    <mergeCell ref="A33:R33"/>
    <mergeCell ref="B3:B4"/>
    <mergeCell ref="A5:R5"/>
    <mergeCell ref="A8:R8"/>
    <mergeCell ref="A11:R11"/>
    <mergeCell ref="A15:R15"/>
    <mergeCell ref="A19:R19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3066B-7FEA-4B41-9539-09AC4CC88F3A}">
  <dimension ref="A1:M45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2.6640625" style="7" bestFit="1" customWidth="1"/>
    <col min="3" max="3" width="27.5" style="7" bestFit="1" customWidth="1"/>
    <col min="4" max="4" width="21.5" style="7" bestFit="1" customWidth="1"/>
    <col min="5" max="5" width="13" style="7" customWidth="1"/>
    <col min="6" max="6" width="28.6640625" style="7" bestFit="1" customWidth="1"/>
    <col min="7" max="9" width="5.5" style="8" customWidth="1"/>
    <col min="10" max="10" width="4.83203125" style="8" customWidth="1"/>
    <col min="11" max="11" width="12" style="8" customWidth="1"/>
    <col min="12" max="12" width="8.5" style="8" bestFit="1" customWidth="1"/>
    <col min="13" max="13" width="32.1640625" style="7" bestFit="1" customWidth="1"/>
    <col min="14" max="16384" width="9.1640625" style="3"/>
  </cols>
  <sheetData>
    <row r="1" spans="1:13" s="2" customFormat="1" ht="29" customHeight="1">
      <c r="A1" s="40" t="s">
        <v>410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136</v>
      </c>
      <c r="B3" s="53" t="s">
        <v>0</v>
      </c>
      <c r="C3" s="50" t="s">
        <v>5</v>
      </c>
      <c r="D3" s="50" t="s">
        <v>7</v>
      </c>
      <c r="E3" s="34" t="s">
        <v>8</v>
      </c>
      <c r="F3" s="34" t="s">
        <v>6</v>
      </c>
      <c r="G3" s="34" t="s">
        <v>10</v>
      </c>
      <c r="H3" s="34"/>
      <c r="I3" s="34"/>
      <c r="J3" s="34"/>
      <c r="K3" s="34" t="s">
        <v>242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219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12" t="s">
        <v>131</v>
      </c>
      <c r="B6" s="11" t="s">
        <v>225</v>
      </c>
      <c r="C6" s="11" t="s">
        <v>226</v>
      </c>
      <c r="D6" s="11" t="s">
        <v>227</v>
      </c>
      <c r="E6" s="11" t="str">
        <f>"1,2504"</f>
        <v>1,2504</v>
      </c>
      <c r="F6" s="11" t="s">
        <v>401</v>
      </c>
      <c r="G6" s="24" t="s">
        <v>142</v>
      </c>
      <c r="H6" s="24" t="s">
        <v>143</v>
      </c>
      <c r="I6" s="24" t="s">
        <v>20</v>
      </c>
      <c r="J6" s="12"/>
      <c r="K6" s="12" t="str">
        <f>"57,5"</f>
        <v>57,5</v>
      </c>
      <c r="L6" s="12" t="str">
        <f>"71,8980"</f>
        <v>71,8980</v>
      </c>
      <c r="M6" s="11" t="s">
        <v>391</v>
      </c>
    </row>
    <row r="7" spans="1:13">
      <c r="A7" s="16" t="s">
        <v>133</v>
      </c>
      <c r="B7" s="15" t="s">
        <v>220</v>
      </c>
      <c r="C7" s="15" t="s">
        <v>221</v>
      </c>
      <c r="D7" s="15" t="s">
        <v>222</v>
      </c>
      <c r="E7" s="15" t="str">
        <f>"1,2654"</f>
        <v>1,2654</v>
      </c>
      <c r="F7" s="15" t="s">
        <v>16</v>
      </c>
      <c r="G7" s="28" t="s">
        <v>19</v>
      </c>
      <c r="H7" s="28" t="s">
        <v>143</v>
      </c>
      <c r="I7" s="27" t="s">
        <v>20</v>
      </c>
      <c r="J7" s="16"/>
      <c r="K7" s="16" t="str">
        <f>"55,0"</f>
        <v>55,0</v>
      </c>
      <c r="L7" s="16" t="str">
        <f>"69,5970"</f>
        <v>69,5970</v>
      </c>
      <c r="M7" s="15" t="s">
        <v>106</v>
      </c>
    </row>
    <row r="8" spans="1:13">
      <c r="A8" s="14" t="s">
        <v>135</v>
      </c>
      <c r="B8" s="13" t="s">
        <v>319</v>
      </c>
      <c r="C8" s="13" t="s">
        <v>320</v>
      </c>
      <c r="D8" s="13" t="s">
        <v>321</v>
      </c>
      <c r="E8" s="13" t="str">
        <f>"1,2616"</f>
        <v>1,2616</v>
      </c>
      <c r="F8" s="13" t="s">
        <v>16</v>
      </c>
      <c r="G8" s="26" t="s">
        <v>195</v>
      </c>
      <c r="H8" s="26" t="s">
        <v>142</v>
      </c>
      <c r="I8" s="25" t="s">
        <v>143</v>
      </c>
      <c r="J8" s="14"/>
      <c r="K8" s="14" t="str">
        <f>"50,0"</f>
        <v>50,0</v>
      </c>
      <c r="L8" s="14" t="str">
        <f>"63,0800"</f>
        <v>63,0800</v>
      </c>
      <c r="M8" s="13" t="s">
        <v>390</v>
      </c>
    </row>
    <row r="9" spans="1:13">
      <c r="B9" s="7" t="s">
        <v>132</v>
      </c>
    </row>
    <row r="10" spans="1:13" ht="16">
      <c r="A10" s="51" t="s">
        <v>137</v>
      </c>
      <c r="B10" s="51"/>
      <c r="C10" s="52"/>
      <c r="D10" s="52"/>
      <c r="E10" s="52"/>
      <c r="F10" s="52"/>
      <c r="G10" s="52"/>
      <c r="H10" s="52"/>
      <c r="I10" s="52"/>
      <c r="J10" s="52"/>
    </row>
    <row r="11" spans="1:13">
      <c r="A11" s="10" t="s">
        <v>131</v>
      </c>
      <c r="B11" s="9" t="s">
        <v>322</v>
      </c>
      <c r="C11" s="9" t="s">
        <v>323</v>
      </c>
      <c r="D11" s="9" t="s">
        <v>324</v>
      </c>
      <c r="E11" s="9" t="str">
        <f>"1,1933"</f>
        <v>1,1933</v>
      </c>
      <c r="F11" s="9" t="s">
        <v>325</v>
      </c>
      <c r="G11" s="21" t="s">
        <v>253</v>
      </c>
      <c r="H11" s="21" t="s">
        <v>326</v>
      </c>
      <c r="I11" s="21" t="s">
        <v>254</v>
      </c>
      <c r="J11" s="10"/>
      <c r="K11" s="10" t="str">
        <f>"77,5"</f>
        <v>77,5</v>
      </c>
      <c r="L11" s="10" t="str">
        <f>"92,4808"</f>
        <v>92,4808</v>
      </c>
      <c r="M11" s="9" t="s">
        <v>387</v>
      </c>
    </row>
    <row r="12" spans="1:13">
      <c r="B12" s="7" t="s">
        <v>132</v>
      </c>
    </row>
    <row r="13" spans="1:13" ht="16">
      <c r="A13" s="51" t="s">
        <v>146</v>
      </c>
      <c r="B13" s="51"/>
      <c r="C13" s="52"/>
      <c r="D13" s="52"/>
      <c r="E13" s="52"/>
      <c r="F13" s="52"/>
      <c r="G13" s="52"/>
      <c r="H13" s="52"/>
      <c r="I13" s="52"/>
      <c r="J13" s="52"/>
    </row>
    <row r="14" spans="1:13">
      <c r="A14" s="12" t="s">
        <v>131</v>
      </c>
      <c r="B14" s="11" t="s">
        <v>327</v>
      </c>
      <c r="C14" s="11" t="s">
        <v>328</v>
      </c>
      <c r="D14" s="11" t="s">
        <v>329</v>
      </c>
      <c r="E14" s="11" t="str">
        <f>"1,1281"</f>
        <v>1,1281</v>
      </c>
      <c r="F14" s="11" t="s">
        <v>401</v>
      </c>
      <c r="G14" s="24" t="s">
        <v>20</v>
      </c>
      <c r="H14" s="23" t="s">
        <v>152</v>
      </c>
      <c r="I14" s="24" t="s">
        <v>152</v>
      </c>
      <c r="J14" s="12"/>
      <c r="K14" s="12" t="str">
        <f>"60,0"</f>
        <v>60,0</v>
      </c>
      <c r="L14" s="12" t="str">
        <f>"67,6860"</f>
        <v>67,6860</v>
      </c>
      <c r="M14" s="11" t="s">
        <v>414</v>
      </c>
    </row>
    <row r="15" spans="1:13">
      <c r="A15" s="14" t="s">
        <v>133</v>
      </c>
      <c r="B15" s="13" t="s">
        <v>147</v>
      </c>
      <c r="C15" s="13" t="s">
        <v>148</v>
      </c>
      <c r="D15" s="13" t="s">
        <v>149</v>
      </c>
      <c r="E15" s="13" t="str">
        <f>"1,1192"</f>
        <v>1,1192</v>
      </c>
      <c r="F15" s="13" t="s">
        <v>16</v>
      </c>
      <c r="G15" s="26" t="s">
        <v>143</v>
      </c>
      <c r="H15" s="26" t="s">
        <v>20</v>
      </c>
      <c r="I15" s="25" t="s">
        <v>152</v>
      </c>
      <c r="J15" s="14"/>
      <c r="K15" s="14" t="str">
        <f>"57,5"</f>
        <v>57,5</v>
      </c>
      <c r="L15" s="14" t="str">
        <f>"64,3540"</f>
        <v>64,3540</v>
      </c>
      <c r="M15" s="13" t="s">
        <v>106</v>
      </c>
    </row>
    <row r="16" spans="1:13">
      <c r="B16" s="7" t="s">
        <v>132</v>
      </c>
    </row>
    <row r="17" spans="1:13" ht="16">
      <c r="A17" s="51" t="s">
        <v>32</v>
      </c>
      <c r="B17" s="51"/>
      <c r="C17" s="52"/>
      <c r="D17" s="52"/>
      <c r="E17" s="52"/>
      <c r="F17" s="52"/>
      <c r="G17" s="52"/>
      <c r="H17" s="52"/>
      <c r="I17" s="52"/>
      <c r="J17" s="52"/>
    </row>
    <row r="18" spans="1:13">
      <c r="A18" s="10" t="s">
        <v>131</v>
      </c>
      <c r="B18" s="9" t="s">
        <v>330</v>
      </c>
      <c r="C18" s="9" t="s">
        <v>331</v>
      </c>
      <c r="D18" s="9" t="s">
        <v>332</v>
      </c>
      <c r="E18" s="9" t="str">
        <f>"0,9663"</f>
        <v>0,9663</v>
      </c>
      <c r="F18" s="9" t="s">
        <v>247</v>
      </c>
      <c r="G18" s="21" t="s">
        <v>197</v>
      </c>
      <c r="H18" s="21" t="s">
        <v>223</v>
      </c>
      <c r="I18" s="22" t="s">
        <v>144</v>
      </c>
      <c r="J18" s="10"/>
      <c r="K18" s="10" t="str">
        <f>"87,5"</f>
        <v>87,5</v>
      </c>
      <c r="L18" s="10" t="str">
        <f>"84,5513"</f>
        <v>84,5513</v>
      </c>
      <c r="M18" s="9" t="s">
        <v>22</v>
      </c>
    </row>
    <row r="19" spans="1:13">
      <c r="B19" s="7" t="s">
        <v>132</v>
      </c>
    </row>
    <row r="20" spans="1:13" ht="16">
      <c r="A20" s="51" t="s">
        <v>52</v>
      </c>
      <c r="B20" s="51"/>
      <c r="C20" s="52"/>
      <c r="D20" s="52"/>
      <c r="E20" s="52"/>
      <c r="F20" s="52"/>
      <c r="G20" s="52"/>
      <c r="H20" s="52"/>
      <c r="I20" s="52"/>
      <c r="J20" s="52"/>
    </row>
    <row r="21" spans="1:13">
      <c r="A21" s="12" t="s">
        <v>131</v>
      </c>
      <c r="B21" s="11" t="s">
        <v>333</v>
      </c>
      <c r="C21" s="11" t="s">
        <v>334</v>
      </c>
      <c r="D21" s="11" t="s">
        <v>335</v>
      </c>
      <c r="E21" s="11" t="str">
        <f>"0,6779"</f>
        <v>0,6779</v>
      </c>
      <c r="F21" s="11" t="s">
        <v>16</v>
      </c>
      <c r="G21" s="24" t="s">
        <v>141</v>
      </c>
      <c r="H21" s="24" t="s">
        <v>17</v>
      </c>
      <c r="I21" s="24" t="s">
        <v>336</v>
      </c>
      <c r="J21" s="12"/>
      <c r="K21" s="12" t="str">
        <f>"107,5"</f>
        <v>107,5</v>
      </c>
      <c r="L21" s="12" t="str">
        <f>"72,8743"</f>
        <v>72,8743</v>
      </c>
      <c r="M21" s="11" t="s">
        <v>389</v>
      </c>
    </row>
    <row r="22" spans="1:13">
      <c r="A22" s="16" t="s">
        <v>131</v>
      </c>
      <c r="B22" s="15" t="s">
        <v>337</v>
      </c>
      <c r="C22" s="15" t="s">
        <v>338</v>
      </c>
      <c r="D22" s="15" t="s">
        <v>339</v>
      </c>
      <c r="E22" s="15" t="str">
        <f>"0,6744"</f>
        <v>0,6744</v>
      </c>
      <c r="F22" s="15" t="s">
        <v>16</v>
      </c>
      <c r="G22" s="28" t="s">
        <v>49</v>
      </c>
      <c r="H22" s="28" t="s">
        <v>340</v>
      </c>
      <c r="I22" s="28" t="s">
        <v>28</v>
      </c>
      <c r="J22" s="16"/>
      <c r="K22" s="16" t="str">
        <f>"155,0"</f>
        <v>155,0</v>
      </c>
      <c r="L22" s="16" t="str">
        <f>"104,5320"</f>
        <v>104,5320</v>
      </c>
      <c r="M22" s="15" t="s">
        <v>388</v>
      </c>
    </row>
    <row r="23" spans="1:13">
      <c r="A23" s="14" t="s">
        <v>131</v>
      </c>
      <c r="B23" s="13" t="s">
        <v>341</v>
      </c>
      <c r="C23" s="13" t="s">
        <v>342</v>
      </c>
      <c r="D23" s="13" t="s">
        <v>343</v>
      </c>
      <c r="E23" s="13" t="str">
        <f>"0,6927"</f>
        <v>0,6927</v>
      </c>
      <c r="F23" s="13" t="s">
        <v>325</v>
      </c>
      <c r="G23" s="26" t="s">
        <v>30</v>
      </c>
      <c r="H23" s="26" t="s">
        <v>18</v>
      </c>
      <c r="I23" s="26" t="s">
        <v>63</v>
      </c>
      <c r="J23" s="14"/>
      <c r="K23" s="14" t="str">
        <f>"115,0"</f>
        <v>115,0</v>
      </c>
      <c r="L23" s="14" t="str">
        <f>"112,3213"</f>
        <v>112,3213</v>
      </c>
      <c r="M23" s="13" t="s">
        <v>387</v>
      </c>
    </row>
    <row r="24" spans="1:13">
      <c r="B24" s="7" t="s">
        <v>132</v>
      </c>
    </row>
    <row r="25" spans="1:13" ht="16">
      <c r="A25" s="51" t="s">
        <v>23</v>
      </c>
      <c r="B25" s="51"/>
      <c r="C25" s="52"/>
      <c r="D25" s="52"/>
      <c r="E25" s="52"/>
      <c r="F25" s="52"/>
      <c r="G25" s="52"/>
      <c r="H25" s="52"/>
      <c r="I25" s="52"/>
      <c r="J25" s="52"/>
    </row>
    <row r="26" spans="1:13">
      <c r="A26" s="12" t="s">
        <v>131</v>
      </c>
      <c r="B26" s="11" t="s">
        <v>158</v>
      </c>
      <c r="C26" s="11" t="s">
        <v>159</v>
      </c>
      <c r="D26" s="11" t="s">
        <v>160</v>
      </c>
      <c r="E26" s="11" t="str">
        <f>"0,6406"</f>
        <v>0,6406</v>
      </c>
      <c r="F26" s="11" t="s">
        <v>16</v>
      </c>
      <c r="G26" s="24" t="s">
        <v>21</v>
      </c>
      <c r="H26" s="23" t="s">
        <v>48</v>
      </c>
      <c r="I26" s="24" t="s">
        <v>48</v>
      </c>
      <c r="J26" s="12"/>
      <c r="K26" s="12" t="str">
        <f>"130,0"</f>
        <v>130,0</v>
      </c>
      <c r="L26" s="12" t="str">
        <f>"83,2780"</f>
        <v>83,2780</v>
      </c>
      <c r="M26" s="11" t="s">
        <v>22</v>
      </c>
    </row>
    <row r="27" spans="1:13">
      <c r="A27" s="14" t="s">
        <v>131</v>
      </c>
      <c r="B27" s="13" t="s">
        <v>344</v>
      </c>
      <c r="C27" s="13" t="s">
        <v>345</v>
      </c>
      <c r="D27" s="13" t="s">
        <v>160</v>
      </c>
      <c r="E27" s="13" t="str">
        <f>"0,6406"</f>
        <v>0,6406</v>
      </c>
      <c r="F27" s="13" t="s">
        <v>325</v>
      </c>
      <c r="G27" s="26" t="s">
        <v>233</v>
      </c>
      <c r="H27" s="26" t="s">
        <v>340</v>
      </c>
      <c r="I27" s="26" t="s">
        <v>28</v>
      </c>
      <c r="J27" s="14"/>
      <c r="K27" s="14" t="str">
        <f>"155,0"</f>
        <v>155,0</v>
      </c>
      <c r="L27" s="14" t="str">
        <f>"99,2930"</f>
        <v>99,2930</v>
      </c>
      <c r="M27" s="13" t="s">
        <v>414</v>
      </c>
    </row>
    <row r="28" spans="1:13">
      <c r="B28" s="7" t="s">
        <v>132</v>
      </c>
    </row>
    <row r="29" spans="1:13" ht="16">
      <c r="A29" s="51" t="s">
        <v>72</v>
      </c>
      <c r="B29" s="51"/>
      <c r="C29" s="52"/>
      <c r="D29" s="52"/>
      <c r="E29" s="52"/>
      <c r="F29" s="52"/>
      <c r="G29" s="52"/>
      <c r="H29" s="52"/>
      <c r="I29" s="52"/>
      <c r="J29" s="52"/>
    </row>
    <row r="30" spans="1:13">
      <c r="A30" s="12" t="s">
        <v>131</v>
      </c>
      <c r="B30" s="11" t="s">
        <v>346</v>
      </c>
      <c r="C30" s="11" t="s">
        <v>347</v>
      </c>
      <c r="D30" s="11" t="s">
        <v>348</v>
      </c>
      <c r="E30" s="11" t="str">
        <f>"0,6134"</f>
        <v>0,6134</v>
      </c>
      <c r="F30" s="11" t="s">
        <v>349</v>
      </c>
      <c r="G30" s="24" t="s">
        <v>64</v>
      </c>
      <c r="H30" s="24" t="s">
        <v>82</v>
      </c>
      <c r="I30" s="23" t="s">
        <v>77</v>
      </c>
      <c r="J30" s="12"/>
      <c r="K30" s="12" t="str">
        <f>"180,0"</f>
        <v>180,0</v>
      </c>
      <c r="L30" s="12" t="str">
        <f>"110,4120"</f>
        <v>110,4120</v>
      </c>
      <c r="M30" s="11" t="s">
        <v>414</v>
      </c>
    </row>
    <row r="31" spans="1:13">
      <c r="A31" s="16" t="s">
        <v>133</v>
      </c>
      <c r="B31" s="15" t="s">
        <v>350</v>
      </c>
      <c r="C31" s="15" t="s">
        <v>351</v>
      </c>
      <c r="D31" s="15" t="s">
        <v>352</v>
      </c>
      <c r="E31" s="15" t="str">
        <f>"0,6088"</f>
        <v>0,6088</v>
      </c>
      <c r="F31" s="15" t="s">
        <v>404</v>
      </c>
      <c r="G31" s="28" t="s">
        <v>62</v>
      </c>
      <c r="H31" s="27" t="s">
        <v>239</v>
      </c>
      <c r="I31" s="27" t="s">
        <v>239</v>
      </c>
      <c r="J31" s="16"/>
      <c r="K31" s="16" t="str">
        <f>"160,0"</f>
        <v>160,0</v>
      </c>
      <c r="L31" s="16" t="str">
        <f>"97,4080"</f>
        <v>97,4080</v>
      </c>
      <c r="M31" s="15" t="s">
        <v>414</v>
      </c>
    </row>
    <row r="32" spans="1:13">
      <c r="A32" s="14" t="s">
        <v>135</v>
      </c>
      <c r="B32" s="13" t="s">
        <v>353</v>
      </c>
      <c r="C32" s="13" t="s">
        <v>354</v>
      </c>
      <c r="D32" s="13" t="s">
        <v>85</v>
      </c>
      <c r="E32" s="13" t="str">
        <f>"0,6096"</f>
        <v>0,6096</v>
      </c>
      <c r="F32" s="13" t="s">
        <v>16</v>
      </c>
      <c r="G32" s="26" t="s">
        <v>21</v>
      </c>
      <c r="H32" s="26" t="s">
        <v>170</v>
      </c>
      <c r="I32" s="26" t="s">
        <v>48</v>
      </c>
      <c r="J32" s="14"/>
      <c r="K32" s="14" t="str">
        <f>"130,0"</f>
        <v>130,0</v>
      </c>
      <c r="L32" s="14" t="str">
        <f>"79,2480"</f>
        <v>79,2480</v>
      </c>
      <c r="M32" s="13" t="s">
        <v>22</v>
      </c>
    </row>
    <row r="33" spans="1:13">
      <c r="B33" s="7" t="s">
        <v>132</v>
      </c>
    </row>
    <row r="34" spans="1:13" ht="16">
      <c r="A34" s="51" t="s">
        <v>87</v>
      </c>
      <c r="B34" s="51"/>
      <c r="C34" s="52"/>
      <c r="D34" s="52"/>
      <c r="E34" s="52"/>
      <c r="F34" s="52"/>
      <c r="G34" s="52"/>
      <c r="H34" s="52"/>
      <c r="I34" s="52"/>
      <c r="J34" s="52"/>
    </row>
    <row r="35" spans="1:13">
      <c r="A35" s="10" t="s">
        <v>131</v>
      </c>
      <c r="B35" s="9" t="s">
        <v>355</v>
      </c>
      <c r="C35" s="9" t="s">
        <v>356</v>
      </c>
      <c r="D35" s="9" t="s">
        <v>357</v>
      </c>
      <c r="E35" s="9" t="str">
        <f>"0,5982"</f>
        <v>0,5982</v>
      </c>
      <c r="F35" s="9" t="s">
        <v>401</v>
      </c>
      <c r="G35" s="21" t="s">
        <v>31</v>
      </c>
      <c r="H35" s="21" t="s">
        <v>358</v>
      </c>
      <c r="I35" s="21" t="s">
        <v>82</v>
      </c>
      <c r="J35" s="10"/>
      <c r="K35" s="10" t="str">
        <f>"180,0"</f>
        <v>180,0</v>
      </c>
      <c r="L35" s="10" t="str">
        <f>"112,4137"</f>
        <v>112,4137</v>
      </c>
      <c r="M35" s="9" t="s">
        <v>386</v>
      </c>
    </row>
    <row r="36" spans="1:13">
      <c r="B36" s="7" t="s">
        <v>132</v>
      </c>
    </row>
    <row r="38" spans="1:13">
      <c r="B38" s="7" t="s">
        <v>132</v>
      </c>
    </row>
    <row r="39" spans="1:13" ht="18">
      <c r="B39" s="17" t="s">
        <v>113</v>
      </c>
      <c r="C39" s="17"/>
    </row>
    <row r="40" spans="1:13" ht="16">
      <c r="B40" s="18" t="s">
        <v>114</v>
      </c>
      <c r="C40" s="18"/>
    </row>
    <row r="41" spans="1:13" ht="14">
      <c r="B41" s="19"/>
      <c r="C41" s="20" t="s">
        <v>115</v>
      </c>
    </row>
    <row r="42" spans="1:13" ht="14">
      <c r="A42" s="8"/>
      <c r="B42" s="6" t="s">
        <v>116</v>
      </c>
      <c r="C42" s="6" t="s">
        <v>117</v>
      </c>
      <c r="D42" s="5" t="s">
        <v>403</v>
      </c>
      <c r="E42" s="5" t="s">
        <v>313</v>
      </c>
      <c r="F42" s="5" t="s">
        <v>119</v>
      </c>
    </row>
    <row r="43" spans="1:13">
      <c r="A43" s="8"/>
      <c r="B43" s="7" t="s">
        <v>322</v>
      </c>
      <c r="C43" s="7" t="s">
        <v>115</v>
      </c>
      <c r="D43" s="8" t="s">
        <v>183</v>
      </c>
      <c r="E43" s="8" t="s">
        <v>254</v>
      </c>
      <c r="F43" s="8" t="s">
        <v>359</v>
      </c>
    </row>
    <row r="44" spans="1:13">
      <c r="A44" s="8"/>
      <c r="B44" s="7" t="s">
        <v>330</v>
      </c>
      <c r="C44" s="7" t="s">
        <v>115</v>
      </c>
      <c r="D44" s="8" t="s">
        <v>122</v>
      </c>
      <c r="E44" s="8" t="s">
        <v>223</v>
      </c>
      <c r="F44" s="8" t="s">
        <v>360</v>
      </c>
    </row>
    <row r="45" spans="1:13">
      <c r="A45" s="8"/>
      <c r="B45" s="7" t="s">
        <v>225</v>
      </c>
      <c r="C45" s="7" t="s">
        <v>115</v>
      </c>
      <c r="D45" s="8" t="s">
        <v>241</v>
      </c>
      <c r="E45" s="8" t="s">
        <v>20</v>
      </c>
      <c r="F45" s="8" t="s">
        <v>361</v>
      </c>
    </row>
  </sheetData>
  <mergeCells count="19">
    <mergeCell ref="A34:J34"/>
    <mergeCell ref="B3:B4"/>
    <mergeCell ref="A10:J10"/>
    <mergeCell ref="A13:J13"/>
    <mergeCell ref="A17:J17"/>
    <mergeCell ref="A20:J20"/>
    <mergeCell ref="A25:J25"/>
    <mergeCell ref="A29:J29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87F91-15F9-4237-9975-FD4A43C4EA18}">
  <dimension ref="A1:M63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18.1640625" style="7" bestFit="1" customWidth="1"/>
    <col min="3" max="3" width="27.83203125" style="7" customWidth="1"/>
    <col min="4" max="4" width="21.5" style="7" bestFit="1" customWidth="1"/>
    <col min="5" max="5" width="10.5" style="7" bestFit="1" customWidth="1"/>
    <col min="6" max="6" width="39.5" style="7" customWidth="1"/>
    <col min="7" max="9" width="5.5" style="8" customWidth="1"/>
    <col min="10" max="10" width="4.83203125" style="8" customWidth="1"/>
    <col min="11" max="11" width="10.5" style="29" bestFit="1" customWidth="1"/>
    <col min="12" max="12" width="8.5" style="8" bestFit="1" customWidth="1"/>
    <col min="13" max="13" width="19.83203125" style="7" bestFit="1" customWidth="1"/>
    <col min="14" max="16384" width="9.1640625" style="3"/>
  </cols>
  <sheetData>
    <row r="1" spans="1:13" s="2" customFormat="1" ht="29" customHeight="1">
      <c r="A1" s="40" t="s">
        <v>411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136</v>
      </c>
      <c r="B3" s="53" t="s">
        <v>0</v>
      </c>
      <c r="C3" s="50" t="s">
        <v>5</v>
      </c>
      <c r="D3" s="50" t="s">
        <v>7</v>
      </c>
      <c r="E3" s="34" t="s">
        <v>8</v>
      </c>
      <c r="F3" s="34" t="s">
        <v>6</v>
      </c>
      <c r="G3" s="34" t="s">
        <v>10</v>
      </c>
      <c r="H3" s="34"/>
      <c r="I3" s="34"/>
      <c r="J3" s="34"/>
      <c r="K3" s="55" t="s">
        <v>242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56"/>
      <c r="L4" s="35"/>
      <c r="M4" s="37"/>
    </row>
    <row r="5" spans="1:13" ht="16">
      <c r="A5" s="38" t="s">
        <v>243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10" t="s">
        <v>131</v>
      </c>
      <c r="B6" s="9" t="s">
        <v>244</v>
      </c>
      <c r="C6" s="9" t="s">
        <v>245</v>
      </c>
      <c r="D6" s="9" t="s">
        <v>246</v>
      </c>
      <c r="E6" s="9" t="str">
        <f>"1,3367"</f>
        <v>1,3367</v>
      </c>
      <c r="F6" s="9" t="s">
        <v>247</v>
      </c>
      <c r="G6" s="21" t="s">
        <v>143</v>
      </c>
      <c r="H6" s="21" t="s">
        <v>152</v>
      </c>
      <c r="I6" s="22" t="s">
        <v>192</v>
      </c>
      <c r="J6" s="10"/>
      <c r="K6" s="30" t="str">
        <f>"60,0"</f>
        <v>60,0</v>
      </c>
      <c r="L6" s="10" t="str">
        <f>"80,2020"</f>
        <v>80,2020</v>
      </c>
      <c r="M6" s="9" t="s">
        <v>248</v>
      </c>
    </row>
    <row r="7" spans="1:13">
      <c r="B7" s="7" t="s">
        <v>132</v>
      </c>
    </row>
    <row r="8" spans="1:13" ht="16">
      <c r="A8" s="51" t="s">
        <v>146</v>
      </c>
      <c r="B8" s="51"/>
      <c r="C8" s="52"/>
      <c r="D8" s="52"/>
      <c r="E8" s="52"/>
      <c r="F8" s="52"/>
      <c r="G8" s="52"/>
      <c r="H8" s="52"/>
      <c r="I8" s="52"/>
      <c r="J8" s="52"/>
    </row>
    <row r="9" spans="1:13">
      <c r="A9" s="10" t="s">
        <v>131</v>
      </c>
      <c r="B9" s="9" t="s">
        <v>249</v>
      </c>
      <c r="C9" s="9" t="s">
        <v>250</v>
      </c>
      <c r="D9" s="9" t="s">
        <v>251</v>
      </c>
      <c r="E9" s="9" t="str">
        <f>"1,1295"</f>
        <v>1,1295</v>
      </c>
      <c r="F9" s="9" t="s">
        <v>16</v>
      </c>
      <c r="G9" s="21" t="s">
        <v>252</v>
      </c>
      <c r="H9" s="21" t="s">
        <v>253</v>
      </c>
      <c r="I9" s="21" t="s">
        <v>254</v>
      </c>
      <c r="J9" s="10"/>
      <c r="K9" s="30" t="str">
        <f>"77,5"</f>
        <v>77,5</v>
      </c>
      <c r="L9" s="10" t="str">
        <f>"87,5363"</f>
        <v>87,5363</v>
      </c>
      <c r="M9" s="9" t="s">
        <v>393</v>
      </c>
    </row>
    <row r="10" spans="1:13">
      <c r="B10" s="7" t="s">
        <v>132</v>
      </c>
    </row>
    <row r="11" spans="1:13" ht="16">
      <c r="A11" s="51" t="s">
        <v>12</v>
      </c>
      <c r="B11" s="51"/>
      <c r="C11" s="52"/>
      <c r="D11" s="52"/>
      <c r="E11" s="52"/>
      <c r="F11" s="52"/>
      <c r="G11" s="52"/>
      <c r="H11" s="52"/>
      <c r="I11" s="52"/>
      <c r="J11" s="52"/>
    </row>
    <row r="12" spans="1:13">
      <c r="A12" s="12" t="s">
        <v>131</v>
      </c>
      <c r="B12" s="11" t="s">
        <v>255</v>
      </c>
      <c r="C12" s="11" t="s">
        <v>256</v>
      </c>
      <c r="D12" s="11" t="s">
        <v>257</v>
      </c>
      <c r="E12" s="11" t="str">
        <f>"1,0663"</f>
        <v>1,0663</v>
      </c>
      <c r="F12" s="11" t="s">
        <v>247</v>
      </c>
      <c r="G12" s="24" t="s">
        <v>19</v>
      </c>
      <c r="H12" s="24" t="s">
        <v>143</v>
      </c>
      <c r="I12" s="24" t="s">
        <v>20</v>
      </c>
      <c r="J12" s="12"/>
      <c r="K12" s="31" t="str">
        <f>"57,5"</f>
        <v>57,5</v>
      </c>
      <c r="L12" s="12" t="str">
        <f>"61,3123"</f>
        <v>61,3123</v>
      </c>
      <c r="M12" s="11" t="s">
        <v>248</v>
      </c>
    </row>
    <row r="13" spans="1:13">
      <c r="A13" s="14" t="s">
        <v>131</v>
      </c>
      <c r="B13" s="13" t="s">
        <v>13</v>
      </c>
      <c r="C13" s="13" t="s">
        <v>14</v>
      </c>
      <c r="D13" s="13" t="s">
        <v>15</v>
      </c>
      <c r="E13" s="13" t="str">
        <f>"1,0551"</f>
        <v>1,0551</v>
      </c>
      <c r="F13" s="13" t="s">
        <v>16</v>
      </c>
      <c r="G13" s="26" t="s">
        <v>19</v>
      </c>
      <c r="H13" s="25" t="s">
        <v>20</v>
      </c>
      <c r="I13" s="26" t="s">
        <v>20</v>
      </c>
      <c r="J13" s="14"/>
      <c r="K13" s="33" t="str">
        <f>"57,5"</f>
        <v>57,5</v>
      </c>
      <c r="L13" s="14" t="str">
        <f>"60,6682"</f>
        <v>60,6682</v>
      </c>
      <c r="M13" s="13" t="s">
        <v>22</v>
      </c>
    </row>
    <row r="14" spans="1:13">
      <c r="B14" s="7" t="s">
        <v>132</v>
      </c>
    </row>
    <row r="15" spans="1:13" ht="16">
      <c r="A15" s="51" t="s">
        <v>23</v>
      </c>
      <c r="B15" s="51"/>
      <c r="C15" s="52"/>
      <c r="D15" s="52"/>
      <c r="E15" s="52"/>
      <c r="F15" s="52"/>
      <c r="G15" s="52"/>
      <c r="H15" s="52"/>
      <c r="I15" s="52"/>
      <c r="J15" s="52"/>
    </row>
    <row r="16" spans="1:13">
      <c r="A16" s="10" t="s">
        <v>131</v>
      </c>
      <c r="B16" s="9" t="s">
        <v>24</v>
      </c>
      <c r="C16" s="9" t="s">
        <v>25</v>
      </c>
      <c r="D16" s="9" t="s">
        <v>26</v>
      </c>
      <c r="E16" s="9" t="str">
        <f>"0,8711"</f>
        <v>0,8711</v>
      </c>
      <c r="F16" s="9" t="s">
        <v>16</v>
      </c>
      <c r="G16" s="21" t="s">
        <v>17</v>
      </c>
      <c r="H16" s="21" t="s">
        <v>30</v>
      </c>
      <c r="I16" s="21" t="s">
        <v>18</v>
      </c>
      <c r="J16" s="10"/>
      <c r="K16" s="30" t="str">
        <f>"110,0"</f>
        <v>110,0</v>
      </c>
      <c r="L16" s="10" t="str">
        <f>"95,8210"</f>
        <v>95,8210</v>
      </c>
      <c r="M16" s="9" t="s">
        <v>22</v>
      </c>
    </row>
    <row r="17" spans="1:13">
      <c r="B17" s="7" t="s">
        <v>132</v>
      </c>
    </row>
    <row r="18" spans="1:13" ht="16">
      <c r="A18" s="51" t="s">
        <v>12</v>
      </c>
      <c r="B18" s="51"/>
      <c r="C18" s="52"/>
      <c r="D18" s="52"/>
      <c r="E18" s="52"/>
      <c r="F18" s="52"/>
      <c r="G18" s="52"/>
      <c r="H18" s="52"/>
      <c r="I18" s="52"/>
      <c r="J18" s="52"/>
    </row>
    <row r="19" spans="1:13">
      <c r="A19" s="10" t="s">
        <v>131</v>
      </c>
      <c r="B19" s="9" t="s">
        <v>258</v>
      </c>
      <c r="C19" s="9" t="s">
        <v>259</v>
      </c>
      <c r="D19" s="9" t="s">
        <v>260</v>
      </c>
      <c r="E19" s="9" t="str">
        <f>"0,8415"</f>
        <v>0,8415</v>
      </c>
      <c r="F19" s="9" t="s">
        <v>401</v>
      </c>
      <c r="G19" s="21" t="s">
        <v>224</v>
      </c>
      <c r="H19" s="21" t="s">
        <v>165</v>
      </c>
      <c r="I19" s="21" t="s">
        <v>170</v>
      </c>
      <c r="J19" s="10"/>
      <c r="K19" s="30" t="str">
        <f>"125,0"</f>
        <v>125,0</v>
      </c>
      <c r="L19" s="10" t="str">
        <f>"105,1875"</f>
        <v>105,1875</v>
      </c>
      <c r="M19" s="9" t="s">
        <v>261</v>
      </c>
    </row>
    <row r="20" spans="1:13">
      <c r="B20" s="7" t="s">
        <v>132</v>
      </c>
    </row>
    <row r="21" spans="1:13" ht="16">
      <c r="A21" s="51" t="s">
        <v>32</v>
      </c>
      <c r="B21" s="51"/>
      <c r="C21" s="52"/>
      <c r="D21" s="52"/>
      <c r="E21" s="52"/>
      <c r="F21" s="52"/>
      <c r="G21" s="52"/>
      <c r="H21" s="52"/>
      <c r="I21" s="52"/>
      <c r="J21" s="52"/>
    </row>
    <row r="22" spans="1:13">
      <c r="A22" s="10" t="s">
        <v>131</v>
      </c>
      <c r="B22" s="9" t="s">
        <v>262</v>
      </c>
      <c r="C22" s="9" t="s">
        <v>263</v>
      </c>
      <c r="D22" s="9" t="s">
        <v>264</v>
      </c>
      <c r="E22" s="9" t="str">
        <f>"0,7510"</f>
        <v>0,7510</v>
      </c>
      <c r="F22" s="9" t="s">
        <v>247</v>
      </c>
      <c r="G22" s="21" t="s">
        <v>141</v>
      </c>
      <c r="H22" s="21" t="s">
        <v>17</v>
      </c>
      <c r="I22" s="22" t="s">
        <v>265</v>
      </c>
      <c r="J22" s="10"/>
      <c r="K22" s="30" t="str">
        <f>"100,0"</f>
        <v>100,0</v>
      </c>
      <c r="L22" s="10" t="str">
        <f>"78,4044"</f>
        <v>78,4044</v>
      </c>
      <c r="M22" s="9" t="s">
        <v>394</v>
      </c>
    </row>
    <row r="23" spans="1:13">
      <c r="B23" s="7" t="s">
        <v>132</v>
      </c>
    </row>
    <row r="24" spans="1:13" ht="16">
      <c r="A24" s="51" t="s">
        <v>52</v>
      </c>
      <c r="B24" s="51"/>
      <c r="C24" s="52"/>
      <c r="D24" s="52"/>
      <c r="E24" s="52"/>
      <c r="F24" s="52"/>
      <c r="G24" s="52"/>
      <c r="H24" s="52"/>
      <c r="I24" s="52"/>
      <c r="J24" s="52"/>
    </row>
    <row r="25" spans="1:13">
      <c r="A25" s="12" t="s">
        <v>131</v>
      </c>
      <c r="B25" s="11" t="s">
        <v>266</v>
      </c>
      <c r="C25" s="11" t="s">
        <v>267</v>
      </c>
      <c r="D25" s="11" t="s">
        <v>268</v>
      </c>
      <c r="E25" s="11" t="str">
        <f>"0,6729"</f>
        <v>0,6729</v>
      </c>
      <c r="F25" s="11" t="s">
        <v>16</v>
      </c>
      <c r="G25" s="24" t="s">
        <v>142</v>
      </c>
      <c r="H25" s="24" t="s">
        <v>152</v>
      </c>
      <c r="I25" s="24" t="s">
        <v>196</v>
      </c>
      <c r="J25" s="12"/>
      <c r="K25" s="31" t="str">
        <f>"70,0"</f>
        <v>70,0</v>
      </c>
      <c r="L25" s="12" t="str">
        <f>"47,1030"</f>
        <v>47,1030</v>
      </c>
      <c r="M25" s="11" t="s">
        <v>414</v>
      </c>
    </row>
    <row r="26" spans="1:13">
      <c r="A26" s="16" t="s">
        <v>131</v>
      </c>
      <c r="B26" s="15" t="s">
        <v>269</v>
      </c>
      <c r="C26" s="15" t="s">
        <v>270</v>
      </c>
      <c r="D26" s="15" t="s">
        <v>271</v>
      </c>
      <c r="E26" s="15" t="str">
        <f>"0,6785"</f>
        <v>0,6785</v>
      </c>
      <c r="F26" s="15" t="s">
        <v>16</v>
      </c>
      <c r="G26" s="28" t="s">
        <v>21</v>
      </c>
      <c r="H26" s="28" t="s">
        <v>171</v>
      </c>
      <c r="I26" s="28" t="s">
        <v>272</v>
      </c>
      <c r="J26" s="16"/>
      <c r="K26" s="32" t="str">
        <f>"137,5"</f>
        <v>137,5</v>
      </c>
      <c r="L26" s="16" t="str">
        <f>"93,2937"</f>
        <v>93,2937</v>
      </c>
      <c r="M26" s="15" t="s">
        <v>395</v>
      </c>
    </row>
    <row r="27" spans="1:13">
      <c r="A27" s="16" t="s">
        <v>134</v>
      </c>
      <c r="B27" s="15" t="s">
        <v>273</v>
      </c>
      <c r="C27" s="15" t="s">
        <v>274</v>
      </c>
      <c r="D27" s="15" t="s">
        <v>275</v>
      </c>
      <c r="E27" s="15" t="str">
        <f>"0,6699"</f>
        <v>0,6699</v>
      </c>
      <c r="F27" s="15" t="s">
        <v>16</v>
      </c>
      <c r="G27" s="27" t="s">
        <v>21</v>
      </c>
      <c r="H27" s="27" t="s">
        <v>21</v>
      </c>
      <c r="I27" s="16"/>
      <c r="J27" s="16"/>
      <c r="K27" s="32">
        <v>0</v>
      </c>
      <c r="L27" s="16" t="str">
        <f>"0,0000"</f>
        <v>0,0000</v>
      </c>
      <c r="M27" s="15" t="s">
        <v>57</v>
      </c>
    </row>
    <row r="28" spans="1:13">
      <c r="A28" s="16" t="s">
        <v>131</v>
      </c>
      <c r="B28" s="15" t="s">
        <v>53</v>
      </c>
      <c r="C28" s="15" t="s">
        <v>54</v>
      </c>
      <c r="D28" s="15" t="s">
        <v>55</v>
      </c>
      <c r="E28" s="15" t="str">
        <f>"0,6739"</f>
        <v>0,6739</v>
      </c>
      <c r="F28" s="15" t="s">
        <v>16</v>
      </c>
      <c r="G28" s="28" t="s">
        <v>38</v>
      </c>
      <c r="H28" s="27" t="s">
        <v>28</v>
      </c>
      <c r="I28" s="27" t="s">
        <v>28</v>
      </c>
      <c r="J28" s="16"/>
      <c r="K28" s="32" t="str">
        <f>"150,0"</f>
        <v>150,0</v>
      </c>
      <c r="L28" s="16" t="str">
        <f>"101,0850"</f>
        <v>101,0850</v>
      </c>
      <c r="M28" s="15" t="s">
        <v>57</v>
      </c>
    </row>
    <row r="29" spans="1:13">
      <c r="A29" s="14" t="s">
        <v>133</v>
      </c>
      <c r="B29" s="13" t="s">
        <v>204</v>
      </c>
      <c r="C29" s="13" t="s">
        <v>205</v>
      </c>
      <c r="D29" s="13" t="s">
        <v>206</v>
      </c>
      <c r="E29" s="13" t="str">
        <f>"0,6963"</f>
        <v>0,6963</v>
      </c>
      <c r="F29" s="13" t="s">
        <v>402</v>
      </c>
      <c r="G29" s="25" t="s">
        <v>48</v>
      </c>
      <c r="H29" s="25" t="s">
        <v>48</v>
      </c>
      <c r="I29" s="26" t="s">
        <v>48</v>
      </c>
      <c r="J29" s="14"/>
      <c r="K29" s="33" t="str">
        <f>"130,0"</f>
        <v>130,0</v>
      </c>
      <c r="L29" s="14" t="str">
        <f>"90,5190"</f>
        <v>90,5190</v>
      </c>
      <c r="M29" s="13" t="s">
        <v>208</v>
      </c>
    </row>
    <row r="30" spans="1:13">
      <c r="B30" s="7" t="s">
        <v>132</v>
      </c>
    </row>
    <row r="31" spans="1:13" ht="16">
      <c r="A31" s="51" t="s">
        <v>23</v>
      </c>
      <c r="B31" s="51"/>
      <c r="C31" s="52"/>
      <c r="D31" s="52"/>
      <c r="E31" s="52"/>
      <c r="F31" s="52"/>
      <c r="G31" s="52"/>
      <c r="H31" s="52"/>
      <c r="I31" s="52"/>
      <c r="J31" s="52"/>
    </row>
    <row r="32" spans="1:13">
      <c r="A32" s="12" t="s">
        <v>131</v>
      </c>
      <c r="B32" s="11" t="s">
        <v>276</v>
      </c>
      <c r="C32" s="11" t="s">
        <v>277</v>
      </c>
      <c r="D32" s="11" t="s">
        <v>278</v>
      </c>
      <c r="E32" s="11" t="str">
        <f>"0,6428"</f>
        <v>0,6428</v>
      </c>
      <c r="F32" s="11" t="s">
        <v>16</v>
      </c>
      <c r="G32" s="24" t="s">
        <v>62</v>
      </c>
      <c r="H32" s="23" t="s">
        <v>29</v>
      </c>
      <c r="I32" s="24" t="s">
        <v>29</v>
      </c>
      <c r="J32" s="12"/>
      <c r="K32" s="31" t="str">
        <f>"170,0"</f>
        <v>170,0</v>
      </c>
      <c r="L32" s="12" t="str">
        <f>"109,2760"</f>
        <v>109,2760</v>
      </c>
      <c r="M32" s="11" t="s">
        <v>414</v>
      </c>
    </row>
    <row r="33" spans="1:13">
      <c r="A33" s="16" t="s">
        <v>133</v>
      </c>
      <c r="B33" s="15" t="s">
        <v>279</v>
      </c>
      <c r="C33" s="15" t="s">
        <v>280</v>
      </c>
      <c r="D33" s="15" t="s">
        <v>281</v>
      </c>
      <c r="E33" s="15" t="str">
        <f>"0,6384"</f>
        <v>0,6384</v>
      </c>
      <c r="F33" s="15" t="s">
        <v>16</v>
      </c>
      <c r="G33" s="28" t="s">
        <v>38</v>
      </c>
      <c r="H33" s="28" t="s">
        <v>28</v>
      </c>
      <c r="I33" s="27" t="s">
        <v>62</v>
      </c>
      <c r="J33" s="16"/>
      <c r="K33" s="32" t="str">
        <f>"155,0"</f>
        <v>155,0</v>
      </c>
      <c r="L33" s="16" t="str">
        <f>"98,9520"</f>
        <v>98,9520</v>
      </c>
      <c r="M33" s="15" t="s">
        <v>414</v>
      </c>
    </row>
    <row r="34" spans="1:13">
      <c r="A34" s="14" t="s">
        <v>131</v>
      </c>
      <c r="B34" s="13" t="s">
        <v>282</v>
      </c>
      <c r="C34" s="13" t="s">
        <v>283</v>
      </c>
      <c r="D34" s="13" t="s">
        <v>284</v>
      </c>
      <c r="E34" s="13" t="str">
        <f>"0,6588"</f>
        <v>0,6588</v>
      </c>
      <c r="F34" s="13" t="s">
        <v>405</v>
      </c>
      <c r="G34" s="26" t="s">
        <v>197</v>
      </c>
      <c r="H34" s="26" t="s">
        <v>151</v>
      </c>
      <c r="I34" s="26" t="s">
        <v>265</v>
      </c>
      <c r="J34" s="14"/>
      <c r="K34" s="33" t="str">
        <f>"102,5"</f>
        <v>102,5</v>
      </c>
      <c r="L34" s="14" t="str">
        <f>"93,1873"</f>
        <v>93,1873</v>
      </c>
      <c r="M34" s="13" t="s">
        <v>414</v>
      </c>
    </row>
    <row r="35" spans="1:13">
      <c r="B35" s="7" t="s">
        <v>132</v>
      </c>
    </row>
    <row r="36" spans="1:13" ht="16">
      <c r="A36" s="51" t="s">
        <v>72</v>
      </c>
      <c r="B36" s="51"/>
      <c r="C36" s="52"/>
      <c r="D36" s="52"/>
      <c r="E36" s="52"/>
      <c r="F36" s="52"/>
      <c r="G36" s="52"/>
      <c r="H36" s="52"/>
      <c r="I36" s="52"/>
      <c r="J36" s="52"/>
    </row>
    <row r="37" spans="1:13">
      <c r="A37" s="12" t="s">
        <v>131</v>
      </c>
      <c r="B37" s="11" t="s">
        <v>285</v>
      </c>
      <c r="C37" s="11" t="s">
        <v>286</v>
      </c>
      <c r="D37" s="11" t="s">
        <v>75</v>
      </c>
      <c r="E37" s="11" t="str">
        <f>"0,6111"</f>
        <v>0,6111</v>
      </c>
      <c r="F37" s="11" t="s">
        <v>287</v>
      </c>
      <c r="G37" s="24" t="s">
        <v>82</v>
      </c>
      <c r="H37" s="24" t="s">
        <v>45</v>
      </c>
      <c r="I37" s="24" t="s">
        <v>164</v>
      </c>
      <c r="J37" s="12"/>
      <c r="K37" s="31" t="str">
        <f>"192,5"</f>
        <v>192,5</v>
      </c>
      <c r="L37" s="12" t="str">
        <f>"117,6368"</f>
        <v>117,6368</v>
      </c>
      <c r="M37" s="11" t="s">
        <v>414</v>
      </c>
    </row>
    <row r="38" spans="1:13">
      <c r="A38" s="16" t="s">
        <v>133</v>
      </c>
      <c r="B38" s="15" t="s">
        <v>288</v>
      </c>
      <c r="C38" s="15" t="s">
        <v>289</v>
      </c>
      <c r="D38" s="15" t="s">
        <v>290</v>
      </c>
      <c r="E38" s="15" t="str">
        <f>"0,6113"</f>
        <v>0,6113</v>
      </c>
      <c r="F38" s="15" t="s">
        <v>16</v>
      </c>
      <c r="G38" s="28" t="s">
        <v>29</v>
      </c>
      <c r="H38" s="27" t="s">
        <v>82</v>
      </c>
      <c r="I38" s="27" t="s">
        <v>82</v>
      </c>
      <c r="J38" s="16"/>
      <c r="K38" s="32" t="str">
        <f>"170,0"</f>
        <v>170,0</v>
      </c>
      <c r="L38" s="16" t="str">
        <f>"103,9210"</f>
        <v>103,9210</v>
      </c>
      <c r="M38" s="15" t="s">
        <v>414</v>
      </c>
    </row>
    <row r="39" spans="1:13">
      <c r="A39" s="16" t="s">
        <v>135</v>
      </c>
      <c r="B39" s="15" t="s">
        <v>83</v>
      </c>
      <c r="C39" s="15" t="s">
        <v>84</v>
      </c>
      <c r="D39" s="15" t="s">
        <v>85</v>
      </c>
      <c r="E39" s="15" t="str">
        <f>"0,6096"</f>
        <v>0,6096</v>
      </c>
      <c r="F39" s="15" t="s">
        <v>86</v>
      </c>
      <c r="G39" s="28" t="s">
        <v>29</v>
      </c>
      <c r="H39" s="27" t="s">
        <v>77</v>
      </c>
      <c r="I39" s="16"/>
      <c r="J39" s="16"/>
      <c r="K39" s="32" t="str">
        <f>"170,0"</f>
        <v>170,0</v>
      </c>
      <c r="L39" s="16" t="str">
        <f>"103,6320"</f>
        <v>103,6320</v>
      </c>
      <c r="M39" s="15" t="s">
        <v>22</v>
      </c>
    </row>
    <row r="40" spans="1:13">
      <c r="A40" s="16" t="s">
        <v>317</v>
      </c>
      <c r="B40" s="15" t="s">
        <v>291</v>
      </c>
      <c r="C40" s="15" t="s">
        <v>292</v>
      </c>
      <c r="D40" s="15" t="s">
        <v>293</v>
      </c>
      <c r="E40" s="15" t="str">
        <f>"0,6232"</f>
        <v>0,6232</v>
      </c>
      <c r="F40" s="15" t="s">
        <v>16</v>
      </c>
      <c r="G40" s="28" t="s">
        <v>38</v>
      </c>
      <c r="H40" s="28" t="s">
        <v>62</v>
      </c>
      <c r="I40" s="28" t="s">
        <v>31</v>
      </c>
      <c r="J40" s="16"/>
      <c r="K40" s="32" t="str">
        <f>"165,0"</f>
        <v>165,0</v>
      </c>
      <c r="L40" s="16" t="str">
        <f>"102,8280"</f>
        <v>102,8280</v>
      </c>
      <c r="M40" s="15" t="s">
        <v>414</v>
      </c>
    </row>
    <row r="41" spans="1:13">
      <c r="A41" s="14" t="s">
        <v>318</v>
      </c>
      <c r="B41" s="13" t="s">
        <v>294</v>
      </c>
      <c r="C41" s="13" t="s">
        <v>295</v>
      </c>
      <c r="D41" s="13" t="s">
        <v>296</v>
      </c>
      <c r="E41" s="13" t="str">
        <f>"0,6197"</f>
        <v>0,6197</v>
      </c>
      <c r="F41" s="13" t="s">
        <v>16</v>
      </c>
      <c r="G41" s="26" t="s">
        <v>27</v>
      </c>
      <c r="H41" s="26" t="s">
        <v>233</v>
      </c>
      <c r="I41" s="25" t="s">
        <v>38</v>
      </c>
      <c r="J41" s="14"/>
      <c r="K41" s="33" t="str">
        <f>"145,0"</f>
        <v>145,0</v>
      </c>
      <c r="L41" s="14" t="str">
        <f>"89,8565"</f>
        <v>89,8565</v>
      </c>
      <c r="M41" s="13" t="s">
        <v>414</v>
      </c>
    </row>
    <row r="42" spans="1:13">
      <c r="B42" s="7" t="s">
        <v>132</v>
      </c>
    </row>
    <row r="43" spans="1:13" ht="16">
      <c r="A43" s="51" t="s">
        <v>87</v>
      </c>
      <c r="B43" s="51"/>
      <c r="C43" s="52"/>
      <c r="D43" s="52"/>
      <c r="E43" s="52"/>
      <c r="F43" s="52"/>
      <c r="G43" s="52"/>
      <c r="H43" s="52"/>
      <c r="I43" s="52"/>
      <c r="J43" s="52"/>
    </row>
    <row r="44" spans="1:13">
      <c r="A44" s="12" t="s">
        <v>131</v>
      </c>
      <c r="B44" s="11" t="s">
        <v>297</v>
      </c>
      <c r="C44" s="11" t="s">
        <v>298</v>
      </c>
      <c r="D44" s="11" t="s">
        <v>299</v>
      </c>
      <c r="E44" s="11" t="str">
        <f>"0,5900"</f>
        <v>0,5900</v>
      </c>
      <c r="F44" s="11" t="s">
        <v>16</v>
      </c>
      <c r="G44" s="24" t="s">
        <v>64</v>
      </c>
      <c r="H44" s="24" t="s">
        <v>77</v>
      </c>
      <c r="I44" s="23" t="s">
        <v>164</v>
      </c>
      <c r="J44" s="12"/>
      <c r="K44" s="31" t="str">
        <f>"185,0"</f>
        <v>185,0</v>
      </c>
      <c r="L44" s="12" t="str">
        <f>"109,1500"</f>
        <v>109,1500</v>
      </c>
      <c r="M44" s="11" t="s">
        <v>414</v>
      </c>
    </row>
    <row r="45" spans="1:13">
      <c r="A45" s="16" t="s">
        <v>133</v>
      </c>
      <c r="B45" s="15" t="s">
        <v>300</v>
      </c>
      <c r="C45" s="15" t="s">
        <v>301</v>
      </c>
      <c r="D45" s="15" t="s">
        <v>302</v>
      </c>
      <c r="E45" s="15" t="str">
        <f>"0,5885"</f>
        <v>0,5885</v>
      </c>
      <c r="F45" s="15" t="s">
        <v>16</v>
      </c>
      <c r="G45" s="27" t="s">
        <v>82</v>
      </c>
      <c r="H45" s="27" t="s">
        <v>82</v>
      </c>
      <c r="I45" s="28" t="s">
        <v>82</v>
      </c>
      <c r="J45" s="16"/>
      <c r="K45" s="32" t="str">
        <f>"180,0"</f>
        <v>180,0</v>
      </c>
      <c r="L45" s="16" t="str">
        <f>"105,9300"</f>
        <v>105,9300</v>
      </c>
      <c r="M45" s="15" t="s">
        <v>414</v>
      </c>
    </row>
    <row r="46" spans="1:13">
      <c r="A46" s="16" t="s">
        <v>135</v>
      </c>
      <c r="B46" s="15" t="s">
        <v>303</v>
      </c>
      <c r="C46" s="15" t="s">
        <v>304</v>
      </c>
      <c r="D46" s="15" t="s">
        <v>90</v>
      </c>
      <c r="E46" s="15" t="str">
        <f>"0,5917"</f>
        <v>0,5917</v>
      </c>
      <c r="F46" s="15" t="s">
        <v>305</v>
      </c>
      <c r="G46" s="27" t="s">
        <v>29</v>
      </c>
      <c r="H46" s="28" t="s">
        <v>29</v>
      </c>
      <c r="I46" s="27" t="s">
        <v>64</v>
      </c>
      <c r="J46" s="16"/>
      <c r="K46" s="32" t="str">
        <f>"170,0"</f>
        <v>170,0</v>
      </c>
      <c r="L46" s="16" t="str">
        <f>"100,5890"</f>
        <v>100,5890</v>
      </c>
      <c r="M46" s="15" t="s">
        <v>415</v>
      </c>
    </row>
    <row r="47" spans="1:13">
      <c r="A47" s="14" t="s">
        <v>131</v>
      </c>
      <c r="B47" s="13" t="s">
        <v>303</v>
      </c>
      <c r="C47" s="13" t="s">
        <v>306</v>
      </c>
      <c r="D47" s="13" t="s">
        <v>90</v>
      </c>
      <c r="E47" s="13" t="str">
        <f>"0,5917"</f>
        <v>0,5917</v>
      </c>
      <c r="F47" s="13" t="s">
        <v>305</v>
      </c>
      <c r="G47" s="25" t="s">
        <v>29</v>
      </c>
      <c r="H47" s="26" t="s">
        <v>29</v>
      </c>
      <c r="I47" s="25" t="s">
        <v>64</v>
      </c>
      <c r="J47" s="14"/>
      <c r="K47" s="33" t="str">
        <f>"170,0"</f>
        <v>170,0</v>
      </c>
      <c r="L47" s="14" t="str">
        <f>"110,2455"</f>
        <v>110,2455</v>
      </c>
      <c r="M47" s="13" t="s">
        <v>415</v>
      </c>
    </row>
    <row r="48" spans="1:13">
      <c r="B48" s="7" t="s">
        <v>132</v>
      </c>
    </row>
    <row r="49" spans="1:13" ht="16">
      <c r="A49" s="51" t="s">
        <v>176</v>
      </c>
      <c r="B49" s="51"/>
      <c r="C49" s="52"/>
      <c r="D49" s="52"/>
      <c r="E49" s="52"/>
      <c r="F49" s="52"/>
      <c r="G49" s="52"/>
      <c r="H49" s="52"/>
      <c r="I49" s="52"/>
      <c r="J49" s="52"/>
    </row>
    <row r="50" spans="1:13">
      <c r="A50" s="10" t="s">
        <v>131</v>
      </c>
      <c r="B50" s="9" t="s">
        <v>307</v>
      </c>
      <c r="C50" s="9" t="s">
        <v>308</v>
      </c>
      <c r="D50" s="9" t="s">
        <v>309</v>
      </c>
      <c r="E50" s="9" t="str">
        <f>"0,5872"</f>
        <v>0,5872</v>
      </c>
      <c r="F50" s="9" t="s">
        <v>287</v>
      </c>
      <c r="G50" s="21" t="s">
        <v>50</v>
      </c>
      <c r="H50" s="21" t="s">
        <v>71</v>
      </c>
      <c r="I50" s="22" t="s">
        <v>51</v>
      </c>
      <c r="J50" s="10"/>
      <c r="K50" s="30" t="str">
        <f>"260,0"</f>
        <v>260,0</v>
      </c>
      <c r="L50" s="10" t="str">
        <f>"152,6720"</f>
        <v>152,6720</v>
      </c>
      <c r="M50" s="9" t="s">
        <v>414</v>
      </c>
    </row>
    <row r="51" spans="1:13">
      <c r="B51" s="7" t="s">
        <v>132</v>
      </c>
    </row>
    <row r="52" spans="1:13" ht="16">
      <c r="A52" s="51" t="s">
        <v>108</v>
      </c>
      <c r="B52" s="51"/>
      <c r="C52" s="52"/>
      <c r="D52" s="52"/>
      <c r="E52" s="52"/>
      <c r="F52" s="52"/>
      <c r="G52" s="52"/>
      <c r="H52" s="52"/>
      <c r="I52" s="52"/>
      <c r="J52" s="52"/>
    </row>
    <row r="53" spans="1:13">
      <c r="A53" s="10" t="s">
        <v>131</v>
      </c>
      <c r="B53" s="9" t="s">
        <v>310</v>
      </c>
      <c r="C53" s="9" t="s">
        <v>311</v>
      </c>
      <c r="D53" s="9" t="s">
        <v>312</v>
      </c>
      <c r="E53" s="9" t="str">
        <f>"0,5640"</f>
        <v>0,5640</v>
      </c>
      <c r="F53" s="9" t="s">
        <v>392</v>
      </c>
      <c r="G53" s="21" t="s">
        <v>45</v>
      </c>
      <c r="H53" s="21" t="s">
        <v>39</v>
      </c>
      <c r="I53" s="22" t="s">
        <v>36</v>
      </c>
      <c r="J53" s="10"/>
      <c r="K53" s="30" t="str">
        <f>"200,0"</f>
        <v>200,0</v>
      </c>
      <c r="L53" s="10" t="str">
        <f>"119,5680"</f>
        <v>119,5680</v>
      </c>
      <c r="M53" s="9" t="s">
        <v>414</v>
      </c>
    </row>
    <row r="54" spans="1:13">
      <c r="B54" s="7" t="s">
        <v>132</v>
      </c>
    </row>
    <row r="57" spans="1:13" ht="18">
      <c r="B57" s="17" t="s">
        <v>113</v>
      </c>
      <c r="C57" s="17"/>
    </row>
    <row r="58" spans="1:13" ht="16">
      <c r="B58" s="18" t="s">
        <v>121</v>
      </c>
      <c r="C58" s="18"/>
    </row>
    <row r="59" spans="1:13" ht="14">
      <c r="B59" s="19"/>
      <c r="C59" s="20" t="s">
        <v>115</v>
      </c>
    </row>
    <row r="60" spans="1:13" ht="14">
      <c r="B60" s="5" t="s">
        <v>116</v>
      </c>
      <c r="C60" s="5" t="s">
        <v>117</v>
      </c>
      <c r="D60" s="5" t="s">
        <v>403</v>
      </c>
      <c r="E60" s="5" t="s">
        <v>313</v>
      </c>
      <c r="F60" s="5" t="s">
        <v>119</v>
      </c>
    </row>
    <row r="61" spans="1:13">
      <c r="B61" s="7" t="s">
        <v>307</v>
      </c>
      <c r="C61" s="7" t="s">
        <v>115</v>
      </c>
      <c r="D61" s="8" t="s">
        <v>184</v>
      </c>
      <c r="E61" s="8" t="s">
        <v>71</v>
      </c>
      <c r="F61" s="8" t="s">
        <v>314</v>
      </c>
    </row>
    <row r="62" spans="1:13">
      <c r="B62" s="7" t="s">
        <v>285</v>
      </c>
      <c r="C62" s="7" t="s">
        <v>115</v>
      </c>
      <c r="D62" s="8" t="s">
        <v>218</v>
      </c>
      <c r="E62" s="8" t="s">
        <v>164</v>
      </c>
      <c r="F62" s="8" t="s">
        <v>315</v>
      </c>
    </row>
    <row r="63" spans="1:13">
      <c r="B63" s="7" t="s">
        <v>276</v>
      </c>
      <c r="C63" s="7" t="s">
        <v>115</v>
      </c>
      <c r="D63" s="8" t="s">
        <v>120</v>
      </c>
      <c r="E63" s="8" t="s">
        <v>29</v>
      </c>
      <c r="F63" s="8" t="s">
        <v>316</v>
      </c>
    </row>
  </sheetData>
  <mergeCells count="23">
    <mergeCell ref="A31:J31"/>
    <mergeCell ref="A36:J36"/>
    <mergeCell ref="A43:J43"/>
    <mergeCell ref="A49:J49"/>
    <mergeCell ref="A52:J52"/>
    <mergeCell ref="A21:J21"/>
    <mergeCell ref="A24:J24"/>
    <mergeCell ref="K3:K4"/>
    <mergeCell ref="L3:L4"/>
    <mergeCell ref="M3:M4"/>
    <mergeCell ref="A5:J5"/>
    <mergeCell ref="B3:B4"/>
    <mergeCell ref="A8:J8"/>
    <mergeCell ref="A11:J11"/>
    <mergeCell ref="A15:J15"/>
    <mergeCell ref="A18:J18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CD16E-530D-4400-AB4E-CB5679437CA1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0" style="7" customWidth="1"/>
    <col min="3" max="3" width="26.5" style="7" bestFit="1" customWidth="1"/>
    <col min="4" max="4" width="21.5" style="7" bestFit="1" customWidth="1"/>
    <col min="5" max="5" width="10.5" style="7" bestFit="1" customWidth="1"/>
    <col min="6" max="6" width="24" style="7" bestFit="1" customWidth="1"/>
    <col min="7" max="10" width="5.5" style="8" customWidth="1"/>
    <col min="11" max="11" width="10.5" style="8" bestFit="1" customWidth="1"/>
    <col min="12" max="12" width="8.5" style="8" bestFit="1" customWidth="1"/>
    <col min="13" max="13" width="17.83203125" style="7" customWidth="1"/>
    <col min="14" max="16384" width="9.1640625" style="3"/>
  </cols>
  <sheetData>
    <row r="1" spans="1:13" s="2" customFormat="1" ht="29" customHeight="1">
      <c r="A1" s="40" t="s">
        <v>399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136</v>
      </c>
      <c r="B3" s="53" t="s">
        <v>0</v>
      </c>
      <c r="C3" s="50" t="s">
        <v>5</v>
      </c>
      <c r="D3" s="50" t="s">
        <v>7</v>
      </c>
      <c r="E3" s="34" t="s">
        <v>8</v>
      </c>
      <c r="F3" s="34" t="s">
        <v>6</v>
      </c>
      <c r="G3" s="34" t="s">
        <v>10</v>
      </c>
      <c r="H3" s="34"/>
      <c r="I3" s="34"/>
      <c r="J3" s="34"/>
      <c r="K3" s="34" t="s">
        <v>242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52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10" t="s">
        <v>131</v>
      </c>
      <c r="B6" s="9" t="s">
        <v>362</v>
      </c>
      <c r="C6" s="9" t="s">
        <v>363</v>
      </c>
      <c r="D6" s="9" t="s">
        <v>364</v>
      </c>
      <c r="E6" s="9" t="str">
        <f>"0,6709"</f>
        <v>0,6709</v>
      </c>
      <c r="F6" s="9" t="s">
        <v>16</v>
      </c>
      <c r="G6" s="22" t="s">
        <v>45</v>
      </c>
      <c r="H6" s="22" t="s">
        <v>45</v>
      </c>
      <c r="I6" s="21" t="s">
        <v>45</v>
      </c>
      <c r="J6" s="22" t="s">
        <v>39</v>
      </c>
      <c r="K6" s="10" t="str">
        <f>"190,0"</f>
        <v>190,0</v>
      </c>
      <c r="L6" s="10" t="str">
        <f>"127,4710"</f>
        <v>127,4710</v>
      </c>
      <c r="M6" s="9" t="s">
        <v>22</v>
      </c>
    </row>
    <row r="7" spans="1:13">
      <c r="B7" s="7" t="s">
        <v>132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F24C-2AA4-432B-BEBC-CED22673AD0C}"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17.33203125" style="7" bestFit="1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25.83203125" style="7" bestFit="1" customWidth="1"/>
    <col min="7" max="10" width="5.5" style="8" customWidth="1"/>
    <col min="11" max="11" width="10.5" style="8" bestFit="1" customWidth="1"/>
    <col min="12" max="12" width="8.5" style="8" bestFit="1" customWidth="1"/>
    <col min="13" max="13" width="15.5" style="7" bestFit="1" customWidth="1"/>
    <col min="14" max="16384" width="9.1640625" style="3"/>
  </cols>
  <sheetData>
    <row r="1" spans="1:13" s="2" customFormat="1" ht="29" customHeight="1">
      <c r="A1" s="40" t="s">
        <v>400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136</v>
      </c>
      <c r="B3" s="53" t="s">
        <v>0</v>
      </c>
      <c r="C3" s="50" t="s">
        <v>5</v>
      </c>
      <c r="D3" s="50" t="s">
        <v>7</v>
      </c>
      <c r="E3" s="34" t="s">
        <v>365</v>
      </c>
      <c r="F3" s="34" t="s">
        <v>6</v>
      </c>
      <c r="G3" s="34" t="s">
        <v>10</v>
      </c>
      <c r="H3" s="34"/>
      <c r="I3" s="34"/>
      <c r="J3" s="34"/>
      <c r="K3" s="34" t="s">
        <v>242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72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10" t="s">
        <v>131</v>
      </c>
      <c r="B6" s="9" t="s">
        <v>366</v>
      </c>
      <c r="C6" s="9" t="s">
        <v>367</v>
      </c>
      <c r="D6" s="9" t="s">
        <v>368</v>
      </c>
      <c r="E6" s="9" t="str">
        <f>"0,5885"</f>
        <v>0,5885</v>
      </c>
      <c r="F6" s="9" t="s">
        <v>325</v>
      </c>
      <c r="G6" s="22" t="s">
        <v>369</v>
      </c>
      <c r="H6" s="21" t="s">
        <v>369</v>
      </c>
      <c r="I6" s="22" t="s">
        <v>216</v>
      </c>
      <c r="J6" s="10"/>
      <c r="K6" s="10" t="str">
        <f>"310,0"</f>
        <v>310,0</v>
      </c>
      <c r="L6" s="10" t="str">
        <f>"182,4505"</f>
        <v>182,4505</v>
      </c>
      <c r="M6" s="9" t="s">
        <v>370</v>
      </c>
    </row>
    <row r="7" spans="1:13">
      <c r="B7" s="7" t="s">
        <v>132</v>
      </c>
    </row>
    <row r="8" spans="1:13" ht="16">
      <c r="A8" s="51" t="s">
        <v>176</v>
      </c>
      <c r="B8" s="51"/>
      <c r="C8" s="52"/>
      <c r="D8" s="52"/>
      <c r="E8" s="52"/>
      <c r="F8" s="52"/>
      <c r="G8" s="52"/>
      <c r="H8" s="52"/>
      <c r="I8" s="52"/>
      <c r="J8" s="52"/>
    </row>
    <row r="9" spans="1:13">
      <c r="A9" s="10" t="s">
        <v>131</v>
      </c>
      <c r="B9" s="9" t="s">
        <v>307</v>
      </c>
      <c r="C9" s="9" t="s">
        <v>308</v>
      </c>
      <c r="D9" s="9" t="s">
        <v>309</v>
      </c>
      <c r="E9" s="9" t="str">
        <f>"0,5613"</f>
        <v>0,5613</v>
      </c>
      <c r="F9" s="9" t="s">
        <v>287</v>
      </c>
      <c r="G9" s="22" t="s">
        <v>371</v>
      </c>
      <c r="H9" s="21" t="s">
        <v>371</v>
      </c>
      <c r="I9" s="22" t="s">
        <v>372</v>
      </c>
      <c r="J9" s="10"/>
      <c r="K9" s="10" t="str">
        <f>"400,0"</f>
        <v>400,0</v>
      </c>
      <c r="L9" s="10" t="str">
        <f>"224,5400"</f>
        <v>224,5400</v>
      </c>
      <c r="M9" s="9" t="s">
        <v>414</v>
      </c>
    </row>
    <row r="10" spans="1:13">
      <c r="B10" s="7" t="s">
        <v>132</v>
      </c>
    </row>
    <row r="11" spans="1:13" ht="16">
      <c r="A11" s="51" t="s">
        <v>108</v>
      </c>
      <c r="B11" s="51"/>
      <c r="C11" s="52"/>
      <c r="D11" s="52"/>
      <c r="E11" s="52"/>
      <c r="F11" s="52"/>
      <c r="G11" s="52"/>
      <c r="H11" s="52"/>
      <c r="I11" s="52"/>
      <c r="J11" s="52"/>
    </row>
    <row r="12" spans="1:13">
      <c r="A12" s="10" t="s">
        <v>131</v>
      </c>
      <c r="B12" s="9" t="s">
        <v>373</v>
      </c>
      <c r="C12" s="9" t="s">
        <v>374</v>
      </c>
      <c r="D12" s="9" t="s">
        <v>375</v>
      </c>
      <c r="E12" s="9" t="str">
        <f>"0,5336"</f>
        <v>0,5336</v>
      </c>
      <c r="F12" s="9" t="s">
        <v>376</v>
      </c>
      <c r="G12" s="22" t="s">
        <v>377</v>
      </c>
      <c r="H12" s="21" t="s">
        <v>377</v>
      </c>
      <c r="I12" s="21" t="s">
        <v>378</v>
      </c>
      <c r="J12" s="22" t="s">
        <v>371</v>
      </c>
      <c r="K12" s="10" t="str">
        <f>"370,0"</f>
        <v>370,0</v>
      </c>
      <c r="L12" s="10" t="str">
        <f>"197,4172"</f>
        <v>197,4172</v>
      </c>
      <c r="M12" s="9" t="s">
        <v>414</v>
      </c>
    </row>
    <row r="13" spans="1:13">
      <c r="B13" s="7" t="s">
        <v>132</v>
      </c>
    </row>
    <row r="14" spans="1:13">
      <c r="B14" s="7" t="s">
        <v>132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0B4AB-4ECC-499F-9D74-A45DBA9995DA}">
  <dimension ref="A1:M12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1" style="7" bestFit="1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25.1640625" style="7" bestFit="1" customWidth="1"/>
    <col min="7" max="9" width="5.5" style="8" customWidth="1"/>
    <col min="10" max="10" width="4.83203125" style="8" customWidth="1"/>
    <col min="11" max="11" width="10.5" style="8" bestFit="1" customWidth="1"/>
    <col min="12" max="12" width="8.5" style="8" bestFit="1" customWidth="1"/>
    <col min="13" max="13" width="19" style="7" customWidth="1"/>
    <col min="14" max="16384" width="9.1640625" style="3"/>
  </cols>
  <sheetData>
    <row r="1" spans="1:13" s="2" customFormat="1" ht="29" customHeight="1">
      <c r="A1" s="40" t="s">
        <v>412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136</v>
      </c>
      <c r="B3" s="53" t="s">
        <v>0</v>
      </c>
      <c r="C3" s="50" t="s">
        <v>5</v>
      </c>
      <c r="D3" s="50" t="s">
        <v>7</v>
      </c>
      <c r="E3" s="34" t="s">
        <v>8</v>
      </c>
      <c r="F3" s="34" t="s">
        <v>6</v>
      </c>
      <c r="G3" s="34" t="s">
        <v>11</v>
      </c>
      <c r="H3" s="34"/>
      <c r="I3" s="34"/>
      <c r="J3" s="34"/>
      <c r="K3" s="34" t="s">
        <v>242</v>
      </c>
      <c r="L3" s="34" t="s">
        <v>3</v>
      </c>
      <c r="M3" s="36" t="s">
        <v>2</v>
      </c>
    </row>
    <row r="4" spans="1:13" s="1" customFormat="1" ht="21" customHeight="1" thickBot="1">
      <c r="A4" s="49"/>
      <c r="B4" s="54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219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12" t="s">
        <v>131</v>
      </c>
      <c r="B6" s="11" t="s">
        <v>220</v>
      </c>
      <c r="C6" s="11" t="s">
        <v>221</v>
      </c>
      <c r="D6" s="11" t="s">
        <v>222</v>
      </c>
      <c r="E6" s="11" t="str">
        <f>"1,2654"</f>
        <v>1,2654</v>
      </c>
      <c r="F6" s="11" t="s">
        <v>16</v>
      </c>
      <c r="G6" s="24" t="s">
        <v>157</v>
      </c>
      <c r="H6" s="24" t="s">
        <v>224</v>
      </c>
      <c r="I6" s="24" t="s">
        <v>21</v>
      </c>
      <c r="J6" s="12"/>
      <c r="K6" s="12" t="str">
        <f>"120,0"</f>
        <v>120,0</v>
      </c>
      <c r="L6" s="12" t="str">
        <f>"151,8480"</f>
        <v>151,8480</v>
      </c>
      <c r="M6" s="11" t="s">
        <v>106</v>
      </c>
    </row>
    <row r="7" spans="1:13">
      <c r="A7" s="14" t="s">
        <v>133</v>
      </c>
      <c r="B7" s="13" t="s">
        <v>225</v>
      </c>
      <c r="C7" s="13" t="s">
        <v>226</v>
      </c>
      <c r="D7" s="13" t="s">
        <v>227</v>
      </c>
      <c r="E7" s="13" t="str">
        <f>"1,2504"</f>
        <v>1,2504</v>
      </c>
      <c r="F7" s="13" t="s">
        <v>401</v>
      </c>
      <c r="G7" s="26" t="s">
        <v>223</v>
      </c>
      <c r="H7" s="26" t="s">
        <v>141</v>
      </c>
      <c r="I7" s="14"/>
      <c r="J7" s="14"/>
      <c r="K7" s="14" t="str">
        <f>"90,0"</f>
        <v>90,0</v>
      </c>
      <c r="L7" s="14" t="str">
        <f>"112,5360"</f>
        <v>112,5360</v>
      </c>
      <c r="M7" s="13" t="s">
        <v>398</v>
      </c>
    </row>
    <row r="8" spans="1:13">
      <c r="B8" s="7" t="s">
        <v>132</v>
      </c>
    </row>
    <row r="9" spans="1:13" ht="16">
      <c r="A9" s="51" t="s">
        <v>52</v>
      </c>
      <c r="B9" s="51"/>
      <c r="C9" s="52"/>
      <c r="D9" s="52"/>
      <c r="E9" s="52"/>
      <c r="F9" s="52"/>
      <c r="G9" s="52"/>
      <c r="H9" s="52"/>
      <c r="I9" s="52"/>
      <c r="J9" s="52"/>
    </row>
    <row r="10" spans="1:13">
      <c r="A10" s="12" t="s">
        <v>131</v>
      </c>
      <c r="B10" s="11" t="s">
        <v>153</v>
      </c>
      <c r="C10" s="11" t="s">
        <v>154</v>
      </c>
      <c r="D10" s="11" t="s">
        <v>155</v>
      </c>
      <c r="E10" s="11" t="str">
        <f>"0,6724"</f>
        <v>0,6724</v>
      </c>
      <c r="F10" s="11" t="s">
        <v>16</v>
      </c>
      <c r="G10" s="23" t="s">
        <v>36</v>
      </c>
      <c r="H10" s="24" t="s">
        <v>37</v>
      </c>
      <c r="I10" s="24" t="s">
        <v>103</v>
      </c>
      <c r="J10" s="12"/>
      <c r="K10" s="12" t="str">
        <f>"235,0"</f>
        <v>235,0</v>
      </c>
      <c r="L10" s="12" t="str">
        <f>"158,0140"</f>
        <v>158,0140</v>
      </c>
      <c r="M10" s="11" t="s">
        <v>414</v>
      </c>
    </row>
    <row r="11" spans="1:13">
      <c r="A11" s="14" t="s">
        <v>133</v>
      </c>
      <c r="B11" s="13" t="s">
        <v>384</v>
      </c>
      <c r="C11" s="13" t="s">
        <v>385</v>
      </c>
      <c r="D11" s="13" t="s">
        <v>275</v>
      </c>
      <c r="E11" s="13" t="str">
        <f>"0,6699"</f>
        <v>0,6699</v>
      </c>
      <c r="F11" s="13" t="s">
        <v>16</v>
      </c>
      <c r="G11" s="26" t="s">
        <v>45</v>
      </c>
      <c r="H11" s="26" t="s">
        <v>39</v>
      </c>
      <c r="I11" s="25" t="s">
        <v>36</v>
      </c>
      <c r="J11" s="14"/>
      <c r="K11" s="14" t="str">
        <f>"200,0"</f>
        <v>200,0</v>
      </c>
      <c r="L11" s="14" t="str">
        <f>"133,9800"</f>
        <v>133,9800</v>
      </c>
      <c r="M11" s="13" t="s">
        <v>414</v>
      </c>
    </row>
    <row r="12" spans="1:13">
      <c r="B12" s="7" t="s">
        <v>132</v>
      </c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Жим лежа без экип ДК</vt:lpstr>
      <vt:lpstr>WRPF Жим лежа без экип</vt:lpstr>
      <vt:lpstr>WEPF Жим однослой ДК</vt:lpstr>
      <vt:lpstr>WEPF Жим софт многопетельная</vt:lpstr>
      <vt:lpstr>WRPF Тяга без экипировки ДК</vt:lpstr>
      <vt:lpstr>WRPF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2020-09-14T16:59:55Z</dcterms:modified>
</cp:coreProperties>
</file>