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5BD045E0-9B6B-E741-AA6A-B196F9722014}" xr6:coauthVersionLast="45" xr6:coauthVersionMax="45" xr10:uidLastSave="{00000000-0000-0000-0000-000000000000}"/>
  <bookViews>
    <workbookView xWindow="480" yWindow="460" windowWidth="26640" windowHeight="15500" firstSheet="8" activeTab="12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9" r:id="rId5"/>
    <sheet name="WRPF Двоеборье без экип" sheetId="18" r:id="rId6"/>
    <sheet name="WRPF Жим лежа без экип ДК" sheetId="10" r:id="rId7"/>
    <sheet name="WRPF Жим лежа без экип" sheetId="9" r:id="rId8"/>
    <sheet name="WEPF Жим софт однопетельная ДК" sheetId="11" r:id="rId9"/>
    <sheet name="WEPF Жим софт многопетельнаяДК" sheetId="15" r:id="rId10"/>
    <sheet name="WRPF Военный жим ДК" sheetId="14" r:id="rId11"/>
    <sheet name="WRPF Тяга без экипировки ДК" sheetId="17" r:id="rId12"/>
    <sheet name="WRPF Тяга без экипировки" sheetId="16" r:id="rId13"/>
  </sheets>
  <definedNames>
    <definedName name="_FilterDatabase" localSheetId="3" hidden="1">'WRPF ПЛ в бинтах'!$A$1:$S$3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9" l="1"/>
  <c r="O9" i="19"/>
  <c r="P6" i="19"/>
  <c r="O6" i="19"/>
  <c r="P6" i="18"/>
  <c r="O6" i="18"/>
  <c r="L19" i="17"/>
  <c r="K19" i="17"/>
  <c r="L16" i="17"/>
  <c r="K16" i="17"/>
  <c r="L13" i="17"/>
  <c r="K13" i="17"/>
  <c r="L12" i="17"/>
  <c r="K12" i="17"/>
  <c r="L9" i="17"/>
  <c r="K9" i="17"/>
  <c r="L6" i="17"/>
  <c r="K6" i="17"/>
  <c r="L22" i="16"/>
  <c r="K22" i="16"/>
  <c r="L21" i="16"/>
  <c r="K21" i="16"/>
  <c r="L18" i="16"/>
  <c r="K18" i="16"/>
  <c r="L15" i="16"/>
  <c r="K15" i="16"/>
  <c r="L12" i="16"/>
  <c r="K12" i="16"/>
  <c r="L9" i="16"/>
  <c r="K9" i="16"/>
  <c r="L6" i="16"/>
  <c r="K6" i="16"/>
  <c r="L9" i="15"/>
  <c r="K9" i="15"/>
  <c r="L6" i="15"/>
  <c r="L30" i="14"/>
  <c r="L27" i="14"/>
  <c r="K27" i="14"/>
  <c r="L26" i="14"/>
  <c r="K26" i="14"/>
  <c r="L25" i="14"/>
  <c r="K25" i="14"/>
  <c r="L24" i="14"/>
  <c r="K24" i="14"/>
  <c r="L21" i="14"/>
  <c r="K21" i="14"/>
  <c r="L20" i="14"/>
  <c r="K20" i="14"/>
  <c r="L19" i="14"/>
  <c r="K19" i="14"/>
  <c r="L16" i="14"/>
  <c r="K16" i="14"/>
  <c r="L13" i="14"/>
  <c r="K13" i="14"/>
  <c r="L10" i="14"/>
  <c r="K10" i="14"/>
  <c r="L7" i="14"/>
  <c r="K7" i="14"/>
  <c r="L6" i="14"/>
  <c r="K6" i="14"/>
  <c r="L23" i="11"/>
  <c r="L22" i="11"/>
  <c r="L21" i="11"/>
  <c r="L18" i="11"/>
  <c r="K18" i="11"/>
  <c r="L15" i="11"/>
  <c r="K15" i="11"/>
  <c r="L12" i="11"/>
  <c r="K12" i="11"/>
  <c r="L9" i="11"/>
  <c r="K9" i="11"/>
  <c r="L6" i="11"/>
  <c r="K6" i="11"/>
  <c r="L61" i="10"/>
  <c r="K61" i="10"/>
  <c r="L58" i="10"/>
  <c r="K58" i="10"/>
  <c r="L57" i="10"/>
  <c r="K57" i="10"/>
  <c r="L56" i="10"/>
  <c r="K56" i="10"/>
  <c r="L53" i="10"/>
  <c r="K53" i="10"/>
  <c r="L52" i="10"/>
  <c r="K52" i="10"/>
  <c r="L51" i="10"/>
  <c r="K51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2" i="10"/>
  <c r="K32" i="10"/>
  <c r="L29" i="10"/>
  <c r="K29" i="10"/>
  <c r="L28" i="10"/>
  <c r="K28" i="10"/>
  <c r="L25" i="10"/>
  <c r="K25" i="10"/>
  <c r="L24" i="10"/>
  <c r="K24" i="10"/>
  <c r="L21" i="10"/>
  <c r="K21" i="10"/>
  <c r="L18" i="10"/>
  <c r="K18" i="10"/>
  <c r="L17" i="10"/>
  <c r="K17" i="10"/>
  <c r="L14" i="10"/>
  <c r="K14" i="10"/>
  <c r="L11" i="10"/>
  <c r="K11" i="10"/>
  <c r="L8" i="10"/>
  <c r="K8" i="10"/>
  <c r="L7" i="10"/>
  <c r="K7" i="10"/>
  <c r="L6" i="10"/>
  <c r="K6" i="10"/>
  <c r="L22" i="9"/>
  <c r="K22" i="9"/>
  <c r="L19" i="9"/>
  <c r="K19" i="9"/>
  <c r="L16" i="9"/>
  <c r="K16" i="9"/>
  <c r="L13" i="9"/>
  <c r="K13" i="9"/>
  <c r="L10" i="9"/>
  <c r="K10" i="9"/>
  <c r="L7" i="9"/>
  <c r="K7" i="9"/>
  <c r="L6" i="9"/>
  <c r="K6" i="9"/>
  <c r="T16" i="8"/>
  <c r="S16" i="8"/>
  <c r="T15" i="8"/>
  <c r="S15" i="8"/>
  <c r="T14" i="8"/>
  <c r="S14" i="8"/>
  <c r="T11" i="8"/>
  <c r="S11" i="8"/>
  <c r="T10" i="8"/>
  <c r="S10" i="8"/>
  <c r="T9" i="8"/>
  <c r="S9" i="8"/>
  <c r="T6" i="8"/>
  <c r="S6" i="8"/>
  <c r="T14" i="7"/>
  <c r="T13" i="7"/>
  <c r="S13" i="7"/>
  <c r="T10" i="7"/>
  <c r="S10" i="7"/>
  <c r="T9" i="7"/>
  <c r="S9" i="7"/>
  <c r="T6" i="7"/>
  <c r="S6" i="7"/>
  <c r="T9" i="6"/>
  <c r="S9" i="6"/>
  <c r="T6" i="6"/>
  <c r="S6" i="6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<sst xmlns="http://schemas.openxmlformats.org/spreadsheetml/2006/main" count="1412" uniqueCount="422">
  <si>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</si>
  <si>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</si>
  <si>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</si>
  <si>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</si>
  <si>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</si>
  <si>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</si>
  <si>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</si>
  <si>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</si>
  <si>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</si>
  <si>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</si>
  <si>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</si>
  <si>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Липатов Дмитрий</t>
  </si>
  <si>
    <t>Открытая (11.04.1993)/28</t>
  </si>
  <si>
    <t>88,60</t>
  </si>
  <si>
    <t xml:space="preserve">Пенза/Пензенская область </t>
  </si>
  <si>
    <t>290,0</t>
  </si>
  <si>
    <t>300,0</t>
  </si>
  <si>
    <t>305,0</t>
  </si>
  <si>
    <t>190,0</t>
  </si>
  <si>
    <t>200,0</t>
  </si>
  <si>
    <t>205,0</t>
  </si>
  <si>
    <t xml:space="preserve">Салов А. </t>
  </si>
  <si>
    <t>ВЕСОВАЯ КАТЕГОРИЯ   100</t>
  </si>
  <si>
    <t>Салов Алексей</t>
  </si>
  <si>
    <t>Мастера 40-49 (11.02.1979)/43</t>
  </si>
  <si>
    <t>99,00</t>
  </si>
  <si>
    <t>250,0</t>
  </si>
  <si>
    <t>260,0</t>
  </si>
  <si>
    <t>270,0</t>
  </si>
  <si>
    <t>160,0</t>
  </si>
  <si>
    <t>170,0</t>
  </si>
  <si>
    <t>280,0</t>
  </si>
  <si>
    <t>Семенов Вячеслав</t>
  </si>
  <si>
    <t>Мастера 40-49 (12.09.1974)/47</t>
  </si>
  <si>
    <t>94,90</t>
  </si>
  <si>
    <t xml:space="preserve">Ульяновск/Ульяновская область </t>
  </si>
  <si>
    <t>207,5</t>
  </si>
  <si>
    <t>120,0</t>
  </si>
  <si>
    <t>127,5</t>
  </si>
  <si>
    <t>132,5</t>
  </si>
  <si>
    <t>210,0</t>
  </si>
  <si>
    <t xml:space="preserve">Пономарев И. </t>
  </si>
  <si>
    <t>ВЕСОВАЯ КАТЕГОРИЯ   110</t>
  </si>
  <si>
    <t>Паткин Вадим</t>
  </si>
  <si>
    <t>Открытая (27.10.1992)/29</t>
  </si>
  <si>
    <t>108,40</t>
  </si>
  <si>
    <t>230,0</t>
  </si>
  <si>
    <t>245,0</t>
  </si>
  <si>
    <t>175,0</t>
  </si>
  <si>
    <t>182,5</t>
  </si>
  <si>
    <t>220,0</t>
  </si>
  <si>
    <t>252,5</t>
  </si>
  <si>
    <t xml:space="preserve">Липатов Д.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</si>
  <si>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</si>
  <si>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</si>
  <si>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</si>
  <si>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</si>
  <si>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</si>
  <si>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</si>
  <si>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90</t>
  </si>
  <si>
    <t>100</t>
  </si>
  <si>
    <t>1</t>
  </si>
  <si>
    <t/>
  </si>
  <si>
    <t>2</t>
  </si>
  <si>
    <t>ВЕСОВАЯ КАТЕГОРИЯ   75</t>
  </si>
  <si>
    <t>Гарифуллов Рафаэль</t>
  </si>
  <si>
    <t>Открытая (03.01.1995)/27</t>
  </si>
  <si>
    <t>69,50</t>
  </si>
  <si>
    <t xml:space="preserve">Димитровград/Ульяновская область </t>
  </si>
  <si>
    <t>135,0</t>
  </si>
  <si>
    <t>140,0</t>
  </si>
  <si>
    <t>142,5</t>
  </si>
  <si>
    <t>232,5</t>
  </si>
  <si>
    <t xml:space="preserve">Лагутин Е. </t>
  </si>
  <si>
    <t>Николашин Михаил</t>
  </si>
  <si>
    <t>Мастера 40-49 (25.07.1981)/40</t>
  </si>
  <si>
    <t>97,50</t>
  </si>
  <si>
    <t>150,0</t>
  </si>
  <si>
    <t>100,0</t>
  </si>
  <si>
    <t>105,0</t>
  </si>
  <si>
    <t>110,0</t>
  </si>
  <si>
    <t>180,0</t>
  </si>
  <si>
    <t>75</t>
  </si>
  <si>
    <t>ВЕСОВАЯ КАТЕГОРИЯ   67.5</t>
  </si>
  <si>
    <t>Федосеев Степан</t>
  </si>
  <si>
    <t>Юноши 14-16 (09.08.2008)/13</t>
  </si>
  <si>
    <t>64,70</t>
  </si>
  <si>
    <t>75,0</t>
  </si>
  <si>
    <t>80,0</t>
  </si>
  <si>
    <t>87,5</t>
  </si>
  <si>
    <t>52,5</t>
  </si>
  <si>
    <t>57,5</t>
  </si>
  <si>
    <t>62,5</t>
  </si>
  <si>
    <t>90,0</t>
  </si>
  <si>
    <t xml:space="preserve">Степанов В. </t>
  </si>
  <si>
    <t>ВЕСОВАЯ КАТЕГОРИЯ   82.5</t>
  </si>
  <si>
    <t>Алешкин Денис</t>
  </si>
  <si>
    <t>Открытая (09.02.1991)/31</t>
  </si>
  <si>
    <t>81,20</t>
  </si>
  <si>
    <t>185,0</t>
  </si>
  <si>
    <t>130,0</t>
  </si>
  <si>
    <t>227,5</t>
  </si>
  <si>
    <t>240,0</t>
  </si>
  <si>
    <t>Шаров Тимофей</t>
  </si>
  <si>
    <t>Мастера 50-59 (17.03.1968)/54</t>
  </si>
  <si>
    <t>81,50</t>
  </si>
  <si>
    <t>117,5</t>
  </si>
  <si>
    <t>125,0</t>
  </si>
  <si>
    <t>85,0</t>
  </si>
  <si>
    <t>95,0</t>
  </si>
  <si>
    <t>147,5</t>
  </si>
  <si>
    <t>165,0</t>
  </si>
  <si>
    <t>Иванов Павел</t>
  </si>
  <si>
    <t>Открытая (17.02.1992)/30</t>
  </si>
  <si>
    <t>98,40</t>
  </si>
  <si>
    <t>285,0</t>
  </si>
  <si>
    <t>192,5</t>
  </si>
  <si>
    <t>330,0</t>
  </si>
  <si>
    <t xml:space="preserve">Куликов Д. </t>
  </si>
  <si>
    <t>Симкин Ярослав</t>
  </si>
  <si>
    <t>Открытая (06.03.1991)/31</t>
  </si>
  <si>
    <t>99,60</t>
  </si>
  <si>
    <t xml:space="preserve">Юноши </t>
  </si>
  <si>
    <t xml:space="preserve">Юноши 14-16 </t>
  </si>
  <si>
    <t>67.5</t>
  </si>
  <si>
    <t>82.5</t>
  </si>
  <si>
    <t>-</t>
  </si>
  <si>
    <t>ВЕСОВАЯ КАТЕГОРИЯ   52</t>
  </si>
  <si>
    <t>Кузьмина Ирина</t>
  </si>
  <si>
    <t>Мастера 50-59 (18.12.1965)/56</t>
  </si>
  <si>
    <t>52,00</t>
  </si>
  <si>
    <t>45,0</t>
  </si>
  <si>
    <t>50,0</t>
  </si>
  <si>
    <t>55,0</t>
  </si>
  <si>
    <t>35,0</t>
  </si>
  <si>
    <t>37,5</t>
  </si>
  <si>
    <t>40,0</t>
  </si>
  <si>
    <t>82,5</t>
  </si>
  <si>
    <t>Калмыков Евгений</t>
  </si>
  <si>
    <t>Юниоры (07.06.1999)/22</t>
  </si>
  <si>
    <t>72,60</t>
  </si>
  <si>
    <t>195,0</t>
  </si>
  <si>
    <t>212,5</t>
  </si>
  <si>
    <t>Шарафиев Наиль</t>
  </si>
  <si>
    <t>Открытая (27.08.1984)/37</t>
  </si>
  <si>
    <t>74,60</t>
  </si>
  <si>
    <t>187,5</t>
  </si>
  <si>
    <t>107,5</t>
  </si>
  <si>
    <t>112,5</t>
  </si>
  <si>
    <t>115,0</t>
  </si>
  <si>
    <t>217,5</t>
  </si>
  <si>
    <t>242,5</t>
  </si>
  <si>
    <t>Винокуров Антон</t>
  </si>
  <si>
    <t>Открытая (15.12.1991)/30</t>
  </si>
  <si>
    <t>74,90</t>
  </si>
  <si>
    <t>197,5</t>
  </si>
  <si>
    <t>Чумнов Алексей</t>
  </si>
  <si>
    <t>Открытая (06.11.1985)/36</t>
  </si>
  <si>
    <t>106,90</t>
  </si>
  <si>
    <t>265,0</t>
  </si>
  <si>
    <t xml:space="preserve">Суслов Н. </t>
  </si>
  <si>
    <t>Солнцев Александр</t>
  </si>
  <si>
    <t>Открытая (31.10.1980)/41</t>
  </si>
  <si>
    <t>108,30</t>
  </si>
  <si>
    <t>Мастера 40-49 (31.10.1980)/41</t>
  </si>
  <si>
    <t>52</t>
  </si>
  <si>
    <t>Павлунин Артём</t>
  </si>
  <si>
    <t>Юноши 14-16 (18.02.2011)/11</t>
  </si>
  <si>
    <t>41,10</t>
  </si>
  <si>
    <t xml:space="preserve">Павловка/Ульяновская область </t>
  </si>
  <si>
    <t>27,5</t>
  </si>
  <si>
    <t>30,0</t>
  </si>
  <si>
    <t>Абубякеров Айваз</t>
  </si>
  <si>
    <t>Юноши 14-16 (04.09.2011)/10</t>
  </si>
  <si>
    <t>48,90</t>
  </si>
  <si>
    <t>22,5</t>
  </si>
  <si>
    <t>25,0</t>
  </si>
  <si>
    <t>ВЕСОВАЯ КАТЕГОРИЯ   60</t>
  </si>
  <si>
    <t>Чекин Лев</t>
  </si>
  <si>
    <t>Юноши 14-16 (18.12.2007)/14</t>
  </si>
  <si>
    <t>57,70</t>
  </si>
  <si>
    <t>47,5</t>
  </si>
  <si>
    <t>Хивин Борис</t>
  </si>
  <si>
    <t>Юноши 14-16 (04.11.2007)/14</t>
  </si>
  <si>
    <t>65,30</t>
  </si>
  <si>
    <t>60,0</t>
  </si>
  <si>
    <t>Зайнутдинов Ильдар</t>
  </si>
  <si>
    <t>Юноши 17-19 (23.09.2003)/18</t>
  </si>
  <si>
    <t>79,00</t>
  </si>
  <si>
    <t>Болобан Арсений</t>
  </si>
  <si>
    <t>Юноши 14-16 (15.05.2010)/11</t>
  </si>
  <si>
    <t>86,30</t>
  </si>
  <si>
    <t>Игумнов Алексей</t>
  </si>
  <si>
    <t>Открытая (22.06.1987)/34</t>
  </si>
  <si>
    <t>98,00</t>
  </si>
  <si>
    <t xml:space="preserve">Результат </t>
  </si>
  <si>
    <t xml:space="preserve">Юноши 17-19 </t>
  </si>
  <si>
    <t>79,1430</t>
  </si>
  <si>
    <t>45,5515</t>
  </si>
  <si>
    <t>45,1290</t>
  </si>
  <si>
    <t>Результат</t>
  </si>
  <si>
    <t>Тазикова Сабина</t>
  </si>
  <si>
    <t>Девушки 14-16 (20.09.2008)/13</t>
  </si>
  <si>
    <t>50,20</t>
  </si>
  <si>
    <t>20,0</t>
  </si>
  <si>
    <t>32,5</t>
  </si>
  <si>
    <t>Мамкина Анастасия</t>
  </si>
  <si>
    <t>Девушки 14-16 (30.04.2008)/13</t>
  </si>
  <si>
    <t>51,20</t>
  </si>
  <si>
    <t>Вавилова Екатерина</t>
  </si>
  <si>
    <t>Открытая (14.04.1987)/34</t>
  </si>
  <si>
    <t>49,80</t>
  </si>
  <si>
    <t xml:space="preserve">Зотов А. </t>
  </si>
  <si>
    <t>ВЕСОВАЯ КАТЕГОРИЯ   56</t>
  </si>
  <si>
    <t>Горожанина Ольга</t>
  </si>
  <si>
    <t>Открытая (05.11.1983)/38</t>
  </si>
  <si>
    <t>56,00</t>
  </si>
  <si>
    <t>Назарова Рина</t>
  </si>
  <si>
    <t>Открытая (05.04.1987)/35</t>
  </si>
  <si>
    <t>58,50</t>
  </si>
  <si>
    <t xml:space="preserve">Kaзань/Республика Татарстан </t>
  </si>
  <si>
    <t>Исхакова Лиана</t>
  </si>
  <si>
    <t>Девушки 14-16 (17.06.2008)/13</t>
  </si>
  <si>
    <t>65,00</t>
  </si>
  <si>
    <t>Зубарева Екатерина</t>
  </si>
  <si>
    <t>Девушки 17-19 (22.10.2004)/17</t>
  </si>
  <si>
    <t>Чернева Марина</t>
  </si>
  <si>
    <t>Мастера 50-59 (27.09.1970)/51</t>
  </si>
  <si>
    <t>77,5</t>
  </si>
  <si>
    <t>Чемаров Иван</t>
  </si>
  <si>
    <t>Юноши 14-16 (27.11.2011)/10</t>
  </si>
  <si>
    <t>30,70</t>
  </si>
  <si>
    <t>Чобанян Эдвин</t>
  </si>
  <si>
    <t>Юноши 14-16 (25.09.2011)/10</t>
  </si>
  <si>
    <t>39,60</t>
  </si>
  <si>
    <t>Чобанян Эрик</t>
  </si>
  <si>
    <t>Юноши 14-16 (28.05.2009)/12</t>
  </si>
  <si>
    <t>57,10</t>
  </si>
  <si>
    <t>Хисамутдинов Раиль</t>
  </si>
  <si>
    <t>Открытая (09.03.1998)/24</t>
  </si>
  <si>
    <t>58,80</t>
  </si>
  <si>
    <t>67,5</t>
  </si>
  <si>
    <t>Попков Серафим</t>
  </si>
  <si>
    <t>Юноши 17-19 (28.12.2002)/19</t>
  </si>
  <si>
    <t>66,40</t>
  </si>
  <si>
    <t>70,0</t>
  </si>
  <si>
    <t>Власов Александр</t>
  </si>
  <si>
    <t>Юниоры (18.10.1998)/23</t>
  </si>
  <si>
    <t>69,90</t>
  </si>
  <si>
    <t>155,0</t>
  </si>
  <si>
    <t>157,5</t>
  </si>
  <si>
    <t>Панкратов Вадим</t>
  </si>
  <si>
    <t>Открытая (21.09.1997)/24</t>
  </si>
  <si>
    <t>72,70</t>
  </si>
  <si>
    <t>Алексеев Владимир</t>
  </si>
  <si>
    <t>Открытая (24.07.1987)/34</t>
  </si>
  <si>
    <t>74,80</t>
  </si>
  <si>
    <t>Карагодин Александр</t>
  </si>
  <si>
    <t>Открытая (07.05.1991)/30</t>
  </si>
  <si>
    <t>73,70</t>
  </si>
  <si>
    <t>122,5</t>
  </si>
  <si>
    <t>Никифоров Владимир</t>
  </si>
  <si>
    <t>Мастера 40-49 (16.08.1975)/46</t>
  </si>
  <si>
    <t>145,0</t>
  </si>
  <si>
    <t>Премель Иван</t>
  </si>
  <si>
    <t>Юноши 17-19 (14.05.2003)/18</t>
  </si>
  <si>
    <t>81,70</t>
  </si>
  <si>
    <t>Половов Алексей</t>
  </si>
  <si>
    <t>Открытая (16.08.1994)/27</t>
  </si>
  <si>
    <t>79,50</t>
  </si>
  <si>
    <t>152,5</t>
  </si>
  <si>
    <t>Павлов Дмитрий</t>
  </si>
  <si>
    <t>Открытая (07.10.1988)/33</t>
  </si>
  <si>
    <t>79,80</t>
  </si>
  <si>
    <t>Арябкин Алексей</t>
  </si>
  <si>
    <t>Открытая (16.04.1988)/33</t>
  </si>
  <si>
    <t>81,40</t>
  </si>
  <si>
    <t>Даудрих Алексей</t>
  </si>
  <si>
    <t>Открытая (23.12.1997)/24</t>
  </si>
  <si>
    <t>81,60</t>
  </si>
  <si>
    <t>137,5</t>
  </si>
  <si>
    <t>Глухов Андрей</t>
  </si>
  <si>
    <t>Открытая (12.06.1982)/39</t>
  </si>
  <si>
    <t>82,00</t>
  </si>
  <si>
    <t xml:space="preserve">Инза/Ульяновская область </t>
  </si>
  <si>
    <t>Бондаренко Михаил</t>
  </si>
  <si>
    <t>Юноши 14-16 (03.01.2006)/16</t>
  </si>
  <si>
    <t>86,90</t>
  </si>
  <si>
    <t>Яббаров Альберт</t>
  </si>
  <si>
    <t>Юниоры (10.07.1999)/22</t>
  </si>
  <si>
    <t>83,00</t>
  </si>
  <si>
    <t>Гоглидзе Евгений</t>
  </si>
  <si>
    <t>Юниоры (08.08.1999)/22</t>
  </si>
  <si>
    <t>83,60</t>
  </si>
  <si>
    <t>Филатов Алексей</t>
  </si>
  <si>
    <t>Юноши 17-19 (07.05.2002)/19</t>
  </si>
  <si>
    <t>Лагутин Евгений</t>
  </si>
  <si>
    <t>Открытая (04.06.1988)/33</t>
  </si>
  <si>
    <t>97,60</t>
  </si>
  <si>
    <t>Зиннатов Булат</t>
  </si>
  <si>
    <t>Открытая (12.06.1994)/27</t>
  </si>
  <si>
    <t>98,80</t>
  </si>
  <si>
    <t xml:space="preserve">Съемщиков И. </t>
  </si>
  <si>
    <t>Горшунов Сергей</t>
  </si>
  <si>
    <t>Мастера 40-49 (26.05.1976)/45</t>
  </si>
  <si>
    <t>109,20</t>
  </si>
  <si>
    <t>162,5</t>
  </si>
  <si>
    <t>87,7905</t>
  </si>
  <si>
    <t>85,9223</t>
  </si>
  <si>
    <t>74,8598</t>
  </si>
  <si>
    <t>107,5725</t>
  </si>
  <si>
    <t>107,3737</t>
  </si>
  <si>
    <t>104,5235</t>
  </si>
  <si>
    <t>3</t>
  </si>
  <si>
    <t>4</t>
  </si>
  <si>
    <t>5</t>
  </si>
  <si>
    <t>65,0</t>
  </si>
  <si>
    <t>Леушкин Руслан</t>
  </si>
  <si>
    <t>Открытая (10.08.1989)/32</t>
  </si>
  <si>
    <t>75,00</t>
  </si>
  <si>
    <t>167,5</t>
  </si>
  <si>
    <t>Логинов Александр</t>
  </si>
  <si>
    <t>Открытая (03.03.1997)/25</t>
  </si>
  <si>
    <t>88,80</t>
  </si>
  <si>
    <t>Репин Дмитрий</t>
  </si>
  <si>
    <t>Открытая (26.04.1987)/34</t>
  </si>
  <si>
    <t>Съемщиков Игорь</t>
  </si>
  <si>
    <t>Открытая (15.11.1971)/50</t>
  </si>
  <si>
    <t>102,50</t>
  </si>
  <si>
    <t xml:space="preserve">Логинов А. </t>
  </si>
  <si>
    <t>Журбенко Иван</t>
  </si>
  <si>
    <t>Открытая (15.11.1988)/33</t>
  </si>
  <si>
    <t>107,30</t>
  </si>
  <si>
    <t>Мастера 50-59 (15.11.1971)/50</t>
  </si>
  <si>
    <t>Битюкова Ольга</t>
  </si>
  <si>
    <t>Мастера 40-49 (10.07.1974)/47</t>
  </si>
  <si>
    <t>50,80</t>
  </si>
  <si>
    <t xml:space="preserve">Камаляев В. </t>
  </si>
  <si>
    <t>42,5</t>
  </si>
  <si>
    <t>130,5</t>
  </si>
  <si>
    <t>Патрин Владимир</t>
  </si>
  <si>
    <t>Открытая (30.04.1995)/26</t>
  </si>
  <si>
    <t>94,40</t>
  </si>
  <si>
    <t>Бутузов Сергей</t>
  </si>
  <si>
    <t>Мастера 40-49 (29.11.1981)/40</t>
  </si>
  <si>
    <t>109,40</t>
  </si>
  <si>
    <t>96,8153</t>
  </si>
  <si>
    <t>92,8675</t>
  </si>
  <si>
    <t>81,0370</t>
  </si>
  <si>
    <t>Чадаев Александр</t>
  </si>
  <si>
    <t>Открытая (18.11.1989)/32</t>
  </si>
  <si>
    <t>90,50</t>
  </si>
  <si>
    <t>262,5</t>
  </si>
  <si>
    <t>Иванова Анастасия</t>
  </si>
  <si>
    <t>Открытая (28.12.1992)/29</t>
  </si>
  <si>
    <t>51,60</t>
  </si>
  <si>
    <t>92,5</t>
  </si>
  <si>
    <t>Гаранина Елена</t>
  </si>
  <si>
    <t>Мастера 40-49 (02.05.1972)/49</t>
  </si>
  <si>
    <t>61,60</t>
  </si>
  <si>
    <t>97,5</t>
  </si>
  <si>
    <t>102,5</t>
  </si>
  <si>
    <t>ВЕСОВАЯ КАТЕГОРИЯ   90+</t>
  </si>
  <si>
    <t>Цыплова Ольга</t>
  </si>
  <si>
    <t>Открытая (19.11.1975)/46</t>
  </si>
  <si>
    <t>92,40</t>
  </si>
  <si>
    <t>Кадышев Илья</t>
  </si>
  <si>
    <t>Открытая (17.05.1989)/32</t>
  </si>
  <si>
    <t>66,30</t>
  </si>
  <si>
    <t xml:space="preserve">Халиков Р. </t>
  </si>
  <si>
    <t>Пономарев Иван</t>
  </si>
  <si>
    <t>Открытая (30.06.1988)/33</t>
  </si>
  <si>
    <t>68,60</t>
  </si>
  <si>
    <t>237,5</t>
  </si>
  <si>
    <t>Иванов Михаил</t>
  </si>
  <si>
    <t>Юноши 17-19 (11.08.2004)/17</t>
  </si>
  <si>
    <t>85,90</t>
  </si>
  <si>
    <t xml:space="preserve">Иванов В. </t>
  </si>
  <si>
    <t>Калмыков Константин</t>
  </si>
  <si>
    <t>Открытая (12.03.1988)/34</t>
  </si>
  <si>
    <t>88,20</t>
  </si>
  <si>
    <t>Стадник Надежда</t>
  </si>
  <si>
    <t>Открытая (22.04.1989)/32</t>
  </si>
  <si>
    <t>55,50</t>
  </si>
  <si>
    <t xml:space="preserve">Данилов А. </t>
  </si>
  <si>
    <t>Ткачун Елена</t>
  </si>
  <si>
    <t>Мастера 60-69 (10.05.1961)/60</t>
  </si>
  <si>
    <t>89,60</t>
  </si>
  <si>
    <t>Косов Артём</t>
  </si>
  <si>
    <t>Юниоры (04.12.1999)/22</t>
  </si>
  <si>
    <t>80,10</t>
  </si>
  <si>
    <t>ВЕСОВАЯ КАТЕГОРИЯ   140</t>
  </si>
  <si>
    <t>Кузнецов Алексей</t>
  </si>
  <si>
    <t>Юниоры (13.07.2000)/21</t>
  </si>
  <si>
    <t>137,00</t>
  </si>
  <si>
    <t>Всероссийский мастерский турнир «Могущество Титанов»
WRPF Силовое двоеборье без экипировки ДК
Ульяновск/Ульяновская область, 10 апреля 2022 года</t>
  </si>
  <si>
    <t>Всероссийский мастерский турнир «Могущество Титанов»
WRPF Силовое двоеборье без экипировки
Ульяновск/Ульяновская область, 10 апреля 2022 года</t>
  </si>
  <si>
    <t>Всероссийский мастерский турнир «Могущество Титанов»
WRPF Становая тяга без экипировки ДК
Ульяновск/Ульяновская область, 10 апреля 2022 года</t>
  </si>
  <si>
    <t>Всероссийский мастерский турнир «Могущество Титанов»
WRPF Становая тяга без экипировки
Ульяновск/Ульяновская область, 10 апреля 2022 года</t>
  </si>
  <si>
    <t>Всероссийский мастерский турнир «Могущество Титанов»
WEPF Жим лежа в многопетельной софт экипировке ДК
Ульяновск/Ульяновская область, 10 апреля 2022 года</t>
  </si>
  <si>
    <t>Всероссийский мастерский турнир «Могущество Титанов»
WRPF Военный жим лежа с ДК
Ульяновск/Ульяновская область, 10 апреля 2022 года</t>
  </si>
  <si>
    <t>Всероссийский мастерский турнир «Могущество Титанов»
WEPF Жим лежа в однопетельной софт экипировке ДК
Ульяновск/Ульяновская область, 10 апреля 2022 года</t>
  </si>
  <si>
    <t>Всероссийский мастерский турнир «Могущество Титанов»
WRPF Жим лежа без экипировки ДК
Ульяновск/Ульяновская область, 10 апреля 2022 года</t>
  </si>
  <si>
    <t>Всероссийский мастерский турнир «Могущество Титанов»
WRPF Жим лежа без экипировки
Ульяновск/Ульяновская область, 10 апреля 2022 года</t>
  </si>
  <si>
    <t>Всероссийский мастерский турнир «Могущество Титанов»
WRPF Пауэрлифтинг без экипировки ДК
Ульяновск/Ульяновская область, 10 апреля 2022 года</t>
  </si>
  <si>
    <t>Всероссийский мастерский турнир «Могущество Титанов»
WRPF Пауэрлифтинг без экипировки
Ульяновск/Ульяновская область, 10 апреля 2022 года</t>
  </si>
  <si>
    <t>Всероссийский мастерский турнир «Могущество Титанов»
WRPF Пауэрлифтинг классический в бинтах ДК
Ульяновск/Ульяновская область, 10 апреля 2022 года</t>
  </si>
  <si>
    <t>Всероссийский мастерский турнир «Могущество Титанов»
WRPF Пауэрлифтинг классический в бинтах
Ульяновск/Ульяновская область, 10 апреля 2022 года</t>
  </si>
  <si>
    <t xml:space="preserve">Кирпичёв С. </t>
  </si>
  <si>
    <t>Весовая категория</t>
  </si>
  <si>
    <t xml:space="preserve">Казань/Республика Татарстан </t>
  </si>
  <si>
    <t>Тетюши/Республика Татарстан</t>
  </si>
  <si>
    <t>№</t>
  </si>
  <si>
    <t xml:space="preserve">
Дата рождения/Возраст</t>
  </si>
  <si>
    <t>Возрастная группа</t>
  </si>
  <si>
    <t>M2</t>
  </si>
  <si>
    <t>J</t>
  </si>
  <si>
    <t>O</t>
  </si>
  <si>
    <t>M1</t>
  </si>
  <si>
    <t>T1</t>
  </si>
  <si>
    <t>T2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</si>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</sst>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37" t="s">
        <v>404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34"/>
    </row>
    <row r="5" spans="1:21" ht="16">
      <c r="A5" s="35" t="s">
        <v>127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61</v>
      </c>
      <c r="B6" s="7" t="s">
        <v>128</v>
      </c>
      <c r="C6" s="7" t="s">
        <v>129</v>
      </c>
      <c r="D6" s="7" t="s">
        <v>130</v>
      </c>
      <c r="E6" s="7" t="s">
        <v>415</v>
      </c>
      <c r="F6" s="7" t="s">
        <v>14</v>
      </c>
      <c r="G6" s="18" t="s">
        <v>131</v>
      </c>
      <c r="H6" s="18" t="s">
        <v>132</v>
      </c>
      <c r="I6" s="18" t="s">
        <v>133</v>
      </c>
      <c r="J6" s="8"/>
      <c r="K6" s="18" t="s">
        <v>134</v>
      </c>
      <c r="L6" s="19" t="s">
        <v>135</v>
      </c>
      <c r="M6" s="19" t="s">
        <v>136</v>
      </c>
      <c r="N6" s="8"/>
      <c r="O6" s="18" t="s">
        <v>87</v>
      </c>
      <c r="P6" s="18" t="s">
        <v>137</v>
      </c>
      <c r="Q6" s="18" t="s">
        <v>89</v>
      </c>
      <c r="R6" s="8"/>
      <c r="S6" s="8" t="str">
        <f>"177,5"</f>
        <v>177,5</v>
      </c>
      <c r="T6" s="8" t="str">
        <f>"281,6786"</f>
        <v>281,6786</v>
      </c>
      <c r="U6" s="7"/>
    </row>
    <row r="7" spans="1:21">
      <c r="B7" s="5" t="s">
        <v>62</v>
      </c>
    </row>
    <row r="8" spans="1:21" ht="16">
      <c r="A8" s="50" t="s">
        <v>64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0" t="s">
        <v>61</v>
      </c>
      <c r="B9" s="9" t="s">
        <v>138</v>
      </c>
      <c r="C9" s="9" t="s">
        <v>139</v>
      </c>
      <c r="D9" s="9" t="s">
        <v>140</v>
      </c>
      <c r="E9" s="9" t="s">
        <v>416</v>
      </c>
      <c r="F9" s="9" t="s">
        <v>14</v>
      </c>
      <c r="G9" s="20" t="s">
        <v>81</v>
      </c>
      <c r="H9" s="20" t="s">
        <v>19</v>
      </c>
      <c r="I9" s="20" t="s">
        <v>40</v>
      </c>
      <c r="J9" s="10"/>
      <c r="K9" s="20" t="s">
        <v>107</v>
      </c>
      <c r="L9" s="20" t="s">
        <v>39</v>
      </c>
      <c r="M9" s="20" t="s">
        <v>70</v>
      </c>
      <c r="N9" s="10"/>
      <c r="O9" s="20" t="s">
        <v>81</v>
      </c>
      <c r="P9" s="20" t="s">
        <v>141</v>
      </c>
      <c r="Q9" s="21" t="s">
        <v>142</v>
      </c>
      <c r="R9" s="10"/>
      <c r="S9" s="10" t="str">
        <f>"545,0"</f>
        <v>545,0</v>
      </c>
      <c r="T9" s="10" t="str">
        <f>"397,4685"</f>
        <v>397,4685</v>
      </c>
      <c r="U9" s="9"/>
    </row>
    <row r="10" spans="1:21">
      <c r="A10" s="25" t="s">
        <v>61</v>
      </c>
      <c r="B10" s="24" t="s">
        <v>143</v>
      </c>
      <c r="C10" s="24" t="s">
        <v>144</v>
      </c>
      <c r="D10" s="24" t="s">
        <v>145</v>
      </c>
      <c r="E10" s="24" t="s">
        <v>417</v>
      </c>
      <c r="F10" s="24" t="s">
        <v>410</v>
      </c>
      <c r="G10" s="26" t="s">
        <v>48</v>
      </c>
      <c r="H10" s="26" t="s">
        <v>49</v>
      </c>
      <c r="I10" s="27" t="s">
        <v>146</v>
      </c>
      <c r="J10" s="25"/>
      <c r="K10" s="26" t="s">
        <v>147</v>
      </c>
      <c r="L10" s="26" t="s">
        <v>148</v>
      </c>
      <c r="M10" s="26" t="s">
        <v>149</v>
      </c>
      <c r="N10" s="25"/>
      <c r="O10" s="26" t="s">
        <v>150</v>
      </c>
      <c r="P10" s="26" t="s">
        <v>46</v>
      </c>
      <c r="Q10" s="27" t="s">
        <v>151</v>
      </c>
      <c r="R10" s="25"/>
      <c r="S10" s="25" t="str">
        <f>"527,5"</f>
        <v>527,5</v>
      </c>
      <c r="T10" s="25" t="str">
        <f>"377,2680"</f>
        <v>377,2680</v>
      </c>
      <c r="U10" s="24"/>
    </row>
    <row r="11" spans="1:21">
      <c r="A11" s="12" t="s">
        <v>63</v>
      </c>
      <c r="B11" s="11" t="s">
        <v>152</v>
      </c>
      <c r="C11" s="11" t="s">
        <v>153</v>
      </c>
      <c r="D11" s="11" t="s">
        <v>154</v>
      </c>
      <c r="E11" s="11" t="s">
        <v>417</v>
      </c>
      <c r="F11" s="11" t="s">
        <v>35</v>
      </c>
      <c r="G11" s="22" t="s">
        <v>77</v>
      </c>
      <c r="H11" s="22" t="s">
        <v>29</v>
      </c>
      <c r="I11" s="23" t="s">
        <v>111</v>
      </c>
      <c r="J11" s="12"/>
      <c r="K11" s="22" t="s">
        <v>78</v>
      </c>
      <c r="L11" s="22" t="s">
        <v>79</v>
      </c>
      <c r="M11" s="23" t="s">
        <v>80</v>
      </c>
      <c r="N11" s="12"/>
      <c r="O11" s="22" t="s">
        <v>99</v>
      </c>
      <c r="P11" s="22" t="s">
        <v>155</v>
      </c>
      <c r="Q11" s="22" t="s">
        <v>36</v>
      </c>
      <c r="R11" s="12"/>
      <c r="S11" s="12" t="str">
        <f>"472,5"</f>
        <v>472,5</v>
      </c>
      <c r="T11" s="12" t="str">
        <f>"336,9870"</f>
        <v>336,9870</v>
      </c>
      <c r="U11" s="11" t="s">
        <v>41</v>
      </c>
    </row>
    <row r="12" spans="1:21">
      <c r="B12" s="5" t="s">
        <v>62</v>
      </c>
    </row>
    <row r="13" spans="1:21" ht="16">
      <c r="A13" s="50" t="s">
        <v>42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1">
      <c r="A14" s="10" t="s">
        <v>61</v>
      </c>
      <c r="B14" s="9" t="s">
        <v>156</v>
      </c>
      <c r="C14" s="9" t="s">
        <v>157</v>
      </c>
      <c r="D14" s="9" t="s">
        <v>158</v>
      </c>
      <c r="E14" s="9" t="s">
        <v>417</v>
      </c>
      <c r="F14" s="9" t="s">
        <v>35</v>
      </c>
      <c r="G14" s="20" t="s">
        <v>19</v>
      </c>
      <c r="H14" s="20" t="s">
        <v>20</v>
      </c>
      <c r="I14" s="20" t="s">
        <v>40</v>
      </c>
      <c r="J14" s="10"/>
      <c r="K14" s="20" t="s">
        <v>149</v>
      </c>
      <c r="L14" s="20" t="s">
        <v>37</v>
      </c>
      <c r="M14" s="20" t="s">
        <v>107</v>
      </c>
      <c r="N14" s="10"/>
      <c r="O14" s="20" t="s">
        <v>26</v>
      </c>
      <c r="P14" s="20" t="s">
        <v>27</v>
      </c>
      <c r="Q14" s="21" t="s">
        <v>159</v>
      </c>
      <c r="R14" s="10"/>
      <c r="S14" s="10" t="str">
        <f>"595,0"</f>
        <v>595,0</v>
      </c>
      <c r="T14" s="10" t="str">
        <f>"353,3705"</f>
        <v>353,3705</v>
      </c>
      <c r="U14" s="9" t="s">
        <v>160</v>
      </c>
    </row>
    <row r="15" spans="1:21">
      <c r="A15" s="25" t="s">
        <v>63</v>
      </c>
      <c r="B15" s="24" t="s">
        <v>161</v>
      </c>
      <c r="C15" s="24" t="s">
        <v>162</v>
      </c>
      <c r="D15" s="24" t="s">
        <v>163</v>
      </c>
      <c r="E15" s="24" t="s">
        <v>417</v>
      </c>
      <c r="F15" s="24" t="s">
        <v>14</v>
      </c>
      <c r="G15" s="26" t="s">
        <v>81</v>
      </c>
      <c r="H15" s="26" t="s">
        <v>18</v>
      </c>
      <c r="I15" s="27" t="s">
        <v>19</v>
      </c>
      <c r="J15" s="25"/>
      <c r="K15" s="26" t="s">
        <v>107</v>
      </c>
      <c r="L15" s="26" t="s">
        <v>69</v>
      </c>
      <c r="M15" s="26" t="s">
        <v>70</v>
      </c>
      <c r="N15" s="25"/>
      <c r="O15" s="26" t="s">
        <v>50</v>
      </c>
      <c r="P15" s="27" t="s">
        <v>46</v>
      </c>
      <c r="Q15" s="27" t="s">
        <v>46</v>
      </c>
      <c r="R15" s="25"/>
      <c r="S15" s="25" t="str">
        <f>"550,0"</f>
        <v>550,0</v>
      </c>
      <c r="T15" s="25" t="str">
        <f>"325,2700"</f>
        <v>325,2700</v>
      </c>
      <c r="U15" s="24" t="s">
        <v>52</v>
      </c>
    </row>
    <row r="16" spans="1:21">
      <c r="A16" s="12" t="s">
        <v>61</v>
      </c>
      <c r="B16" s="11" t="s">
        <v>161</v>
      </c>
      <c r="C16" s="11" t="s">
        <v>164</v>
      </c>
      <c r="D16" s="11" t="s">
        <v>163</v>
      </c>
      <c r="E16" s="11" t="s">
        <v>418</v>
      </c>
      <c r="F16" s="11" t="s">
        <v>14</v>
      </c>
      <c r="G16" s="22" t="s">
        <v>81</v>
      </c>
      <c r="H16" s="22" t="s">
        <v>18</v>
      </c>
      <c r="I16" s="23" t="s">
        <v>19</v>
      </c>
      <c r="J16" s="12"/>
      <c r="K16" s="22" t="s">
        <v>107</v>
      </c>
      <c r="L16" s="22" t="s">
        <v>69</v>
      </c>
      <c r="M16" s="22" t="s">
        <v>70</v>
      </c>
      <c r="N16" s="12"/>
      <c r="O16" s="22" t="s">
        <v>50</v>
      </c>
      <c r="P16" s="23" t="s">
        <v>46</v>
      </c>
      <c r="Q16" s="23" t="s">
        <v>46</v>
      </c>
      <c r="R16" s="12"/>
      <c r="S16" s="12" t="str">
        <f>"550,0"</f>
        <v>550,0</v>
      </c>
      <c r="T16" s="12" t="str">
        <f>"326,8964"</f>
        <v>326,8964</v>
      </c>
      <c r="U16" s="11" t="s">
        <v>52</v>
      </c>
    </row>
    <row r="17" spans="2:2">
      <c r="B17" s="5" t="s">
        <v>62</v>
      </c>
    </row>
  </sheetData>
  <mergeCells count="16">
    <mergeCell ref="A8:R8"/>
    <mergeCell ref="A13:R13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7" t="s">
        <v>399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54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34"/>
    </row>
    <row r="5" spans="1:13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126</v>
      </c>
      <c r="B6" s="7" t="s">
        <v>321</v>
      </c>
      <c r="C6" s="7" t="s">
        <v>322</v>
      </c>
      <c r="D6" s="7" t="s">
        <v>323</v>
      </c>
      <c r="E6" s="7" t="s">
        <v>417</v>
      </c>
      <c r="F6" s="7" t="s">
        <v>411</v>
      </c>
      <c r="G6" s="19" t="s">
        <v>50</v>
      </c>
      <c r="H6" s="19" t="s">
        <v>50</v>
      </c>
      <c r="I6" s="19" t="s">
        <v>50</v>
      </c>
      <c r="J6" s="8"/>
      <c r="K6" s="28">
        <v>0</v>
      </c>
      <c r="L6" s="8" t="str">
        <f>"0,0000"</f>
        <v>0,0000</v>
      </c>
      <c r="M6" s="7"/>
    </row>
    <row r="7" spans="1:13">
      <c r="B7" s="5" t="s">
        <v>62</v>
      </c>
    </row>
    <row r="8" spans="1:13" ht="16">
      <c r="A8" s="50" t="s">
        <v>22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61</v>
      </c>
      <c r="B9" s="7" t="s">
        <v>349</v>
      </c>
      <c r="C9" s="7" t="s">
        <v>350</v>
      </c>
      <c r="D9" s="7" t="s">
        <v>351</v>
      </c>
      <c r="E9" s="7" t="s">
        <v>417</v>
      </c>
      <c r="F9" s="7" t="s">
        <v>35</v>
      </c>
      <c r="G9" s="18" t="s">
        <v>50</v>
      </c>
      <c r="H9" s="19" t="s">
        <v>352</v>
      </c>
      <c r="I9" s="19" t="s">
        <v>352</v>
      </c>
      <c r="J9" s="8"/>
      <c r="K9" s="28" t="str">
        <f>"220,0"</f>
        <v>220,0</v>
      </c>
      <c r="L9" s="8" t="str">
        <f>"134,2000"</f>
        <v>134,2000</v>
      </c>
      <c r="M9" s="7"/>
    </row>
    <row r="10" spans="1:13">
      <c r="B10" s="5" t="s">
        <v>62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1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37" t="s">
        <v>400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54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34"/>
    </row>
    <row r="5" spans="1:13" ht="16">
      <c r="A5" s="35" t="s">
        <v>127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0" t="s">
        <v>61</v>
      </c>
      <c r="B6" s="9" t="s">
        <v>209</v>
      </c>
      <c r="C6" s="9" t="s">
        <v>210</v>
      </c>
      <c r="D6" s="9" t="s">
        <v>211</v>
      </c>
      <c r="E6" s="9" t="s">
        <v>417</v>
      </c>
      <c r="F6" s="9" t="s">
        <v>68</v>
      </c>
      <c r="G6" s="20" t="s">
        <v>90</v>
      </c>
      <c r="H6" s="21" t="s">
        <v>133</v>
      </c>
      <c r="I6" s="21" t="s">
        <v>133</v>
      </c>
      <c r="J6" s="10"/>
      <c r="K6" s="30" t="str">
        <f>"52,5"</f>
        <v>52,5</v>
      </c>
      <c r="L6" s="10" t="str">
        <f>"67,6462"</f>
        <v>67,6462</v>
      </c>
      <c r="M6" s="9" t="s">
        <v>212</v>
      </c>
    </row>
    <row r="7" spans="1:13">
      <c r="A7" s="12" t="s">
        <v>61</v>
      </c>
      <c r="B7" s="11" t="s">
        <v>334</v>
      </c>
      <c r="C7" s="11" t="s">
        <v>335</v>
      </c>
      <c r="D7" s="11" t="s">
        <v>336</v>
      </c>
      <c r="E7" s="11" t="s">
        <v>418</v>
      </c>
      <c r="F7" s="11" t="s">
        <v>35</v>
      </c>
      <c r="G7" s="22" t="s">
        <v>136</v>
      </c>
      <c r="H7" s="22" t="s">
        <v>131</v>
      </c>
      <c r="I7" s="22" t="s">
        <v>181</v>
      </c>
      <c r="J7" s="12"/>
      <c r="K7" s="31" t="str">
        <f>"47,5"</f>
        <v>47,5</v>
      </c>
      <c r="L7" s="12" t="str">
        <f>"66,0746"</f>
        <v>66,0746</v>
      </c>
      <c r="M7" s="11" t="s">
        <v>337</v>
      </c>
    </row>
    <row r="8" spans="1:13">
      <c r="B8" s="5" t="s">
        <v>62</v>
      </c>
    </row>
    <row r="9" spans="1:13" ht="16">
      <c r="A9" s="50" t="s">
        <v>213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8" t="s">
        <v>61</v>
      </c>
      <c r="B10" s="7" t="s">
        <v>214</v>
      </c>
      <c r="C10" s="7" t="s">
        <v>215</v>
      </c>
      <c r="D10" s="7" t="s">
        <v>216</v>
      </c>
      <c r="E10" s="7" t="s">
        <v>417</v>
      </c>
      <c r="F10" s="7" t="s">
        <v>35</v>
      </c>
      <c r="G10" s="18" t="s">
        <v>131</v>
      </c>
      <c r="H10" s="18" t="s">
        <v>132</v>
      </c>
      <c r="I10" s="19" t="s">
        <v>90</v>
      </c>
      <c r="J10" s="8"/>
      <c r="K10" s="28" t="str">
        <f>"50,0"</f>
        <v>50,0</v>
      </c>
      <c r="L10" s="8" t="str">
        <f>"58,8300"</f>
        <v>58,8300</v>
      </c>
      <c r="M10" s="7"/>
    </row>
    <row r="11" spans="1:13">
      <c r="B11" s="5" t="s">
        <v>62</v>
      </c>
    </row>
    <row r="12" spans="1:13" ht="16">
      <c r="A12" s="50" t="s">
        <v>177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8" t="s">
        <v>61</v>
      </c>
      <c r="B13" s="7" t="s">
        <v>217</v>
      </c>
      <c r="C13" s="7" t="s">
        <v>218</v>
      </c>
      <c r="D13" s="7" t="s">
        <v>219</v>
      </c>
      <c r="E13" s="7" t="s">
        <v>417</v>
      </c>
      <c r="F13" s="7" t="s">
        <v>220</v>
      </c>
      <c r="G13" s="18" t="s">
        <v>338</v>
      </c>
      <c r="H13" s="18" t="s">
        <v>131</v>
      </c>
      <c r="I13" s="19" t="s">
        <v>181</v>
      </c>
      <c r="J13" s="8"/>
      <c r="K13" s="28" t="str">
        <f>"45,0"</f>
        <v>45,0</v>
      </c>
      <c r="L13" s="8" t="str">
        <f>"51,1695"</f>
        <v>51,1695</v>
      </c>
      <c r="M13" s="7"/>
    </row>
    <row r="14" spans="1:13">
      <c r="B14" s="5" t="s">
        <v>62</v>
      </c>
    </row>
    <row r="15" spans="1:13" ht="16">
      <c r="A15" s="50" t="s">
        <v>64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8" t="s">
        <v>61</v>
      </c>
      <c r="B16" s="7" t="s">
        <v>246</v>
      </c>
      <c r="C16" s="7" t="s">
        <v>247</v>
      </c>
      <c r="D16" s="7" t="s">
        <v>248</v>
      </c>
      <c r="E16" s="7" t="s">
        <v>416</v>
      </c>
      <c r="F16" s="7" t="s">
        <v>35</v>
      </c>
      <c r="G16" s="18" t="s">
        <v>263</v>
      </c>
      <c r="H16" s="18" t="s">
        <v>77</v>
      </c>
      <c r="I16" s="19" t="s">
        <v>270</v>
      </c>
      <c r="J16" s="8"/>
      <c r="K16" s="28" t="str">
        <f>"150,0"</f>
        <v>150,0</v>
      </c>
      <c r="L16" s="8" t="str">
        <f>"112,5300"</f>
        <v>112,5300</v>
      </c>
      <c r="M16" s="7"/>
    </row>
    <row r="17" spans="1:13">
      <c r="B17" s="5" t="s">
        <v>62</v>
      </c>
    </row>
    <row r="18" spans="1:13" ht="16">
      <c r="A18" s="50" t="s">
        <v>95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10" t="s">
        <v>61</v>
      </c>
      <c r="B19" s="9" t="s">
        <v>264</v>
      </c>
      <c r="C19" s="9" t="s">
        <v>265</v>
      </c>
      <c r="D19" s="9" t="s">
        <v>266</v>
      </c>
      <c r="E19" s="9" t="s">
        <v>420</v>
      </c>
      <c r="F19" s="9" t="s">
        <v>35</v>
      </c>
      <c r="G19" s="20" t="s">
        <v>149</v>
      </c>
      <c r="H19" s="20" t="s">
        <v>37</v>
      </c>
      <c r="I19" s="21" t="s">
        <v>100</v>
      </c>
      <c r="J19" s="10"/>
      <c r="K19" s="30" t="str">
        <f>"120,0"</f>
        <v>120,0</v>
      </c>
      <c r="L19" s="10" t="str">
        <f>"80,8680"</f>
        <v>80,8680</v>
      </c>
      <c r="M19" s="9"/>
    </row>
    <row r="20" spans="1:13">
      <c r="A20" s="25" t="s">
        <v>61</v>
      </c>
      <c r="B20" s="24" t="s">
        <v>274</v>
      </c>
      <c r="C20" s="24" t="s">
        <v>275</v>
      </c>
      <c r="D20" s="24" t="s">
        <v>276</v>
      </c>
      <c r="E20" s="24" t="s">
        <v>417</v>
      </c>
      <c r="F20" s="24" t="s">
        <v>35</v>
      </c>
      <c r="G20" s="26" t="s">
        <v>339</v>
      </c>
      <c r="H20" s="26" t="s">
        <v>69</v>
      </c>
      <c r="I20" s="26" t="s">
        <v>280</v>
      </c>
      <c r="J20" s="25"/>
      <c r="K20" s="32" t="str">
        <f>"137,5"</f>
        <v>137,5</v>
      </c>
      <c r="L20" s="25" t="str">
        <f>"92,8675"</f>
        <v>92,8675</v>
      </c>
      <c r="M20" s="24"/>
    </row>
    <row r="21" spans="1:13">
      <c r="A21" s="12" t="s">
        <v>63</v>
      </c>
      <c r="B21" s="11" t="s">
        <v>281</v>
      </c>
      <c r="C21" s="11" t="s">
        <v>282</v>
      </c>
      <c r="D21" s="11" t="s">
        <v>283</v>
      </c>
      <c r="E21" s="11" t="s">
        <v>417</v>
      </c>
      <c r="F21" s="11" t="s">
        <v>284</v>
      </c>
      <c r="G21" s="22" t="s">
        <v>149</v>
      </c>
      <c r="H21" s="23" t="s">
        <v>100</v>
      </c>
      <c r="I21" s="23" t="s">
        <v>100</v>
      </c>
      <c r="J21" s="12"/>
      <c r="K21" s="31" t="str">
        <f>"115,0"</f>
        <v>115,0</v>
      </c>
      <c r="L21" s="12" t="str">
        <f>"77,3260"</f>
        <v>77,3260</v>
      </c>
      <c r="M21" s="11"/>
    </row>
    <row r="22" spans="1:13">
      <c r="B22" s="5" t="s">
        <v>62</v>
      </c>
    </row>
    <row r="23" spans="1:13" ht="16">
      <c r="A23" s="50" t="s">
        <v>22</v>
      </c>
      <c r="B23" s="50"/>
      <c r="C23" s="51"/>
      <c r="D23" s="51"/>
      <c r="E23" s="51"/>
      <c r="F23" s="51"/>
      <c r="G23" s="51"/>
      <c r="H23" s="51"/>
      <c r="I23" s="51"/>
      <c r="J23" s="51"/>
    </row>
    <row r="24" spans="1:13">
      <c r="A24" s="10" t="s">
        <v>61</v>
      </c>
      <c r="B24" s="9" t="s">
        <v>294</v>
      </c>
      <c r="C24" s="9" t="s">
        <v>295</v>
      </c>
      <c r="D24" s="9" t="s">
        <v>25</v>
      </c>
      <c r="E24" s="9" t="s">
        <v>420</v>
      </c>
      <c r="F24" s="9" t="s">
        <v>68</v>
      </c>
      <c r="G24" s="20" t="s">
        <v>80</v>
      </c>
      <c r="H24" s="20" t="s">
        <v>149</v>
      </c>
      <c r="I24" s="21" t="s">
        <v>37</v>
      </c>
      <c r="J24" s="10"/>
      <c r="K24" s="30" t="str">
        <f>"115,0"</f>
        <v>115,0</v>
      </c>
      <c r="L24" s="10" t="str">
        <f>"70,2765"</f>
        <v>70,2765</v>
      </c>
      <c r="M24" s="9" t="s">
        <v>73</v>
      </c>
    </row>
    <row r="25" spans="1:13">
      <c r="A25" s="25" t="s">
        <v>61</v>
      </c>
      <c r="B25" s="24" t="s">
        <v>296</v>
      </c>
      <c r="C25" s="24" t="s">
        <v>297</v>
      </c>
      <c r="D25" s="24" t="s">
        <v>298</v>
      </c>
      <c r="E25" s="24" t="s">
        <v>417</v>
      </c>
      <c r="F25" s="24" t="s">
        <v>68</v>
      </c>
      <c r="G25" s="26" t="s">
        <v>70</v>
      </c>
      <c r="H25" s="26" t="s">
        <v>77</v>
      </c>
      <c r="I25" s="26" t="s">
        <v>250</v>
      </c>
      <c r="J25" s="25"/>
      <c r="K25" s="32" t="str">
        <f>"157,5"</f>
        <v>157,5</v>
      </c>
      <c r="L25" s="25" t="str">
        <f>"96,8153"</f>
        <v>96,8153</v>
      </c>
      <c r="M25" s="24"/>
    </row>
    <row r="26" spans="1:13">
      <c r="A26" s="25" t="s">
        <v>63</v>
      </c>
      <c r="B26" s="24" t="s">
        <v>324</v>
      </c>
      <c r="C26" s="24" t="s">
        <v>325</v>
      </c>
      <c r="D26" s="24" t="s">
        <v>301</v>
      </c>
      <c r="E26" s="24" t="s">
        <v>417</v>
      </c>
      <c r="F26" s="24" t="s">
        <v>35</v>
      </c>
      <c r="G26" s="27" t="s">
        <v>107</v>
      </c>
      <c r="H26" s="26" t="s">
        <v>100</v>
      </c>
      <c r="I26" s="26" t="s">
        <v>39</v>
      </c>
      <c r="J26" s="25"/>
      <c r="K26" s="32" t="str">
        <f>"132,5"</f>
        <v>132,5</v>
      </c>
      <c r="L26" s="25" t="str">
        <f>"81,0370"</f>
        <v>81,0370</v>
      </c>
      <c r="M26" s="24"/>
    </row>
    <row r="27" spans="1:13">
      <c r="A27" s="12" t="s">
        <v>313</v>
      </c>
      <c r="B27" s="11" t="s">
        <v>340</v>
      </c>
      <c r="C27" s="11" t="s">
        <v>341</v>
      </c>
      <c r="D27" s="11" t="s">
        <v>342</v>
      </c>
      <c r="E27" s="11" t="s">
        <v>417</v>
      </c>
      <c r="F27" s="11" t="s">
        <v>35</v>
      </c>
      <c r="G27" s="22" t="s">
        <v>149</v>
      </c>
      <c r="H27" s="22" t="s">
        <v>107</v>
      </c>
      <c r="I27" s="23" t="s">
        <v>100</v>
      </c>
      <c r="J27" s="12"/>
      <c r="K27" s="31" t="str">
        <f>"125,0"</f>
        <v>125,0</v>
      </c>
      <c r="L27" s="12" t="str">
        <f>"77,9750"</f>
        <v>77,9750</v>
      </c>
      <c r="M27" s="11"/>
    </row>
    <row r="28" spans="1:13">
      <c r="B28" s="5" t="s">
        <v>62</v>
      </c>
    </row>
    <row r="29" spans="1:13" ht="16">
      <c r="A29" s="50" t="s">
        <v>42</v>
      </c>
      <c r="B29" s="50"/>
      <c r="C29" s="51"/>
      <c r="D29" s="51"/>
      <c r="E29" s="51"/>
      <c r="F29" s="51"/>
      <c r="G29" s="51"/>
      <c r="H29" s="51"/>
      <c r="I29" s="51"/>
      <c r="J29" s="51"/>
    </row>
    <row r="30" spans="1:13">
      <c r="A30" s="8" t="s">
        <v>126</v>
      </c>
      <c r="B30" s="7" t="s">
        <v>343</v>
      </c>
      <c r="C30" s="7" t="s">
        <v>344</v>
      </c>
      <c r="D30" s="7" t="s">
        <v>345</v>
      </c>
      <c r="E30" s="7" t="s">
        <v>418</v>
      </c>
      <c r="F30" s="7" t="s">
        <v>284</v>
      </c>
      <c r="G30" s="19" t="s">
        <v>270</v>
      </c>
      <c r="H30" s="19" t="s">
        <v>270</v>
      </c>
      <c r="I30" s="19" t="s">
        <v>270</v>
      </c>
      <c r="J30" s="8"/>
      <c r="K30" s="28">
        <v>0</v>
      </c>
      <c r="L30" s="8" t="str">
        <f>"0,0000"</f>
        <v>0,0000</v>
      </c>
      <c r="M30" s="7"/>
    </row>
    <row r="31" spans="1:13">
      <c r="B31" s="5" t="s">
        <v>62</v>
      </c>
    </row>
    <row r="32" spans="1:13">
      <c r="B32" s="5" t="s">
        <v>62</v>
      </c>
    </row>
    <row r="33" spans="2:6">
      <c r="B33" s="5" t="s">
        <v>62</v>
      </c>
    </row>
    <row r="34" spans="2:6" ht="18">
      <c r="B34" s="13" t="s">
        <v>53</v>
      </c>
      <c r="C34" s="13"/>
      <c r="F34" s="3"/>
    </row>
    <row r="35" spans="2:6" ht="16">
      <c r="B35" s="14" t="s">
        <v>54</v>
      </c>
      <c r="C35" s="14"/>
      <c r="F35" s="3"/>
    </row>
    <row r="36" spans="2:6" ht="14">
      <c r="B36" s="15"/>
      <c r="C36" s="16" t="s">
        <v>55</v>
      </c>
      <c r="F36" s="3"/>
    </row>
    <row r="37" spans="2:6" ht="14">
      <c r="B37" s="17" t="s">
        <v>56</v>
      </c>
      <c r="C37" s="17" t="s">
        <v>57</v>
      </c>
      <c r="D37" s="17" t="s">
        <v>409</v>
      </c>
      <c r="E37" s="17" t="s">
        <v>195</v>
      </c>
      <c r="F37" s="17" t="s">
        <v>58</v>
      </c>
    </row>
    <row r="38" spans="2:6">
      <c r="B38" s="5" t="s">
        <v>296</v>
      </c>
      <c r="C38" s="5" t="s">
        <v>55</v>
      </c>
      <c r="D38" s="6" t="s">
        <v>60</v>
      </c>
      <c r="E38" s="6" t="s">
        <v>250</v>
      </c>
      <c r="F38" s="6" t="s">
        <v>346</v>
      </c>
    </row>
    <row r="39" spans="2:6">
      <c r="B39" s="5" t="s">
        <v>274</v>
      </c>
      <c r="C39" s="5" t="s">
        <v>55</v>
      </c>
      <c r="D39" s="6" t="s">
        <v>125</v>
      </c>
      <c r="E39" s="6" t="s">
        <v>280</v>
      </c>
      <c r="F39" s="6" t="s">
        <v>347</v>
      </c>
    </row>
    <row r="40" spans="2:6">
      <c r="B40" s="5" t="s">
        <v>324</v>
      </c>
      <c r="C40" s="5" t="s">
        <v>55</v>
      </c>
      <c r="D40" s="6" t="s">
        <v>60</v>
      </c>
      <c r="E40" s="6" t="s">
        <v>39</v>
      </c>
      <c r="F40" s="6" t="s">
        <v>348</v>
      </c>
    </row>
    <row r="41" spans="2:6">
      <c r="B41" s="5" t="s">
        <v>62</v>
      </c>
    </row>
  </sheetData>
  <mergeCells count="18">
    <mergeCell ref="A29:J29"/>
    <mergeCell ref="K3:K4"/>
    <mergeCell ref="L3:L4"/>
    <mergeCell ref="M3:M4"/>
    <mergeCell ref="A5:J5"/>
    <mergeCell ref="B3:B4"/>
    <mergeCell ref="A9:J9"/>
    <mergeCell ref="A12:J12"/>
    <mergeCell ref="A15:J15"/>
    <mergeCell ref="A18:J18"/>
    <mergeCell ref="A23:J2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37" t="s">
        <v>397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9</v>
      </c>
      <c r="H3" s="49"/>
      <c r="I3" s="49"/>
      <c r="J3" s="49"/>
      <c r="K3" s="49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213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61</v>
      </c>
      <c r="B6" s="7" t="s">
        <v>381</v>
      </c>
      <c r="C6" s="7" t="s">
        <v>382</v>
      </c>
      <c r="D6" s="7" t="s">
        <v>383</v>
      </c>
      <c r="E6" s="7" t="s">
        <v>417</v>
      </c>
      <c r="F6" s="7" t="s">
        <v>410</v>
      </c>
      <c r="G6" s="18" t="s">
        <v>149</v>
      </c>
      <c r="H6" s="18" t="s">
        <v>37</v>
      </c>
      <c r="I6" s="18" t="s">
        <v>107</v>
      </c>
      <c r="J6" s="8"/>
      <c r="K6" s="8" t="str">
        <f>"125,0"</f>
        <v>125,0</v>
      </c>
      <c r="L6" s="8" t="str">
        <f>"148,1125"</f>
        <v>148,1125</v>
      </c>
      <c r="M6" s="7" t="s">
        <v>384</v>
      </c>
    </row>
    <row r="7" spans="1:13">
      <c r="B7" s="5" t="s">
        <v>62</v>
      </c>
    </row>
    <row r="8" spans="1:13" ht="16">
      <c r="A8" s="50" t="s">
        <v>10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61</v>
      </c>
      <c r="B9" s="7" t="s">
        <v>385</v>
      </c>
      <c r="C9" s="7" t="s">
        <v>386</v>
      </c>
      <c r="D9" s="7" t="s">
        <v>387</v>
      </c>
      <c r="E9" s="7" t="s">
        <v>421</v>
      </c>
      <c r="F9" s="7" t="s">
        <v>35</v>
      </c>
      <c r="G9" s="18" t="s">
        <v>100</v>
      </c>
      <c r="H9" s="18" t="s">
        <v>70</v>
      </c>
      <c r="I9" s="19" t="s">
        <v>77</v>
      </c>
      <c r="J9" s="8"/>
      <c r="K9" s="8" t="str">
        <f>"140,0"</f>
        <v>140,0</v>
      </c>
      <c r="L9" s="8" t="str">
        <f>"167,2532"</f>
        <v>167,2532</v>
      </c>
      <c r="M9" s="7" t="s">
        <v>302</v>
      </c>
    </row>
    <row r="10" spans="1:13">
      <c r="B10" s="5" t="s">
        <v>62</v>
      </c>
    </row>
    <row r="11" spans="1:13" ht="16">
      <c r="A11" s="50" t="s">
        <v>64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10" t="s">
        <v>61</v>
      </c>
      <c r="B12" s="9" t="s">
        <v>143</v>
      </c>
      <c r="C12" s="9" t="s">
        <v>144</v>
      </c>
      <c r="D12" s="9" t="s">
        <v>145</v>
      </c>
      <c r="E12" s="9" t="s">
        <v>417</v>
      </c>
      <c r="F12" s="9" t="s">
        <v>410</v>
      </c>
      <c r="G12" s="20" t="s">
        <v>150</v>
      </c>
      <c r="H12" s="20" t="s">
        <v>46</v>
      </c>
      <c r="I12" s="21" t="s">
        <v>151</v>
      </c>
      <c r="J12" s="10"/>
      <c r="K12" s="10" t="str">
        <f>"230,0"</f>
        <v>230,0</v>
      </c>
      <c r="L12" s="10" t="str">
        <f>"164,4960"</f>
        <v>164,4960</v>
      </c>
      <c r="M12" s="9"/>
    </row>
    <row r="13" spans="1:13">
      <c r="A13" s="12" t="s">
        <v>63</v>
      </c>
      <c r="B13" s="11" t="s">
        <v>152</v>
      </c>
      <c r="C13" s="11" t="s">
        <v>153</v>
      </c>
      <c r="D13" s="11" t="s">
        <v>154</v>
      </c>
      <c r="E13" s="11" t="s">
        <v>417</v>
      </c>
      <c r="F13" s="11" t="s">
        <v>35</v>
      </c>
      <c r="G13" s="22" t="s">
        <v>99</v>
      </c>
      <c r="H13" s="22" t="s">
        <v>155</v>
      </c>
      <c r="I13" s="22" t="s">
        <v>36</v>
      </c>
      <c r="J13" s="12"/>
      <c r="K13" s="12" t="str">
        <f>"207,5"</f>
        <v>207,5</v>
      </c>
      <c r="L13" s="12" t="str">
        <f>"147,9890"</f>
        <v>147,9890</v>
      </c>
      <c r="M13" s="11" t="s">
        <v>41</v>
      </c>
    </row>
    <row r="14" spans="1:13">
      <c r="B14" s="5" t="s">
        <v>62</v>
      </c>
    </row>
    <row r="15" spans="1:13" ht="16">
      <c r="A15" s="50" t="s">
        <v>95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8" t="s">
        <v>61</v>
      </c>
      <c r="B16" s="7" t="s">
        <v>388</v>
      </c>
      <c r="C16" s="7" t="s">
        <v>389</v>
      </c>
      <c r="D16" s="7" t="s">
        <v>390</v>
      </c>
      <c r="E16" s="7" t="s">
        <v>416</v>
      </c>
      <c r="F16" s="7" t="s">
        <v>35</v>
      </c>
      <c r="G16" s="18" t="s">
        <v>111</v>
      </c>
      <c r="H16" s="18" t="s">
        <v>48</v>
      </c>
      <c r="I16" s="18" t="s">
        <v>99</v>
      </c>
      <c r="J16" s="8"/>
      <c r="K16" s="8" t="str">
        <f>"185,0"</f>
        <v>185,0</v>
      </c>
      <c r="L16" s="8" t="str">
        <f>"126,2070"</f>
        <v>126,2070</v>
      </c>
      <c r="M16" s="7"/>
    </row>
    <row r="17" spans="1:13">
      <c r="B17" s="5" t="s">
        <v>62</v>
      </c>
    </row>
    <row r="18" spans="1:13" ht="16">
      <c r="A18" s="50" t="s">
        <v>42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8" t="s">
        <v>61</v>
      </c>
      <c r="B19" s="7" t="s">
        <v>156</v>
      </c>
      <c r="C19" s="7" t="s">
        <v>157</v>
      </c>
      <c r="D19" s="7" t="s">
        <v>158</v>
      </c>
      <c r="E19" s="7" t="s">
        <v>417</v>
      </c>
      <c r="F19" s="7" t="s">
        <v>35</v>
      </c>
      <c r="G19" s="18" t="s">
        <v>26</v>
      </c>
      <c r="H19" s="18" t="s">
        <v>27</v>
      </c>
      <c r="I19" s="19" t="s">
        <v>159</v>
      </c>
      <c r="J19" s="8"/>
      <c r="K19" s="8" t="str">
        <f>"260,0"</f>
        <v>260,0</v>
      </c>
      <c r="L19" s="8" t="str">
        <f>"154,4140"</f>
        <v>154,4140</v>
      </c>
      <c r="M19" s="7" t="s">
        <v>160</v>
      </c>
    </row>
    <row r="20" spans="1:13">
      <c r="B20" s="5" t="s">
        <v>62</v>
      </c>
    </row>
  </sheetData>
  <mergeCells count="16">
    <mergeCell ref="A8:J8"/>
    <mergeCell ref="A11:J11"/>
    <mergeCell ref="A15:J15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37" t="s">
        <v>398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9</v>
      </c>
      <c r="H3" s="49"/>
      <c r="I3" s="49"/>
      <c r="J3" s="49"/>
      <c r="K3" s="49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127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61</v>
      </c>
      <c r="B6" s="7" t="s">
        <v>353</v>
      </c>
      <c r="C6" s="7" t="s">
        <v>354</v>
      </c>
      <c r="D6" s="7" t="s">
        <v>355</v>
      </c>
      <c r="E6" s="7" t="s">
        <v>417</v>
      </c>
      <c r="F6" s="7" t="s">
        <v>35</v>
      </c>
      <c r="G6" s="18" t="s">
        <v>108</v>
      </c>
      <c r="H6" s="18" t="s">
        <v>356</v>
      </c>
      <c r="I6" s="19" t="s">
        <v>78</v>
      </c>
      <c r="J6" s="8"/>
      <c r="K6" s="8" t="str">
        <f>"92,5"</f>
        <v>92,5</v>
      </c>
      <c r="L6" s="8" t="str">
        <f>"116,0042"</f>
        <v>116,0042</v>
      </c>
      <c r="M6" s="7" t="s">
        <v>41</v>
      </c>
    </row>
    <row r="7" spans="1:13">
      <c r="B7" s="5" t="s">
        <v>62</v>
      </c>
    </row>
    <row r="8" spans="1:13" ht="16">
      <c r="A8" s="50" t="s">
        <v>83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61</v>
      </c>
      <c r="B9" s="7" t="s">
        <v>357</v>
      </c>
      <c r="C9" s="7" t="s">
        <v>358</v>
      </c>
      <c r="D9" s="7" t="s">
        <v>359</v>
      </c>
      <c r="E9" s="7" t="s">
        <v>418</v>
      </c>
      <c r="F9" s="7" t="s">
        <v>35</v>
      </c>
      <c r="G9" s="18" t="s">
        <v>93</v>
      </c>
      <c r="H9" s="18" t="s">
        <v>360</v>
      </c>
      <c r="I9" s="19" t="s">
        <v>361</v>
      </c>
      <c r="J9" s="8"/>
      <c r="K9" s="8" t="str">
        <f>"97,5"</f>
        <v>97,5</v>
      </c>
      <c r="L9" s="8" t="str">
        <f>"120,5792"</f>
        <v>120,5792</v>
      </c>
      <c r="M9" s="7" t="s">
        <v>41</v>
      </c>
    </row>
    <row r="10" spans="1:13">
      <c r="B10" s="5" t="s">
        <v>62</v>
      </c>
    </row>
    <row r="11" spans="1:13" ht="16">
      <c r="A11" s="50" t="s">
        <v>362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61</v>
      </c>
      <c r="B12" s="7" t="s">
        <v>363</v>
      </c>
      <c r="C12" s="7" t="s">
        <v>364</v>
      </c>
      <c r="D12" s="7" t="s">
        <v>365</v>
      </c>
      <c r="E12" s="7" t="s">
        <v>417</v>
      </c>
      <c r="F12" s="7" t="s">
        <v>35</v>
      </c>
      <c r="G12" s="18" t="s">
        <v>48</v>
      </c>
      <c r="H12" s="18" t="s">
        <v>99</v>
      </c>
      <c r="I12" s="18" t="s">
        <v>116</v>
      </c>
      <c r="J12" s="8"/>
      <c r="K12" s="8" t="str">
        <f>"192,5"</f>
        <v>192,5</v>
      </c>
      <c r="L12" s="8" t="str">
        <f>"164,5875"</f>
        <v>164,5875</v>
      </c>
      <c r="M12" s="7" t="s">
        <v>41</v>
      </c>
    </row>
    <row r="13" spans="1:13">
      <c r="B13" s="5" t="s">
        <v>62</v>
      </c>
    </row>
    <row r="14" spans="1:13" ht="16">
      <c r="A14" s="50" t="s">
        <v>83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61</v>
      </c>
      <c r="B15" s="7" t="s">
        <v>366</v>
      </c>
      <c r="C15" s="7" t="s">
        <v>367</v>
      </c>
      <c r="D15" s="7" t="s">
        <v>368</v>
      </c>
      <c r="E15" s="7" t="s">
        <v>417</v>
      </c>
      <c r="F15" s="7" t="s">
        <v>35</v>
      </c>
      <c r="G15" s="18" t="s">
        <v>19</v>
      </c>
      <c r="H15" s="19" t="s">
        <v>40</v>
      </c>
      <c r="I15" s="19" t="s">
        <v>40</v>
      </c>
      <c r="J15" s="8"/>
      <c r="K15" s="8" t="str">
        <f>"200,0"</f>
        <v>200,0</v>
      </c>
      <c r="L15" s="8" t="str">
        <f>"156,4600"</f>
        <v>156,4600</v>
      </c>
      <c r="M15" s="7" t="s">
        <v>369</v>
      </c>
    </row>
    <row r="16" spans="1:13">
      <c r="B16" s="5" t="s">
        <v>62</v>
      </c>
    </row>
    <row r="17" spans="1:13" ht="16">
      <c r="A17" s="50" t="s">
        <v>64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8" t="s">
        <v>61</v>
      </c>
      <c r="B18" s="7" t="s">
        <v>370</v>
      </c>
      <c r="C18" s="7" t="s">
        <v>371</v>
      </c>
      <c r="D18" s="7" t="s">
        <v>372</v>
      </c>
      <c r="E18" s="7" t="s">
        <v>417</v>
      </c>
      <c r="F18" s="7" t="s">
        <v>35</v>
      </c>
      <c r="G18" s="18" t="s">
        <v>373</v>
      </c>
      <c r="H18" s="8"/>
      <c r="I18" s="8"/>
      <c r="J18" s="8"/>
      <c r="K18" s="8" t="str">
        <f>"237,5"</f>
        <v>237,5</v>
      </c>
      <c r="L18" s="8" t="str">
        <f>"180,7850"</f>
        <v>180,7850</v>
      </c>
      <c r="M18" s="7"/>
    </row>
    <row r="19" spans="1:13">
      <c r="B19" s="5" t="s">
        <v>62</v>
      </c>
    </row>
    <row r="20" spans="1:13" ht="16">
      <c r="A20" s="50" t="s">
        <v>10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10" t="s">
        <v>61</v>
      </c>
      <c r="B21" s="9" t="s">
        <v>374</v>
      </c>
      <c r="C21" s="9" t="s">
        <v>375</v>
      </c>
      <c r="D21" s="9" t="s">
        <v>376</v>
      </c>
      <c r="E21" s="9" t="s">
        <v>420</v>
      </c>
      <c r="F21" s="9" t="s">
        <v>35</v>
      </c>
      <c r="G21" s="20" t="s">
        <v>81</v>
      </c>
      <c r="H21" s="20" t="s">
        <v>18</v>
      </c>
      <c r="I21" s="20" t="s">
        <v>19</v>
      </c>
      <c r="J21" s="10"/>
      <c r="K21" s="10" t="str">
        <f>"200,0"</f>
        <v>200,0</v>
      </c>
      <c r="L21" s="10" t="str">
        <f>"130,9000"</f>
        <v>130,9000</v>
      </c>
      <c r="M21" s="9" t="s">
        <v>377</v>
      </c>
    </row>
    <row r="22" spans="1:13">
      <c r="A22" s="12" t="s">
        <v>61</v>
      </c>
      <c r="B22" s="11" t="s">
        <v>378</v>
      </c>
      <c r="C22" s="11" t="s">
        <v>379</v>
      </c>
      <c r="D22" s="11" t="s">
        <v>380</v>
      </c>
      <c r="E22" s="11" t="s">
        <v>417</v>
      </c>
      <c r="F22" s="11" t="s">
        <v>35</v>
      </c>
      <c r="G22" s="22" t="s">
        <v>102</v>
      </c>
      <c r="H22" s="22" t="s">
        <v>27</v>
      </c>
      <c r="I22" s="23" t="s">
        <v>159</v>
      </c>
      <c r="J22" s="12"/>
      <c r="K22" s="12" t="str">
        <f>"260,0"</f>
        <v>260,0</v>
      </c>
      <c r="L22" s="12" t="str">
        <f>"167,7260"</f>
        <v>167,7260</v>
      </c>
      <c r="M22" s="11"/>
    </row>
    <row r="23" spans="1:13">
      <c r="B23" s="5" t="s">
        <v>62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5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1.83203125" style="5" customWidth="1"/>
    <col min="22" max="16384" width="9.1640625" style="3"/>
  </cols>
  <sheetData>
    <row r="1" spans="1:21" s="2" customFormat="1" ht="29" customHeight="1">
      <c r="A1" s="37" t="s">
        <v>405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54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48"/>
      <c r="U4" s="34"/>
    </row>
    <row r="5" spans="1:21" ht="16">
      <c r="A5" s="35" t="s">
        <v>83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61</v>
      </c>
      <c r="B6" s="7" t="s">
        <v>84</v>
      </c>
      <c r="C6" s="7" t="s">
        <v>85</v>
      </c>
      <c r="D6" s="7" t="s">
        <v>86</v>
      </c>
      <c r="E6" s="7" t="s">
        <v>419</v>
      </c>
      <c r="F6" s="7" t="s">
        <v>35</v>
      </c>
      <c r="G6" s="18" t="s">
        <v>87</v>
      </c>
      <c r="H6" s="18" t="s">
        <v>88</v>
      </c>
      <c r="I6" s="19" t="s">
        <v>89</v>
      </c>
      <c r="J6" s="8"/>
      <c r="K6" s="18" t="s">
        <v>90</v>
      </c>
      <c r="L6" s="18" t="s">
        <v>91</v>
      </c>
      <c r="M6" s="19" t="s">
        <v>92</v>
      </c>
      <c r="N6" s="8"/>
      <c r="O6" s="18" t="s">
        <v>93</v>
      </c>
      <c r="P6" s="18" t="s">
        <v>78</v>
      </c>
      <c r="Q6" s="18" t="s">
        <v>80</v>
      </c>
      <c r="R6" s="8"/>
      <c r="S6" s="28" t="str">
        <f>"247,5"</f>
        <v>247,5</v>
      </c>
      <c r="T6" s="8" t="str">
        <f>"197,5793"</f>
        <v>197,5793</v>
      </c>
      <c r="U6" s="7" t="s">
        <v>94</v>
      </c>
    </row>
    <row r="7" spans="1:21">
      <c r="B7" s="5" t="s">
        <v>62</v>
      </c>
    </row>
    <row r="8" spans="1:21" ht="16">
      <c r="A8" s="50" t="s">
        <v>95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0" t="s">
        <v>61</v>
      </c>
      <c r="B9" s="9" t="s">
        <v>96</v>
      </c>
      <c r="C9" s="9" t="s">
        <v>97</v>
      </c>
      <c r="D9" s="9" t="s">
        <v>98</v>
      </c>
      <c r="E9" s="9" t="s">
        <v>417</v>
      </c>
      <c r="F9" s="9" t="s">
        <v>14</v>
      </c>
      <c r="G9" s="20" t="s">
        <v>29</v>
      </c>
      <c r="H9" s="20" t="s">
        <v>48</v>
      </c>
      <c r="I9" s="20" t="s">
        <v>99</v>
      </c>
      <c r="J9" s="10"/>
      <c r="K9" s="20" t="s">
        <v>37</v>
      </c>
      <c r="L9" s="20" t="s">
        <v>100</v>
      </c>
      <c r="M9" s="21" t="s">
        <v>70</v>
      </c>
      <c r="N9" s="10"/>
      <c r="O9" s="20" t="s">
        <v>40</v>
      </c>
      <c r="P9" s="20" t="s">
        <v>101</v>
      </c>
      <c r="Q9" s="20" t="s">
        <v>102</v>
      </c>
      <c r="R9" s="10"/>
      <c r="S9" s="30" t="str">
        <f>"555,0"</f>
        <v>555,0</v>
      </c>
      <c r="T9" s="10" t="str">
        <f>"375,4020"</f>
        <v>375,4020</v>
      </c>
      <c r="U9" s="9" t="s">
        <v>52</v>
      </c>
    </row>
    <row r="10" spans="1:21">
      <c r="A10" s="12" t="s">
        <v>61</v>
      </c>
      <c r="B10" s="11" t="s">
        <v>103</v>
      </c>
      <c r="C10" s="11" t="s">
        <v>104</v>
      </c>
      <c r="D10" s="11" t="s">
        <v>105</v>
      </c>
      <c r="E10" s="11" t="s">
        <v>415</v>
      </c>
      <c r="F10" s="11" t="s">
        <v>35</v>
      </c>
      <c r="G10" s="22" t="s">
        <v>106</v>
      </c>
      <c r="H10" s="22" t="s">
        <v>107</v>
      </c>
      <c r="I10" s="12"/>
      <c r="J10" s="12"/>
      <c r="K10" s="22" t="s">
        <v>108</v>
      </c>
      <c r="L10" s="22" t="s">
        <v>93</v>
      </c>
      <c r="M10" s="23" t="s">
        <v>109</v>
      </c>
      <c r="N10" s="12"/>
      <c r="O10" s="22" t="s">
        <v>110</v>
      </c>
      <c r="P10" s="22" t="s">
        <v>29</v>
      </c>
      <c r="Q10" s="23" t="s">
        <v>111</v>
      </c>
      <c r="R10" s="12"/>
      <c r="S10" s="31" t="str">
        <f>"375,0"</f>
        <v>375,0</v>
      </c>
      <c r="T10" s="12" t="str">
        <f>"310,7914"</f>
        <v>310,7914</v>
      </c>
      <c r="U10" s="11" t="s">
        <v>94</v>
      </c>
    </row>
    <row r="11" spans="1:21">
      <c r="B11" s="5" t="s">
        <v>62</v>
      </c>
    </row>
    <row r="12" spans="1:21" ht="16">
      <c r="A12" s="50" t="s">
        <v>22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1">
      <c r="A13" s="10" t="s">
        <v>61</v>
      </c>
      <c r="B13" s="9" t="s">
        <v>112</v>
      </c>
      <c r="C13" s="9" t="s">
        <v>113</v>
      </c>
      <c r="D13" s="9" t="s">
        <v>114</v>
      </c>
      <c r="E13" s="9" t="s">
        <v>417</v>
      </c>
      <c r="F13" s="9" t="s">
        <v>14</v>
      </c>
      <c r="G13" s="20" t="s">
        <v>28</v>
      </c>
      <c r="H13" s="21" t="s">
        <v>115</v>
      </c>
      <c r="I13" s="21" t="s">
        <v>115</v>
      </c>
      <c r="J13" s="10"/>
      <c r="K13" s="20" t="s">
        <v>30</v>
      </c>
      <c r="L13" s="20" t="s">
        <v>99</v>
      </c>
      <c r="M13" s="21" t="s">
        <v>116</v>
      </c>
      <c r="N13" s="10"/>
      <c r="O13" s="21" t="s">
        <v>15</v>
      </c>
      <c r="P13" s="20" t="s">
        <v>15</v>
      </c>
      <c r="Q13" s="21" t="s">
        <v>117</v>
      </c>
      <c r="R13" s="10"/>
      <c r="S13" s="30" t="str">
        <f>"745,0"</f>
        <v>745,0</v>
      </c>
      <c r="T13" s="10" t="str">
        <f>"456,3870"</f>
        <v>456,3870</v>
      </c>
      <c r="U13" s="9" t="s">
        <v>118</v>
      </c>
    </row>
    <row r="14" spans="1:21">
      <c r="A14" s="12" t="s">
        <v>126</v>
      </c>
      <c r="B14" s="11" t="s">
        <v>119</v>
      </c>
      <c r="C14" s="11" t="s">
        <v>120</v>
      </c>
      <c r="D14" s="11" t="s">
        <v>121</v>
      </c>
      <c r="E14" s="11" t="s">
        <v>417</v>
      </c>
      <c r="F14" s="11" t="s">
        <v>14</v>
      </c>
      <c r="G14" s="23" t="s">
        <v>40</v>
      </c>
      <c r="H14" s="23" t="s">
        <v>40</v>
      </c>
      <c r="I14" s="23" t="s">
        <v>40</v>
      </c>
      <c r="J14" s="12"/>
      <c r="K14" s="23"/>
      <c r="L14" s="12"/>
      <c r="M14" s="12"/>
      <c r="N14" s="12"/>
      <c r="O14" s="23"/>
      <c r="P14" s="12"/>
      <c r="Q14" s="12"/>
      <c r="R14" s="12"/>
      <c r="S14" s="31">
        <v>0</v>
      </c>
      <c r="T14" s="12" t="str">
        <f>"0,0000"</f>
        <v>0,0000</v>
      </c>
      <c r="U14" s="11" t="s">
        <v>21</v>
      </c>
    </row>
    <row r="15" spans="1:21">
      <c r="B15" s="5" t="s">
        <v>62</v>
      </c>
    </row>
  </sheetData>
  <mergeCells count="16">
    <mergeCell ref="A8:R8"/>
    <mergeCell ref="A12:R12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6.6640625" style="5" customWidth="1"/>
    <col min="22" max="16384" width="9.1640625" style="3"/>
  </cols>
  <sheetData>
    <row r="1" spans="1:21" s="2" customFormat="1" ht="29" customHeight="1">
      <c r="A1" s="37" t="s">
        <v>406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34"/>
    </row>
    <row r="5" spans="1:21" ht="16">
      <c r="A5" s="35" t="s">
        <v>64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61</v>
      </c>
      <c r="B6" s="7" t="s">
        <v>65</v>
      </c>
      <c r="C6" s="7" t="s">
        <v>66</v>
      </c>
      <c r="D6" s="7" t="s">
        <v>67</v>
      </c>
      <c r="E6" s="7" t="s">
        <v>417</v>
      </c>
      <c r="F6" s="7" t="s">
        <v>68</v>
      </c>
      <c r="G6" s="19" t="s">
        <v>18</v>
      </c>
      <c r="H6" s="18" t="s">
        <v>18</v>
      </c>
      <c r="I6" s="18" t="s">
        <v>19</v>
      </c>
      <c r="J6" s="8"/>
      <c r="K6" s="18" t="s">
        <v>69</v>
      </c>
      <c r="L6" s="18" t="s">
        <v>70</v>
      </c>
      <c r="M6" s="18" t="s">
        <v>71</v>
      </c>
      <c r="N6" s="8"/>
      <c r="O6" s="18" t="s">
        <v>40</v>
      </c>
      <c r="P6" s="18" t="s">
        <v>50</v>
      </c>
      <c r="Q6" s="18" t="s">
        <v>72</v>
      </c>
      <c r="R6" s="8"/>
      <c r="S6" s="8" t="str">
        <f>"575,0"</f>
        <v>575,0</v>
      </c>
      <c r="T6" s="8" t="str">
        <f>"433,2625"</f>
        <v>433,2625</v>
      </c>
      <c r="U6" s="7" t="s">
        <v>73</v>
      </c>
    </row>
    <row r="7" spans="1:21">
      <c r="B7" s="5" t="s">
        <v>62</v>
      </c>
    </row>
    <row r="8" spans="1:21" ht="16">
      <c r="A8" s="50" t="s">
        <v>22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8" t="s">
        <v>61</v>
      </c>
      <c r="B9" s="7" t="s">
        <v>74</v>
      </c>
      <c r="C9" s="7" t="s">
        <v>75</v>
      </c>
      <c r="D9" s="7" t="s">
        <v>76</v>
      </c>
      <c r="E9" s="7" t="s">
        <v>418</v>
      </c>
      <c r="F9" s="7" t="s">
        <v>14</v>
      </c>
      <c r="G9" s="18" t="s">
        <v>77</v>
      </c>
      <c r="H9" s="18" t="s">
        <v>29</v>
      </c>
      <c r="I9" s="19" t="s">
        <v>30</v>
      </c>
      <c r="J9" s="8"/>
      <c r="K9" s="18" t="s">
        <v>78</v>
      </c>
      <c r="L9" s="18" t="s">
        <v>79</v>
      </c>
      <c r="M9" s="19" t="s">
        <v>80</v>
      </c>
      <c r="N9" s="8"/>
      <c r="O9" s="18" t="s">
        <v>29</v>
      </c>
      <c r="P9" s="18" t="s">
        <v>30</v>
      </c>
      <c r="Q9" s="19" t="s">
        <v>81</v>
      </c>
      <c r="R9" s="8"/>
      <c r="S9" s="8" t="str">
        <f>"435,0"</f>
        <v>435,0</v>
      </c>
      <c r="T9" s="8" t="str">
        <f>"267,5250"</f>
        <v>267,5250</v>
      </c>
      <c r="U9" s="7" t="s">
        <v>52</v>
      </c>
    </row>
    <row r="10" spans="1:21">
      <c r="B10" s="5" t="s">
        <v>62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5">
    <pageSetUpPr fitToPage="1"/>
  </sheetPr>
  <dimension ref="A1:U1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6640625" style="5" customWidth="1"/>
    <col min="22" max="16384" width="9.1640625" style="3"/>
  </cols>
  <sheetData>
    <row r="1" spans="1:21" s="2" customFormat="1" ht="29" customHeight="1">
      <c r="A1" s="37" t="s">
        <v>407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34"/>
    </row>
    <row r="5" spans="1:21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61</v>
      </c>
      <c r="B6" s="7" t="s">
        <v>11</v>
      </c>
      <c r="C6" s="7" t="s">
        <v>12</v>
      </c>
      <c r="D6" s="7" t="s">
        <v>13</v>
      </c>
      <c r="E6" s="7" t="s">
        <v>417</v>
      </c>
      <c r="F6" s="7" t="s">
        <v>14</v>
      </c>
      <c r="G6" s="18" t="s">
        <v>15</v>
      </c>
      <c r="H6" s="18" t="s">
        <v>16</v>
      </c>
      <c r="I6" s="18" t="s">
        <v>17</v>
      </c>
      <c r="J6" s="8"/>
      <c r="K6" s="18" t="s">
        <v>18</v>
      </c>
      <c r="L6" s="18" t="s">
        <v>19</v>
      </c>
      <c r="M6" s="19" t="s">
        <v>20</v>
      </c>
      <c r="N6" s="8"/>
      <c r="O6" s="18" t="s">
        <v>15</v>
      </c>
      <c r="P6" s="19" t="s">
        <v>16</v>
      </c>
      <c r="Q6" s="18" t="s">
        <v>16</v>
      </c>
      <c r="R6" s="8"/>
      <c r="S6" s="8" t="str">
        <f>"805,0"</f>
        <v>805,0</v>
      </c>
      <c r="T6" s="8" t="str">
        <f>"518,0980"</f>
        <v>518,0980</v>
      </c>
      <c r="U6" s="7" t="s">
        <v>21</v>
      </c>
    </row>
    <row r="7" spans="1:21">
      <c r="B7" s="5" t="s">
        <v>62</v>
      </c>
    </row>
    <row r="8" spans="1:21" ht="16">
      <c r="A8" s="50" t="s">
        <v>22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0" t="s">
        <v>61</v>
      </c>
      <c r="B9" s="9" t="s">
        <v>23</v>
      </c>
      <c r="C9" s="9" t="s">
        <v>24</v>
      </c>
      <c r="D9" s="9" t="s">
        <v>25</v>
      </c>
      <c r="E9" s="9" t="s">
        <v>418</v>
      </c>
      <c r="F9" s="9" t="s">
        <v>14</v>
      </c>
      <c r="G9" s="20" t="s">
        <v>26</v>
      </c>
      <c r="H9" s="20" t="s">
        <v>27</v>
      </c>
      <c r="I9" s="20" t="s">
        <v>28</v>
      </c>
      <c r="J9" s="10"/>
      <c r="K9" s="20" t="s">
        <v>29</v>
      </c>
      <c r="L9" s="21" t="s">
        <v>30</v>
      </c>
      <c r="M9" s="21" t="s">
        <v>30</v>
      </c>
      <c r="N9" s="10"/>
      <c r="O9" s="20" t="s">
        <v>27</v>
      </c>
      <c r="P9" s="20" t="s">
        <v>28</v>
      </c>
      <c r="Q9" s="20" t="s">
        <v>31</v>
      </c>
      <c r="R9" s="10"/>
      <c r="S9" s="10" t="str">
        <f>"710,0"</f>
        <v>710,0</v>
      </c>
      <c r="T9" s="10" t="str">
        <f>"446,0297"</f>
        <v>446,0297</v>
      </c>
      <c r="U9" s="9"/>
    </row>
    <row r="10" spans="1:21">
      <c r="A10" s="12" t="s">
        <v>63</v>
      </c>
      <c r="B10" s="11" t="s">
        <v>32</v>
      </c>
      <c r="C10" s="11" t="s">
        <v>33</v>
      </c>
      <c r="D10" s="11" t="s">
        <v>34</v>
      </c>
      <c r="E10" s="11" t="s">
        <v>418</v>
      </c>
      <c r="F10" s="11" t="s">
        <v>35</v>
      </c>
      <c r="G10" s="22" t="s">
        <v>18</v>
      </c>
      <c r="H10" s="22" t="s">
        <v>19</v>
      </c>
      <c r="I10" s="23" t="s">
        <v>36</v>
      </c>
      <c r="J10" s="12"/>
      <c r="K10" s="22" t="s">
        <v>37</v>
      </c>
      <c r="L10" s="22" t="s">
        <v>38</v>
      </c>
      <c r="M10" s="22" t="s">
        <v>39</v>
      </c>
      <c r="N10" s="12"/>
      <c r="O10" s="22" t="s">
        <v>18</v>
      </c>
      <c r="P10" s="22" t="s">
        <v>19</v>
      </c>
      <c r="Q10" s="22" t="s">
        <v>40</v>
      </c>
      <c r="R10" s="12"/>
      <c r="S10" s="12" t="str">
        <f>"542,5"</f>
        <v>542,5</v>
      </c>
      <c r="T10" s="12" t="str">
        <f>"370,0072"</f>
        <v>370,0072</v>
      </c>
      <c r="U10" s="11" t="s">
        <v>41</v>
      </c>
    </row>
    <row r="11" spans="1:21">
      <c r="B11" s="5" t="s">
        <v>62</v>
      </c>
    </row>
    <row r="12" spans="1:21" ht="16">
      <c r="A12" s="50" t="s">
        <v>42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21">
      <c r="A13" s="8" t="s">
        <v>61</v>
      </c>
      <c r="B13" s="7" t="s">
        <v>43</v>
      </c>
      <c r="C13" s="7" t="s">
        <v>44</v>
      </c>
      <c r="D13" s="7" t="s">
        <v>45</v>
      </c>
      <c r="E13" s="7" t="s">
        <v>417</v>
      </c>
      <c r="F13" s="7" t="s">
        <v>14</v>
      </c>
      <c r="G13" s="18" t="s">
        <v>46</v>
      </c>
      <c r="H13" s="19" t="s">
        <v>47</v>
      </c>
      <c r="I13" s="19" t="s">
        <v>26</v>
      </c>
      <c r="J13" s="8"/>
      <c r="K13" s="18" t="s">
        <v>29</v>
      </c>
      <c r="L13" s="18" t="s">
        <v>48</v>
      </c>
      <c r="M13" s="18" t="s">
        <v>49</v>
      </c>
      <c r="N13" s="8"/>
      <c r="O13" s="18" t="s">
        <v>50</v>
      </c>
      <c r="P13" s="18" t="s">
        <v>46</v>
      </c>
      <c r="Q13" s="19" t="s">
        <v>51</v>
      </c>
      <c r="R13" s="8"/>
      <c r="S13" s="8" t="str">
        <f>"642,5"</f>
        <v>642,5</v>
      </c>
      <c r="T13" s="8" t="str">
        <f>"379,8460"</f>
        <v>379,8460</v>
      </c>
      <c r="U13" s="7" t="s">
        <v>52</v>
      </c>
    </row>
    <row r="14" spans="1:21">
      <c r="B14" s="5" t="s">
        <v>62</v>
      </c>
    </row>
  </sheetData>
  <mergeCells count="16">
    <mergeCell ref="A5:R5"/>
    <mergeCell ref="A8:R8"/>
    <mergeCell ref="A12:R12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37" t="s">
        <v>395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64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8" t="s">
        <v>61</v>
      </c>
      <c r="B6" s="7" t="s">
        <v>65</v>
      </c>
      <c r="C6" s="7" t="s">
        <v>66</v>
      </c>
      <c r="D6" s="7" t="s">
        <v>67</v>
      </c>
      <c r="E6" s="7" t="s">
        <v>417</v>
      </c>
      <c r="F6" s="7" t="s">
        <v>68</v>
      </c>
      <c r="G6" s="18" t="s">
        <v>69</v>
      </c>
      <c r="H6" s="18" t="s">
        <v>70</v>
      </c>
      <c r="I6" s="18" t="s">
        <v>71</v>
      </c>
      <c r="J6" s="8"/>
      <c r="K6" s="18" t="s">
        <v>40</v>
      </c>
      <c r="L6" s="18" t="s">
        <v>50</v>
      </c>
      <c r="M6" s="18" t="s">
        <v>72</v>
      </c>
      <c r="N6" s="8"/>
      <c r="O6" s="8" t="str">
        <f>"375,0"</f>
        <v>375,0</v>
      </c>
      <c r="P6" s="8" t="str">
        <f>"282,5625"</f>
        <v>282,5625</v>
      </c>
      <c r="Q6" s="7" t="s">
        <v>73</v>
      </c>
    </row>
    <row r="7" spans="1:17">
      <c r="B7" s="5" t="s">
        <v>62</v>
      </c>
    </row>
    <row r="8" spans="1:17" ht="16">
      <c r="A8" s="50" t="s">
        <v>391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8" t="s">
        <v>61</v>
      </c>
      <c r="B9" s="7" t="s">
        <v>392</v>
      </c>
      <c r="C9" s="7" t="s">
        <v>393</v>
      </c>
      <c r="D9" s="7" t="s">
        <v>394</v>
      </c>
      <c r="E9" s="7" t="s">
        <v>416</v>
      </c>
      <c r="F9" s="7" t="s">
        <v>68</v>
      </c>
      <c r="G9" s="18" t="s">
        <v>79</v>
      </c>
      <c r="H9" s="18" t="s">
        <v>149</v>
      </c>
      <c r="I9" s="18" t="s">
        <v>107</v>
      </c>
      <c r="J9" s="8"/>
      <c r="K9" s="18" t="s">
        <v>48</v>
      </c>
      <c r="L9" s="18" t="s">
        <v>49</v>
      </c>
      <c r="M9" s="18" t="s">
        <v>18</v>
      </c>
      <c r="N9" s="8"/>
      <c r="O9" s="8" t="str">
        <f>"315,0"</f>
        <v>315,0</v>
      </c>
      <c r="P9" s="8" t="str">
        <f>"176,6205"</f>
        <v>176,6205</v>
      </c>
      <c r="Q9" s="7" t="s">
        <v>73</v>
      </c>
    </row>
    <row r="10" spans="1:17">
      <c r="B10" s="5" t="s">
        <v>62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9" style="5" customWidth="1"/>
    <col min="18" max="16384" width="9.1640625" style="3"/>
  </cols>
  <sheetData>
    <row r="1" spans="1:17" s="2" customFormat="1" ht="29" customHeight="1">
      <c r="A1" s="37" t="s">
        <v>396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8" t="s">
        <v>61</v>
      </c>
      <c r="B6" s="7" t="s">
        <v>11</v>
      </c>
      <c r="C6" s="7" t="s">
        <v>12</v>
      </c>
      <c r="D6" s="7" t="s">
        <v>13</v>
      </c>
      <c r="E6" s="7" t="s">
        <v>417</v>
      </c>
      <c r="F6" s="7" t="s">
        <v>14</v>
      </c>
      <c r="G6" s="18" t="s">
        <v>18</v>
      </c>
      <c r="H6" s="18" t="s">
        <v>19</v>
      </c>
      <c r="I6" s="19" t="s">
        <v>20</v>
      </c>
      <c r="J6" s="8"/>
      <c r="K6" s="18" t="s">
        <v>15</v>
      </c>
      <c r="L6" s="19" t="s">
        <v>16</v>
      </c>
      <c r="M6" s="18" t="s">
        <v>16</v>
      </c>
      <c r="N6" s="8"/>
      <c r="O6" s="8" t="str">
        <f>"500,0"</f>
        <v>500,0</v>
      </c>
      <c r="P6" s="8" t="str">
        <f>"321,8000"</f>
        <v>321,8000</v>
      </c>
      <c r="Q6" s="7" t="s">
        <v>21</v>
      </c>
    </row>
    <row r="7" spans="1:17">
      <c r="B7" s="5" t="s">
        <v>62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77"/>
  <sheetViews>
    <sheetView topLeftCell="A28" workbookViewId="0">
      <selection activeCell="E62" sqref="E6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3.3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37" t="s">
        <v>402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49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127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0" t="s">
        <v>61</v>
      </c>
      <c r="B6" s="9" t="s">
        <v>201</v>
      </c>
      <c r="C6" s="9" t="s">
        <v>202</v>
      </c>
      <c r="D6" s="9" t="s">
        <v>203</v>
      </c>
      <c r="E6" s="9" t="s">
        <v>419</v>
      </c>
      <c r="F6" s="9" t="s">
        <v>35</v>
      </c>
      <c r="G6" s="20" t="s">
        <v>204</v>
      </c>
      <c r="H6" s="20" t="s">
        <v>176</v>
      </c>
      <c r="I6" s="21" t="s">
        <v>205</v>
      </c>
      <c r="J6" s="10"/>
      <c r="K6" s="10" t="str">
        <f>"25,0"</f>
        <v>25,0</v>
      </c>
      <c r="L6" s="10" t="str">
        <f>"32,0200"</f>
        <v>32,0200</v>
      </c>
      <c r="M6" s="9"/>
    </row>
    <row r="7" spans="1:13">
      <c r="A7" s="25" t="s">
        <v>63</v>
      </c>
      <c r="B7" s="24" t="s">
        <v>206</v>
      </c>
      <c r="C7" s="24" t="s">
        <v>207</v>
      </c>
      <c r="D7" s="24" t="s">
        <v>208</v>
      </c>
      <c r="E7" s="24" t="s">
        <v>419</v>
      </c>
      <c r="F7" s="24" t="s">
        <v>35</v>
      </c>
      <c r="G7" s="26" t="s">
        <v>204</v>
      </c>
      <c r="H7" s="26" t="s">
        <v>176</v>
      </c>
      <c r="I7" s="27" t="s">
        <v>205</v>
      </c>
      <c r="J7" s="25"/>
      <c r="K7" s="25" t="str">
        <f>"25,0"</f>
        <v>25,0</v>
      </c>
      <c r="L7" s="25" t="str">
        <f>"31,5400"</f>
        <v>31,5400</v>
      </c>
      <c r="M7" s="24"/>
    </row>
    <row r="8" spans="1:13">
      <c r="A8" s="12" t="s">
        <v>61</v>
      </c>
      <c r="B8" s="11" t="s">
        <v>209</v>
      </c>
      <c r="C8" s="11" t="s">
        <v>210</v>
      </c>
      <c r="D8" s="11" t="s">
        <v>211</v>
      </c>
      <c r="E8" s="11" t="s">
        <v>417</v>
      </c>
      <c r="F8" s="11" t="s">
        <v>68</v>
      </c>
      <c r="G8" s="23" t="s">
        <v>91</v>
      </c>
      <c r="H8" s="22" t="s">
        <v>91</v>
      </c>
      <c r="I8" s="23" t="s">
        <v>185</v>
      </c>
      <c r="J8" s="12"/>
      <c r="K8" s="12" t="str">
        <f>"57,5"</f>
        <v>57,5</v>
      </c>
      <c r="L8" s="12" t="str">
        <f>"74,0887"</f>
        <v>74,0887</v>
      </c>
      <c r="M8" s="11" t="s">
        <v>212</v>
      </c>
    </row>
    <row r="9" spans="1:13">
      <c r="B9" s="5" t="s">
        <v>62</v>
      </c>
    </row>
    <row r="10" spans="1:13" ht="16">
      <c r="A10" s="50" t="s">
        <v>213</v>
      </c>
      <c r="B10" s="50"/>
      <c r="C10" s="51"/>
      <c r="D10" s="51"/>
      <c r="E10" s="51"/>
      <c r="F10" s="51"/>
      <c r="G10" s="51"/>
      <c r="H10" s="51"/>
      <c r="I10" s="51"/>
      <c r="J10" s="51"/>
    </row>
    <row r="11" spans="1:13">
      <c r="A11" s="8" t="s">
        <v>61</v>
      </c>
      <c r="B11" s="7" t="s">
        <v>214</v>
      </c>
      <c r="C11" s="7" t="s">
        <v>215</v>
      </c>
      <c r="D11" s="7" t="s">
        <v>216</v>
      </c>
      <c r="E11" s="7" t="s">
        <v>417</v>
      </c>
      <c r="F11" s="7" t="s">
        <v>35</v>
      </c>
      <c r="G11" s="18" t="s">
        <v>132</v>
      </c>
      <c r="H11" s="18" t="s">
        <v>90</v>
      </c>
      <c r="I11" s="18" t="s">
        <v>133</v>
      </c>
      <c r="J11" s="8"/>
      <c r="K11" s="8" t="str">
        <f>"55,0"</f>
        <v>55,0</v>
      </c>
      <c r="L11" s="8" t="str">
        <f>"64,7130"</f>
        <v>64,7130</v>
      </c>
      <c r="M11" s="7"/>
    </row>
    <row r="12" spans="1:13">
      <c r="B12" s="5" t="s">
        <v>62</v>
      </c>
    </row>
    <row r="13" spans="1:13" ht="16">
      <c r="A13" s="50" t="s">
        <v>177</v>
      </c>
      <c r="B13" s="50"/>
      <c r="C13" s="51"/>
      <c r="D13" s="51"/>
      <c r="E13" s="51"/>
      <c r="F13" s="51"/>
      <c r="G13" s="51"/>
      <c r="H13" s="51"/>
      <c r="I13" s="51"/>
      <c r="J13" s="51"/>
    </row>
    <row r="14" spans="1:13">
      <c r="A14" s="8" t="s">
        <v>61</v>
      </c>
      <c r="B14" s="7" t="s">
        <v>217</v>
      </c>
      <c r="C14" s="7" t="s">
        <v>218</v>
      </c>
      <c r="D14" s="7" t="s">
        <v>219</v>
      </c>
      <c r="E14" s="7" t="s">
        <v>417</v>
      </c>
      <c r="F14" s="7" t="s">
        <v>220</v>
      </c>
      <c r="G14" s="18" t="s">
        <v>181</v>
      </c>
      <c r="H14" s="18" t="s">
        <v>132</v>
      </c>
      <c r="I14" s="18" t="s">
        <v>90</v>
      </c>
      <c r="J14" s="8"/>
      <c r="K14" s="8" t="str">
        <f>"52,5"</f>
        <v>52,5</v>
      </c>
      <c r="L14" s="8" t="str">
        <f>"59,6977"</f>
        <v>59,6977</v>
      </c>
      <c r="M14" s="7"/>
    </row>
    <row r="15" spans="1:13">
      <c r="B15" s="5" t="s">
        <v>62</v>
      </c>
    </row>
    <row r="16" spans="1:13" ht="16">
      <c r="A16" s="50" t="s">
        <v>83</v>
      </c>
      <c r="B16" s="50"/>
      <c r="C16" s="51"/>
      <c r="D16" s="51"/>
      <c r="E16" s="51"/>
      <c r="F16" s="51"/>
      <c r="G16" s="51"/>
      <c r="H16" s="51"/>
      <c r="I16" s="51"/>
      <c r="J16" s="51"/>
    </row>
    <row r="17" spans="1:13">
      <c r="A17" s="10" t="s">
        <v>61</v>
      </c>
      <c r="B17" s="9" t="s">
        <v>221</v>
      </c>
      <c r="C17" s="9" t="s">
        <v>222</v>
      </c>
      <c r="D17" s="9" t="s">
        <v>223</v>
      </c>
      <c r="E17" s="9" t="s">
        <v>419</v>
      </c>
      <c r="F17" s="9" t="s">
        <v>35</v>
      </c>
      <c r="G17" s="20" t="s">
        <v>171</v>
      </c>
      <c r="H17" s="20" t="s">
        <v>134</v>
      </c>
      <c r="I17" s="20" t="s">
        <v>136</v>
      </c>
      <c r="J17" s="10"/>
      <c r="K17" s="10" t="str">
        <f>"40,0"</f>
        <v>40,0</v>
      </c>
      <c r="L17" s="10" t="str">
        <f>"41,9640"</f>
        <v>41,9640</v>
      </c>
      <c r="M17" s="9"/>
    </row>
    <row r="18" spans="1:13">
      <c r="A18" s="12" t="s">
        <v>61</v>
      </c>
      <c r="B18" s="11" t="s">
        <v>224</v>
      </c>
      <c r="C18" s="11" t="s">
        <v>225</v>
      </c>
      <c r="D18" s="11" t="s">
        <v>184</v>
      </c>
      <c r="E18" s="11" t="s">
        <v>420</v>
      </c>
      <c r="F18" s="11" t="s">
        <v>35</v>
      </c>
      <c r="G18" s="22" t="s">
        <v>176</v>
      </c>
      <c r="H18" s="22" t="s">
        <v>171</v>
      </c>
      <c r="I18" s="23" t="s">
        <v>134</v>
      </c>
      <c r="J18" s="12"/>
      <c r="K18" s="12" t="str">
        <f>"30,0"</f>
        <v>30,0</v>
      </c>
      <c r="L18" s="12" t="str">
        <f>"31,3650"</f>
        <v>31,3650</v>
      </c>
      <c r="M18" s="11"/>
    </row>
    <row r="19" spans="1:13">
      <c r="B19" s="5" t="s">
        <v>62</v>
      </c>
    </row>
    <row r="20" spans="1:13" ht="16">
      <c r="A20" s="50" t="s">
        <v>10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8" t="s">
        <v>61</v>
      </c>
      <c r="B21" s="7" t="s">
        <v>226</v>
      </c>
      <c r="C21" s="7" t="s">
        <v>227</v>
      </c>
      <c r="D21" s="7" t="s">
        <v>191</v>
      </c>
      <c r="E21" s="7" t="s">
        <v>415</v>
      </c>
      <c r="F21" s="7" t="s">
        <v>68</v>
      </c>
      <c r="G21" s="18" t="s">
        <v>228</v>
      </c>
      <c r="H21" s="18" t="s">
        <v>137</v>
      </c>
      <c r="I21" s="18" t="s">
        <v>89</v>
      </c>
      <c r="J21" s="8"/>
      <c r="K21" s="8" t="str">
        <f>"87,5"</f>
        <v>87,5</v>
      </c>
      <c r="L21" s="8" t="str">
        <f>"89,9564"</f>
        <v>89,9564</v>
      </c>
      <c r="M21" s="7"/>
    </row>
    <row r="22" spans="1:13">
      <c r="B22" s="5" t="s">
        <v>62</v>
      </c>
    </row>
    <row r="23" spans="1:13" ht="16">
      <c r="A23" s="50" t="s">
        <v>127</v>
      </c>
      <c r="B23" s="50"/>
      <c r="C23" s="51"/>
      <c r="D23" s="51"/>
      <c r="E23" s="51"/>
      <c r="F23" s="51"/>
      <c r="G23" s="51"/>
      <c r="H23" s="51"/>
      <c r="I23" s="51"/>
      <c r="J23" s="51"/>
    </row>
    <row r="24" spans="1:13">
      <c r="A24" s="10" t="s">
        <v>61</v>
      </c>
      <c r="B24" s="9" t="s">
        <v>229</v>
      </c>
      <c r="C24" s="9" t="s">
        <v>230</v>
      </c>
      <c r="D24" s="9" t="s">
        <v>231</v>
      </c>
      <c r="E24" s="9" t="s">
        <v>419</v>
      </c>
      <c r="F24" s="9" t="s">
        <v>169</v>
      </c>
      <c r="G24" s="20" t="s">
        <v>176</v>
      </c>
      <c r="H24" s="20" t="s">
        <v>170</v>
      </c>
      <c r="I24" s="20" t="s">
        <v>205</v>
      </c>
      <c r="J24" s="10"/>
      <c r="K24" s="10" t="str">
        <f>"32,5"</f>
        <v>32,5</v>
      </c>
      <c r="L24" s="10" t="str">
        <f>"43,4005"</f>
        <v>43,4005</v>
      </c>
      <c r="M24" s="9" t="s">
        <v>408</v>
      </c>
    </row>
    <row r="25" spans="1:13">
      <c r="A25" s="12" t="s">
        <v>63</v>
      </c>
      <c r="B25" s="11" t="s">
        <v>232</v>
      </c>
      <c r="C25" s="11" t="s">
        <v>233</v>
      </c>
      <c r="D25" s="11" t="s">
        <v>234</v>
      </c>
      <c r="E25" s="11" t="s">
        <v>419</v>
      </c>
      <c r="F25" s="11" t="s">
        <v>169</v>
      </c>
      <c r="G25" s="22" t="s">
        <v>176</v>
      </c>
      <c r="H25" s="22" t="s">
        <v>170</v>
      </c>
      <c r="I25" s="22" t="s">
        <v>205</v>
      </c>
      <c r="J25" s="12"/>
      <c r="K25" s="12" t="str">
        <f>"32,5"</f>
        <v>32,5</v>
      </c>
      <c r="L25" s="12" t="str">
        <f>"43,4005"</f>
        <v>43,4005</v>
      </c>
      <c r="M25" s="11" t="s">
        <v>408</v>
      </c>
    </row>
    <row r="26" spans="1:13">
      <c r="B26" s="5" t="s">
        <v>62</v>
      </c>
    </row>
    <row r="27" spans="1:13" ht="16">
      <c r="A27" s="50" t="s">
        <v>177</v>
      </c>
      <c r="B27" s="50"/>
      <c r="C27" s="51"/>
      <c r="D27" s="51"/>
      <c r="E27" s="51"/>
      <c r="F27" s="51"/>
      <c r="G27" s="51"/>
      <c r="H27" s="51"/>
      <c r="I27" s="51"/>
      <c r="J27" s="51"/>
    </row>
    <row r="28" spans="1:13">
      <c r="A28" s="10" t="s">
        <v>61</v>
      </c>
      <c r="B28" s="9" t="s">
        <v>235</v>
      </c>
      <c r="C28" s="9" t="s">
        <v>236</v>
      </c>
      <c r="D28" s="9" t="s">
        <v>237</v>
      </c>
      <c r="E28" s="9" t="s">
        <v>419</v>
      </c>
      <c r="F28" s="9" t="s">
        <v>169</v>
      </c>
      <c r="G28" s="20" t="s">
        <v>205</v>
      </c>
      <c r="H28" s="20" t="s">
        <v>134</v>
      </c>
      <c r="I28" s="20" t="s">
        <v>135</v>
      </c>
      <c r="J28" s="10"/>
      <c r="K28" s="10" t="str">
        <f>"37,5"</f>
        <v>37,5</v>
      </c>
      <c r="L28" s="10" t="str">
        <f>"33,5025"</f>
        <v>33,5025</v>
      </c>
      <c r="M28" s="9" t="s">
        <v>408</v>
      </c>
    </row>
    <row r="29" spans="1:13">
      <c r="A29" s="12" t="s">
        <v>61</v>
      </c>
      <c r="B29" s="11" t="s">
        <v>238</v>
      </c>
      <c r="C29" s="11" t="s">
        <v>239</v>
      </c>
      <c r="D29" s="11" t="s">
        <v>240</v>
      </c>
      <c r="E29" s="11" t="s">
        <v>417</v>
      </c>
      <c r="F29" s="11" t="s">
        <v>35</v>
      </c>
      <c r="G29" s="22" t="s">
        <v>185</v>
      </c>
      <c r="H29" s="23" t="s">
        <v>241</v>
      </c>
      <c r="I29" s="22" t="s">
        <v>241</v>
      </c>
      <c r="J29" s="12"/>
      <c r="K29" s="12" t="str">
        <f>"67,5"</f>
        <v>67,5</v>
      </c>
      <c r="L29" s="12" t="str">
        <f>"58,6508"</f>
        <v>58,6508</v>
      </c>
      <c r="M29" s="11" t="s">
        <v>94</v>
      </c>
    </row>
    <row r="30" spans="1:13">
      <c r="B30" s="5" t="s">
        <v>62</v>
      </c>
    </row>
    <row r="31" spans="1:13" ht="16">
      <c r="A31" s="50" t="s">
        <v>83</v>
      </c>
      <c r="B31" s="50"/>
      <c r="C31" s="51"/>
      <c r="D31" s="51"/>
      <c r="E31" s="51"/>
      <c r="F31" s="51"/>
      <c r="G31" s="51"/>
      <c r="H31" s="51"/>
      <c r="I31" s="51"/>
      <c r="J31" s="51"/>
    </row>
    <row r="32" spans="1:13">
      <c r="A32" s="8" t="s">
        <v>61</v>
      </c>
      <c r="B32" s="7" t="s">
        <v>242</v>
      </c>
      <c r="C32" s="7" t="s">
        <v>243</v>
      </c>
      <c r="D32" s="7" t="s">
        <v>244</v>
      </c>
      <c r="E32" s="7" t="s">
        <v>420</v>
      </c>
      <c r="F32" s="7" t="s">
        <v>35</v>
      </c>
      <c r="G32" s="19" t="s">
        <v>185</v>
      </c>
      <c r="H32" s="18" t="s">
        <v>185</v>
      </c>
      <c r="I32" s="18" t="s">
        <v>245</v>
      </c>
      <c r="J32" s="8"/>
      <c r="K32" s="8" t="str">
        <f>"70,0"</f>
        <v>70,0</v>
      </c>
      <c r="L32" s="8" t="str">
        <f>"54,6910"</f>
        <v>54,6910</v>
      </c>
      <c r="M32" s="7"/>
    </row>
    <row r="33" spans="1:13">
      <c r="B33" s="5" t="s">
        <v>62</v>
      </c>
    </row>
    <row r="34" spans="1:13" ht="16">
      <c r="A34" s="50" t="s">
        <v>64</v>
      </c>
      <c r="B34" s="50"/>
      <c r="C34" s="51"/>
      <c r="D34" s="51"/>
      <c r="E34" s="51"/>
      <c r="F34" s="51"/>
      <c r="G34" s="51"/>
      <c r="H34" s="51"/>
      <c r="I34" s="51"/>
      <c r="J34" s="51"/>
    </row>
    <row r="35" spans="1:13">
      <c r="A35" s="10" t="s">
        <v>61</v>
      </c>
      <c r="B35" s="9" t="s">
        <v>246</v>
      </c>
      <c r="C35" s="9" t="s">
        <v>247</v>
      </c>
      <c r="D35" s="9" t="s">
        <v>248</v>
      </c>
      <c r="E35" s="9" t="s">
        <v>416</v>
      </c>
      <c r="F35" s="9" t="s">
        <v>35</v>
      </c>
      <c r="G35" s="20" t="s">
        <v>77</v>
      </c>
      <c r="H35" s="20" t="s">
        <v>249</v>
      </c>
      <c r="I35" s="21" t="s">
        <v>250</v>
      </c>
      <c r="J35" s="10"/>
      <c r="K35" s="10" t="str">
        <f>"155,0"</f>
        <v>155,0</v>
      </c>
      <c r="L35" s="10" t="str">
        <f>"116,2810"</f>
        <v>116,2810</v>
      </c>
      <c r="M35" s="9"/>
    </row>
    <row r="36" spans="1:13">
      <c r="A36" s="25" t="s">
        <v>61</v>
      </c>
      <c r="B36" s="24" t="s">
        <v>65</v>
      </c>
      <c r="C36" s="24" t="s">
        <v>66</v>
      </c>
      <c r="D36" s="24" t="s">
        <v>67</v>
      </c>
      <c r="E36" s="24" t="s">
        <v>417</v>
      </c>
      <c r="F36" s="24" t="s">
        <v>68</v>
      </c>
      <c r="G36" s="26" t="s">
        <v>69</v>
      </c>
      <c r="H36" s="26" t="s">
        <v>70</v>
      </c>
      <c r="I36" s="26" t="s">
        <v>71</v>
      </c>
      <c r="J36" s="25"/>
      <c r="K36" s="25" t="str">
        <f>"142,5"</f>
        <v>142,5</v>
      </c>
      <c r="L36" s="25" t="str">
        <f>"107,3737"</f>
        <v>107,3737</v>
      </c>
      <c r="M36" s="24" t="s">
        <v>73</v>
      </c>
    </row>
    <row r="37" spans="1:13">
      <c r="A37" s="25" t="s">
        <v>63</v>
      </c>
      <c r="B37" s="24" t="s">
        <v>251</v>
      </c>
      <c r="C37" s="24" t="s">
        <v>252</v>
      </c>
      <c r="D37" s="24" t="s">
        <v>253</v>
      </c>
      <c r="E37" s="24" t="s">
        <v>417</v>
      </c>
      <c r="F37" s="24" t="s">
        <v>410</v>
      </c>
      <c r="G37" s="26" t="s">
        <v>70</v>
      </c>
      <c r="H37" s="27" t="s">
        <v>110</v>
      </c>
      <c r="I37" s="27" t="s">
        <v>110</v>
      </c>
      <c r="J37" s="25"/>
      <c r="K37" s="25" t="str">
        <f>"140,0"</f>
        <v>140,0</v>
      </c>
      <c r="L37" s="25" t="str">
        <f>"101,9900"</f>
        <v>101,9900</v>
      </c>
      <c r="M37" s="24" t="s">
        <v>160</v>
      </c>
    </row>
    <row r="38" spans="1:13">
      <c r="A38" s="25" t="s">
        <v>313</v>
      </c>
      <c r="B38" s="24" t="s">
        <v>254</v>
      </c>
      <c r="C38" s="24" t="s">
        <v>255</v>
      </c>
      <c r="D38" s="24" t="s">
        <v>256</v>
      </c>
      <c r="E38" s="24" t="s">
        <v>417</v>
      </c>
      <c r="F38" s="24" t="s">
        <v>68</v>
      </c>
      <c r="G38" s="26" t="s">
        <v>107</v>
      </c>
      <c r="H38" s="26" t="s">
        <v>69</v>
      </c>
      <c r="I38" s="27" t="s">
        <v>70</v>
      </c>
      <c r="J38" s="25"/>
      <c r="K38" s="25" t="str">
        <f>"135,0"</f>
        <v>135,0</v>
      </c>
      <c r="L38" s="25" t="str">
        <f>"96,3765"</f>
        <v>96,3765</v>
      </c>
      <c r="M38" s="24"/>
    </row>
    <row r="39" spans="1:13">
      <c r="A39" s="25" t="s">
        <v>314</v>
      </c>
      <c r="B39" s="24" t="s">
        <v>257</v>
      </c>
      <c r="C39" s="24" t="s">
        <v>258</v>
      </c>
      <c r="D39" s="24" t="s">
        <v>259</v>
      </c>
      <c r="E39" s="24" t="s">
        <v>417</v>
      </c>
      <c r="F39" s="24" t="s">
        <v>35</v>
      </c>
      <c r="G39" s="26" t="s">
        <v>260</v>
      </c>
      <c r="H39" s="26" t="s">
        <v>38</v>
      </c>
      <c r="I39" s="27" t="s">
        <v>39</v>
      </c>
      <c r="J39" s="25"/>
      <c r="K39" s="25" t="str">
        <f>"127,5"</f>
        <v>127,5</v>
      </c>
      <c r="L39" s="25" t="str">
        <f>"91,9785"</f>
        <v>91,9785</v>
      </c>
      <c r="M39" s="24" t="s">
        <v>41</v>
      </c>
    </row>
    <row r="40" spans="1:13">
      <c r="A40" s="12" t="s">
        <v>61</v>
      </c>
      <c r="B40" s="11" t="s">
        <v>261</v>
      </c>
      <c r="C40" s="11" t="s">
        <v>262</v>
      </c>
      <c r="D40" s="11" t="s">
        <v>256</v>
      </c>
      <c r="E40" s="11" t="s">
        <v>418</v>
      </c>
      <c r="F40" s="11" t="s">
        <v>35</v>
      </c>
      <c r="G40" s="22" t="s">
        <v>69</v>
      </c>
      <c r="H40" s="22" t="s">
        <v>70</v>
      </c>
      <c r="I40" s="23" t="s">
        <v>263</v>
      </c>
      <c r="J40" s="12"/>
      <c r="K40" s="12" t="str">
        <f>"140,0"</f>
        <v>140,0</v>
      </c>
      <c r="L40" s="12" t="str">
        <f>"107,7418"</f>
        <v>107,7418</v>
      </c>
      <c r="M40" s="11"/>
    </row>
    <row r="41" spans="1:13">
      <c r="B41" s="5" t="s">
        <v>62</v>
      </c>
    </row>
    <row r="42" spans="1:13" ht="16">
      <c r="A42" s="50" t="s">
        <v>95</v>
      </c>
      <c r="B42" s="50"/>
      <c r="C42" s="51"/>
      <c r="D42" s="51"/>
      <c r="E42" s="51"/>
      <c r="F42" s="51"/>
      <c r="G42" s="51"/>
      <c r="H42" s="51"/>
      <c r="I42" s="51"/>
      <c r="J42" s="51"/>
    </row>
    <row r="43" spans="1:13">
      <c r="A43" s="10" t="s">
        <v>61</v>
      </c>
      <c r="B43" s="9" t="s">
        <v>264</v>
      </c>
      <c r="C43" s="9" t="s">
        <v>265</v>
      </c>
      <c r="D43" s="9" t="s">
        <v>266</v>
      </c>
      <c r="E43" s="9" t="s">
        <v>420</v>
      </c>
      <c r="F43" s="9" t="s">
        <v>35</v>
      </c>
      <c r="G43" s="21" t="s">
        <v>37</v>
      </c>
      <c r="H43" s="20" t="s">
        <v>38</v>
      </c>
      <c r="I43" s="21" t="s">
        <v>69</v>
      </c>
      <c r="J43" s="10"/>
      <c r="K43" s="10" t="str">
        <f>"127,5"</f>
        <v>127,5</v>
      </c>
      <c r="L43" s="10" t="str">
        <f>"85,9223"</f>
        <v>85,9223</v>
      </c>
      <c r="M43" s="9"/>
    </row>
    <row r="44" spans="1:13">
      <c r="A44" s="25" t="s">
        <v>61</v>
      </c>
      <c r="B44" s="24" t="s">
        <v>267</v>
      </c>
      <c r="C44" s="24" t="s">
        <v>268</v>
      </c>
      <c r="D44" s="24" t="s">
        <v>269</v>
      </c>
      <c r="E44" s="24" t="s">
        <v>417</v>
      </c>
      <c r="F44" s="24" t="s">
        <v>35</v>
      </c>
      <c r="G44" s="26" t="s">
        <v>70</v>
      </c>
      <c r="H44" s="26" t="s">
        <v>263</v>
      </c>
      <c r="I44" s="26" t="s">
        <v>270</v>
      </c>
      <c r="J44" s="25"/>
      <c r="K44" s="25" t="str">
        <f>"152,5"</f>
        <v>152,5</v>
      </c>
      <c r="L44" s="25" t="str">
        <f>"104,5235"</f>
        <v>104,5235</v>
      </c>
      <c r="M44" s="24"/>
    </row>
    <row r="45" spans="1:13">
      <c r="A45" s="25" t="s">
        <v>63</v>
      </c>
      <c r="B45" s="24" t="s">
        <v>271</v>
      </c>
      <c r="C45" s="24" t="s">
        <v>272</v>
      </c>
      <c r="D45" s="24" t="s">
        <v>273</v>
      </c>
      <c r="E45" s="24" t="s">
        <v>417</v>
      </c>
      <c r="F45" s="24" t="s">
        <v>35</v>
      </c>
      <c r="G45" s="26" t="s">
        <v>263</v>
      </c>
      <c r="H45" s="27" t="s">
        <v>77</v>
      </c>
      <c r="I45" s="27" t="s">
        <v>77</v>
      </c>
      <c r="J45" s="25"/>
      <c r="K45" s="25" t="str">
        <f>"145,0"</f>
        <v>145,0</v>
      </c>
      <c r="L45" s="25" t="str">
        <f>"99,1510"</f>
        <v>99,1510</v>
      </c>
      <c r="M45" s="24"/>
    </row>
    <row r="46" spans="1:13">
      <c r="A46" s="25" t="s">
        <v>313</v>
      </c>
      <c r="B46" s="24" t="s">
        <v>274</v>
      </c>
      <c r="C46" s="24" t="s">
        <v>275</v>
      </c>
      <c r="D46" s="24" t="s">
        <v>276</v>
      </c>
      <c r="E46" s="24" t="s">
        <v>417</v>
      </c>
      <c r="F46" s="24" t="s">
        <v>35</v>
      </c>
      <c r="G46" s="26" t="s">
        <v>263</v>
      </c>
      <c r="H46" s="27" t="s">
        <v>77</v>
      </c>
      <c r="I46" s="27" t="s">
        <v>77</v>
      </c>
      <c r="J46" s="25"/>
      <c r="K46" s="25" t="str">
        <f>"145,0"</f>
        <v>145,0</v>
      </c>
      <c r="L46" s="25" t="str">
        <f>"97,9330"</f>
        <v>97,9330</v>
      </c>
      <c r="M46" s="24"/>
    </row>
    <row r="47" spans="1:13">
      <c r="A47" s="25" t="s">
        <v>314</v>
      </c>
      <c r="B47" s="24" t="s">
        <v>277</v>
      </c>
      <c r="C47" s="24" t="s">
        <v>278</v>
      </c>
      <c r="D47" s="24" t="s">
        <v>279</v>
      </c>
      <c r="E47" s="24" t="s">
        <v>417</v>
      </c>
      <c r="F47" s="24" t="s">
        <v>14</v>
      </c>
      <c r="G47" s="26" t="s">
        <v>280</v>
      </c>
      <c r="H47" s="26" t="s">
        <v>263</v>
      </c>
      <c r="I47" s="27" t="s">
        <v>270</v>
      </c>
      <c r="J47" s="25"/>
      <c r="K47" s="25" t="str">
        <f>"145,0"</f>
        <v>145,0</v>
      </c>
      <c r="L47" s="25" t="str">
        <f>"97,7880"</f>
        <v>97,7880</v>
      </c>
      <c r="M47" s="24"/>
    </row>
    <row r="48" spans="1:13">
      <c r="A48" s="12" t="s">
        <v>315</v>
      </c>
      <c r="B48" s="11" t="s">
        <v>281</v>
      </c>
      <c r="C48" s="11" t="s">
        <v>282</v>
      </c>
      <c r="D48" s="11" t="s">
        <v>283</v>
      </c>
      <c r="E48" s="11" t="s">
        <v>417</v>
      </c>
      <c r="F48" s="11" t="s">
        <v>284</v>
      </c>
      <c r="G48" s="23" t="s">
        <v>38</v>
      </c>
      <c r="H48" s="22" t="s">
        <v>38</v>
      </c>
      <c r="I48" s="23" t="s">
        <v>263</v>
      </c>
      <c r="J48" s="12"/>
      <c r="K48" s="12" t="str">
        <f>"127,5"</f>
        <v>127,5</v>
      </c>
      <c r="L48" s="12" t="str">
        <f>"85,7310"</f>
        <v>85,7310</v>
      </c>
      <c r="M48" s="11"/>
    </row>
    <row r="49" spans="1:13">
      <c r="B49" s="5" t="s">
        <v>62</v>
      </c>
    </row>
    <row r="50" spans="1:13" ht="16">
      <c r="A50" s="50" t="s">
        <v>10</v>
      </c>
      <c r="B50" s="50"/>
      <c r="C50" s="51"/>
      <c r="D50" s="51"/>
      <c r="E50" s="51"/>
      <c r="F50" s="51"/>
      <c r="G50" s="51"/>
      <c r="H50" s="51"/>
      <c r="I50" s="51"/>
      <c r="J50" s="51"/>
    </row>
    <row r="51" spans="1:13">
      <c r="A51" s="10" t="s">
        <v>61</v>
      </c>
      <c r="B51" s="9" t="s">
        <v>285</v>
      </c>
      <c r="C51" s="9" t="s">
        <v>286</v>
      </c>
      <c r="D51" s="9" t="s">
        <v>287</v>
      </c>
      <c r="E51" s="9" t="s">
        <v>419</v>
      </c>
      <c r="F51" s="9" t="s">
        <v>68</v>
      </c>
      <c r="G51" s="21" t="s">
        <v>107</v>
      </c>
      <c r="H51" s="20" t="s">
        <v>107</v>
      </c>
      <c r="I51" s="20" t="s">
        <v>69</v>
      </c>
      <c r="J51" s="20" t="s">
        <v>70</v>
      </c>
      <c r="K51" s="10" t="str">
        <f>"135,0"</f>
        <v>135,0</v>
      </c>
      <c r="L51" s="10" t="str">
        <f>"87,7905"</f>
        <v>87,7905</v>
      </c>
      <c r="M51" s="9" t="s">
        <v>73</v>
      </c>
    </row>
    <row r="52" spans="1:13">
      <c r="A52" s="25" t="s">
        <v>61</v>
      </c>
      <c r="B52" s="24" t="s">
        <v>288</v>
      </c>
      <c r="C52" s="24" t="s">
        <v>289</v>
      </c>
      <c r="D52" s="24" t="s">
        <v>290</v>
      </c>
      <c r="E52" s="24" t="s">
        <v>416</v>
      </c>
      <c r="F52" s="24" t="s">
        <v>68</v>
      </c>
      <c r="G52" s="26" t="s">
        <v>69</v>
      </c>
      <c r="H52" s="26" t="s">
        <v>70</v>
      </c>
      <c r="I52" s="26" t="s">
        <v>263</v>
      </c>
      <c r="J52" s="25"/>
      <c r="K52" s="25" t="str">
        <f>"145,0"</f>
        <v>145,0</v>
      </c>
      <c r="L52" s="25" t="str">
        <f>"96,7875"</f>
        <v>96,7875</v>
      </c>
      <c r="M52" s="24" t="s">
        <v>73</v>
      </c>
    </row>
    <row r="53" spans="1:13">
      <c r="A53" s="12" t="s">
        <v>63</v>
      </c>
      <c r="B53" s="11" t="s">
        <v>291</v>
      </c>
      <c r="C53" s="11" t="s">
        <v>292</v>
      </c>
      <c r="D53" s="11" t="s">
        <v>293</v>
      </c>
      <c r="E53" s="11" t="s">
        <v>416</v>
      </c>
      <c r="F53" s="11" t="s">
        <v>68</v>
      </c>
      <c r="G53" s="22" t="s">
        <v>37</v>
      </c>
      <c r="H53" s="22" t="s">
        <v>100</v>
      </c>
      <c r="I53" s="22" t="s">
        <v>69</v>
      </c>
      <c r="J53" s="12"/>
      <c r="K53" s="12" t="str">
        <f>"135,0"</f>
        <v>135,0</v>
      </c>
      <c r="L53" s="12" t="str">
        <f>"89,7345"</f>
        <v>89,7345</v>
      </c>
      <c r="M53" s="11" t="s">
        <v>73</v>
      </c>
    </row>
    <row r="54" spans="1:13">
      <c r="B54" s="5" t="s">
        <v>62</v>
      </c>
    </row>
    <row r="55" spans="1:13" ht="16">
      <c r="A55" s="50" t="s">
        <v>22</v>
      </c>
      <c r="B55" s="50"/>
      <c r="C55" s="51"/>
      <c r="D55" s="51"/>
      <c r="E55" s="51"/>
      <c r="F55" s="51"/>
      <c r="G55" s="51"/>
      <c r="H55" s="51"/>
      <c r="I55" s="51"/>
      <c r="J55" s="51"/>
    </row>
    <row r="56" spans="1:13">
      <c r="A56" s="10" t="s">
        <v>61</v>
      </c>
      <c r="B56" s="9" t="s">
        <v>294</v>
      </c>
      <c r="C56" s="9" t="s">
        <v>295</v>
      </c>
      <c r="D56" s="9" t="s">
        <v>25</v>
      </c>
      <c r="E56" s="9" t="s">
        <v>420</v>
      </c>
      <c r="F56" s="9" t="s">
        <v>68</v>
      </c>
      <c r="G56" s="20" t="s">
        <v>260</v>
      </c>
      <c r="H56" s="21" t="s">
        <v>38</v>
      </c>
      <c r="I56" s="21" t="s">
        <v>100</v>
      </c>
      <c r="J56" s="10"/>
      <c r="K56" s="10" t="str">
        <f>"122,5"</f>
        <v>122,5</v>
      </c>
      <c r="L56" s="10" t="str">
        <f>"74,8598"</f>
        <v>74,8598</v>
      </c>
      <c r="M56" s="9" t="s">
        <v>73</v>
      </c>
    </row>
    <row r="57" spans="1:13">
      <c r="A57" s="25" t="s">
        <v>61</v>
      </c>
      <c r="B57" s="24" t="s">
        <v>296</v>
      </c>
      <c r="C57" s="24" t="s">
        <v>297</v>
      </c>
      <c r="D57" s="24" t="s">
        <v>298</v>
      </c>
      <c r="E57" s="24" t="s">
        <v>417</v>
      </c>
      <c r="F57" s="24" t="s">
        <v>68</v>
      </c>
      <c r="G57" s="26" t="s">
        <v>29</v>
      </c>
      <c r="H57" s="26" t="s">
        <v>30</v>
      </c>
      <c r="I57" s="26" t="s">
        <v>48</v>
      </c>
      <c r="J57" s="25"/>
      <c r="K57" s="25" t="str">
        <f>"175,0"</f>
        <v>175,0</v>
      </c>
      <c r="L57" s="25" t="str">
        <f>"107,5725"</f>
        <v>107,5725</v>
      </c>
      <c r="M57" s="24"/>
    </row>
    <row r="58" spans="1:13">
      <c r="A58" s="12" t="s">
        <v>63</v>
      </c>
      <c r="B58" s="11" t="s">
        <v>299</v>
      </c>
      <c r="C58" s="11" t="s">
        <v>300</v>
      </c>
      <c r="D58" s="11" t="s">
        <v>301</v>
      </c>
      <c r="E58" s="11" t="s">
        <v>417</v>
      </c>
      <c r="F58" s="11" t="s">
        <v>35</v>
      </c>
      <c r="G58" s="22" t="s">
        <v>100</v>
      </c>
      <c r="H58" s="22" t="s">
        <v>69</v>
      </c>
      <c r="I58" s="22" t="s">
        <v>70</v>
      </c>
      <c r="J58" s="12"/>
      <c r="K58" s="12" t="str">
        <f>"140,0"</f>
        <v>140,0</v>
      </c>
      <c r="L58" s="12" t="str">
        <f>"85,6240"</f>
        <v>85,6240</v>
      </c>
      <c r="M58" s="11" t="s">
        <v>302</v>
      </c>
    </row>
    <row r="59" spans="1:13">
      <c r="B59" s="5" t="s">
        <v>62</v>
      </c>
    </row>
    <row r="60" spans="1:13" ht="16">
      <c r="A60" s="50" t="s">
        <v>42</v>
      </c>
      <c r="B60" s="50"/>
      <c r="C60" s="51"/>
      <c r="D60" s="51"/>
      <c r="E60" s="51"/>
      <c r="F60" s="51"/>
      <c r="G60" s="51"/>
      <c r="H60" s="51"/>
      <c r="I60" s="51"/>
      <c r="J60" s="51"/>
    </row>
    <row r="61" spans="1:13">
      <c r="A61" s="8" t="s">
        <v>61</v>
      </c>
      <c r="B61" s="7" t="s">
        <v>303</v>
      </c>
      <c r="C61" s="7" t="s">
        <v>304</v>
      </c>
      <c r="D61" s="7" t="s">
        <v>305</v>
      </c>
      <c r="E61" s="7" t="s">
        <v>418</v>
      </c>
      <c r="F61" s="7" t="s">
        <v>68</v>
      </c>
      <c r="G61" s="18" t="s">
        <v>249</v>
      </c>
      <c r="H61" s="19" t="s">
        <v>306</v>
      </c>
      <c r="I61" s="19" t="s">
        <v>306</v>
      </c>
      <c r="J61" s="8"/>
      <c r="K61" s="8" t="str">
        <f>"155,0"</f>
        <v>155,0</v>
      </c>
      <c r="L61" s="8" t="str">
        <f>"96,9041"</f>
        <v>96,9041</v>
      </c>
      <c r="M61" s="7"/>
    </row>
    <row r="62" spans="1:13">
      <c r="B62" s="5" t="s">
        <v>62</v>
      </c>
    </row>
    <row r="63" spans="1:13">
      <c r="B63" s="5" t="s">
        <v>62</v>
      </c>
    </row>
    <row r="64" spans="1:13">
      <c r="B64" s="5" t="s">
        <v>62</v>
      </c>
    </row>
    <row r="65" spans="2:6" ht="18">
      <c r="B65" s="13" t="s">
        <v>53</v>
      </c>
      <c r="C65" s="13"/>
      <c r="F65" s="3"/>
    </row>
    <row r="66" spans="2:6" ht="16">
      <c r="B66" s="14" t="s">
        <v>54</v>
      </c>
      <c r="C66" s="14"/>
      <c r="F66" s="3"/>
    </row>
    <row r="67" spans="2:6" ht="14">
      <c r="B67" s="15"/>
      <c r="C67" s="16" t="s">
        <v>122</v>
      </c>
      <c r="F67" s="3"/>
    </row>
    <row r="68" spans="2:6" ht="14">
      <c r="B68" s="17" t="s">
        <v>56</v>
      </c>
      <c r="C68" s="17" t="s">
        <v>57</v>
      </c>
      <c r="D68" s="17" t="s">
        <v>409</v>
      </c>
      <c r="E68" s="17" t="s">
        <v>195</v>
      </c>
      <c r="F68" s="17" t="s">
        <v>58</v>
      </c>
    </row>
    <row r="69" spans="2:6">
      <c r="B69" s="5" t="s">
        <v>285</v>
      </c>
      <c r="C69" s="5" t="s">
        <v>123</v>
      </c>
      <c r="D69" s="6" t="s">
        <v>59</v>
      </c>
      <c r="E69" s="6" t="s">
        <v>69</v>
      </c>
      <c r="F69" s="6" t="s">
        <v>307</v>
      </c>
    </row>
    <row r="70" spans="2:6">
      <c r="B70" s="5" t="s">
        <v>264</v>
      </c>
      <c r="C70" s="5" t="s">
        <v>196</v>
      </c>
      <c r="D70" s="6" t="s">
        <v>125</v>
      </c>
      <c r="E70" s="6" t="s">
        <v>38</v>
      </c>
      <c r="F70" s="6" t="s">
        <v>308</v>
      </c>
    </row>
    <row r="71" spans="2:6">
      <c r="B71" s="5" t="s">
        <v>294</v>
      </c>
      <c r="C71" s="5" t="s">
        <v>196</v>
      </c>
      <c r="D71" s="6" t="s">
        <v>60</v>
      </c>
      <c r="E71" s="6" t="s">
        <v>260</v>
      </c>
      <c r="F71" s="6" t="s">
        <v>309</v>
      </c>
    </row>
    <row r="73" spans="2:6" ht="14">
      <c r="B73" s="15"/>
      <c r="C73" s="16" t="s">
        <v>55</v>
      </c>
    </row>
    <row r="74" spans="2:6" ht="14">
      <c r="B74" s="17" t="s">
        <v>56</v>
      </c>
      <c r="C74" s="17" t="s">
        <v>57</v>
      </c>
      <c r="D74" s="17" t="s">
        <v>409</v>
      </c>
      <c r="E74" s="17" t="s">
        <v>195</v>
      </c>
      <c r="F74" s="17" t="s">
        <v>58</v>
      </c>
    </row>
    <row r="75" spans="2:6">
      <c r="B75" s="5" t="s">
        <v>296</v>
      </c>
      <c r="C75" s="5" t="s">
        <v>55</v>
      </c>
      <c r="D75" s="6" t="s">
        <v>60</v>
      </c>
      <c r="E75" s="6" t="s">
        <v>48</v>
      </c>
      <c r="F75" s="6" t="s">
        <v>310</v>
      </c>
    </row>
    <row r="76" spans="2:6">
      <c r="B76" s="5" t="s">
        <v>65</v>
      </c>
      <c r="C76" s="5" t="s">
        <v>55</v>
      </c>
      <c r="D76" s="6" t="s">
        <v>82</v>
      </c>
      <c r="E76" s="6" t="s">
        <v>71</v>
      </c>
      <c r="F76" s="6" t="s">
        <v>311</v>
      </c>
    </row>
    <row r="77" spans="2:6">
      <c r="B77" s="5" t="s">
        <v>267</v>
      </c>
      <c r="C77" s="5" t="s">
        <v>55</v>
      </c>
      <c r="D77" s="6" t="s">
        <v>125</v>
      </c>
      <c r="E77" s="6" t="s">
        <v>270</v>
      </c>
      <c r="F77" s="6" t="s">
        <v>312</v>
      </c>
    </row>
  </sheetData>
  <mergeCells count="24">
    <mergeCell ref="A5:J5"/>
    <mergeCell ref="B3:B4"/>
    <mergeCell ref="A60:J60"/>
    <mergeCell ref="A10:J10"/>
    <mergeCell ref="A13:J13"/>
    <mergeCell ref="A16:J16"/>
    <mergeCell ref="A20:J20"/>
    <mergeCell ref="A23:J23"/>
    <mergeCell ref="A27:J27"/>
    <mergeCell ref="A31:J31"/>
    <mergeCell ref="A34:J34"/>
    <mergeCell ref="A42:J42"/>
    <mergeCell ref="A50:J50"/>
    <mergeCell ref="A55:J55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0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37" t="s">
        <v>403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49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127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10" t="s">
        <v>61</v>
      </c>
      <c r="B6" s="9" t="s">
        <v>166</v>
      </c>
      <c r="C6" s="9" t="s">
        <v>167</v>
      </c>
      <c r="D6" s="9" t="s">
        <v>168</v>
      </c>
      <c r="E6" s="9" t="s">
        <v>419</v>
      </c>
      <c r="F6" s="9" t="s">
        <v>169</v>
      </c>
      <c r="G6" s="20" t="s">
        <v>170</v>
      </c>
      <c r="H6" s="20" t="s">
        <v>171</v>
      </c>
      <c r="I6" s="20" t="s">
        <v>134</v>
      </c>
      <c r="J6" s="10"/>
      <c r="K6" s="10" t="str">
        <f>"35,0"</f>
        <v>35,0</v>
      </c>
      <c r="L6" s="10" t="str">
        <f>"45,1290"</f>
        <v>45,1290</v>
      </c>
      <c r="M6" s="9" t="s">
        <v>408</v>
      </c>
    </row>
    <row r="7" spans="1:13">
      <c r="A7" s="12" t="s">
        <v>63</v>
      </c>
      <c r="B7" s="11" t="s">
        <v>172</v>
      </c>
      <c r="C7" s="11" t="s">
        <v>173</v>
      </c>
      <c r="D7" s="11" t="s">
        <v>174</v>
      </c>
      <c r="E7" s="11" t="s">
        <v>419</v>
      </c>
      <c r="F7" s="11" t="s">
        <v>169</v>
      </c>
      <c r="G7" s="22" t="s">
        <v>175</v>
      </c>
      <c r="H7" s="22" t="s">
        <v>176</v>
      </c>
      <c r="I7" s="22" t="s">
        <v>170</v>
      </c>
      <c r="J7" s="12"/>
      <c r="K7" s="12" t="str">
        <f>"27,5"</f>
        <v>27,5</v>
      </c>
      <c r="L7" s="12" t="str">
        <f>"28,8310"</f>
        <v>28,8310</v>
      </c>
      <c r="M7" s="11" t="s">
        <v>408</v>
      </c>
    </row>
    <row r="8" spans="1:13">
      <c r="B8" s="5" t="s">
        <v>62</v>
      </c>
    </row>
    <row r="9" spans="1:13" ht="16">
      <c r="A9" s="50" t="s">
        <v>177</v>
      </c>
      <c r="B9" s="50"/>
      <c r="C9" s="51"/>
      <c r="D9" s="51"/>
      <c r="E9" s="51"/>
      <c r="F9" s="51"/>
      <c r="G9" s="51"/>
      <c r="H9" s="51"/>
      <c r="I9" s="51"/>
      <c r="J9" s="51"/>
    </row>
    <row r="10" spans="1:13">
      <c r="A10" s="8" t="s">
        <v>61</v>
      </c>
      <c r="B10" s="7" t="s">
        <v>178</v>
      </c>
      <c r="C10" s="7" t="s">
        <v>179</v>
      </c>
      <c r="D10" s="7" t="s">
        <v>180</v>
      </c>
      <c r="E10" s="7" t="s">
        <v>419</v>
      </c>
      <c r="F10" s="7" t="s">
        <v>35</v>
      </c>
      <c r="G10" s="19" t="s">
        <v>181</v>
      </c>
      <c r="H10" s="19" t="s">
        <v>181</v>
      </c>
      <c r="I10" s="18" t="s">
        <v>181</v>
      </c>
      <c r="J10" s="8"/>
      <c r="K10" s="8" t="str">
        <f>"47,5"</f>
        <v>47,5</v>
      </c>
      <c r="L10" s="8" t="str">
        <f>"42,0138"</f>
        <v>42,0138</v>
      </c>
      <c r="M10" s="7"/>
    </row>
    <row r="11" spans="1:13">
      <c r="B11" s="5" t="s">
        <v>62</v>
      </c>
    </row>
    <row r="12" spans="1:13" ht="16">
      <c r="A12" s="50" t="s">
        <v>83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8" t="s">
        <v>61</v>
      </c>
      <c r="B13" s="7" t="s">
        <v>182</v>
      </c>
      <c r="C13" s="7" t="s">
        <v>183</v>
      </c>
      <c r="D13" s="7" t="s">
        <v>184</v>
      </c>
      <c r="E13" s="7" t="s">
        <v>419</v>
      </c>
      <c r="F13" s="7" t="s">
        <v>35</v>
      </c>
      <c r="G13" s="18" t="s">
        <v>133</v>
      </c>
      <c r="H13" s="18" t="s">
        <v>91</v>
      </c>
      <c r="I13" s="19" t="s">
        <v>185</v>
      </c>
      <c r="J13" s="8"/>
      <c r="K13" s="8" t="str">
        <f>"57,5"</f>
        <v>57,5</v>
      </c>
      <c r="L13" s="8" t="str">
        <f>"45,5515"</f>
        <v>45,5515</v>
      </c>
      <c r="M13" s="7"/>
    </row>
    <row r="14" spans="1:13">
      <c r="B14" s="5" t="s">
        <v>62</v>
      </c>
    </row>
    <row r="15" spans="1:13" ht="16">
      <c r="A15" s="50" t="s">
        <v>95</v>
      </c>
      <c r="B15" s="50"/>
      <c r="C15" s="51"/>
      <c r="D15" s="51"/>
      <c r="E15" s="51"/>
      <c r="F15" s="51"/>
      <c r="G15" s="51"/>
      <c r="H15" s="51"/>
      <c r="I15" s="51"/>
      <c r="J15" s="51"/>
    </row>
    <row r="16" spans="1:13">
      <c r="A16" s="8" t="s">
        <v>61</v>
      </c>
      <c r="B16" s="7" t="s">
        <v>186</v>
      </c>
      <c r="C16" s="7" t="s">
        <v>187</v>
      </c>
      <c r="D16" s="7" t="s">
        <v>188</v>
      </c>
      <c r="E16" s="7" t="s">
        <v>420</v>
      </c>
      <c r="F16" s="7" t="s">
        <v>35</v>
      </c>
      <c r="G16" s="18" t="s">
        <v>78</v>
      </c>
      <c r="H16" s="18" t="s">
        <v>147</v>
      </c>
      <c r="I16" s="18" t="s">
        <v>149</v>
      </c>
      <c r="J16" s="8"/>
      <c r="K16" s="8" t="str">
        <f>"115,0"</f>
        <v>115,0</v>
      </c>
      <c r="L16" s="8" t="str">
        <f>"79,1430"</f>
        <v>79,1430</v>
      </c>
      <c r="M16" s="7" t="s">
        <v>41</v>
      </c>
    </row>
    <row r="17" spans="1:13">
      <c r="B17" s="5" t="s">
        <v>62</v>
      </c>
    </row>
    <row r="18" spans="1:13" ht="16">
      <c r="A18" s="50" t="s">
        <v>10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8" t="s">
        <v>61</v>
      </c>
      <c r="B19" s="7" t="s">
        <v>189</v>
      </c>
      <c r="C19" s="7" t="s">
        <v>190</v>
      </c>
      <c r="D19" s="7" t="s">
        <v>191</v>
      </c>
      <c r="E19" s="7" t="s">
        <v>420</v>
      </c>
      <c r="F19" s="7" t="s">
        <v>35</v>
      </c>
      <c r="G19" s="19" t="s">
        <v>133</v>
      </c>
      <c r="H19" s="18" t="s">
        <v>133</v>
      </c>
      <c r="I19" s="19" t="s">
        <v>185</v>
      </c>
      <c r="J19" s="8"/>
      <c r="K19" s="8" t="str">
        <f>"55,0"</f>
        <v>55,0</v>
      </c>
      <c r="L19" s="8" t="str">
        <f>"35,9040"</f>
        <v>35,9040</v>
      </c>
      <c r="M19" s="7" t="s">
        <v>94</v>
      </c>
    </row>
    <row r="20" spans="1:13">
      <c r="B20" s="5" t="s">
        <v>62</v>
      </c>
    </row>
    <row r="21" spans="1:13" ht="16">
      <c r="A21" s="50" t="s">
        <v>22</v>
      </c>
      <c r="B21" s="50"/>
      <c r="C21" s="51"/>
      <c r="D21" s="51"/>
      <c r="E21" s="51"/>
      <c r="F21" s="51"/>
      <c r="G21" s="51"/>
      <c r="H21" s="51"/>
      <c r="I21" s="51"/>
      <c r="J21" s="51"/>
    </row>
    <row r="22" spans="1:13">
      <c r="A22" s="8" t="s">
        <v>61</v>
      </c>
      <c r="B22" s="7" t="s">
        <v>192</v>
      </c>
      <c r="C22" s="7" t="s">
        <v>193</v>
      </c>
      <c r="D22" s="7" t="s">
        <v>194</v>
      </c>
      <c r="E22" s="7" t="s">
        <v>417</v>
      </c>
      <c r="F22" s="7" t="s">
        <v>14</v>
      </c>
      <c r="G22" s="18" t="s">
        <v>48</v>
      </c>
      <c r="H22" s="19" t="s">
        <v>99</v>
      </c>
      <c r="I22" s="19" t="s">
        <v>99</v>
      </c>
      <c r="J22" s="8"/>
      <c r="K22" s="8" t="str">
        <f>"175,0"</f>
        <v>175,0</v>
      </c>
      <c r="L22" s="8" t="str">
        <f>"107,3800"</f>
        <v>107,3800</v>
      </c>
      <c r="M22" s="7"/>
    </row>
    <row r="23" spans="1:13">
      <c r="B23" s="5" t="s">
        <v>62</v>
      </c>
    </row>
    <row r="24" spans="1:13">
      <c r="B24" s="5" t="s">
        <v>62</v>
      </c>
    </row>
    <row r="25" spans="1:13">
      <c r="B25" s="5" t="s">
        <v>62</v>
      </c>
    </row>
    <row r="26" spans="1:13" ht="18">
      <c r="B26" s="13" t="s">
        <v>53</v>
      </c>
      <c r="C26" s="13"/>
      <c r="F26" s="3"/>
    </row>
    <row r="27" spans="1:13" ht="16">
      <c r="B27" s="14" t="s">
        <v>54</v>
      </c>
      <c r="C27" s="14"/>
      <c r="F27" s="3"/>
    </row>
    <row r="28" spans="1:13" ht="14">
      <c r="B28" s="15"/>
      <c r="C28" s="16" t="s">
        <v>122</v>
      </c>
      <c r="F28" s="3"/>
    </row>
    <row r="29" spans="1:13" ht="14">
      <c r="B29" s="17" t="s">
        <v>56</v>
      </c>
      <c r="C29" s="17" t="s">
        <v>57</v>
      </c>
      <c r="D29" s="17" t="s">
        <v>409</v>
      </c>
      <c r="E29" s="17" t="s">
        <v>195</v>
      </c>
      <c r="F29" s="17" t="s">
        <v>58</v>
      </c>
    </row>
    <row r="30" spans="1:13">
      <c r="B30" s="5" t="s">
        <v>186</v>
      </c>
      <c r="C30" s="5" t="s">
        <v>196</v>
      </c>
      <c r="D30" s="6" t="s">
        <v>125</v>
      </c>
      <c r="E30" s="6" t="s">
        <v>149</v>
      </c>
      <c r="F30" s="6" t="s">
        <v>197</v>
      </c>
    </row>
    <row r="31" spans="1:13">
      <c r="B31" s="5" t="s">
        <v>182</v>
      </c>
      <c r="C31" s="5" t="s">
        <v>123</v>
      </c>
      <c r="D31" s="6" t="s">
        <v>124</v>
      </c>
      <c r="E31" s="6" t="s">
        <v>91</v>
      </c>
      <c r="F31" s="6" t="s">
        <v>198</v>
      </c>
    </row>
    <row r="32" spans="1:13">
      <c r="B32" s="5" t="s">
        <v>166</v>
      </c>
      <c r="C32" s="5" t="s">
        <v>123</v>
      </c>
      <c r="D32" s="6" t="s">
        <v>165</v>
      </c>
      <c r="E32" s="6" t="s">
        <v>134</v>
      </c>
      <c r="F32" s="6" t="s">
        <v>199</v>
      </c>
    </row>
  </sheetData>
  <mergeCells count="17">
    <mergeCell ref="A21:J21"/>
    <mergeCell ref="A5:J5"/>
    <mergeCell ref="A9:J9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7" t="s">
        <v>401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412</v>
      </c>
      <c r="B3" s="52" t="s">
        <v>0</v>
      </c>
      <c r="C3" s="47" t="s">
        <v>413</v>
      </c>
      <c r="D3" s="47" t="s">
        <v>6</v>
      </c>
      <c r="E3" s="49" t="s">
        <v>414</v>
      </c>
      <c r="F3" s="49" t="s">
        <v>5</v>
      </c>
      <c r="G3" s="49" t="s">
        <v>8</v>
      </c>
      <c r="H3" s="49"/>
      <c r="I3" s="49"/>
      <c r="J3" s="49"/>
      <c r="K3" s="54" t="s">
        <v>200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34"/>
    </row>
    <row r="5" spans="1:13" ht="16">
      <c r="A5" s="35" t="s">
        <v>213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61</v>
      </c>
      <c r="B6" s="7" t="s">
        <v>214</v>
      </c>
      <c r="C6" s="7" t="s">
        <v>215</v>
      </c>
      <c r="D6" s="7" t="s">
        <v>216</v>
      </c>
      <c r="E6" s="7" t="s">
        <v>417</v>
      </c>
      <c r="F6" s="7" t="s">
        <v>35</v>
      </c>
      <c r="G6" s="19" t="s">
        <v>185</v>
      </c>
      <c r="H6" s="18" t="s">
        <v>185</v>
      </c>
      <c r="I6" s="18" t="s">
        <v>316</v>
      </c>
      <c r="J6" s="8"/>
      <c r="K6" s="28" t="str">
        <f>"65,0"</f>
        <v>65,0</v>
      </c>
      <c r="L6" s="8" t="str">
        <f>"67,8535"</f>
        <v>67,8535</v>
      </c>
      <c r="M6" s="7"/>
    </row>
    <row r="7" spans="1:13">
      <c r="B7" s="5" t="s">
        <v>62</v>
      </c>
    </row>
    <row r="8" spans="1:13" ht="16">
      <c r="A8" s="50" t="s">
        <v>10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61</v>
      </c>
      <c r="B9" s="7" t="s">
        <v>226</v>
      </c>
      <c r="C9" s="7" t="s">
        <v>227</v>
      </c>
      <c r="D9" s="7" t="s">
        <v>191</v>
      </c>
      <c r="E9" s="7" t="s">
        <v>415</v>
      </c>
      <c r="F9" s="7" t="s">
        <v>68</v>
      </c>
      <c r="G9" s="18" t="s">
        <v>148</v>
      </c>
      <c r="H9" s="18" t="s">
        <v>106</v>
      </c>
      <c r="I9" s="18" t="s">
        <v>260</v>
      </c>
      <c r="J9" s="8"/>
      <c r="K9" s="28" t="str">
        <f>"122,5"</f>
        <v>122,5</v>
      </c>
      <c r="L9" s="8" t="str">
        <f>"107,5655"</f>
        <v>107,5655</v>
      </c>
      <c r="M9" s="7"/>
    </row>
    <row r="10" spans="1:13">
      <c r="B10" s="5" t="s">
        <v>62</v>
      </c>
    </row>
    <row r="11" spans="1:13" ht="16">
      <c r="A11" s="50" t="s">
        <v>64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61</v>
      </c>
      <c r="B12" s="7" t="s">
        <v>317</v>
      </c>
      <c r="C12" s="7" t="s">
        <v>318</v>
      </c>
      <c r="D12" s="7" t="s">
        <v>319</v>
      </c>
      <c r="E12" s="7" t="s">
        <v>417</v>
      </c>
      <c r="F12" s="7" t="s">
        <v>35</v>
      </c>
      <c r="G12" s="19" t="s">
        <v>306</v>
      </c>
      <c r="H12" s="18" t="s">
        <v>306</v>
      </c>
      <c r="I12" s="18" t="s">
        <v>320</v>
      </c>
      <c r="J12" s="8"/>
      <c r="K12" s="28" t="str">
        <f>"167,5"</f>
        <v>167,5</v>
      </c>
      <c r="L12" s="8" t="str">
        <f>"115,3321"</f>
        <v>115,3321</v>
      </c>
      <c r="M12" s="7"/>
    </row>
    <row r="13" spans="1:13">
      <c r="B13" s="5" t="s">
        <v>62</v>
      </c>
    </row>
    <row r="14" spans="1:13" ht="16">
      <c r="A14" s="50" t="s">
        <v>10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61</v>
      </c>
      <c r="B15" s="7" t="s">
        <v>321</v>
      </c>
      <c r="C15" s="7" t="s">
        <v>322</v>
      </c>
      <c r="D15" s="7" t="s">
        <v>323</v>
      </c>
      <c r="E15" s="7" t="s">
        <v>417</v>
      </c>
      <c r="F15" s="7" t="s">
        <v>411</v>
      </c>
      <c r="G15" s="18" t="s">
        <v>48</v>
      </c>
      <c r="H15" s="18" t="s">
        <v>99</v>
      </c>
      <c r="I15" s="18" t="s">
        <v>19</v>
      </c>
      <c r="J15" s="8"/>
      <c r="K15" s="28" t="str">
        <f>"200,0"</f>
        <v>200,0</v>
      </c>
      <c r="L15" s="8" t="str">
        <f>"123,2900"</f>
        <v>123,2900</v>
      </c>
      <c r="M15" s="7"/>
    </row>
    <row r="16" spans="1:13">
      <c r="B16" s="5" t="s">
        <v>62</v>
      </c>
    </row>
    <row r="17" spans="1:13" ht="16">
      <c r="A17" s="50" t="s">
        <v>22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8" t="s">
        <v>61</v>
      </c>
      <c r="B18" s="7" t="s">
        <v>324</v>
      </c>
      <c r="C18" s="7" t="s">
        <v>325</v>
      </c>
      <c r="D18" s="7" t="s">
        <v>301</v>
      </c>
      <c r="E18" s="7" t="s">
        <v>417</v>
      </c>
      <c r="F18" s="7" t="s">
        <v>35</v>
      </c>
      <c r="G18" s="19" t="s">
        <v>20</v>
      </c>
      <c r="H18" s="18" t="s">
        <v>20</v>
      </c>
      <c r="I18" s="8"/>
      <c r="J18" s="8"/>
      <c r="K18" s="28" t="str">
        <f>"205,0"</f>
        <v>205,0</v>
      </c>
      <c r="L18" s="8" t="str">
        <f>"119,7815"</f>
        <v>119,7815</v>
      </c>
      <c r="M18" s="7"/>
    </row>
    <row r="19" spans="1:13">
      <c r="B19" s="5" t="s">
        <v>62</v>
      </c>
    </row>
    <row r="20" spans="1:13" ht="16">
      <c r="A20" s="50" t="s">
        <v>42</v>
      </c>
      <c r="B20" s="50"/>
      <c r="C20" s="51"/>
      <c r="D20" s="51"/>
      <c r="E20" s="51"/>
      <c r="F20" s="51"/>
      <c r="G20" s="51"/>
      <c r="H20" s="51"/>
      <c r="I20" s="51"/>
      <c r="J20" s="51"/>
    </row>
    <row r="21" spans="1:13">
      <c r="A21" s="10" t="s">
        <v>126</v>
      </c>
      <c r="B21" s="9" t="s">
        <v>326</v>
      </c>
      <c r="C21" s="9" t="s">
        <v>327</v>
      </c>
      <c r="D21" s="9" t="s">
        <v>328</v>
      </c>
      <c r="E21" s="9" t="s">
        <v>417</v>
      </c>
      <c r="F21" s="9" t="s">
        <v>35</v>
      </c>
      <c r="G21" s="21" t="s">
        <v>26</v>
      </c>
      <c r="H21" s="21" t="s">
        <v>26</v>
      </c>
      <c r="I21" s="21" t="s">
        <v>26</v>
      </c>
      <c r="J21" s="10"/>
      <c r="K21" s="30">
        <v>0</v>
      </c>
      <c r="L21" s="10" t="str">
        <f>"0,0000"</f>
        <v>0,0000</v>
      </c>
      <c r="M21" s="9" t="s">
        <v>329</v>
      </c>
    </row>
    <row r="22" spans="1:13">
      <c r="A22" s="25" t="s">
        <v>126</v>
      </c>
      <c r="B22" s="24" t="s">
        <v>330</v>
      </c>
      <c r="C22" s="24" t="s">
        <v>331</v>
      </c>
      <c r="D22" s="24" t="s">
        <v>332</v>
      </c>
      <c r="E22" s="24" t="s">
        <v>417</v>
      </c>
      <c r="F22" s="24" t="s">
        <v>35</v>
      </c>
      <c r="G22" s="27" t="s">
        <v>77</v>
      </c>
      <c r="H22" s="27" t="s">
        <v>77</v>
      </c>
      <c r="I22" s="27" t="s">
        <v>320</v>
      </c>
      <c r="J22" s="25"/>
      <c r="K22" s="32">
        <v>0</v>
      </c>
      <c r="L22" s="25" t="str">
        <f>"0,0000"</f>
        <v>0,0000</v>
      </c>
      <c r="M22" s="24" t="s">
        <v>329</v>
      </c>
    </row>
    <row r="23" spans="1:13">
      <c r="A23" s="12" t="s">
        <v>126</v>
      </c>
      <c r="B23" s="11" t="s">
        <v>326</v>
      </c>
      <c r="C23" s="11" t="s">
        <v>333</v>
      </c>
      <c r="D23" s="11" t="s">
        <v>328</v>
      </c>
      <c r="E23" s="11" t="s">
        <v>415</v>
      </c>
      <c r="F23" s="11" t="s">
        <v>35</v>
      </c>
      <c r="G23" s="23" t="s">
        <v>26</v>
      </c>
      <c r="H23" s="23" t="s">
        <v>26</v>
      </c>
      <c r="I23" s="23" t="s">
        <v>26</v>
      </c>
      <c r="J23" s="12"/>
      <c r="K23" s="31">
        <v>0</v>
      </c>
      <c r="L23" s="12" t="str">
        <f>"0,0000"</f>
        <v>0,0000</v>
      </c>
      <c r="M23" s="11" t="s">
        <v>329</v>
      </c>
    </row>
    <row r="24" spans="1:13">
      <c r="B24" s="5" t="s">
        <v>62</v>
      </c>
    </row>
  </sheetData>
  <mergeCells count="17">
    <mergeCell ref="A20:J20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многопетельнаяДК</vt:lpstr>
      <vt:lpstr>WRPF Военный жим ДК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2022-04-11T12:11:36Z</dcterms:modified>
</cp:coreProperties>
</file>