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4D138913-A8EA-9143-AE8B-A28C5326188F}" xr6:coauthVersionLast="45" xr6:coauthVersionMax="45" xr10:uidLastSave="{00000000-0000-0000-0000-000000000000}"/>
  <bookViews>
    <workbookView xWindow="480" yWindow="460" windowWidth="28300" windowHeight="16100" firstSheet="17" activeTab="23" xr2:uid="{00000000-000D-0000-FFFF-FFFF00000000}"/>
  </bookViews>
  <sheets>
    <sheet name="WRPF ПЛ без экипировки ДК" sheetId="5" r:id="rId1"/>
    <sheet name="WRPF ПЛ без экипировки" sheetId="7" r:id="rId2"/>
    <sheet name="WRPF ПЛ в бинтах ДК" sheetId="6" r:id="rId3"/>
    <sheet name="WRPF ПЛ в бинтах" sheetId="8" r:id="rId4"/>
    <sheet name="WRPF Двоеборье без экип ДК" sheetId="18" r:id="rId5"/>
    <sheet name="WRPF Двоеборье без экип" sheetId="19" r:id="rId6"/>
    <sheet name="WRPF Жим лежа без экипировки ДК" sheetId="14" r:id="rId7"/>
    <sheet name="WRPF Жим лежа без экипировки" sheetId="15" r:id="rId8"/>
    <sheet name="WEPF Жим софт однопетельная ДК" sheetId="10" r:id="rId9"/>
    <sheet name="WEPF Жим софт однопетельная" sheetId="11" r:id="rId10"/>
    <sheet name="WEPF Жим софт многопетельная" sheetId="9" r:id="rId11"/>
    <sheet name="WRPF Военный жим лежа с ДК" sheetId="12" r:id="rId12"/>
    <sheet name="WRPF Военный жим лежа" sheetId="13" r:id="rId13"/>
    <sheet name="WRPF Жим лежа СФО" sheetId="34" r:id="rId14"/>
    <sheet name="WRPF Тяга без экипировки ДК" sheetId="16" r:id="rId15"/>
    <sheet name="WRPF Тяга без экипировки" sheetId="17" r:id="rId16"/>
    <sheet name="WRPF Подъем на бицепс ДК" sheetId="26" r:id="rId17"/>
    <sheet name="WRPF Подъем на бицепс" sheetId="27" r:id="rId18"/>
    <sheet name="СПР Пауэрспорт" sheetId="28" r:id="rId19"/>
    <sheet name="СПР Пауэрспорт ДК" sheetId="29" r:id="rId20"/>
    <sheet name="СПР Жим штанги стоя ДК" sheetId="33" r:id="rId21"/>
    <sheet name="СПР Жим штанги стоя" sheetId="32" r:id="rId22"/>
    <sheet name="СПР Подъем на бицепс ДК" sheetId="31" r:id="rId23"/>
    <sheet name="СПР Подъем на бицепс " sheetId="30" r:id="rId24"/>
  </sheets>
  <definedNames>
    <definedName name="_FilterDatabase" localSheetId="0" hidden="1">'WRPF ПЛ без экипировки ДК'!$A$1:$T$3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34" l="1"/>
  <c r="L9" i="34"/>
  <c r="M6" i="34"/>
  <c r="L6" i="34"/>
  <c r="M15" i="33" l="1"/>
  <c r="L15" i="33"/>
  <c r="M12" i="33"/>
  <c r="L12" i="33"/>
  <c r="M9" i="33"/>
  <c r="L9" i="33"/>
  <c r="M6" i="33"/>
  <c r="L6" i="33"/>
  <c r="M9" i="32" l="1"/>
  <c r="L9" i="32"/>
  <c r="M6" i="32"/>
  <c r="L6" i="32"/>
  <c r="M10" i="31" l="1"/>
  <c r="L10" i="31"/>
  <c r="M7" i="31"/>
  <c r="L7" i="31"/>
  <c r="M6" i="31"/>
  <c r="L6" i="31"/>
  <c r="M6" i="30" l="1"/>
  <c r="L6" i="30"/>
  <c r="Q15" i="29" l="1"/>
  <c r="P15" i="29"/>
  <c r="Q14" i="29"/>
  <c r="P14" i="29"/>
  <c r="Q13" i="29"/>
  <c r="P13" i="29"/>
  <c r="Q10" i="29"/>
  <c r="P10" i="29"/>
  <c r="Q9" i="29"/>
  <c r="P9" i="29"/>
  <c r="Q6" i="29"/>
  <c r="P6" i="29"/>
  <c r="Q12" i="28" l="1"/>
  <c r="P12" i="28"/>
  <c r="Q9" i="28"/>
  <c r="P9" i="28"/>
  <c r="Q6" i="28"/>
  <c r="P6" i="28"/>
  <c r="M12" i="27" l="1"/>
  <c r="L12" i="27"/>
  <c r="M9" i="27"/>
  <c r="L9" i="27"/>
  <c r="M6" i="27"/>
  <c r="L6" i="27"/>
  <c r="M24" i="26" l="1"/>
  <c r="L24" i="26"/>
  <c r="M21" i="26"/>
  <c r="L21" i="26"/>
  <c r="M20" i="26"/>
  <c r="L20" i="26"/>
  <c r="M19" i="26"/>
  <c r="L19" i="26"/>
  <c r="M18" i="26"/>
  <c r="L18" i="26"/>
  <c r="M17" i="26"/>
  <c r="L17" i="26"/>
  <c r="M16" i="26"/>
  <c r="L16" i="26"/>
  <c r="M13" i="26"/>
  <c r="L13" i="26"/>
  <c r="M12" i="26"/>
  <c r="L12" i="26"/>
  <c r="M11" i="26"/>
  <c r="L11" i="26"/>
  <c r="M10" i="26"/>
  <c r="L10" i="26"/>
  <c r="M9" i="26"/>
  <c r="L9" i="26"/>
  <c r="M6" i="26"/>
  <c r="L6" i="26"/>
  <c r="Q9" i="19" l="1"/>
  <c r="P9" i="19"/>
  <c r="Q6" i="19"/>
  <c r="P6" i="19"/>
  <c r="Q27" i="18" l="1"/>
  <c r="P27" i="18"/>
  <c r="Q24" i="18"/>
  <c r="P24" i="18"/>
  <c r="Q23" i="18"/>
  <c r="P23" i="18"/>
  <c r="Q20" i="18"/>
  <c r="P20" i="18"/>
  <c r="Q19" i="18"/>
  <c r="P19" i="18"/>
  <c r="Q16" i="18"/>
  <c r="P16" i="18"/>
  <c r="Q15" i="18"/>
  <c r="P15" i="18"/>
  <c r="Q12" i="18"/>
  <c r="P12" i="18"/>
  <c r="Q9" i="18"/>
  <c r="P9" i="18"/>
  <c r="Q6" i="18"/>
  <c r="P6" i="18"/>
  <c r="M31" i="17" l="1"/>
  <c r="L31" i="17"/>
  <c r="M28" i="17"/>
  <c r="L28" i="17"/>
  <c r="M27" i="17"/>
  <c r="L27" i="17"/>
  <c r="M26" i="17"/>
  <c r="L26" i="17"/>
  <c r="M23" i="17"/>
  <c r="L23" i="17"/>
  <c r="M22" i="17"/>
  <c r="L22" i="17"/>
  <c r="M19" i="17"/>
  <c r="L19" i="17"/>
  <c r="M18" i="17"/>
  <c r="L18" i="17"/>
  <c r="M17" i="17"/>
  <c r="L17" i="17"/>
  <c r="M16" i="17"/>
  <c r="M13" i="17"/>
  <c r="L13" i="17"/>
  <c r="M10" i="17"/>
  <c r="L10" i="17"/>
  <c r="M9" i="17"/>
  <c r="L9" i="17"/>
  <c r="M6" i="17"/>
  <c r="L6" i="17"/>
  <c r="M59" i="16" l="1"/>
  <c r="L59" i="16"/>
  <c r="M58" i="16"/>
  <c r="L58" i="16"/>
  <c r="M57" i="16"/>
  <c r="L57" i="16"/>
  <c r="M54" i="16"/>
  <c r="L54" i="16"/>
  <c r="M53" i="16"/>
  <c r="L53" i="16"/>
  <c r="M52" i="16"/>
  <c r="L52" i="16"/>
  <c r="M51" i="16"/>
  <c r="L51" i="16"/>
  <c r="M48" i="16"/>
  <c r="L48" i="16"/>
  <c r="M45" i="16"/>
  <c r="L45" i="16"/>
  <c r="M44" i="16"/>
  <c r="L44" i="16"/>
  <c r="M41" i="16"/>
  <c r="L41" i="16"/>
  <c r="M40" i="16"/>
  <c r="L40" i="16"/>
  <c r="M39" i="16"/>
  <c r="L39" i="16"/>
  <c r="M38" i="16"/>
  <c r="L38" i="16"/>
  <c r="M37" i="16"/>
  <c r="L37" i="16"/>
  <c r="M36" i="16"/>
  <c r="L36" i="16"/>
  <c r="M35" i="16"/>
  <c r="L35" i="16"/>
  <c r="M34" i="16"/>
  <c r="L34" i="16"/>
  <c r="M33" i="16"/>
  <c r="L33" i="16"/>
  <c r="M30" i="16"/>
  <c r="L30" i="16"/>
  <c r="M27" i="16"/>
  <c r="L27" i="16"/>
  <c r="M26" i="16"/>
  <c r="L26" i="16"/>
  <c r="M23" i="16"/>
  <c r="L23" i="16"/>
  <c r="M20" i="16"/>
  <c r="L20" i="16"/>
  <c r="M17" i="16"/>
  <c r="L17" i="16"/>
  <c r="M16" i="16"/>
  <c r="L16" i="16"/>
  <c r="M13" i="16"/>
  <c r="L13" i="16"/>
  <c r="M10" i="16"/>
  <c r="L10" i="16"/>
  <c r="M9" i="16"/>
  <c r="L9" i="16"/>
  <c r="M6" i="16"/>
  <c r="L6" i="16"/>
  <c r="M49" i="15" l="1"/>
  <c r="L49" i="15"/>
  <c r="M46" i="15"/>
  <c r="L46" i="15"/>
  <c r="M45" i="15"/>
  <c r="L45" i="15"/>
  <c r="M44" i="15"/>
  <c r="L44" i="15"/>
  <c r="M41" i="15"/>
  <c r="L41" i="15"/>
  <c r="M40" i="15"/>
  <c r="L40" i="15"/>
  <c r="M39" i="15"/>
  <c r="L39" i="15"/>
  <c r="M38" i="15"/>
  <c r="L38" i="15"/>
  <c r="M37" i="15"/>
  <c r="L37" i="15"/>
  <c r="M36" i="15"/>
  <c r="L36" i="15"/>
  <c r="M35" i="15"/>
  <c r="L35" i="15"/>
  <c r="M34" i="15"/>
  <c r="L34" i="15"/>
  <c r="M31" i="15"/>
  <c r="L31" i="15"/>
  <c r="M30" i="15"/>
  <c r="L30" i="15"/>
  <c r="M29" i="15"/>
  <c r="L29" i="15"/>
  <c r="M28" i="15"/>
  <c r="L28" i="15"/>
  <c r="M27" i="15"/>
  <c r="L27" i="15"/>
  <c r="M26" i="15"/>
  <c r="M23" i="15"/>
  <c r="L23" i="15"/>
  <c r="M22" i="15"/>
  <c r="L22" i="15"/>
  <c r="M19" i="15"/>
  <c r="L19" i="15"/>
  <c r="M18" i="15"/>
  <c r="L18" i="15"/>
  <c r="M15" i="15"/>
  <c r="L15" i="15"/>
  <c r="M12" i="15"/>
  <c r="L12" i="15"/>
  <c r="M9" i="15"/>
  <c r="L9" i="15"/>
  <c r="M6" i="15"/>
  <c r="L6" i="15"/>
  <c r="M100" i="14" l="1"/>
  <c r="L100" i="14"/>
  <c r="M99" i="14"/>
  <c r="L99" i="14"/>
  <c r="M98" i="14"/>
  <c r="L98" i="14"/>
  <c r="M95" i="14"/>
  <c r="L95" i="14"/>
  <c r="M94" i="14"/>
  <c r="L94" i="14"/>
  <c r="M93" i="14"/>
  <c r="L93" i="14"/>
  <c r="M90" i="14"/>
  <c r="L90" i="14"/>
  <c r="M89" i="14"/>
  <c r="L89" i="14"/>
  <c r="M88" i="14"/>
  <c r="L88" i="14"/>
  <c r="M87" i="14"/>
  <c r="L87" i="14"/>
  <c r="M86" i="14"/>
  <c r="L86" i="14"/>
  <c r="M83" i="14"/>
  <c r="M82" i="14"/>
  <c r="L82" i="14"/>
  <c r="M81" i="14"/>
  <c r="L81" i="14"/>
  <c r="M80" i="14"/>
  <c r="L80" i="14"/>
  <c r="M79" i="14"/>
  <c r="L79" i="14"/>
  <c r="M78" i="14"/>
  <c r="L78" i="14"/>
  <c r="M77" i="14"/>
  <c r="L77" i="14"/>
  <c r="M76" i="14"/>
  <c r="L76" i="14"/>
  <c r="M75" i="14"/>
  <c r="L75" i="14"/>
  <c r="M72" i="14"/>
  <c r="L72" i="14"/>
  <c r="M71" i="14"/>
  <c r="L71" i="14"/>
  <c r="M70" i="14"/>
  <c r="L70" i="14"/>
  <c r="M69" i="14"/>
  <c r="L69" i="14"/>
  <c r="M68" i="14"/>
  <c r="L68" i="14"/>
  <c r="M67" i="14"/>
  <c r="L67" i="14"/>
  <c r="M66" i="14"/>
  <c r="L66" i="14"/>
  <c r="M65" i="14"/>
  <c r="L65" i="14"/>
  <c r="M64" i="14"/>
  <c r="L64" i="14"/>
  <c r="M63" i="14"/>
  <c r="L63" i="14"/>
  <c r="M62" i="14"/>
  <c r="L62" i="14"/>
  <c r="M61" i="14"/>
  <c r="L61" i="14"/>
  <c r="M58" i="14"/>
  <c r="L58" i="14"/>
  <c r="M57" i="14"/>
  <c r="L57" i="14"/>
  <c r="M54" i="14"/>
  <c r="L54" i="14"/>
  <c r="M53" i="14"/>
  <c r="L53" i="14"/>
  <c r="M52" i="14"/>
  <c r="M51" i="14"/>
  <c r="L51" i="14"/>
  <c r="M50" i="14"/>
  <c r="L50" i="14"/>
  <c r="M49" i="14"/>
  <c r="L49" i="14"/>
  <c r="M46" i="14"/>
  <c r="L46" i="14"/>
  <c r="M43" i="14"/>
  <c r="L43" i="14"/>
  <c r="M40" i="14"/>
  <c r="L40" i="14"/>
  <c r="M39" i="14"/>
  <c r="L39" i="14"/>
  <c r="M36" i="14"/>
  <c r="L36" i="14"/>
  <c r="M33" i="14"/>
  <c r="L33" i="14"/>
  <c r="M30" i="14"/>
  <c r="L30" i="14"/>
  <c r="M29" i="14"/>
  <c r="L29" i="14"/>
  <c r="M28" i="14"/>
  <c r="L28" i="14"/>
  <c r="M27" i="14"/>
  <c r="L27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5" i="14"/>
  <c r="L15" i="14"/>
  <c r="M14" i="14"/>
  <c r="L14" i="14"/>
  <c r="M13" i="14"/>
  <c r="L13" i="14"/>
  <c r="M10" i="14"/>
  <c r="L10" i="14"/>
  <c r="M9" i="14"/>
  <c r="L9" i="14"/>
  <c r="M6" i="14"/>
  <c r="L6" i="14"/>
  <c r="M10" i="13" l="1"/>
  <c r="L10" i="13"/>
  <c r="M7" i="13"/>
  <c r="L7" i="13"/>
  <c r="M6" i="13"/>
  <c r="L6" i="13"/>
  <c r="M34" i="12" l="1"/>
  <c r="L34" i="12"/>
  <c r="M33" i="12"/>
  <c r="L33" i="12"/>
  <c r="M30" i="12"/>
  <c r="L30" i="12"/>
  <c r="M29" i="12"/>
  <c r="L29" i="12"/>
  <c r="M28" i="12"/>
  <c r="L28" i="12"/>
  <c r="M25" i="12"/>
  <c r="M24" i="12"/>
  <c r="L24" i="12"/>
  <c r="M21" i="12"/>
  <c r="L21" i="12"/>
  <c r="M18" i="12"/>
  <c r="L18" i="12"/>
  <c r="M15" i="12"/>
  <c r="L15" i="12"/>
  <c r="M12" i="12"/>
  <c r="L12" i="12"/>
  <c r="M9" i="12"/>
  <c r="L9" i="12"/>
  <c r="M6" i="12"/>
  <c r="L6" i="12"/>
  <c r="M17" i="11" l="1"/>
  <c r="L17" i="11"/>
  <c r="M16" i="11"/>
  <c r="L16" i="11"/>
  <c r="M13" i="11"/>
  <c r="L13" i="11"/>
  <c r="M10" i="11"/>
  <c r="L10" i="11"/>
  <c r="M9" i="11"/>
  <c r="L9" i="11"/>
  <c r="M6" i="11"/>
  <c r="L6" i="11"/>
  <c r="M13" i="10" l="1"/>
  <c r="L13" i="10"/>
  <c r="M12" i="10"/>
  <c r="L12" i="10"/>
  <c r="M9" i="10"/>
  <c r="L9" i="10"/>
  <c r="M6" i="10"/>
  <c r="L6" i="10"/>
  <c r="M25" i="9" l="1"/>
  <c r="L25" i="9"/>
  <c r="M24" i="9"/>
  <c r="L24" i="9"/>
  <c r="M21" i="9"/>
  <c r="L21" i="9"/>
  <c r="M18" i="9"/>
  <c r="L18" i="9"/>
  <c r="M17" i="9"/>
  <c r="L17" i="9"/>
  <c r="M16" i="9"/>
  <c r="L16" i="9"/>
  <c r="M15" i="9"/>
  <c r="L15" i="9"/>
  <c r="M12" i="9"/>
  <c r="L12" i="9"/>
  <c r="M11" i="9"/>
  <c r="L11" i="9"/>
  <c r="M10" i="9"/>
  <c r="L10" i="9"/>
  <c r="M7" i="9"/>
  <c r="M6" i="9"/>
  <c r="L6" i="9"/>
  <c r="U10" i="8" l="1"/>
  <c r="T10" i="8"/>
  <c r="U9" i="8"/>
  <c r="T9" i="8"/>
  <c r="U6" i="8"/>
  <c r="T6" i="8"/>
  <c r="U30" i="7" l="1"/>
  <c r="T30" i="7"/>
  <c r="U29" i="7"/>
  <c r="T29" i="7"/>
  <c r="U26" i="7"/>
  <c r="T26" i="7"/>
  <c r="U25" i="7"/>
  <c r="T25" i="7"/>
  <c r="U22" i="7"/>
  <c r="T22" i="7"/>
  <c r="U21" i="7"/>
  <c r="T21" i="7"/>
  <c r="U18" i="7"/>
  <c r="U17" i="7"/>
  <c r="T17" i="7"/>
  <c r="U14" i="7"/>
  <c r="T14" i="7"/>
  <c r="U13" i="7"/>
  <c r="T13" i="7"/>
  <c r="U10" i="7"/>
  <c r="T10" i="7"/>
  <c r="U9" i="7"/>
  <c r="T9" i="7"/>
  <c r="U6" i="7"/>
  <c r="T6" i="7"/>
  <c r="U12" i="6" l="1"/>
  <c r="T12" i="6"/>
  <c r="U9" i="6"/>
  <c r="T9" i="6"/>
  <c r="U6" i="6"/>
  <c r="T6" i="6"/>
  <c r="U50" i="5" l="1"/>
  <c r="T50" i="5"/>
  <c r="U47" i="5"/>
  <c r="T47" i="5"/>
  <c r="U46" i="5"/>
  <c r="T46" i="5"/>
  <c r="U43" i="5"/>
  <c r="T43" i="5"/>
  <c r="U42" i="5"/>
  <c r="T42" i="5"/>
  <c r="U39" i="5"/>
  <c r="T39" i="5"/>
  <c r="U36" i="5"/>
  <c r="T36" i="5"/>
  <c r="U35" i="5"/>
  <c r="T35" i="5"/>
  <c r="U32" i="5"/>
  <c r="T32" i="5"/>
  <c r="U31" i="5"/>
  <c r="T31" i="5"/>
  <c r="U30" i="5"/>
  <c r="T30" i="5"/>
  <c r="U29" i="5"/>
  <c r="T29" i="5"/>
  <c r="U26" i="5"/>
  <c r="T26" i="5"/>
  <c r="U25" i="5"/>
  <c r="T25" i="5"/>
  <c r="U22" i="5"/>
  <c r="T22" i="5"/>
  <c r="U21" i="5"/>
  <c r="T21" i="5"/>
  <c r="U18" i="5"/>
  <c r="T18" i="5"/>
  <c r="U17" i="5"/>
  <c r="T17" i="5"/>
  <c r="U14" i="5"/>
  <c r="T14" i="5"/>
  <c r="U11" i="5"/>
  <c r="T11" i="5"/>
  <c r="U10" i="5"/>
  <c r="T10" i="5"/>
  <c r="U7" i="5"/>
  <c r="T7" i="5"/>
  <c r="U6" i="5"/>
  <c r="T6" i="5"/>
</calcChain>
</file>

<file path=xl/sharedStrings.xml><?xml version="1.0" encoding="utf-8"?>
<sst xmlns="http://schemas.openxmlformats.org/spreadsheetml/2006/main" count="4354" uniqueCount="897">
  <si>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</si>
  <si>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</si>
  <si>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</si>
  <si>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</si>
  <si>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</si>
  <si>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</si>
  <si>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</si>
  <si>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</si>
  <si>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</si>
  <si>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</si>
  <si>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</si>
  <si>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Зайникаева Ксения</t>
  </si>
  <si>
    <t>Девушки 17-19 (06.02.2004)/18</t>
  </si>
  <si>
    <t>48,50</t>
  </si>
  <si>
    <t xml:space="preserve">Power gym Алтай </t>
  </si>
  <si>
    <t xml:space="preserve">Новоалтайск/Алтайский край </t>
  </si>
  <si>
    <t>85,0</t>
  </si>
  <si>
    <t>90,0</t>
  </si>
  <si>
    <t>95,0</t>
  </si>
  <si>
    <t>45,0</t>
  </si>
  <si>
    <t>50,0</t>
  </si>
  <si>
    <t>52,5</t>
  </si>
  <si>
    <t>100,0</t>
  </si>
  <si>
    <t>Савина Мария</t>
  </si>
  <si>
    <t>Открытая (01.09.1988)/33</t>
  </si>
  <si>
    <t>51,90</t>
  </si>
  <si>
    <t xml:space="preserve">Новосибирск/Новосибирская область </t>
  </si>
  <si>
    <t>80,0</t>
  </si>
  <si>
    <t>55,0</t>
  </si>
  <si>
    <t>57,5</t>
  </si>
  <si>
    <t>115,0</t>
  </si>
  <si>
    <t>120,0</t>
  </si>
  <si>
    <t>ВЕСОВАЯ КАТЕГОРИЯ   56</t>
  </si>
  <si>
    <t>Кудрявцева Екатерина</t>
  </si>
  <si>
    <t>Открытая (08.03.1988)/34</t>
  </si>
  <si>
    <t>56,00</t>
  </si>
  <si>
    <t xml:space="preserve">Стальной медведь </t>
  </si>
  <si>
    <t>112,5</t>
  </si>
  <si>
    <t>122,5</t>
  </si>
  <si>
    <t>127,5</t>
  </si>
  <si>
    <t>65,0</t>
  </si>
  <si>
    <t>67,5</t>
  </si>
  <si>
    <t>117,5</t>
  </si>
  <si>
    <t>125,0</t>
  </si>
  <si>
    <t>Тютюнникова Изабелла</t>
  </si>
  <si>
    <t>Открытая (10.02.1994)/28</t>
  </si>
  <si>
    <t>54,90</t>
  </si>
  <si>
    <t>40,0</t>
  </si>
  <si>
    <t>47,5</t>
  </si>
  <si>
    <t>107,5</t>
  </si>
  <si>
    <t>ВЕСОВАЯ КАТЕГОРИЯ   60</t>
  </si>
  <si>
    <t>Полетаева Светлана</t>
  </si>
  <si>
    <t>Открытая (03.11.1987)/34</t>
  </si>
  <si>
    <t>57,30</t>
  </si>
  <si>
    <t xml:space="preserve">Генезис </t>
  </si>
  <si>
    <t>70,0</t>
  </si>
  <si>
    <t>35,0</t>
  </si>
  <si>
    <t>ВЕСОВАЯ КАТЕГОРИЯ   67.5</t>
  </si>
  <si>
    <t>Гришнина Маргарита</t>
  </si>
  <si>
    <t>Девушки 14-16 (17.07.2007)/14</t>
  </si>
  <si>
    <t>65,50</t>
  </si>
  <si>
    <t xml:space="preserve">Спорт- экстрим </t>
  </si>
  <si>
    <t>87,5</t>
  </si>
  <si>
    <t>37,5</t>
  </si>
  <si>
    <t>42,5</t>
  </si>
  <si>
    <t xml:space="preserve">Рыжков.Е </t>
  </si>
  <si>
    <t>Миронова Анастасия</t>
  </si>
  <si>
    <t>Открытая (13.11.1987)/34</t>
  </si>
  <si>
    <t>67,50</t>
  </si>
  <si>
    <t>97,5</t>
  </si>
  <si>
    <t>110,0</t>
  </si>
  <si>
    <t>ВЕСОВАЯ КАТЕГОРИЯ   75</t>
  </si>
  <si>
    <t>Чудная Оксана</t>
  </si>
  <si>
    <t>Открытая (30.05.1977)/44</t>
  </si>
  <si>
    <t>70,00</t>
  </si>
  <si>
    <t>105,0</t>
  </si>
  <si>
    <t>60,0</t>
  </si>
  <si>
    <t>62,5</t>
  </si>
  <si>
    <t>135,0</t>
  </si>
  <si>
    <t>145,0</t>
  </si>
  <si>
    <t>150,0</t>
  </si>
  <si>
    <t>Чупина Валерия</t>
  </si>
  <si>
    <t>Открытая (08.01.1997)/25</t>
  </si>
  <si>
    <t>70,30</t>
  </si>
  <si>
    <t>92,5</t>
  </si>
  <si>
    <t>132,5</t>
  </si>
  <si>
    <t>Афанасов Евгений</t>
  </si>
  <si>
    <t>Открытая (14.01.1991)/31</t>
  </si>
  <si>
    <t>66,80</t>
  </si>
  <si>
    <t>155,0</t>
  </si>
  <si>
    <t>162,5</t>
  </si>
  <si>
    <t>165,0</t>
  </si>
  <si>
    <t>185,0</t>
  </si>
  <si>
    <t>200,0</t>
  </si>
  <si>
    <t>212,5</t>
  </si>
  <si>
    <t>Витхин Александр</t>
  </si>
  <si>
    <t>Открытая (06.06.1992)/29</t>
  </si>
  <si>
    <t>67,40</t>
  </si>
  <si>
    <t>160,0</t>
  </si>
  <si>
    <t>102,5</t>
  </si>
  <si>
    <t>180,0</t>
  </si>
  <si>
    <t>195,0</t>
  </si>
  <si>
    <t>Якушин Сергей</t>
  </si>
  <si>
    <t>Юноши 17-19 (06.05.2002)/19</t>
  </si>
  <si>
    <t>74,10</t>
  </si>
  <si>
    <t xml:space="preserve">Хаммер Фит </t>
  </si>
  <si>
    <t>140,0</t>
  </si>
  <si>
    <t>Денисов Максим</t>
  </si>
  <si>
    <t>Юниоры (26.02.2002)/20</t>
  </si>
  <si>
    <t>74,60</t>
  </si>
  <si>
    <t>170,0</t>
  </si>
  <si>
    <t>Пауль Сергей</t>
  </si>
  <si>
    <t>Открытая (01.04.1999)/23</t>
  </si>
  <si>
    <t>74,90</t>
  </si>
  <si>
    <t>192,5</t>
  </si>
  <si>
    <t>215,0</t>
  </si>
  <si>
    <t>225,0</t>
  </si>
  <si>
    <t>232,5</t>
  </si>
  <si>
    <t>Аршинов Руслан</t>
  </si>
  <si>
    <t>Открытая (09.11.1991)/30</t>
  </si>
  <si>
    <t>70,90</t>
  </si>
  <si>
    <t>172,5</t>
  </si>
  <si>
    <t>ВЕСОВАЯ КАТЕГОРИЯ   82.5</t>
  </si>
  <si>
    <t>Князев Павел</t>
  </si>
  <si>
    <t>Юноши 17-19 (14.01.2004)/18</t>
  </si>
  <si>
    <t>81,00</t>
  </si>
  <si>
    <t>175,0</t>
  </si>
  <si>
    <t>187,5</t>
  </si>
  <si>
    <t>220,0</t>
  </si>
  <si>
    <t xml:space="preserve">Быховец А. </t>
  </si>
  <si>
    <t>Быков Станислав</t>
  </si>
  <si>
    <t>Открытая (02.06.1988)/33</t>
  </si>
  <si>
    <t>80,70</t>
  </si>
  <si>
    <t>130,0</t>
  </si>
  <si>
    <t>ВЕСОВАЯ КАТЕГОРИЯ   90</t>
  </si>
  <si>
    <t>Парамонов Александр</t>
  </si>
  <si>
    <t>Открытая (06.05.1985)/36</t>
  </si>
  <si>
    <t>85,90</t>
  </si>
  <si>
    <t>ВЕСОВАЯ КАТЕГОРИЯ   100</t>
  </si>
  <si>
    <t>Дайнеко Александр</t>
  </si>
  <si>
    <t>Открытая (01.03.1993)/29</t>
  </si>
  <si>
    <t>91,50</t>
  </si>
  <si>
    <t>Зайцев Иван</t>
  </si>
  <si>
    <t>Мастера 40-49 (01.02.1982)/40</t>
  </si>
  <si>
    <t>96,80</t>
  </si>
  <si>
    <t>ВЕСОВАЯ КАТЕГОРИЯ   110</t>
  </si>
  <si>
    <t>Королёв Кирилл</t>
  </si>
  <si>
    <t>Юниоры (20.08.1998)/23</t>
  </si>
  <si>
    <t>106,50</t>
  </si>
  <si>
    <t>142,5</t>
  </si>
  <si>
    <t>190,0</t>
  </si>
  <si>
    <t>205,0</t>
  </si>
  <si>
    <t>Бобров Юрий</t>
  </si>
  <si>
    <t>Открытая (07.09.1991)/30</t>
  </si>
  <si>
    <t>107,00</t>
  </si>
  <si>
    <t>230,0</t>
  </si>
  <si>
    <t>ВЕСОВАЯ КАТЕГОРИЯ   125</t>
  </si>
  <si>
    <t>Никулин Александр</t>
  </si>
  <si>
    <t>Открытая (14.12.1987)/34</t>
  </si>
  <si>
    <t>111,30</t>
  </si>
  <si>
    <t xml:space="preserve">Абсолютный зачёт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</si>
  <si>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</si>
  <si>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</si>
  <si>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</si>
  <si>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</si>
  <si>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</si>
  <si>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52</t>
  </si>
  <si>
    <t>240,0</t>
  </si>
  <si>
    <t>67.5</t>
  </si>
  <si>
    <t xml:space="preserve">Открытая </t>
  </si>
  <si>
    <t>56</t>
  </si>
  <si>
    <t>305,0</t>
  </si>
  <si>
    <t>358,8630</t>
  </si>
  <si>
    <t>267,5</t>
  </si>
  <si>
    <t>333,9737</t>
  </si>
  <si>
    <t>75</t>
  </si>
  <si>
    <t>325,0</t>
  </si>
  <si>
    <t>323,3100</t>
  </si>
  <si>
    <t xml:space="preserve">Мужчины </t>
  </si>
  <si>
    <t>552,5</t>
  </si>
  <si>
    <t>394,0430</t>
  </si>
  <si>
    <t>482,5</t>
  </si>
  <si>
    <t>375,1437</t>
  </si>
  <si>
    <t>462,5</t>
  </si>
  <si>
    <t>357,0037</t>
  </si>
  <si>
    <t>1</t>
  </si>
  <si>
    <t/>
  </si>
  <si>
    <t>2</t>
  </si>
  <si>
    <t>Блудов Максим</t>
  </si>
  <si>
    <t>Открытая (15.04.1993)/29</t>
  </si>
  <si>
    <t>80,50</t>
  </si>
  <si>
    <t>250,0</t>
  </si>
  <si>
    <t>Овчаренко Максим</t>
  </si>
  <si>
    <t>Открытая (12.05.1982)/39</t>
  </si>
  <si>
    <t>87,00</t>
  </si>
  <si>
    <t>157,5</t>
  </si>
  <si>
    <t xml:space="preserve">Бобров Ю. </t>
  </si>
  <si>
    <t>Овчаренко Олег</t>
  </si>
  <si>
    <t>Открытая (29.08.1991)/30</t>
  </si>
  <si>
    <t>98,60</t>
  </si>
  <si>
    <t>265,0</t>
  </si>
  <si>
    <t>280,0</t>
  </si>
  <si>
    <t>287,5</t>
  </si>
  <si>
    <t>Титова Ольга</t>
  </si>
  <si>
    <t>Открытая (27.07.1994)/27</t>
  </si>
  <si>
    <t>61,40</t>
  </si>
  <si>
    <t>75,0</t>
  </si>
  <si>
    <t>Гудович Даниил</t>
  </si>
  <si>
    <t>Юниоры (14.08.2000)/21</t>
  </si>
  <si>
    <t xml:space="preserve">Атланты </t>
  </si>
  <si>
    <t>Хлебников Антон</t>
  </si>
  <si>
    <t>Открытая (30.11.1992)/29</t>
  </si>
  <si>
    <t>74,00</t>
  </si>
  <si>
    <t xml:space="preserve">Status-vs Стальной Орел </t>
  </si>
  <si>
    <t>210,0</t>
  </si>
  <si>
    <t>222,5</t>
  </si>
  <si>
    <t>Морозов Ярослав</t>
  </si>
  <si>
    <t>Открытая (26.03.1999)/23</t>
  </si>
  <si>
    <t>82,30</t>
  </si>
  <si>
    <t>217,5</t>
  </si>
  <si>
    <t>Туманов Станислав</t>
  </si>
  <si>
    <t>Открытая (04.04.1985)/37</t>
  </si>
  <si>
    <t>82,20</t>
  </si>
  <si>
    <t xml:space="preserve">Красноярск/Красноярский край </t>
  </si>
  <si>
    <t>235,0</t>
  </si>
  <si>
    <t>Князев Денис</t>
  </si>
  <si>
    <t>Открытая (13.02.1989)/33</t>
  </si>
  <si>
    <t>89,70</t>
  </si>
  <si>
    <t>-</t>
  </si>
  <si>
    <t>Пушкин Иван</t>
  </si>
  <si>
    <t>Открытая (16.08.2001)/20</t>
  </si>
  <si>
    <t>90,00</t>
  </si>
  <si>
    <t>227,5</t>
  </si>
  <si>
    <t>260,0</t>
  </si>
  <si>
    <t>Алексеев Вячеслав</t>
  </si>
  <si>
    <t>Открытая (07.03.1990)/32</t>
  </si>
  <si>
    <t>99,50</t>
  </si>
  <si>
    <t xml:space="preserve">Новоспорт </t>
  </si>
  <si>
    <t>300,0</t>
  </si>
  <si>
    <t>320,0</t>
  </si>
  <si>
    <t>335,0</t>
  </si>
  <si>
    <t>330,0</t>
  </si>
  <si>
    <t>345,0</t>
  </si>
  <si>
    <t>355,0</t>
  </si>
  <si>
    <t>Ивашин Александр</t>
  </si>
  <si>
    <t>Открытая (03.11.1990)/31</t>
  </si>
  <si>
    <t>99,30</t>
  </si>
  <si>
    <t>245,0</t>
  </si>
  <si>
    <t>255,0</t>
  </si>
  <si>
    <t>272,5</t>
  </si>
  <si>
    <t>Зинец Александр</t>
  </si>
  <si>
    <t>Открытая (06.08.1992)/29</t>
  </si>
  <si>
    <t>109,90</t>
  </si>
  <si>
    <t>290,0</t>
  </si>
  <si>
    <t>197,5</t>
  </si>
  <si>
    <t>202,5</t>
  </si>
  <si>
    <t>Стариков Андрей</t>
  </si>
  <si>
    <t>Открытая (31.01.1990)/32</t>
  </si>
  <si>
    <t>108,90</t>
  </si>
  <si>
    <t>Пичкулян Иван</t>
  </si>
  <si>
    <t>Открытая (12.09.1988)/33</t>
  </si>
  <si>
    <t>124,20</t>
  </si>
  <si>
    <t xml:space="preserve">Strong bears </t>
  </si>
  <si>
    <t>340,0</t>
  </si>
  <si>
    <t>352,5</t>
  </si>
  <si>
    <t>310,0</t>
  </si>
  <si>
    <t>332,5</t>
  </si>
  <si>
    <t xml:space="preserve">Клюшев А. </t>
  </si>
  <si>
    <t>Бескакотов Александр</t>
  </si>
  <si>
    <t>Открытая (05.11.1997)/24</t>
  </si>
  <si>
    <t>117,20</t>
  </si>
  <si>
    <t>100</t>
  </si>
  <si>
    <t>865,0</t>
  </si>
  <si>
    <t>527,4770</t>
  </si>
  <si>
    <t>125</t>
  </si>
  <si>
    <t>907,5</t>
  </si>
  <si>
    <t>517,8195</t>
  </si>
  <si>
    <t>110</t>
  </si>
  <si>
    <t>822,5</t>
  </si>
  <si>
    <t>484,2057</t>
  </si>
  <si>
    <t>Вишняк Анна</t>
  </si>
  <si>
    <t>Открытая (12.12.1984)/37</t>
  </si>
  <si>
    <t>54,00</t>
  </si>
  <si>
    <t>182,5</t>
  </si>
  <si>
    <t>113,0</t>
  </si>
  <si>
    <t>190,5</t>
  </si>
  <si>
    <t>Бузениус Иван</t>
  </si>
  <si>
    <t>Открытая (04.04.1997)/25</t>
  </si>
  <si>
    <t>110,80</t>
  </si>
  <si>
    <t xml:space="preserve">Томск/Томская область </t>
  </si>
  <si>
    <t>147,5</t>
  </si>
  <si>
    <t>152,5</t>
  </si>
  <si>
    <t>Шестунов Александр</t>
  </si>
  <si>
    <t>Мастера 40-49 (03.04.1981)/41</t>
  </si>
  <si>
    <t>122,80</t>
  </si>
  <si>
    <t xml:space="preserve">Рубцовск/Алтайский край </t>
  </si>
  <si>
    <t>285,0</t>
  </si>
  <si>
    <t>Степанов И.</t>
  </si>
  <si>
    <t>Результат</t>
  </si>
  <si>
    <t>Куклин Денис</t>
  </si>
  <si>
    <t>Открытая (06.09.1989)/32</t>
  </si>
  <si>
    <t>75,00</t>
  </si>
  <si>
    <t>292,5</t>
  </si>
  <si>
    <t>Николовский Павел</t>
  </si>
  <si>
    <t>Открытая (08.05.1978)/43</t>
  </si>
  <si>
    <t xml:space="preserve">Ленинск-Кузнецкий/Кемеровская </t>
  </si>
  <si>
    <t xml:space="preserve">Квич С. </t>
  </si>
  <si>
    <t>Хованский Дмитрий</t>
  </si>
  <si>
    <t>Открытая (26.05.1986)/35</t>
  </si>
  <si>
    <t>81,80</t>
  </si>
  <si>
    <t>Королёв Алексей</t>
  </si>
  <si>
    <t>Открытая (20.01.1985)/37</t>
  </si>
  <si>
    <t>82,40</t>
  </si>
  <si>
    <t>3</t>
  </si>
  <si>
    <t>Федосеев Сергей</t>
  </si>
  <si>
    <t>Открытая (18.01.1982)/40</t>
  </si>
  <si>
    <t>Быховец Артем</t>
  </si>
  <si>
    <t>Открытая (19.07.1983)/38</t>
  </si>
  <si>
    <t>89,60</t>
  </si>
  <si>
    <t>337,5</t>
  </si>
  <si>
    <t>350,0</t>
  </si>
  <si>
    <t xml:space="preserve">Вишняк А. </t>
  </si>
  <si>
    <t>Замалиев Сергей</t>
  </si>
  <si>
    <t>Открытая (15.11.1977)/44</t>
  </si>
  <si>
    <t>87,55</t>
  </si>
  <si>
    <t xml:space="preserve">Омск/Омская область </t>
  </si>
  <si>
    <t>Мальцев Александр</t>
  </si>
  <si>
    <t>Открытая (27.09.1983)/38</t>
  </si>
  <si>
    <t>89,05</t>
  </si>
  <si>
    <t>270,0</t>
  </si>
  <si>
    <t>Мастера 40-49 (15.11.1977)/44</t>
  </si>
  <si>
    <t>Чуркин Алексей</t>
  </si>
  <si>
    <t>Открытая (06.07.1987)/34</t>
  </si>
  <si>
    <t>97,00</t>
  </si>
  <si>
    <t>Савченко Дмитрий</t>
  </si>
  <si>
    <t>Открытая (03.08.1981)/40</t>
  </si>
  <si>
    <t>101,50</t>
  </si>
  <si>
    <t>271,0</t>
  </si>
  <si>
    <t>Мастера 40-49 (03.08.1981)/40</t>
  </si>
  <si>
    <t xml:space="preserve">Результат </t>
  </si>
  <si>
    <t xml:space="preserve">Gloss </t>
  </si>
  <si>
    <t>82.5</t>
  </si>
  <si>
    <t>207,4240</t>
  </si>
  <si>
    <t>90</t>
  </si>
  <si>
    <t>207,0056</t>
  </si>
  <si>
    <t>205,1115</t>
  </si>
  <si>
    <t>Иванов А.</t>
  </si>
  <si>
    <t>Быховец А.</t>
  </si>
  <si>
    <t xml:space="preserve">Лично </t>
  </si>
  <si>
    <t>Ефимов А.</t>
  </si>
  <si>
    <t>Савин А.</t>
  </si>
  <si>
    <t>Бобров Ю.</t>
  </si>
  <si>
    <t>Созинов П.</t>
  </si>
  <si>
    <t>Морозов Я.</t>
  </si>
  <si>
    <t>Рыжков Е.</t>
  </si>
  <si>
    <t>Рыжов Е.</t>
  </si>
  <si>
    <t>Шабин П.</t>
  </si>
  <si>
    <t>Суслов Н.</t>
  </si>
  <si>
    <t>ВЕСОВАЯ КАТЕГОРИЯ   48</t>
  </si>
  <si>
    <t>Эглит Татьяна</t>
  </si>
  <si>
    <t>Открытая (16.11.1980)/41</t>
  </si>
  <si>
    <t>47,60</t>
  </si>
  <si>
    <t>Шелпаков Кирилл</t>
  </si>
  <si>
    <t>Открытая (05.11.1992)/29</t>
  </si>
  <si>
    <t>82,15</t>
  </si>
  <si>
    <t>Русаков Евгений</t>
  </si>
  <si>
    <t>Открытая (14.10.1959)/62</t>
  </si>
  <si>
    <t>116,50</t>
  </si>
  <si>
    <t>Мастера 60-69 (14.10.1959)/62</t>
  </si>
  <si>
    <t>282,5</t>
  </si>
  <si>
    <t>237,5</t>
  </si>
  <si>
    <t>262,5</t>
  </si>
  <si>
    <t>Битук Андрей</t>
  </si>
  <si>
    <t>Мастера 40-49 (28.02.1973)/49</t>
  </si>
  <si>
    <t>97,50</t>
  </si>
  <si>
    <t>Филиппова Юлия</t>
  </si>
  <si>
    <t>Открытая (11.07.1990)/31</t>
  </si>
  <si>
    <t>47,90</t>
  </si>
  <si>
    <t xml:space="preserve">MC Квадрат </t>
  </si>
  <si>
    <t>Левенец Оксана</t>
  </si>
  <si>
    <t>Открытая (16.10.1975)/46</t>
  </si>
  <si>
    <t>Быданова Ксения</t>
  </si>
  <si>
    <t>Открытая (17.10.1987)/34</t>
  </si>
  <si>
    <t>55,90</t>
  </si>
  <si>
    <t>Юдкина Анна</t>
  </si>
  <si>
    <t>Открытая (11.01.1993)/29</t>
  </si>
  <si>
    <t>66,70</t>
  </si>
  <si>
    <t xml:space="preserve">МС Квадрат </t>
  </si>
  <si>
    <t>Панина Ирина</t>
  </si>
  <si>
    <t>Открытая (20.05.1977)/44</t>
  </si>
  <si>
    <t>73,30</t>
  </si>
  <si>
    <t>Волчатников Андрей</t>
  </si>
  <si>
    <t>Юниоры (10.06.2001)/20</t>
  </si>
  <si>
    <t xml:space="preserve">Чита/Забайкальский край </t>
  </si>
  <si>
    <t>Кандыба Сергей</t>
  </si>
  <si>
    <t>Открытая (30.09.1985)/36</t>
  </si>
  <si>
    <t>78,40</t>
  </si>
  <si>
    <t>Коверзнев Максим</t>
  </si>
  <si>
    <t>Открытая (12.03.1989)/33</t>
  </si>
  <si>
    <t>80,90</t>
  </si>
  <si>
    <t>Шабин Павел</t>
  </si>
  <si>
    <t>Открытая (04.05.1984)/37</t>
  </si>
  <si>
    <t>86,60</t>
  </si>
  <si>
    <t>Николаев Вячеслав</t>
  </si>
  <si>
    <t>Открытая (10.07.1956)/65</t>
  </si>
  <si>
    <t>Мастера 60-69 (10.07.1956)/65</t>
  </si>
  <si>
    <t>Кандыба Александр</t>
  </si>
  <si>
    <t>Открытая (12.03.1984)/38</t>
  </si>
  <si>
    <t>113,70</t>
  </si>
  <si>
    <t>Кузнецов Алексей</t>
  </si>
  <si>
    <t>Открытая (09.01.1984)/38</t>
  </si>
  <si>
    <t>112,70</t>
  </si>
  <si>
    <t xml:space="preserve">Женщины </t>
  </si>
  <si>
    <t>48</t>
  </si>
  <si>
    <t>72,9575</t>
  </si>
  <si>
    <t>67,7523</t>
  </si>
  <si>
    <t>67,5220</t>
  </si>
  <si>
    <t>Панин С.</t>
  </si>
  <si>
    <t>Синько Е.</t>
  </si>
  <si>
    <t>Касьяненко Григорий</t>
  </si>
  <si>
    <t>Открытая (28.03.1990)/32</t>
  </si>
  <si>
    <t>88,90</t>
  </si>
  <si>
    <t xml:space="preserve">Гантимуров.А </t>
  </si>
  <si>
    <t>Шашенко Константин</t>
  </si>
  <si>
    <t>Открытая (17.02.1983)/39</t>
  </si>
  <si>
    <t>89,30</t>
  </si>
  <si>
    <t>Бабаев Самир</t>
  </si>
  <si>
    <t>Открытая (21.01.1987)/35</t>
  </si>
  <si>
    <t>122,00</t>
  </si>
  <si>
    <t xml:space="preserve">Николаев В. </t>
  </si>
  <si>
    <t>Бахтина Дарья</t>
  </si>
  <si>
    <t>Юниорки (05.10.1998)/23</t>
  </si>
  <si>
    <t>50,70</t>
  </si>
  <si>
    <t xml:space="preserve">Империя спорта </t>
  </si>
  <si>
    <t xml:space="preserve">Барнаул/Алтайский край </t>
  </si>
  <si>
    <t>Киселева Яна</t>
  </si>
  <si>
    <t>Открытая (03.08.1991)/30</t>
  </si>
  <si>
    <t>Саврасова Диана</t>
  </si>
  <si>
    <t>Девушки 14-16 (13.03.2006)/16</t>
  </si>
  <si>
    <t>55,70</t>
  </si>
  <si>
    <t>Севергина Ульяна</t>
  </si>
  <si>
    <t>Девушки 14-16 (26.09.2007)/14</t>
  </si>
  <si>
    <t>57,90</t>
  </si>
  <si>
    <t>Анненкова Милана</t>
  </si>
  <si>
    <t>Девушки 14-16 (05.03.2011)/11</t>
  </si>
  <si>
    <t>58,60</t>
  </si>
  <si>
    <t>27,5</t>
  </si>
  <si>
    <t>30,0</t>
  </si>
  <si>
    <t>32,5</t>
  </si>
  <si>
    <t>Кливер Анна</t>
  </si>
  <si>
    <t>Девушки 17-19 (17.01.2003)/19</t>
  </si>
  <si>
    <t>58,80</t>
  </si>
  <si>
    <t>Шамарова Анастасия</t>
  </si>
  <si>
    <t>Юниорки (15.01.2001)/21</t>
  </si>
  <si>
    <t>59,20</t>
  </si>
  <si>
    <t>72,5</t>
  </si>
  <si>
    <t>77,5</t>
  </si>
  <si>
    <t>Мусихина Екатерина</t>
  </si>
  <si>
    <t>Юниорки (11.10.2000)/21</t>
  </si>
  <si>
    <t>59,50</t>
  </si>
  <si>
    <t>Манолидис Майя</t>
  </si>
  <si>
    <t>Юниорки (06.04.2001)/21</t>
  </si>
  <si>
    <t>58,00</t>
  </si>
  <si>
    <t xml:space="preserve">Магадан/Магаданская область </t>
  </si>
  <si>
    <t>Открытая (15.01.2001)/21</t>
  </si>
  <si>
    <t>Чугуевская Анна</t>
  </si>
  <si>
    <t>Девушки 17-19 (17.09.2002)/19</t>
  </si>
  <si>
    <t>65,60</t>
  </si>
  <si>
    <t>Попова Юлия</t>
  </si>
  <si>
    <t>Открытая (11.01.1990)/32</t>
  </si>
  <si>
    <t>64,60</t>
  </si>
  <si>
    <t>Высоцкая Ирина</t>
  </si>
  <si>
    <t>Мастера 50-59 (07.11.1970)/51</t>
  </si>
  <si>
    <t>66,00</t>
  </si>
  <si>
    <t>Юрьева Софья</t>
  </si>
  <si>
    <t>Открытая (06.11.2003)/18</t>
  </si>
  <si>
    <t>68,40</t>
  </si>
  <si>
    <t>Бурачкова Анастасия</t>
  </si>
  <si>
    <t>Открытая (24.04.1996)/25</t>
  </si>
  <si>
    <t>78,00</t>
  </si>
  <si>
    <t>Марикин Артём</t>
  </si>
  <si>
    <t>Юноши 14-16 (04.09.2009)/12</t>
  </si>
  <si>
    <t>44,20</t>
  </si>
  <si>
    <t>Бадер Антон</t>
  </si>
  <si>
    <t>Юноши 14-16 (30.01.2011)/11</t>
  </si>
  <si>
    <t>41,00</t>
  </si>
  <si>
    <t>Васильев Захар</t>
  </si>
  <si>
    <t>Юноши 14-16 (12.09.2007)/14</t>
  </si>
  <si>
    <t>54,20</t>
  </si>
  <si>
    <t xml:space="preserve">Технополис </t>
  </si>
  <si>
    <t xml:space="preserve">Кольцово/Новосибирская область </t>
  </si>
  <si>
    <t>Твердохлебов Андрей</t>
  </si>
  <si>
    <t>Юноши 14-16 (19.10.2006)/15</t>
  </si>
  <si>
    <t>58,40</t>
  </si>
  <si>
    <t>Таланов Владимир</t>
  </si>
  <si>
    <t>Юноши 14-16 (26.01.2007)/15</t>
  </si>
  <si>
    <t>Перов Юрий</t>
  </si>
  <si>
    <t>Юноши 14-16 (24.12.2005)/16</t>
  </si>
  <si>
    <t>65,10</t>
  </si>
  <si>
    <t>Микушов Михаил</t>
  </si>
  <si>
    <t>Юноши 14-16 (18.02.2010)/12</t>
  </si>
  <si>
    <t>65,00</t>
  </si>
  <si>
    <t>Ташкин Захар</t>
  </si>
  <si>
    <t>Юноши 14-16 (07.05.2007)/14</t>
  </si>
  <si>
    <t>61,80</t>
  </si>
  <si>
    <t>Мурзин Никита</t>
  </si>
  <si>
    <t>Открытая (09.02.1997)/25</t>
  </si>
  <si>
    <t>66,90</t>
  </si>
  <si>
    <t>Можаев Илья</t>
  </si>
  <si>
    <t>Юниоры (12.10.2001)/20</t>
  </si>
  <si>
    <t>73,10</t>
  </si>
  <si>
    <t>Катышов Алексей</t>
  </si>
  <si>
    <t>Открытая (26.10.1997)/24</t>
  </si>
  <si>
    <t>68,90</t>
  </si>
  <si>
    <t>Горбунов Кирилл</t>
  </si>
  <si>
    <t>Юноши 14-16 (30.03.2007)/15</t>
  </si>
  <si>
    <t>78,30</t>
  </si>
  <si>
    <t xml:space="preserve">Хорошилов С </t>
  </si>
  <si>
    <t>Микушов Павел</t>
  </si>
  <si>
    <t>Юноши 17-19 (20.02.2005)/17</t>
  </si>
  <si>
    <t>79,30</t>
  </si>
  <si>
    <t>Рец Михаил</t>
  </si>
  <si>
    <t>Открытая (13.06.1981)/40</t>
  </si>
  <si>
    <t>82,00</t>
  </si>
  <si>
    <t>167,5</t>
  </si>
  <si>
    <t>Александров Леонид</t>
  </si>
  <si>
    <t>Открытая (15.07.1971)/50</t>
  </si>
  <si>
    <t>81,20</t>
  </si>
  <si>
    <t>Рогатков Артем</t>
  </si>
  <si>
    <t>Открытая (26.11.1987)/34</t>
  </si>
  <si>
    <t>82,50</t>
  </si>
  <si>
    <t>4</t>
  </si>
  <si>
    <t>Пятовский Юрий</t>
  </si>
  <si>
    <t>Открытая (31.10.1993)/28</t>
  </si>
  <si>
    <t>81,40</t>
  </si>
  <si>
    <t>137,5</t>
  </si>
  <si>
    <t>5</t>
  </si>
  <si>
    <t>Коваленко Ярослав</t>
  </si>
  <si>
    <t>Открытая (26.09.1992)/29</t>
  </si>
  <si>
    <t>78,60</t>
  </si>
  <si>
    <t>6</t>
  </si>
  <si>
    <t>Артеменко Сергей</t>
  </si>
  <si>
    <t>Открытая (21.09.1990)/31</t>
  </si>
  <si>
    <t>80,30</t>
  </si>
  <si>
    <t>Мастера 40-49 (13.06.1981)/40</t>
  </si>
  <si>
    <t>Лыков Алексей</t>
  </si>
  <si>
    <t>Мастера 40-49 (31.03.1976)/46</t>
  </si>
  <si>
    <t>80,20</t>
  </si>
  <si>
    <t>Гуров Владимир</t>
  </si>
  <si>
    <t>Мастера 50-59 (09.09.1964)/57</t>
  </si>
  <si>
    <t>Симонов Владимир</t>
  </si>
  <si>
    <t>Мастера 60-69 (19.02.1957)/65</t>
  </si>
  <si>
    <t>75,50</t>
  </si>
  <si>
    <t>Шулаев Кирилл</t>
  </si>
  <si>
    <t>Юноши 14-16 (21.01.2007)/15</t>
  </si>
  <si>
    <t>84,20</t>
  </si>
  <si>
    <t>Микушов Никита</t>
  </si>
  <si>
    <t>Юноши 17-19 (19.12.2003)/18</t>
  </si>
  <si>
    <t>Скотников Глеб</t>
  </si>
  <si>
    <t>Открытая (28.01.1990)/32</t>
  </si>
  <si>
    <t>88,40</t>
  </si>
  <si>
    <t>Бугаков Станислав</t>
  </si>
  <si>
    <t>Открытая (18.03.1987)/35</t>
  </si>
  <si>
    <t>88,00</t>
  </si>
  <si>
    <t>Мурадян Роман</t>
  </si>
  <si>
    <t>Открытая (06.01.1985)/37</t>
  </si>
  <si>
    <t>177,5</t>
  </si>
  <si>
    <t>Бухарин Максим</t>
  </si>
  <si>
    <t>Открытая (30.04.1984)/37</t>
  </si>
  <si>
    <t>95,50</t>
  </si>
  <si>
    <t>Чернявский Павел</t>
  </si>
  <si>
    <t>Открытая (05.05.1983)/38</t>
  </si>
  <si>
    <t>96,20</t>
  </si>
  <si>
    <t>Микушин Александр</t>
  </si>
  <si>
    <t>Открытая (21.06.1960)/61</t>
  </si>
  <si>
    <t>Киселев Алексей</t>
  </si>
  <si>
    <t>Мастера 40-49 (29.10.1980)/41</t>
  </si>
  <si>
    <t>Мастера 60-69 (21.06.1960)/61</t>
  </si>
  <si>
    <t>Филатов Александр</t>
  </si>
  <si>
    <t>Открытая (17.08.1989)/32</t>
  </si>
  <si>
    <t>104,90</t>
  </si>
  <si>
    <t>Рыбкин Денис</t>
  </si>
  <si>
    <t>Открытая (12.09.1997)/24</t>
  </si>
  <si>
    <t>106,70</t>
  </si>
  <si>
    <t>Татьков Дмитрий</t>
  </si>
  <si>
    <t>Открытая (18.09.1990)/31</t>
  </si>
  <si>
    <t>108,40</t>
  </si>
  <si>
    <t>Микушов Ярослав</t>
  </si>
  <si>
    <t>Юноши 14-16 (31.05.2007)/14</t>
  </si>
  <si>
    <t>115,50</t>
  </si>
  <si>
    <t>Марьин Григорий</t>
  </si>
  <si>
    <t>Открытая (25.06.1987)/34</t>
  </si>
  <si>
    <t>117,60</t>
  </si>
  <si>
    <t>Суровикин Михаил</t>
  </si>
  <si>
    <t>Открытая (29.01.1987)/35</t>
  </si>
  <si>
    <t>118,60</t>
  </si>
  <si>
    <t xml:space="preserve">Юноши 14-16 </t>
  </si>
  <si>
    <t>60</t>
  </si>
  <si>
    <t xml:space="preserve">Юноши 17-19 </t>
  </si>
  <si>
    <t>81,6785</t>
  </si>
  <si>
    <t>80,8800</t>
  </si>
  <si>
    <t>76,4790</t>
  </si>
  <si>
    <t xml:space="preserve">Юноши </t>
  </si>
  <si>
    <t>66,1900</t>
  </si>
  <si>
    <t>61,2150</t>
  </si>
  <si>
    <t>55,3760</t>
  </si>
  <si>
    <t>107,5840</t>
  </si>
  <si>
    <t>107,4975</t>
  </si>
  <si>
    <t>107,2335</t>
  </si>
  <si>
    <t>Ямщиков Д.</t>
  </si>
  <si>
    <t>Воробьев Э.</t>
  </si>
  <si>
    <t>Боровский С.</t>
  </si>
  <si>
    <t>Гантимуров А.</t>
  </si>
  <si>
    <t>Полосин С.</t>
  </si>
  <si>
    <t>Анненков С.</t>
  </si>
  <si>
    <t>Елизаров Е.</t>
  </si>
  <si>
    <t>Сенько Е.</t>
  </si>
  <si>
    <t>Семенов И.</t>
  </si>
  <si>
    <t xml:space="preserve">Гантимуров А. </t>
  </si>
  <si>
    <t>Бровский С.</t>
  </si>
  <si>
    <t>Зевякин И.</t>
  </si>
  <si>
    <t>Хованский Д.</t>
  </si>
  <si>
    <t xml:space="preserve">Рыжков Е. </t>
  </si>
  <si>
    <t xml:space="preserve">Агеев Д. </t>
  </si>
  <si>
    <t>Степаненко Татьяна</t>
  </si>
  <si>
    <t>Открытая (02.01.1984)/38</t>
  </si>
  <si>
    <t>58,90</t>
  </si>
  <si>
    <t>Шестакова Екатерина</t>
  </si>
  <si>
    <t>Юниорки (14.08.1998)/23</t>
  </si>
  <si>
    <t>Денисов Сергей</t>
  </si>
  <si>
    <t>Мастера 40-49 (18.10.1979)/42</t>
  </si>
  <si>
    <t>67,10</t>
  </si>
  <si>
    <t>82,5</t>
  </si>
  <si>
    <t>Куклин Евгений</t>
  </si>
  <si>
    <t>Мастера 40-49 (16.12.1981)/40</t>
  </si>
  <si>
    <t>74,30</t>
  </si>
  <si>
    <t>Немирский Данила</t>
  </si>
  <si>
    <t>Юниоры (26.11.1998)/23</t>
  </si>
  <si>
    <t>83,30</t>
  </si>
  <si>
    <t>Хорошилов Сергей</t>
  </si>
  <si>
    <t>Открытая (02.07.1988)/33</t>
  </si>
  <si>
    <t>85,80</t>
  </si>
  <si>
    <t>Нефёдов Владислав</t>
  </si>
  <si>
    <t>Открытая (24.10.1995)/26</t>
  </si>
  <si>
    <t>87,60</t>
  </si>
  <si>
    <t>Гилев Дмитрий</t>
  </si>
  <si>
    <t>Мастера 40-49 (29.08.1976)/45</t>
  </si>
  <si>
    <t>87,90</t>
  </si>
  <si>
    <t>Болдин Сергей</t>
  </si>
  <si>
    <t>Мастера 50-59 (31.05.1971)/50</t>
  </si>
  <si>
    <t xml:space="preserve">Легион </t>
  </si>
  <si>
    <t xml:space="preserve">Барабинск/Новосибирская област </t>
  </si>
  <si>
    <t>Коченов Сергей</t>
  </si>
  <si>
    <t>Открытая (27.06.1982)/39</t>
  </si>
  <si>
    <t>96,60</t>
  </si>
  <si>
    <t>Тимофеев Павел</t>
  </si>
  <si>
    <t>Открытая (08.02.1988)/34</t>
  </si>
  <si>
    <t>97,90</t>
  </si>
  <si>
    <t>Гребенюк Сергей</t>
  </si>
  <si>
    <t>Открытая (06.02.1984)/38</t>
  </si>
  <si>
    <t>94,00</t>
  </si>
  <si>
    <t xml:space="preserve">Бердск/Новосибирская область </t>
  </si>
  <si>
    <t>Айвазян Серёжа</t>
  </si>
  <si>
    <t>Открытая (12.02.1986)/36</t>
  </si>
  <si>
    <t>Романов Денис</t>
  </si>
  <si>
    <t>Открытая (24.04.1994)/28</t>
  </si>
  <si>
    <t>Леонгардт Денис</t>
  </si>
  <si>
    <t>Мастера 40-49 (24.02.1977)/45</t>
  </si>
  <si>
    <t>90,80</t>
  </si>
  <si>
    <t>Ефремов-Отченаш Олег</t>
  </si>
  <si>
    <t>Мастера 50-59 (31.12.1969)/52</t>
  </si>
  <si>
    <t>98,30</t>
  </si>
  <si>
    <t>Курьянов Роман</t>
  </si>
  <si>
    <t>Открытая (20.07.1993)/28</t>
  </si>
  <si>
    <t>109,30</t>
  </si>
  <si>
    <t>Сынков Василий</t>
  </si>
  <si>
    <t>Открытая (07.09.1972)/49</t>
  </si>
  <si>
    <t>104,50</t>
  </si>
  <si>
    <t>Миркин Юрий</t>
  </si>
  <si>
    <t>Открытая (14.09.1971)/50</t>
  </si>
  <si>
    <t>101,80</t>
  </si>
  <si>
    <t>126,7855</t>
  </si>
  <si>
    <t>125,7060</t>
  </si>
  <si>
    <t>121,1420</t>
  </si>
  <si>
    <t>Пузенко В.</t>
  </si>
  <si>
    <t xml:space="preserve">Анненков С. </t>
  </si>
  <si>
    <t xml:space="preserve">Иванов А. </t>
  </si>
  <si>
    <t>Жердев О.</t>
  </si>
  <si>
    <t>Алексеев В.</t>
  </si>
  <si>
    <t xml:space="preserve">Цветковский Р. </t>
  </si>
  <si>
    <t>Митбрейт Полина</t>
  </si>
  <si>
    <t>Девушки 14-16 (20.06.2007)/14</t>
  </si>
  <si>
    <t>55,20</t>
  </si>
  <si>
    <t>Белова Елена</t>
  </si>
  <si>
    <t>Мастера 50-59 (12.03.1966)/56</t>
  </si>
  <si>
    <t>53,50</t>
  </si>
  <si>
    <t>Володина Ульяна</t>
  </si>
  <si>
    <t>Девушки 17-19 (25.09.2004)/17</t>
  </si>
  <si>
    <t>56,80</t>
  </si>
  <si>
    <t>Чернявская Виолета</t>
  </si>
  <si>
    <t>Мастера 50-59 (17.04.1970)/52</t>
  </si>
  <si>
    <t>Калинин Данил</t>
  </si>
  <si>
    <t>Юноши 17-19 (16.07.2004)/17</t>
  </si>
  <si>
    <t>60,00</t>
  </si>
  <si>
    <t>Хажаев Владислав</t>
  </si>
  <si>
    <t>Юноши 17-19 (27.05.2004)/17</t>
  </si>
  <si>
    <t>56,50</t>
  </si>
  <si>
    <t>Гуляев Илья</t>
  </si>
  <si>
    <t>Юноши 14-16 (06.06.2005)/16</t>
  </si>
  <si>
    <t>73,50</t>
  </si>
  <si>
    <t>Сорокин Глеб</t>
  </si>
  <si>
    <t>Юноши 14-16 (19.06.2007)/14</t>
  </si>
  <si>
    <t>72,30</t>
  </si>
  <si>
    <t>Ширяев Илья</t>
  </si>
  <si>
    <t>Юноши 14-16 (09.08.2005)/16</t>
  </si>
  <si>
    <t>Козлов Никита</t>
  </si>
  <si>
    <t>Юноши 17-19 (15.07.2004)/17</t>
  </si>
  <si>
    <t>Андропов Андрей</t>
  </si>
  <si>
    <t>Открытая (03.11.1996)/25</t>
  </si>
  <si>
    <t>72,50</t>
  </si>
  <si>
    <t>Нетесов Александр</t>
  </si>
  <si>
    <t>Открытая (24.07.1991)/30</t>
  </si>
  <si>
    <t>207,5</t>
  </si>
  <si>
    <t>Муравьёв Иван</t>
  </si>
  <si>
    <t>Юниоры (21.04.1999)/23</t>
  </si>
  <si>
    <t>Открытая (21.04.1999)/23</t>
  </si>
  <si>
    <t>Полосин Сергей</t>
  </si>
  <si>
    <t>89,50</t>
  </si>
  <si>
    <t xml:space="preserve">Стороженко П. </t>
  </si>
  <si>
    <t>Овсиенко Дмитрий</t>
  </si>
  <si>
    <t>Открытая (07.06.1989)/32</t>
  </si>
  <si>
    <t>100,00</t>
  </si>
  <si>
    <t>252,5</t>
  </si>
  <si>
    <t>Березнёв Семен</t>
  </si>
  <si>
    <t>Открытая (17.11.1984)/37</t>
  </si>
  <si>
    <t>106,80</t>
  </si>
  <si>
    <t>173,6805</t>
  </si>
  <si>
    <t>175,2000</t>
  </si>
  <si>
    <t>160,4700</t>
  </si>
  <si>
    <t>Михайлов П.</t>
  </si>
  <si>
    <t>Ананьев К.</t>
  </si>
  <si>
    <t>Приступников А.</t>
  </si>
  <si>
    <t>Ефремова-Отченаш Марианна</t>
  </si>
  <si>
    <t>Открытая (09.04.1977)/45</t>
  </si>
  <si>
    <t>Мастера 40-49 (09.04.1977)/45</t>
  </si>
  <si>
    <t>Иванов Александр</t>
  </si>
  <si>
    <t>Открытая (18.01.1987)/35</t>
  </si>
  <si>
    <t>89,10</t>
  </si>
  <si>
    <t>Воробьёв Эдуард</t>
  </si>
  <si>
    <t>Юниоры (20.04.2001)/21</t>
  </si>
  <si>
    <t>Май Евгений</t>
  </si>
  <si>
    <t>Открытая (12.12.1992)/29</t>
  </si>
  <si>
    <t>99,00</t>
  </si>
  <si>
    <t>Южанин Эмин</t>
  </si>
  <si>
    <t>Открытая (05.04.1998)/24</t>
  </si>
  <si>
    <t>Мастера 50-59 (24.07.1964)/57</t>
  </si>
  <si>
    <t>99,80</t>
  </si>
  <si>
    <t>Коваленко Алексей</t>
  </si>
  <si>
    <t>Открытая (27.02.1996)/26</t>
  </si>
  <si>
    <t>107,60</t>
  </si>
  <si>
    <t>Черепанов Николай</t>
  </si>
  <si>
    <t>Открытая (18.09.1997)/24</t>
  </si>
  <si>
    <t>115,60</t>
  </si>
  <si>
    <t>390,0</t>
  </si>
  <si>
    <t>402,5</t>
  </si>
  <si>
    <t>Зеленин Никита</t>
  </si>
  <si>
    <t>Открытая (26.06.1996)/25</t>
  </si>
  <si>
    <t>111,00</t>
  </si>
  <si>
    <t>370,0</t>
  </si>
  <si>
    <t>ВЕСОВАЯ КАТЕГОРИЯ   140+</t>
  </si>
  <si>
    <t>Самойлик Александр</t>
  </si>
  <si>
    <t>Открытая (20.06.1975)/46</t>
  </si>
  <si>
    <t>143,10</t>
  </si>
  <si>
    <t>226,3170</t>
  </si>
  <si>
    <t>199,5460</t>
  </si>
  <si>
    <t>188,3840</t>
  </si>
  <si>
    <t xml:space="preserve">Коваленко А. </t>
  </si>
  <si>
    <t>Черепанов Н.</t>
  </si>
  <si>
    <t>Кайгородов Михаил</t>
  </si>
  <si>
    <t>Открытая (16.04.1993)/29</t>
  </si>
  <si>
    <t>Банник Артём</t>
  </si>
  <si>
    <t>Открытая (25.11.1991)/30</t>
  </si>
  <si>
    <t>98,70</t>
  </si>
  <si>
    <t>Воронец Сергей</t>
  </si>
  <si>
    <t>Мастера 50-59 (16.10.1971)/50</t>
  </si>
  <si>
    <t>97,80</t>
  </si>
  <si>
    <t xml:space="preserve">Форум </t>
  </si>
  <si>
    <t>Афанасьев Е.</t>
  </si>
  <si>
    <t>Бебчук Владимир</t>
  </si>
  <si>
    <t>Открытая (04.02.1990)/32</t>
  </si>
  <si>
    <t>107,10</t>
  </si>
  <si>
    <t>Тяга</t>
  </si>
  <si>
    <t>Киприянов Алексей</t>
  </si>
  <si>
    <t>Открытая (28.04.2005)/16</t>
  </si>
  <si>
    <t>Величкин Вячеслав</t>
  </si>
  <si>
    <t>74,15</t>
  </si>
  <si>
    <t>Самхарадзе Иван</t>
  </si>
  <si>
    <t>74,50</t>
  </si>
  <si>
    <t>Юнусов Руслан</t>
  </si>
  <si>
    <t>Открытая (07.03.1997)/25</t>
  </si>
  <si>
    <t>73,45</t>
  </si>
  <si>
    <t>Киприянов Андрей</t>
  </si>
  <si>
    <t>78,45</t>
  </si>
  <si>
    <t>Кобзев Тимур</t>
  </si>
  <si>
    <t>Открытая (17.05.1988)/33</t>
  </si>
  <si>
    <t>77,70</t>
  </si>
  <si>
    <t>Грошев Андрей</t>
  </si>
  <si>
    <t>Открытая (25.06.1995)/26</t>
  </si>
  <si>
    <t>79,10</t>
  </si>
  <si>
    <t>Дикун Иван</t>
  </si>
  <si>
    <t>Открытая (08.11.1985)/36</t>
  </si>
  <si>
    <t>89,45</t>
  </si>
  <si>
    <t>45,1328</t>
  </si>
  <si>
    <t>45,3060</t>
  </si>
  <si>
    <t>44,1420</t>
  </si>
  <si>
    <t>Андропов А.</t>
  </si>
  <si>
    <t>Грошев М.</t>
  </si>
  <si>
    <t>Альховик Артём</t>
  </si>
  <si>
    <t>Открытая (20.05.1990)/31</t>
  </si>
  <si>
    <t>Жим стоя</t>
  </si>
  <si>
    <t>Старченко Михаил</t>
  </si>
  <si>
    <t>Открытая (14.10.1991)/30</t>
  </si>
  <si>
    <t>79,85</t>
  </si>
  <si>
    <t>99,25</t>
  </si>
  <si>
    <t>Пайсов Егор</t>
  </si>
  <si>
    <t>Открытая (30.07.1984)/37</t>
  </si>
  <si>
    <t>Дочупайло Владислав</t>
  </si>
  <si>
    <t>74,65</t>
  </si>
  <si>
    <t>Михаэлис Максим</t>
  </si>
  <si>
    <t>Открытая (15.11.1974)/47</t>
  </si>
  <si>
    <t>89,40</t>
  </si>
  <si>
    <t>Верещагин Андрей</t>
  </si>
  <si>
    <t>Открытая (08.07.1985)/36</t>
  </si>
  <si>
    <t>78,0</t>
  </si>
  <si>
    <t>Романов Д.</t>
  </si>
  <si>
    <t>65,45</t>
  </si>
  <si>
    <t>25,0</t>
  </si>
  <si>
    <t>32,0</t>
  </si>
  <si>
    <t>Карпов Константин</t>
  </si>
  <si>
    <t>Открытая (26.04.1988)/33</t>
  </si>
  <si>
    <t>67,70</t>
  </si>
  <si>
    <t xml:space="preserve">Железный Самсон </t>
  </si>
  <si>
    <t xml:space="preserve"> Быховец А. </t>
  </si>
  <si>
    <t xml:space="preserve">  Быховец А. </t>
  </si>
  <si>
    <t xml:space="preserve">Юниорки </t>
  </si>
  <si>
    <t xml:space="preserve">Юниоры </t>
  </si>
  <si>
    <t>58,9102</t>
  </si>
  <si>
    <t>50,8440</t>
  </si>
  <si>
    <t>Санкт-Петербург</t>
  </si>
  <si>
    <t>Весовая категория</t>
  </si>
  <si>
    <t xml:space="preserve">Новокузнецк/Кемеровская область </t>
  </si>
  <si>
    <t xml:space="preserve">Верх-Ирмень/Новосибирская область </t>
  </si>
  <si>
    <t>Лянтор/ХМАО</t>
  </si>
  <si>
    <t>Нижний Бестях/Республика Саха Якутия</t>
  </si>
  <si>
    <t>Анжеро-Судженск/Кемеровская область</t>
  </si>
  <si>
    <t>Всероссийский турнир «Стальной медведь-время сильных»
WRPF Пауэрлифтинг без экипировки ДК
Новосибирск/Новосибирская область, 23-24 апреля 2022 года</t>
  </si>
  <si>
    <t>Всероссийский турнир «Стальной медведь-время сильных»
WRPF Пауэрлифтинг без экипировки
Новосибирск/Новосибирская область, 23-24 апреля 2022 года</t>
  </si>
  <si>
    <t>Всероссийский турнир «Стальной медведь-время сильных»
WRPF Пауэрлифтинг классический в бинтах ДК
Новосибирск/Новосибирская область, 23-24 апреля 2022 года</t>
  </si>
  <si>
    <t>Всероссийский турнир «Стальной медведь-время сильных»
WRPF Пауэрлифтинг классический в бинтах
Новосибирск/Новосибирская область, 23-24 апреля 2022 года</t>
  </si>
  <si>
    <t>Всероссийский турнир «Стальной медведь-время сильных»
WRPF Силовое двоеборье без экипировки ДК
Новосибирск/Новосибирская область, 23-24 апреля 2022 года</t>
  </si>
  <si>
    <t>Всероссийский турнир «Стальной медведь-время сильных»
WRPF Силовое двоеборье без экипировки
Новосибирск/Новосибирская область, 23-24 апреля 2022 года</t>
  </si>
  <si>
    <t>Всероссийский турнир «Стальной медведь-время сильных»
WRPF Жим лежа без экипировки ДК
Новосибирск/Новосибирская область, 23-24 апреля 2022 года</t>
  </si>
  <si>
    <t>Всероссийский турнир «Стальной медведь-время сильных»
WRPF Жим лежа без экипировки
Новосибирск/Новосибирская область, 23-24 апреля 2022 года</t>
  </si>
  <si>
    <t>Всероссийский турнир «Стальной медведь-время сильных»
WEPF Жим лежа в однопетельной софт экипировке ДК
Новосибирск/Новосибирская область, 23-24 апреля 2022 года</t>
  </si>
  <si>
    <t>Всероссийский турнир «Стальной медведь-время сильных»
WEPF Жим лежа в однопетельной софт экипировке
Новосибирск/Новосибирская область, 23-24 апреля 2022 года</t>
  </si>
  <si>
    <t>Всероссийский турнир «Стальной медведь-время сильных»
WEPF Жим лежа в многопетельной софт экипировке
Новосибирск/Новосибирская область, 23-24 апреля 2022 года</t>
  </si>
  <si>
    <t>Всероссийский турнир «Стальной медведь-время сильных»
WRPF Военный жим лежа с ДК
Новосибирск/Новосибирская область, 23-24 апреля 2022 года</t>
  </si>
  <si>
    <t>Всероссийский турнир «Стальной медведь-время сильных»
WRPF Военный жим лежа
Новосибирск/Новосибирская область, 23-24 апреля 2022 года</t>
  </si>
  <si>
    <t>Юниорки 20-23 (14.08.1998)/23</t>
  </si>
  <si>
    <t>Всероссийский турнир «Стальной медведь-время сильных»
WRPF Жим лежа среди спортсменов с физическими особенностями
Новосибирск/Новосибирская область, 23-24 апреля 2022 года</t>
  </si>
  <si>
    <t>Всероссийский турнир «Стальной медведь-время сильных»
WRPF Становая тяга без экипировки ДК
Новосибирск/Новосибирская область, 23-24 апреля 2022 года</t>
  </si>
  <si>
    <t>Всероссийский турнир «Стальной медведь-время сильных»
WRPF Становая тяга без экипировки
Новосибирск/Новосибирская область, 23-24 апреля 2022 года</t>
  </si>
  <si>
    <t>Всероссийский турнир «Стальной медведь-время сильных»
WRPF Строгий подъем штанги на бицепс ДК
Новосибирск/Новосибирская область, 23-24 апреля 2022 года</t>
  </si>
  <si>
    <t>Юноши 13-19 (25.12.2003)/18</t>
  </si>
  <si>
    <t>Юноши 13-19 (28.04.2005)/16</t>
  </si>
  <si>
    <t>Юноши 13-19 (08.06.2004)/17</t>
  </si>
  <si>
    <t>Всероссийский турнир «Стальной медведь-время сильных»
WRPF Строгий подъем штанги на бицепс
Новосибирск/Новосибирская область, 23-24 апреля 2022 года</t>
  </si>
  <si>
    <t>Всероссийский турнир «Стальной медведь-время сильных»
СПР Пауэрспорт
Новосибирск/Новосибирская область, 23-24 апреля 2022 года</t>
  </si>
  <si>
    <t>Всероссийский турнир «Стальной медведь-время сильных»
СПР Пауэрспорт ДК
Новосибирск/Новосибирская область, 23-24 апреля 2022 года</t>
  </si>
  <si>
    <t>Всероссийский турнир «Стальной медведь-время сильных»
СПР Жим штанги стоя ДК
Новосибирск/Новосибирская область, 23-24 апреля 2022 года</t>
  </si>
  <si>
    <t>Девушки 13-19 (17.07.2007)/14</t>
  </si>
  <si>
    <t>Всероссийский турнир «Стальной медведь-время сильных»
СПР Жим штанги стоя
Новосибирск/Новосибирская область, 23-24 апреля 2022 года</t>
  </si>
  <si>
    <t>Всероссийский турнир «Стальной медведь-время сильных»
СПР Строгий подъем штанги на бицепс ДК
Новосибирск/Новосибирская область, 23-24 апреля 2022 года</t>
  </si>
  <si>
    <t>Юноши 13-19 (24.12.2005)/16</t>
  </si>
  <si>
    <t>Всероссийский турнир «Стальной медведь-время сильных»
СПР Строгий подъем штанги на бицепс
Новосибирск/Новосибирская область, 23-24 апреля 2022 года</t>
  </si>
  <si>
    <t>Жим</t>
  </si>
  <si>
    <t>№</t>
  </si>
  <si>
    <t xml:space="preserve">
Дата рождения/Возраст</t>
  </si>
  <si>
    <t>Возрастная группа</t>
  </si>
  <si>
    <t>T2</t>
  </si>
  <si>
    <t>O</t>
  </si>
  <si>
    <t>T1</t>
  </si>
  <si>
    <t>M1</t>
  </si>
  <si>
    <t>J</t>
  </si>
  <si>
    <t>M2</t>
  </si>
  <si>
    <t>M3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</si>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</sst>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92"/>
  <sheetViews>
    <sheetView workbookViewId="0">
      <selection activeCell="E51" sqref="E51"/>
    </sheetView>
  </sheetViews>
  <sheetFormatPr baseColWidth="10" defaultColWidth="9.1640625" defaultRowHeight="13"/>
  <cols>
    <col min="1" max="1" width="7.5" style="6" bestFit="1" customWidth="1"/>
    <col min="2" max="2" width="21.5" style="6" bestFit="1" customWidth="1"/>
    <col min="3" max="3" width="27.83203125" style="6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4" width="5.5" style="7" customWidth="1"/>
    <col min="15" max="15" width="4.83203125" style="7" customWidth="1"/>
    <col min="16" max="18" width="5.5" style="7" customWidth="1"/>
    <col min="19" max="19" width="4.83203125" style="7" customWidth="1"/>
    <col min="20" max="20" width="7.83203125" style="7" bestFit="1" customWidth="1"/>
    <col min="21" max="21" width="8.5" style="7" bestFit="1" customWidth="1"/>
    <col min="22" max="22" width="26.6640625" style="6" bestFit="1" customWidth="1"/>
    <col min="23" max="16384" width="9.1640625" style="3"/>
  </cols>
  <sheetData>
    <row r="1" spans="1:22" s="2" customFormat="1" ht="29" customHeight="1">
      <c r="A1" s="78" t="s">
        <v>855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22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7</v>
      </c>
      <c r="I3" s="76"/>
      <c r="J3" s="76"/>
      <c r="K3" s="76"/>
      <c r="L3" s="76" t="s">
        <v>8</v>
      </c>
      <c r="M3" s="76"/>
      <c r="N3" s="76"/>
      <c r="O3" s="76"/>
      <c r="P3" s="76" t="s">
        <v>9</v>
      </c>
      <c r="Q3" s="76"/>
      <c r="R3" s="76"/>
      <c r="S3" s="76"/>
      <c r="T3" s="76" t="s">
        <v>1</v>
      </c>
      <c r="U3" s="76" t="s">
        <v>3</v>
      </c>
      <c r="V3" s="89" t="s">
        <v>2</v>
      </c>
    </row>
    <row r="4" spans="1:22" s="1" customFormat="1" ht="21" customHeight="1" thickBot="1">
      <c r="A4" s="87"/>
      <c r="B4" s="94"/>
      <c r="C4" s="77"/>
      <c r="D4" s="77"/>
      <c r="E4" s="77"/>
      <c r="F4" s="77"/>
      <c r="G4" s="77"/>
      <c r="H4" s="4">
        <v>1</v>
      </c>
      <c r="I4" s="4">
        <v>2</v>
      </c>
      <c r="J4" s="4">
        <v>3</v>
      </c>
      <c r="K4" s="4" t="s">
        <v>4</v>
      </c>
      <c r="L4" s="4">
        <v>1</v>
      </c>
      <c r="M4" s="4">
        <v>2</v>
      </c>
      <c r="N4" s="4">
        <v>3</v>
      </c>
      <c r="O4" s="4" t="s">
        <v>4</v>
      </c>
      <c r="P4" s="4">
        <v>1</v>
      </c>
      <c r="Q4" s="4">
        <v>2</v>
      </c>
      <c r="R4" s="4">
        <v>3</v>
      </c>
      <c r="S4" s="4" t="s">
        <v>4</v>
      </c>
      <c r="T4" s="77"/>
      <c r="U4" s="77"/>
      <c r="V4" s="90"/>
    </row>
    <row r="5" spans="1:22" ht="16">
      <c r="A5" s="95" t="s">
        <v>10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22">
      <c r="A6" s="9" t="s">
        <v>185</v>
      </c>
      <c r="B6" s="8" t="s">
        <v>11</v>
      </c>
      <c r="C6" s="8" t="s">
        <v>12</v>
      </c>
      <c r="D6" s="8" t="s">
        <v>13</v>
      </c>
      <c r="E6" s="8" t="s">
        <v>889</v>
      </c>
      <c r="F6" s="8" t="s">
        <v>14</v>
      </c>
      <c r="G6" s="8" t="s">
        <v>15</v>
      </c>
      <c r="H6" s="22" t="s">
        <v>16</v>
      </c>
      <c r="I6" s="22" t="s">
        <v>17</v>
      </c>
      <c r="J6" s="22" t="s">
        <v>18</v>
      </c>
      <c r="K6" s="9"/>
      <c r="L6" s="22" t="s">
        <v>19</v>
      </c>
      <c r="M6" s="22" t="s">
        <v>20</v>
      </c>
      <c r="N6" s="23" t="s">
        <v>21</v>
      </c>
      <c r="O6" s="9"/>
      <c r="P6" s="22" t="s">
        <v>18</v>
      </c>
      <c r="Q6" s="23" t="s">
        <v>22</v>
      </c>
      <c r="R6" s="23" t="s">
        <v>22</v>
      </c>
      <c r="S6" s="9"/>
      <c r="T6" s="9" t="str">
        <f>"240,0"</f>
        <v>240,0</v>
      </c>
      <c r="U6" s="9" t="str">
        <f>"315,4320"</f>
        <v>315,4320</v>
      </c>
      <c r="V6" s="8" t="s">
        <v>349</v>
      </c>
    </row>
    <row r="7" spans="1:22">
      <c r="A7" s="11" t="s">
        <v>185</v>
      </c>
      <c r="B7" s="10" t="s">
        <v>23</v>
      </c>
      <c r="C7" s="10" t="s">
        <v>24</v>
      </c>
      <c r="D7" s="10" t="s">
        <v>25</v>
      </c>
      <c r="E7" s="10" t="s">
        <v>890</v>
      </c>
      <c r="F7" s="10" t="s">
        <v>348</v>
      </c>
      <c r="G7" s="10" t="s">
        <v>26</v>
      </c>
      <c r="H7" s="24" t="s">
        <v>27</v>
      </c>
      <c r="I7" s="25" t="s">
        <v>17</v>
      </c>
      <c r="J7" s="24" t="s">
        <v>17</v>
      </c>
      <c r="K7" s="11"/>
      <c r="L7" s="24" t="s">
        <v>20</v>
      </c>
      <c r="M7" s="24" t="s">
        <v>28</v>
      </c>
      <c r="N7" s="24" t="s">
        <v>29</v>
      </c>
      <c r="O7" s="11"/>
      <c r="P7" s="24" t="s">
        <v>22</v>
      </c>
      <c r="Q7" s="24" t="s">
        <v>30</v>
      </c>
      <c r="R7" s="24" t="s">
        <v>31</v>
      </c>
      <c r="S7" s="11"/>
      <c r="T7" s="11" t="str">
        <f>"267,5"</f>
        <v>267,5</v>
      </c>
      <c r="U7" s="11" t="str">
        <f>"333,9737"</f>
        <v>333,9737</v>
      </c>
      <c r="V7" s="10" t="s">
        <v>350</v>
      </c>
    </row>
    <row r="8" spans="1:22">
      <c r="B8" s="6" t="s">
        <v>186</v>
      </c>
    </row>
    <row r="9" spans="1:22" ht="16">
      <c r="A9" s="91" t="s">
        <v>32</v>
      </c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22">
      <c r="A10" s="9" t="s">
        <v>185</v>
      </c>
      <c r="B10" s="8" t="s">
        <v>33</v>
      </c>
      <c r="C10" s="8" t="s">
        <v>34</v>
      </c>
      <c r="D10" s="8" t="s">
        <v>35</v>
      </c>
      <c r="E10" s="8" t="s">
        <v>890</v>
      </c>
      <c r="F10" s="8" t="s">
        <v>36</v>
      </c>
      <c r="G10" s="8" t="s">
        <v>26</v>
      </c>
      <c r="H10" s="22" t="s">
        <v>37</v>
      </c>
      <c r="I10" s="22" t="s">
        <v>38</v>
      </c>
      <c r="J10" s="23" t="s">
        <v>39</v>
      </c>
      <c r="K10" s="9"/>
      <c r="L10" s="22" t="s">
        <v>40</v>
      </c>
      <c r="M10" s="23" t="s">
        <v>41</v>
      </c>
      <c r="N10" s="23" t="s">
        <v>41</v>
      </c>
      <c r="O10" s="9"/>
      <c r="P10" s="22" t="s">
        <v>42</v>
      </c>
      <c r="Q10" s="23" t="s">
        <v>43</v>
      </c>
      <c r="R10" s="23" t="s">
        <v>43</v>
      </c>
      <c r="S10" s="9"/>
      <c r="T10" s="9" t="str">
        <f>"305,0"</f>
        <v>305,0</v>
      </c>
      <c r="U10" s="9" t="str">
        <f>"358,8630"</f>
        <v>358,8630</v>
      </c>
      <c r="V10" s="8" t="s">
        <v>129</v>
      </c>
    </row>
    <row r="11" spans="1:22">
      <c r="A11" s="11" t="s">
        <v>187</v>
      </c>
      <c r="B11" s="10" t="s">
        <v>44</v>
      </c>
      <c r="C11" s="10" t="s">
        <v>45</v>
      </c>
      <c r="D11" s="10" t="s">
        <v>46</v>
      </c>
      <c r="E11" s="10" t="s">
        <v>890</v>
      </c>
      <c r="F11" s="10" t="s">
        <v>348</v>
      </c>
      <c r="G11" s="10" t="s">
        <v>26</v>
      </c>
      <c r="H11" s="24" t="s">
        <v>27</v>
      </c>
      <c r="I11" s="24" t="s">
        <v>16</v>
      </c>
      <c r="J11" s="24" t="s">
        <v>17</v>
      </c>
      <c r="K11" s="11"/>
      <c r="L11" s="24" t="s">
        <v>47</v>
      </c>
      <c r="M11" s="24" t="s">
        <v>48</v>
      </c>
      <c r="N11" s="24" t="s">
        <v>20</v>
      </c>
      <c r="O11" s="11"/>
      <c r="P11" s="24" t="s">
        <v>22</v>
      </c>
      <c r="Q11" s="24" t="s">
        <v>49</v>
      </c>
      <c r="R11" s="24" t="s">
        <v>30</v>
      </c>
      <c r="S11" s="11"/>
      <c r="T11" s="11" t="str">
        <f>"255,0"</f>
        <v>255,0</v>
      </c>
      <c r="U11" s="11" t="str">
        <f>"304,7250"</f>
        <v>304,7250</v>
      </c>
      <c r="V11" s="10"/>
    </row>
    <row r="12" spans="1:22">
      <c r="B12" s="6" t="s">
        <v>186</v>
      </c>
    </row>
    <row r="13" spans="1:22" ht="16">
      <c r="A13" s="91" t="s">
        <v>50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22">
      <c r="A14" s="13" t="s">
        <v>185</v>
      </c>
      <c r="B14" s="12" t="s">
        <v>51</v>
      </c>
      <c r="C14" s="12" t="s">
        <v>52</v>
      </c>
      <c r="D14" s="12" t="s">
        <v>53</v>
      </c>
      <c r="E14" s="12" t="s">
        <v>890</v>
      </c>
      <c r="F14" s="12" t="s">
        <v>54</v>
      </c>
      <c r="G14" s="12" t="s">
        <v>26</v>
      </c>
      <c r="H14" s="26" t="s">
        <v>55</v>
      </c>
      <c r="I14" s="27" t="s">
        <v>27</v>
      </c>
      <c r="J14" s="27" t="s">
        <v>27</v>
      </c>
      <c r="K14" s="13"/>
      <c r="L14" s="26" t="s">
        <v>56</v>
      </c>
      <c r="M14" s="27" t="s">
        <v>47</v>
      </c>
      <c r="N14" s="26" t="s">
        <v>47</v>
      </c>
      <c r="O14" s="13"/>
      <c r="P14" s="26" t="s">
        <v>17</v>
      </c>
      <c r="Q14" s="26" t="s">
        <v>18</v>
      </c>
      <c r="R14" s="27" t="s">
        <v>22</v>
      </c>
      <c r="S14" s="13"/>
      <c r="T14" s="13" t="str">
        <f>"205,0"</f>
        <v>205,0</v>
      </c>
      <c r="U14" s="13" t="str">
        <f>"236,8980"</f>
        <v>236,8980</v>
      </c>
      <c r="V14" s="12" t="s">
        <v>351</v>
      </c>
    </row>
    <row r="15" spans="1:22">
      <c r="B15" s="6" t="s">
        <v>186</v>
      </c>
    </row>
    <row r="16" spans="1:22" ht="16">
      <c r="A16" s="91" t="s">
        <v>57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22">
      <c r="A17" s="9" t="s">
        <v>185</v>
      </c>
      <c r="B17" s="8" t="s">
        <v>58</v>
      </c>
      <c r="C17" s="8" t="s">
        <v>59</v>
      </c>
      <c r="D17" s="8" t="s">
        <v>60</v>
      </c>
      <c r="E17" s="8" t="s">
        <v>891</v>
      </c>
      <c r="F17" s="8" t="s">
        <v>61</v>
      </c>
      <c r="G17" s="8" t="s">
        <v>26</v>
      </c>
      <c r="H17" s="22" t="s">
        <v>55</v>
      </c>
      <c r="I17" s="22" t="s">
        <v>27</v>
      </c>
      <c r="J17" s="22" t="s">
        <v>62</v>
      </c>
      <c r="K17" s="9"/>
      <c r="L17" s="22" t="s">
        <v>63</v>
      </c>
      <c r="M17" s="22" t="s">
        <v>64</v>
      </c>
      <c r="N17" s="23" t="s">
        <v>20</v>
      </c>
      <c r="O17" s="9"/>
      <c r="P17" s="22" t="s">
        <v>27</v>
      </c>
      <c r="Q17" s="22" t="s">
        <v>17</v>
      </c>
      <c r="R17" s="9"/>
      <c r="S17" s="9"/>
      <c r="T17" s="9" t="str">
        <f>"220,0"</f>
        <v>220,0</v>
      </c>
      <c r="U17" s="9" t="str">
        <f>"229,5040"</f>
        <v>229,5040</v>
      </c>
      <c r="V17" s="8" t="s">
        <v>65</v>
      </c>
    </row>
    <row r="18" spans="1:22">
      <c r="A18" s="11" t="s">
        <v>185</v>
      </c>
      <c r="B18" s="10" t="s">
        <v>66</v>
      </c>
      <c r="C18" s="10" t="s">
        <v>67</v>
      </c>
      <c r="D18" s="10" t="s">
        <v>68</v>
      </c>
      <c r="E18" s="10" t="s">
        <v>890</v>
      </c>
      <c r="F18" s="10" t="s">
        <v>36</v>
      </c>
      <c r="G18" s="10" t="s">
        <v>26</v>
      </c>
      <c r="H18" s="24" t="s">
        <v>18</v>
      </c>
      <c r="I18" s="25" t="s">
        <v>22</v>
      </c>
      <c r="J18" s="25" t="s">
        <v>22</v>
      </c>
      <c r="K18" s="11"/>
      <c r="L18" s="24" t="s">
        <v>20</v>
      </c>
      <c r="M18" s="24" t="s">
        <v>21</v>
      </c>
      <c r="N18" s="25" t="s">
        <v>28</v>
      </c>
      <c r="O18" s="11"/>
      <c r="P18" s="24" t="s">
        <v>69</v>
      </c>
      <c r="Q18" s="24" t="s">
        <v>49</v>
      </c>
      <c r="R18" s="24" t="s">
        <v>70</v>
      </c>
      <c r="S18" s="11"/>
      <c r="T18" s="11" t="str">
        <f>"257,5"</f>
        <v>257,5</v>
      </c>
      <c r="U18" s="11" t="str">
        <f>"262,8045"</f>
        <v>262,8045</v>
      </c>
      <c r="V18" s="10" t="s">
        <v>129</v>
      </c>
    </row>
    <row r="19" spans="1:22">
      <c r="B19" s="6" t="s">
        <v>186</v>
      </c>
    </row>
    <row r="20" spans="1:22" ht="16">
      <c r="A20" s="91" t="s">
        <v>71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22">
      <c r="A21" s="9" t="s">
        <v>185</v>
      </c>
      <c r="B21" s="8" t="s">
        <v>72</v>
      </c>
      <c r="C21" s="8" t="s">
        <v>73</v>
      </c>
      <c r="D21" s="8" t="s">
        <v>74</v>
      </c>
      <c r="E21" s="8" t="s">
        <v>890</v>
      </c>
      <c r="F21" s="8" t="s">
        <v>36</v>
      </c>
      <c r="G21" s="8" t="s">
        <v>26</v>
      </c>
      <c r="H21" s="22" t="s">
        <v>75</v>
      </c>
      <c r="I21" s="22" t="s">
        <v>37</v>
      </c>
      <c r="J21" s="22" t="s">
        <v>31</v>
      </c>
      <c r="K21" s="9"/>
      <c r="L21" s="22" t="s">
        <v>28</v>
      </c>
      <c r="M21" s="22" t="s">
        <v>76</v>
      </c>
      <c r="N21" s="23" t="s">
        <v>77</v>
      </c>
      <c r="O21" s="9"/>
      <c r="P21" s="22" t="s">
        <v>78</v>
      </c>
      <c r="Q21" s="22" t="s">
        <v>79</v>
      </c>
      <c r="R21" s="23" t="s">
        <v>80</v>
      </c>
      <c r="S21" s="9"/>
      <c r="T21" s="9" t="str">
        <f>"325,0"</f>
        <v>325,0</v>
      </c>
      <c r="U21" s="9" t="str">
        <f>"323,3100"</f>
        <v>323,3100</v>
      </c>
      <c r="V21" s="8" t="s">
        <v>129</v>
      </c>
    </row>
    <row r="22" spans="1:22">
      <c r="A22" s="11" t="s">
        <v>187</v>
      </c>
      <c r="B22" s="10" t="s">
        <v>81</v>
      </c>
      <c r="C22" s="10" t="s">
        <v>82</v>
      </c>
      <c r="D22" s="10" t="s">
        <v>83</v>
      </c>
      <c r="E22" s="10" t="s">
        <v>890</v>
      </c>
      <c r="F22" s="10" t="s">
        <v>348</v>
      </c>
      <c r="G22" s="10" t="s">
        <v>26</v>
      </c>
      <c r="H22" s="25" t="s">
        <v>84</v>
      </c>
      <c r="I22" s="24" t="s">
        <v>18</v>
      </c>
      <c r="J22" s="24" t="s">
        <v>22</v>
      </c>
      <c r="K22" s="11"/>
      <c r="L22" s="24" t="s">
        <v>48</v>
      </c>
      <c r="M22" s="24" t="s">
        <v>20</v>
      </c>
      <c r="N22" s="24" t="s">
        <v>21</v>
      </c>
      <c r="O22" s="11"/>
      <c r="P22" s="24" t="s">
        <v>38</v>
      </c>
      <c r="Q22" s="24" t="s">
        <v>39</v>
      </c>
      <c r="R22" s="24" t="s">
        <v>85</v>
      </c>
      <c r="S22" s="11"/>
      <c r="T22" s="11" t="str">
        <f>"285,0"</f>
        <v>285,0</v>
      </c>
      <c r="U22" s="11" t="str">
        <f>"282,6915"</f>
        <v>282,6915</v>
      </c>
      <c r="V22" s="10" t="s">
        <v>352</v>
      </c>
    </row>
    <row r="23" spans="1:22">
      <c r="B23" s="6" t="s">
        <v>186</v>
      </c>
    </row>
    <row r="24" spans="1:22" ht="16">
      <c r="A24" s="91" t="s">
        <v>57</v>
      </c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22">
      <c r="A25" s="9" t="s">
        <v>185</v>
      </c>
      <c r="B25" s="8" t="s">
        <v>86</v>
      </c>
      <c r="C25" s="8" t="s">
        <v>87</v>
      </c>
      <c r="D25" s="8" t="s">
        <v>88</v>
      </c>
      <c r="E25" s="8" t="s">
        <v>890</v>
      </c>
      <c r="F25" s="8" t="s">
        <v>36</v>
      </c>
      <c r="G25" s="8" t="s">
        <v>848</v>
      </c>
      <c r="H25" s="22" t="s">
        <v>89</v>
      </c>
      <c r="I25" s="22" t="s">
        <v>90</v>
      </c>
      <c r="J25" s="22" t="s">
        <v>91</v>
      </c>
      <c r="K25" s="9"/>
      <c r="L25" s="23" t="s">
        <v>42</v>
      </c>
      <c r="M25" s="22" t="s">
        <v>42</v>
      </c>
      <c r="N25" s="23" t="s">
        <v>43</v>
      </c>
      <c r="O25" s="9"/>
      <c r="P25" s="22" t="s">
        <v>92</v>
      </c>
      <c r="Q25" s="22" t="s">
        <v>93</v>
      </c>
      <c r="R25" s="23" t="s">
        <v>94</v>
      </c>
      <c r="S25" s="9"/>
      <c r="T25" s="9" t="str">
        <f>"482,5"</f>
        <v>482,5</v>
      </c>
      <c r="U25" s="9" t="str">
        <f>"375,1437"</f>
        <v>375,1437</v>
      </c>
      <c r="V25" s="8" t="s">
        <v>129</v>
      </c>
    </row>
    <row r="26" spans="1:22">
      <c r="A26" s="11" t="s">
        <v>187</v>
      </c>
      <c r="B26" s="10" t="s">
        <v>95</v>
      </c>
      <c r="C26" s="10" t="s">
        <v>96</v>
      </c>
      <c r="D26" s="10" t="s">
        <v>97</v>
      </c>
      <c r="E26" s="10" t="s">
        <v>890</v>
      </c>
      <c r="F26" s="10" t="s">
        <v>348</v>
      </c>
      <c r="G26" s="10" t="s">
        <v>26</v>
      </c>
      <c r="H26" s="24" t="s">
        <v>79</v>
      </c>
      <c r="I26" s="24" t="s">
        <v>89</v>
      </c>
      <c r="J26" s="24" t="s">
        <v>98</v>
      </c>
      <c r="K26" s="11"/>
      <c r="L26" s="24" t="s">
        <v>18</v>
      </c>
      <c r="M26" s="24" t="s">
        <v>99</v>
      </c>
      <c r="N26" s="24" t="s">
        <v>49</v>
      </c>
      <c r="O26" s="11"/>
      <c r="P26" s="24" t="s">
        <v>91</v>
      </c>
      <c r="Q26" s="24" t="s">
        <v>100</v>
      </c>
      <c r="R26" s="24" t="s">
        <v>101</v>
      </c>
      <c r="S26" s="11"/>
      <c r="T26" s="11" t="str">
        <f>"462,5"</f>
        <v>462,5</v>
      </c>
      <c r="U26" s="11" t="str">
        <f>"357,0037"</f>
        <v>357,0037</v>
      </c>
      <c r="V26" s="10" t="s">
        <v>129</v>
      </c>
    </row>
    <row r="27" spans="1:22">
      <c r="B27" s="6" t="s">
        <v>186</v>
      </c>
    </row>
    <row r="28" spans="1:22" ht="16">
      <c r="A28" s="91" t="s">
        <v>71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22">
      <c r="A29" s="9" t="s">
        <v>185</v>
      </c>
      <c r="B29" s="8" t="s">
        <v>102</v>
      </c>
      <c r="C29" s="8" t="s">
        <v>103</v>
      </c>
      <c r="D29" s="8" t="s">
        <v>104</v>
      </c>
      <c r="E29" s="8" t="s">
        <v>889</v>
      </c>
      <c r="F29" s="8" t="s">
        <v>105</v>
      </c>
      <c r="G29" s="8" t="s">
        <v>26</v>
      </c>
      <c r="H29" s="23" t="s">
        <v>69</v>
      </c>
      <c r="I29" s="22" t="s">
        <v>99</v>
      </c>
      <c r="J29" s="22" t="s">
        <v>37</v>
      </c>
      <c r="K29" s="9"/>
      <c r="L29" s="23" t="s">
        <v>17</v>
      </c>
      <c r="M29" s="22" t="s">
        <v>84</v>
      </c>
      <c r="N29" s="23" t="s">
        <v>69</v>
      </c>
      <c r="O29" s="9"/>
      <c r="P29" s="22" t="s">
        <v>30</v>
      </c>
      <c r="Q29" s="22" t="s">
        <v>43</v>
      </c>
      <c r="R29" s="22" t="s">
        <v>106</v>
      </c>
      <c r="S29" s="9"/>
      <c r="T29" s="9" t="str">
        <f>"345,0"</f>
        <v>345,0</v>
      </c>
      <c r="U29" s="9" t="str">
        <f>"247,9170"</f>
        <v>247,9170</v>
      </c>
      <c r="V29" s="8" t="s">
        <v>353</v>
      </c>
    </row>
    <row r="30" spans="1:22">
      <c r="A30" s="15" t="s">
        <v>185</v>
      </c>
      <c r="B30" s="14" t="s">
        <v>107</v>
      </c>
      <c r="C30" s="14" t="s">
        <v>108</v>
      </c>
      <c r="D30" s="14" t="s">
        <v>109</v>
      </c>
      <c r="E30" s="14" t="s">
        <v>890</v>
      </c>
      <c r="F30" s="14" t="s">
        <v>54</v>
      </c>
      <c r="G30" s="14" t="s">
        <v>26</v>
      </c>
      <c r="H30" s="28" t="s">
        <v>31</v>
      </c>
      <c r="I30" s="28" t="s">
        <v>85</v>
      </c>
      <c r="J30" s="28" t="s">
        <v>106</v>
      </c>
      <c r="K30" s="15"/>
      <c r="L30" s="28" t="s">
        <v>22</v>
      </c>
      <c r="M30" s="28" t="s">
        <v>75</v>
      </c>
      <c r="N30" s="29" t="s">
        <v>49</v>
      </c>
      <c r="O30" s="15"/>
      <c r="P30" s="28" t="s">
        <v>80</v>
      </c>
      <c r="Q30" s="28" t="s">
        <v>98</v>
      </c>
      <c r="R30" s="28" t="s">
        <v>110</v>
      </c>
      <c r="S30" s="15"/>
      <c r="T30" s="15" t="str">
        <f>"415,0"</f>
        <v>415,0</v>
      </c>
      <c r="U30" s="15" t="str">
        <f>"296,8080"</f>
        <v>296,8080</v>
      </c>
      <c r="V30" s="14" t="s">
        <v>351</v>
      </c>
    </row>
    <row r="31" spans="1:22">
      <c r="A31" s="15" t="s">
        <v>185</v>
      </c>
      <c r="B31" s="14" t="s">
        <v>111</v>
      </c>
      <c r="C31" s="14" t="s">
        <v>112</v>
      </c>
      <c r="D31" s="14" t="s">
        <v>113</v>
      </c>
      <c r="E31" s="14" t="s">
        <v>890</v>
      </c>
      <c r="F31" s="14" t="s">
        <v>61</v>
      </c>
      <c r="G31" s="14" t="s">
        <v>26</v>
      </c>
      <c r="H31" s="28" t="s">
        <v>92</v>
      </c>
      <c r="I31" s="28" t="s">
        <v>114</v>
      </c>
      <c r="J31" s="15"/>
      <c r="K31" s="15"/>
      <c r="L31" s="28" t="s">
        <v>78</v>
      </c>
      <c r="M31" s="29" t="s">
        <v>106</v>
      </c>
      <c r="N31" s="15"/>
      <c r="O31" s="15"/>
      <c r="P31" s="28" t="s">
        <v>115</v>
      </c>
      <c r="Q31" s="28" t="s">
        <v>116</v>
      </c>
      <c r="R31" s="29" t="s">
        <v>117</v>
      </c>
      <c r="S31" s="15"/>
      <c r="T31" s="15" t="str">
        <f>"552,5"</f>
        <v>552,5</v>
      </c>
      <c r="U31" s="15" t="str">
        <f>"394,0430"</f>
        <v>394,0430</v>
      </c>
      <c r="V31" s="14" t="s">
        <v>354</v>
      </c>
    </row>
    <row r="32" spans="1:22">
      <c r="A32" s="11" t="s">
        <v>187</v>
      </c>
      <c r="B32" s="10" t="s">
        <v>118</v>
      </c>
      <c r="C32" s="10" t="s">
        <v>119</v>
      </c>
      <c r="D32" s="10" t="s">
        <v>120</v>
      </c>
      <c r="E32" s="10" t="s">
        <v>890</v>
      </c>
      <c r="F32" s="10" t="s">
        <v>61</v>
      </c>
      <c r="G32" s="10" t="s">
        <v>26</v>
      </c>
      <c r="H32" s="24" t="s">
        <v>78</v>
      </c>
      <c r="I32" s="24" t="s">
        <v>79</v>
      </c>
      <c r="J32" s="25" t="s">
        <v>80</v>
      </c>
      <c r="K32" s="11"/>
      <c r="L32" s="24" t="s">
        <v>16</v>
      </c>
      <c r="M32" s="25" t="s">
        <v>17</v>
      </c>
      <c r="N32" s="25" t="s">
        <v>17</v>
      </c>
      <c r="O32" s="11"/>
      <c r="P32" s="24" t="s">
        <v>91</v>
      </c>
      <c r="Q32" s="24" t="s">
        <v>121</v>
      </c>
      <c r="R32" s="25" t="s">
        <v>100</v>
      </c>
      <c r="S32" s="11"/>
      <c r="T32" s="11" t="str">
        <f>"402,5"</f>
        <v>402,5</v>
      </c>
      <c r="U32" s="11" t="str">
        <f>"298,7355"</f>
        <v>298,7355</v>
      </c>
      <c r="V32" s="10" t="s">
        <v>354</v>
      </c>
    </row>
    <row r="33" spans="1:22">
      <c r="B33" s="6" t="s">
        <v>186</v>
      </c>
    </row>
    <row r="34" spans="1:22" ht="16">
      <c r="A34" s="91" t="s">
        <v>122</v>
      </c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22">
      <c r="A35" s="9" t="s">
        <v>185</v>
      </c>
      <c r="B35" s="8" t="s">
        <v>123</v>
      </c>
      <c r="C35" s="8" t="s">
        <v>124</v>
      </c>
      <c r="D35" s="8" t="s">
        <v>125</v>
      </c>
      <c r="E35" s="8" t="s">
        <v>889</v>
      </c>
      <c r="F35" s="8" t="s">
        <v>348</v>
      </c>
      <c r="G35" s="8" t="s">
        <v>26</v>
      </c>
      <c r="H35" s="22" t="s">
        <v>126</v>
      </c>
      <c r="I35" s="22" t="s">
        <v>127</v>
      </c>
      <c r="J35" s="23" t="s">
        <v>101</v>
      </c>
      <c r="K35" s="9"/>
      <c r="L35" s="23" t="s">
        <v>42</v>
      </c>
      <c r="M35" s="22" t="s">
        <v>42</v>
      </c>
      <c r="N35" s="23" t="s">
        <v>38</v>
      </c>
      <c r="O35" s="9"/>
      <c r="P35" s="22" t="s">
        <v>93</v>
      </c>
      <c r="Q35" s="23" t="s">
        <v>128</v>
      </c>
      <c r="R35" s="23" t="s">
        <v>128</v>
      </c>
      <c r="S35" s="9"/>
      <c r="T35" s="9" t="str">
        <f>"505,0"</f>
        <v>505,0</v>
      </c>
      <c r="U35" s="9" t="str">
        <f>"342,0870"</f>
        <v>342,0870</v>
      </c>
      <c r="V35" s="8" t="s">
        <v>129</v>
      </c>
    </row>
    <row r="36" spans="1:22">
      <c r="A36" s="11" t="s">
        <v>185</v>
      </c>
      <c r="B36" s="10" t="s">
        <v>130</v>
      </c>
      <c r="C36" s="10" t="s">
        <v>131</v>
      </c>
      <c r="D36" s="10" t="s">
        <v>132</v>
      </c>
      <c r="E36" s="10" t="s">
        <v>890</v>
      </c>
      <c r="F36" s="10" t="s">
        <v>54</v>
      </c>
      <c r="G36" s="10" t="s">
        <v>26</v>
      </c>
      <c r="H36" s="24" t="s">
        <v>133</v>
      </c>
      <c r="I36" s="24" t="s">
        <v>106</v>
      </c>
      <c r="J36" s="24" t="s">
        <v>80</v>
      </c>
      <c r="K36" s="11"/>
      <c r="L36" s="25" t="s">
        <v>70</v>
      </c>
      <c r="M36" s="24" t="s">
        <v>70</v>
      </c>
      <c r="N36" s="24" t="s">
        <v>31</v>
      </c>
      <c r="O36" s="11"/>
      <c r="P36" s="24" t="s">
        <v>98</v>
      </c>
      <c r="Q36" s="24" t="s">
        <v>110</v>
      </c>
      <c r="R36" s="24" t="s">
        <v>100</v>
      </c>
      <c r="S36" s="11"/>
      <c r="T36" s="11" t="str">
        <f>"450,0"</f>
        <v>450,0</v>
      </c>
      <c r="U36" s="11" t="str">
        <f>"305,5500"</f>
        <v>305,5500</v>
      </c>
      <c r="V36" s="10" t="s">
        <v>351</v>
      </c>
    </row>
    <row r="37" spans="1:22">
      <c r="B37" s="6" t="s">
        <v>186</v>
      </c>
    </row>
    <row r="38" spans="1:22" ht="16">
      <c r="A38" s="91" t="s">
        <v>134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22">
      <c r="A39" s="13" t="s">
        <v>185</v>
      </c>
      <c r="B39" s="12" t="s">
        <v>135</v>
      </c>
      <c r="C39" s="12" t="s">
        <v>136</v>
      </c>
      <c r="D39" s="12" t="s">
        <v>137</v>
      </c>
      <c r="E39" s="12" t="s">
        <v>890</v>
      </c>
      <c r="F39" s="12" t="s">
        <v>14</v>
      </c>
      <c r="G39" s="12" t="s">
        <v>15</v>
      </c>
      <c r="H39" s="26" t="s">
        <v>38</v>
      </c>
      <c r="I39" s="26" t="s">
        <v>85</v>
      </c>
      <c r="J39" s="26" t="s">
        <v>106</v>
      </c>
      <c r="K39" s="13"/>
      <c r="L39" s="26" t="s">
        <v>22</v>
      </c>
      <c r="M39" s="26" t="s">
        <v>49</v>
      </c>
      <c r="N39" s="27" t="s">
        <v>37</v>
      </c>
      <c r="O39" s="13"/>
      <c r="P39" s="26" t="s">
        <v>106</v>
      </c>
      <c r="Q39" s="26" t="s">
        <v>80</v>
      </c>
      <c r="R39" s="26" t="s">
        <v>89</v>
      </c>
      <c r="S39" s="13"/>
      <c r="T39" s="13" t="str">
        <f>"402,5"</f>
        <v>402,5</v>
      </c>
      <c r="U39" s="13" t="str">
        <f>"263,4363"</f>
        <v>263,4363</v>
      </c>
      <c r="V39" s="12" t="s">
        <v>349</v>
      </c>
    </row>
    <row r="40" spans="1:22">
      <c r="B40" s="6" t="s">
        <v>186</v>
      </c>
    </row>
    <row r="41" spans="1:22" ht="16">
      <c r="A41" s="91" t="s">
        <v>138</v>
      </c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spans="1:22">
      <c r="A42" s="9" t="s">
        <v>185</v>
      </c>
      <c r="B42" s="8" t="s">
        <v>139</v>
      </c>
      <c r="C42" s="8" t="s">
        <v>140</v>
      </c>
      <c r="D42" s="8" t="s">
        <v>141</v>
      </c>
      <c r="E42" s="8" t="s">
        <v>890</v>
      </c>
      <c r="F42" s="8" t="s">
        <v>54</v>
      </c>
      <c r="G42" s="8" t="s">
        <v>26</v>
      </c>
      <c r="H42" s="23" t="s">
        <v>31</v>
      </c>
      <c r="I42" s="22" t="s">
        <v>31</v>
      </c>
      <c r="J42" s="22" t="s">
        <v>133</v>
      </c>
      <c r="K42" s="9"/>
      <c r="L42" s="22" t="s">
        <v>17</v>
      </c>
      <c r="M42" s="22" t="s">
        <v>22</v>
      </c>
      <c r="N42" s="23" t="s">
        <v>75</v>
      </c>
      <c r="O42" s="9"/>
      <c r="P42" s="22" t="s">
        <v>31</v>
      </c>
      <c r="Q42" s="22" t="s">
        <v>133</v>
      </c>
      <c r="R42" s="23" t="s">
        <v>106</v>
      </c>
      <c r="S42" s="9"/>
      <c r="T42" s="9" t="str">
        <f>"360,0"</f>
        <v>360,0</v>
      </c>
      <c r="U42" s="59" t="str">
        <f>"227,9160"</f>
        <v>227,9160</v>
      </c>
      <c r="V42" s="8" t="s">
        <v>351</v>
      </c>
    </row>
    <row r="43" spans="1:22">
      <c r="A43" s="11" t="s">
        <v>185</v>
      </c>
      <c r="B43" s="10" t="s">
        <v>142</v>
      </c>
      <c r="C43" s="10" t="s">
        <v>143</v>
      </c>
      <c r="D43" s="10" t="s">
        <v>144</v>
      </c>
      <c r="E43" s="10" t="s">
        <v>892</v>
      </c>
      <c r="F43" s="10" t="s">
        <v>54</v>
      </c>
      <c r="G43" s="10" t="s">
        <v>26</v>
      </c>
      <c r="H43" s="24" t="s">
        <v>106</v>
      </c>
      <c r="I43" s="24" t="s">
        <v>80</v>
      </c>
      <c r="J43" s="24" t="s">
        <v>91</v>
      </c>
      <c r="K43" s="11"/>
      <c r="L43" s="24" t="s">
        <v>75</v>
      </c>
      <c r="M43" s="24" t="s">
        <v>30</v>
      </c>
      <c r="N43" s="24" t="s">
        <v>43</v>
      </c>
      <c r="O43" s="11"/>
      <c r="P43" s="24" t="s">
        <v>110</v>
      </c>
      <c r="Q43" s="24" t="s">
        <v>100</v>
      </c>
      <c r="R43" s="24" t="s">
        <v>93</v>
      </c>
      <c r="S43" s="11"/>
      <c r="T43" s="11" t="str">
        <f>"490,0"</f>
        <v>490,0</v>
      </c>
      <c r="U43" s="60" t="str">
        <f>"302,2810"</f>
        <v>302,2810</v>
      </c>
      <c r="V43" s="10" t="s">
        <v>351</v>
      </c>
    </row>
    <row r="44" spans="1:22">
      <c r="B44" s="6" t="s">
        <v>186</v>
      </c>
    </row>
    <row r="45" spans="1:22" ht="16">
      <c r="A45" s="91" t="s">
        <v>145</v>
      </c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22">
      <c r="A46" s="9" t="s">
        <v>185</v>
      </c>
      <c r="B46" s="8" t="s">
        <v>146</v>
      </c>
      <c r="C46" s="8" t="s">
        <v>147</v>
      </c>
      <c r="D46" s="8" t="s">
        <v>148</v>
      </c>
      <c r="E46" s="8" t="s">
        <v>893</v>
      </c>
      <c r="F46" s="8" t="s">
        <v>61</v>
      </c>
      <c r="G46" s="8" t="s">
        <v>26</v>
      </c>
      <c r="H46" s="22" t="s">
        <v>98</v>
      </c>
      <c r="I46" s="22" t="s">
        <v>110</v>
      </c>
      <c r="J46" s="23" t="s">
        <v>100</v>
      </c>
      <c r="K46" s="9"/>
      <c r="L46" s="22" t="s">
        <v>43</v>
      </c>
      <c r="M46" s="22" t="s">
        <v>78</v>
      </c>
      <c r="N46" s="23" t="s">
        <v>149</v>
      </c>
      <c r="O46" s="9"/>
      <c r="P46" s="22" t="s">
        <v>150</v>
      </c>
      <c r="Q46" s="23" t="s">
        <v>151</v>
      </c>
      <c r="R46" s="9"/>
      <c r="S46" s="9"/>
      <c r="T46" s="9" t="str">
        <f>"495,0"</f>
        <v>495,0</v>
      </c>
      <c r="U46" s="9" t="str">
        <f>"294,3270"</f>
        <v>294,3270</v>
      </c>
      <c r="V46" s="8" t="s">
        <v>355</v>
      </c>
    </row>
    <row r="47" spans="1:22">
      <c r="A47" s="11" t="s">
        <v>185</v>
      </c>
      <c r="B47" s="10" t="s">
        <v>152</v>
      </c>
      <c r="C47" s="10" t="s">
        <v>153</v>
      </c>
      <c r="D47" s="10" t="s">
        <v>154</v>
      </c>
      <c r="E47" s="10" t="s">
        <v>890</v>
      </c>
      <c r="F47" s="10" t="s">
        <v>54</v>
      </c>
      <c r="G47" s="10" t="s">
        <v>26</v>
      </c>
      <c r="H47" s="24" t="s">
        <v>150</v>
      </c>
      <c r="I47" s="24" t="s">
        <v>151</v>
      </c>
      <c r="J47" s="25" t="s">
        <v>128</v>
      </c>
      <c r="K47" s="11"/>
      <c r="L47" s="24" t="s">
        <v>78</v>
      </c>
      <c r="M47" s="24" t="s">
        <v>149</v>
      </c>
      <c r="N47" s="24" t="s">
        <v>80</v>
      </c>
      <c r="O47" s="11"/>
      <c r="P47" s="24" t="s">
        <v>93</v>
      </c>
      <c r="Q47" s="24" t="s">
        <v>128</v>
      </c>
      <c r="R47" s="25" t="s">
        <v>155</v>
      </c>
      <c r="S47" s="11"/>
      <c r="T47" s="11" t="str">
        <f>"575,0"</f>
        <v>575,0</v>
      </c>
      <c r="U47" s="11" t="str">
        <f>"341,3775"</f>
        <v>341,3775</v>
      </c>
      <c r="V47" s="10"/>
    </row>
    <row r="48" spans="1:22">
      <c r="B48" s="6" t="s">
        <v>186</v>
      </c>
    </row>
    <row r="49" spans="1:22" ht="16">
      <c r="A49" s="91" t="s">
        <v>156</v>
      </c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1:22">
      <c r="A50" s="13" t="s">
        <v>185</v>
      </c>
      <c r="B50" s="12" t="s">
        <v>157</v>
      </c>
      <c r="C50" s="12" t="s">
        <v>158</v>
      </c>
      <c r="D50" s="12" t="s">
        <v>159</v>
      </c>
      <c r="E50" s="12" t="s">
        <v>890</v>
      </c>
      <c r="F50" s="12" t="s">
        <v>54</v>
      </c>
      <c r="G50" s="12" t="s">
        <v>26</v>
      </c>
      <c r="H50" s="26" t="s">
        <v>79</v>
      </c>
      <c r="I50" s="26" t="s">
        <v>89</v>
      </c>
      <c r="J50" s="26" t="s">
        <v>91</v>
      </c>
      <c r="K50" s="13"/>
      <c r="L50" s="26" t="s">
        <v>17</v>
      </c>
      <c r="M50" s="26" t="s">
        <v>22</v>
      </c>
      <c r="N50" s="26" t="s">
        <v>75</v>
      </c>
      <c r="O50" s="13"/>
      <c r="P50" s="26" t="s">
        <v>98</v>
      </c>
      <c r="Q50" s="26" t="s">
        <v>110</v>
      </c>
      <c r="R50" s="26" t="s">
        <v>100</v>
      </c>
      <c r="S50" s="13"/>
      <c r="T50" s="13" t="str">
        <f>"450,0"</f>
        <v>450,0</v>
      </c>
      <c r="U50" s="13" t="str">
        <f>"263,8800"</f>
        <v>263,8800</v>
      </c>
      <c r="V50" s="12" t="s">
        <v>351</v>
      </c>
    </row>
    <row r="51" spans="1:22">
      <c r="B51" s="6" t="s">
        <v>186</v>
      </c>
    </row>
    <row r="52" spans="1:22" ht="16">
      <c r="B52" s="6" t="s">
        <v>186</v>
      </c>
      <c r="F52" s="16"/>
    </row>
    <row r="53" spans="1:22" ht="16">
      <c r="B53" s="6" t="s">
        <v>186</v>
      </c>
      <c r="F53" s="16"/>
    </row>
    <row r="54" spans="1:22" ht="18">
      <c r="B54" s="17" t="s">
        <v>160</v>
      </c>
      <c r="C54" s="17"/>
    </row>
    <row r="55" spans="1:22" ht="14">
      <c r="B55" s="19"/>
      <c r="C55" s="20" t="s">
        <v>169</v>
      </c>
    </row>
    <row r="56" spans="1:22" ht="14">
      <c r="B56" s="21" t="s">
        <v>161</v>
      </c>
      <c r="C56" s="21" t="s">
        <v>162</v>
      </c>
      <c r="D56" s="21" t="s">
        <v>849</v>
      </c>
      <c r="E56" s="21" t="s">
        <v>164</v>
      </c>
      <c r="F56" s="21" t="s">
        <v>165</v>
      </c>
    </row>
    <row r="57" spans="1:22">
      <c r="B57" s="6" t="s">
        <v>33</v>
      </c>
      <c r="C57" s="6" t="s">
        <v>169</v>
      </c>
      <c r="D57" s="7" t="s">
        <v>170</v>
      </c>
      <c r="E57" s="7" t="s">
        <v>171</v>
      </c>
      <c r="F57" s="7" t="s">
        <v>172</v>
      </c>
    </row>
    <row r="58" spans="1:22">
      <c r="B58" s="6" t="s">
        <v>23</v>
      </c>
      <c r="C58" s="6" t="s">
        <v>169</v>
      </c>
      <c r="D58" s="7" t="s">
        <v>166</v>
      </c>
      <c r="E58" s="7" t="s">
        <v>173</v>
      </c>
      <c r="F58" s="7" t="s">
        <v>174</v>
      </c>
    </row>
    <row r="59" spans="1:22">
      <c r="B59" s="6" t="s">
        <v>72</v>
      </c>
      <c r="C59" s="6" t="s">
        <v>169</v>
      </c>
      <c r="D59" s="7" t="s">
        <v>175</v>
      </c>
      <c r="E59" s="7" t="s">
        <v>176</v>
      </c>
      <c r="F59" s="7" t="s">
        <v>177</v>
      </c>
    </row>
    <row r="61" spans="1:22" ht="16">
      <c r="B61" s="18" t="s">
        <v>178</v>
      </c>
      <c r="C61" s="18"/>
    </row>
    <row r="62" spans="1:22" ht="14">
      <c r="B62" s="19"/>
      <c r="C62" s="20" t="s">
        <v>169</v>
      </c>
    </row>
    <row r="63" spans="1:22" ht="14">
      <c r="B63" s="21" t="s">
        <v>161</v>
      </c>
      <c r="C63" s="21" t="s">
        <v>162</v>
      </c>
      <c r="D63" s="21" t="s">
        <v>849</v>
      </c>
      <c r="E63" s="21" t="s">
        <v>164</v>
      </c>
      <c r="F63" s="21" t="s">
        <v>165</v>
      </c>
    </row>
    <row r="64" spans="1:22">
      <c r="B64" s="6" t="s">
        <v>111</v>
      </c>
      <c r="C64" s="6" t="s">
        <v>169</v>
      </c>
      <c r="D64" s="7" t="s">
        <v>175</v>
      </c>
      <c r="E64" s="7" t="s">
        <v>179</v>
      </c>
      <c r="F64" s="7" t="s">
        <v>180</v>
      </c>
    </row>
    <row r="65" spans="2:22">
      <c r="B65" s="6" t="s">
        <v>86</v>
      </c>
      <c r="C65" s="6" t="s">
        <v>169</v>
      </c>
      <c r="D65" s="7" t="s">
        <v>168</v>
      </c>
      <c r="E65" s="7" t="s">
        <v>181</v>
      </c>
      <c r="F65" s="7" t="s">
        <v>182</v>
      </c>
    </row>
    <row r="66" spans="2:22">
      <c r="B66" s="6" t="s">
        <v>95</v>
      </c>
      <c r="C66" s="6" t="s">
        <v>169</v>
      </c>
      <c r="D66" s="7" t="s">
        <v>168</v>
      </c>
      <c r="E66" s="7" t="s">
        <v>183</v>
      </c>
      <c r="F66" s="7" t="s">
        <v>184</v>
      </c>
    </row>
    <row r="67" spans="2:22">
      <c r="B67" s="6" t="s">
        <v>186</v>
      </c>
    </row>
    <row r="68" spans="2:22">
      <c r="B68" s="6" t="s">
        <v>186</v>
      </c>
    </row>
    <row r="69" spans="2:22">
      <c r="B69" s="6" t="s">
        <v>186</v>
      </c>
    </row>
    <row r="70" spans="2:22">
      <c r="B70" s="6" t="s">
        <v>186</v>
      </c>
    </row>
    <row r="71" spans="2:22">
      <c r="B71" s="6" t="s">
        <v>186</v>
      </c>
    </row>
    <row r="72" spans="2:22">
      <c r="B72" s="6" t="s">
        <v>186</v>
      </c>
    </row>
    <row r="73" spans="2:22">
      <c r="B73" s="6" t="s">
        <v>186</v>
      </c>
    </row>
    <row r="74" spans="2:22">
      <c r="B74" s="6" t="s">
        <v>186</v>
      </c>
      <c r="C74" s="7"/>
      <c r="D74" s="7"/>
      <c r="E74" s="7"/>
      <c r="F74" s="7"/>
      <c r="G74" s="7"/>
      <c r="Q74" s="6"/>
      <c r="R74" s="3"/>
      <c r="S74" s="3"/>
      <c r="T74" s="3"/>
      <c r="U74" s="3"/>
      <c r="V74" s="3"/>
    </row>
    <row r="75" spans="2:22">
      <c r="B75" s="6" t="s">
        <v>186</v>
      </c>
      <c r="C75" s="7"/>
      <c r="D75" s="7"/>
      <c r="E75" s="7"/>
      <c r="F75" s="7"/>
      <c r="G75" s="7"/>
      <c r="Q75" s="6"/>
      <c r="R75" s="3"/>
      <c r="S75" s="3"/>
      <c r="T75" s="3"/>
      <c r="U75" s="3"/>
      <c r="V75" s="3"/>
    </row>
    <row r="76" spans="2:22">
      <c r="B76" s="6" t="s">
        <v>186</v>
      </c>
      <c r="C76" s="7"/>
      <c r="D76" s="7"/>
      <c r="E76" s="7"/>
      <c r="F76" s="7"/>
      <c r="G76" s="7"/>
      <c r="Q76" s="6"/>
      <c r="R76" s="3"/>
      <c r="S76" s="3"/>
      <c r="T76" s="3"/>
      <c r="U76" s="3"/>
      <c r="V76" s="3"/>
    </row>
    <row r="77" spans="2:22">
      <c r="B77" s="6" t="s">
        <v>186</v>
      </c>
      <c r="C77" s="7"/>
      <c r="D77" s="7"/>
      <c r="E77" s="7"/>
      <c r="F77" s="7"/>
      <c r="G77" s="7"/>
      <c r="Q77" s="6"/>
      <c r="R77" s="3"/>
      <c r="S77" s="3"/>
      <c r="T77" s="3"/>
      <c r="U77" s="3"/>
      <c r="V77" s="3"/>
    </row>
    <row r="78" spans="2:22">
      <c r="B78" s="6" t="s">
        <v>186</v>
      </c>
      <c r="C78" s="7"/>
      <c r="D78" s="7"/>
      <c r="E78" s="7"/>
      <c r="F78" s="7"/>
      <c r="G78" s="7"/>
      <c r="Q78" s="6"/>
      <c r="R78" s="3"/>
      <c r="S78" s="3"/>
      <c r="T78" s="3"/>
      <c r="U78" s="3"/>
      <c r="V78" s="3"/>
    </row>
    <row r="79" spans="2:22">
      <c r="B79" s="6" t="s">
        <v>186</v>
      </c>
      <c r="C79" s="7"/>
      <c r="D79" s="7"/>
      <c r="E79" s="7"/>
      <c r="F79" s="7"/>
      <c r="G79" s="7"/>
      <c r="Q79" s="6"/>
      <c r="R79" s="3"/>
      <c r="S79" s="3"/>
      <c r="T79" s="3"/>
      <c r="U79" s="3"/>
      <c r="V79" s="3"/>
    </row>
    <row r="80" spans="2:22">
      <c r="B80" s="6" t="s">
        <v>186</v>
      </c>
    </row>
    <row r="81" spans="2:2">
      <c r="B81" s="6" t="s">
        <v>186</v>
      </c>
    </row>
    <row r="82" spans="2:2">
      <c r="B82" s="6" t="s">
        <v>186</v>
      </c>
    </row>
    <row r="83" spans="2:2">
      <c r="B83" s="6" t="s">
        <v>186</v>
      </c>
    </row>
    <row r="84" spans="2:2">
      <c r="B84" s="6" t="s">
        <v>186</v>
      </c>
    </row>
    <row r="85" spans="2:2">
      <c r="B85" s="6" t="s">
        <v>186</v>
      </c>
    </row>
    <row r="86" spans="2:2">
      <c r="B86" s="6" t="s">
        <v>186</v>
      </c>
    </row>
    <row r="87" spans="2:2">
      <c r="B87" s="6" t="s">
        <v>186</v>
      </c>
    </row>
    <row r="88" spans="2:2">
      <c r="B88" s="6" t="s">
        <v>186</v>
      </c>
    </row>
    <row r="89" spans="2:2">
      <c r="B89" s="6" t="s">
        <v>186</v>
      </c>
    </row>
    <row r="90" spans="2:2">
      <c r="B90" s="6" t="s">
        <v>186</v>
      </c>
    </row>
    <row r="91" spans="2:2">
      <c r="B91" s="6" t="s">
        <v>186</v>
      </c>
    </row>
    <row r="92" spans="2:2">
      <c r="B92" s="6" t="s">
        <v>186</v>
      </c>
    </row>
  </sheetData>
  <mergeCells count="26">
    <mergeCell ref="A45:S45"/>
    <mergeCell ref="A49:S49"/>
    <mergeCell ref="B3:B4"/>
    <mergeCell ref="A24:S24"/>
    <mergeCell ref="A28:S28"/>
    <mergeCell ref="A34:S34"/>
    <mergeCell ref="A38:S38"/>
    <mergeCell ref="A41:S41"/>
    <mergeCell ref="A5:S5"/>
    <mergeCell ref="A9:S9"/>
    <mergeCell ref="A13:S13"/>
    <mergeCell ref="A16:S16"/>
    <mergeCell ref="A20:S20"/>
    <mergeCell ref="E3:E4"/>
    <mergeCell ref="T3:T4"/>
    <mergeCell ref="U3:U4"/>
    <mergeCell ref="A1:V2"/>
    <mergeCell ref="H3:K3"/>
    <mergeCell ref="L3:O3"/>
    <mergeCell ref="P3:S3"/>
    <mergeCell ref="A3:A4"/>
    <mergeCell ref="C3:C4"/>
    <mergeCell ref="D3:D4"/>
    <mergeCell ref="V3:V4"/>
    <mergeCell ref="G3:G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4"/>
  <sheetViews>
    <sheetView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18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7" bestFit="1" customWidth="1"/>
    <col min="14" max="14" width="18.5" style="6" customWidth="1"/>
    <col min="15" max="16384" width="9.1640625" style="3"/>
  </cols>
  <sheetData>
    <row r="1" spans="1:14" s="2" customFormat="1" ht="29" customHeight="1">
      <c r="A1" s="78" t="s">
        <v>864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35">
        <v>1</v>
      </c>
      <c r="I4" s="35">
        <v>2</v>
      </c>
      <c r="J4" s="35">
        <v>3</v>
      </c>
      <c r="K4" s="35" t="s">
        <v>4</v>
      </c>
      <c r="L4" s="77"/>
      <c r="M4" s="77"/>
      <c r="N4" s="90"/>
    </row>
    <row r="5" spans="1:14" ht="16">
      <c r="A5" s="95" t="s">
        <v>32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280</v>
      </c>
      <c r="C6" s="12" t="s">
        <v>281</v>
      </c>
      <c r="D6" s="12" t="s">
        <v>282</v>
      </c>
      <c r="E6" s="12" t="s">
        <v>890</v>
      </c>
      <c r="F6" s="12" t="s">
        <v>36</v>
      </c>
      <c r="G6" s="12" t="s">
        <v>26</v>
      </c>
      <c r="H6" s="26" t="s">
        <v>85</v>
      </c>
      <c r="I6" s="26" t="s">
        <v>79</v>
      </c>
      <c r="J6" s="26" t="s">
        <v>195</v>
      </c>
      <c r="K6" s="13"/>
      <c r="L6" s="13" t="str">
        <f>"157,5"</f>
        <v>157,5</v>
      </c>
      <c r="M6" s="13" t="str">
        <f>"169,2810"</f>
        <v>169,2810</v>
      </c>
      <c r="N6" s="12" t="s">
        <v>129</v>
      </c>
    </row>
    <row r="7" spans="1:14">
      <c r="B7" s="6" t="s">
        <v>186</v>
      </c>
    </row>
    <row r="8" spans="1:14" ht="16">
      <c r="A8" s="91" t="s">
        <v>122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9" t="s">
        <v>185</v>
      </c>
      <c r="B9" s="8" t="s">
        <v>307</v>
      </c>
      <c r="C9" s="8" t="s">
        <v>308</v>
      </c>
      <c r="D9" s="8" t="s">
        <v>309</v>
      </c>
      <c r="E9" s="8" t="s">
        <v>890</v>
      </c>
      <c r="F9" s="8" t="s">
        <v>36</v>
      </c>
      <c r="G9" s="8" t="s">
        <v>26</v>
      </c>
      <c r="H9" s="22" t="s">
        <v>200</v>
      </c>
      <c r="I9" s="22" t="s">
        <v>369</v>
      </c>
      <c r="J9" s="23" t="s">
        <v>253</v>
      </c>
      <c r="K9" s="9"/>
      <c r="L9" s="9" t="str">
        <f>"282,5"</f>
        <v>282,5</v>
      </c>
      <c r="M9" s="9" t="str">
        <f>"183,1165"</f>
        <v>183,1165</v>
      </c>
      <c r="N9" s="8" t="s">
        <v>347</v>
      </c>
    </row>
    <row r="10" spans="1:14">
      <c r="A10" s="11" t="s">
        <v>187</v>
      </c>
      <c r="B10" s="10" t="s">
        <v>310</v>
      </c>
      <c r="C10" s="10" t="s">
        <v>311</v>
      </c>
      <c r="D10" s="10" t="s">
        <v>312</v>
      </c>
      <c r="E10" s="10" t="s">
        <v>890</v>
      </c>
      <c r="F10" s="10" t="s">
        <v>36</v>
      </c>
      <c r="G10" s="10" t="s">
        <v>26</v>
      </c>
      <c r="H10" s="24" t="s">
        <v>370</v>
      </c>
      <c r="I10" s="24" t="s">
        <v>248</v>
      </c>
      <c r="J10" s="25" t="s">
        <v>201</v>
      </c>
      <c r="K10" s="11"/>
      <c r="L10" s="11" t="str">
        <f>"255,0"</f>
        <v>255,0</v>
      </c>
      <c r="M10" s="11" t="str">
        <f>"164,5005"</f>
        <v>164,5005</v>
      </c>
      <c r="N10" s="10" t="s">
        <v>843</v>
      </c>
    </row>
    <row r="11" spans="1:14">
      <c r="B11" s="6" t="s">
        <v>186</v>
      </c>
    </row>
    <row r="12" spans="1:14" ht="16">
      <c r="A12" s="91" t="s">
        <v>134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</row>
    <row r="13" spans="1:14">
      <c r="A13" s="13" t="s">
        <v>185</v>
      </c>
      <c r="B13" s="12" t="s">
        <v>316</v>
      </c>
      <c r="C13" s="12" t="s">
        <v>317</v>
      </c>
      <c r="D13" s="12" t="s">
        <v>318</v>
      </c>
      <c r="E13" s="12" t="s">
        <v>890</v>
      </c>
      <c r="F13" s="12" t="s">
        <v>36</v>
      </c>
      <c r="G13" s="12" t="s">
        <v>26</v>
      </c>
      <c r="H13" s="26" t="s">
        <v>233</v>
      </c>
      <c r="I13" s="27" t="s">
        <v>238</v>
      </c>
      <c r="J13" s="27" t="s">
        <v>238</v>
      </c>
      <c r="K13" s="13"/>
      <c r="L13" s="13" t="str">
        <f>"260,0"</f>
        <v>260,0</v>
      </c>
      <c r="M13" s="13" t="str">
        <f>"159,4710"</f>
        <v>159,4710</v>
      </c>
      <c r="N13" s="12" t="s">
        <v>321</v>
      </c>
    </row>
    <row r="14" spans="1:14">
      <c r="B14" s="6" t="s">
        <v>186</v>
      </c>
    </row>
    <row r="15" spans="1:14" ht="16">
      <c r="A15" s="91" t="s">
        <v>138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</row>
    <row r="16" spans="1:14">
      <c r="A16" s="9" t="s">
        <v>185</v>
      </c>
      <c r="B16" s="8" t="s">
        <v>331</v>
      </c>
      <c r="C16" s="8" t="s">
        <v>332</v>
      </c>
      <c r="D16" s="8" t="s">
        <v>333</v>
      </c>
      <c r="E16" s="8" t="s">
        <v>890</v>
      </c>
      <c r="F16" s="8" t="s">
        <v>36</v>
      </c>
      <c r="G16" s="8" t="s">
        <v>26</v>
      </c>
      <c r="H16" s="22" t="s">
        <v>155</v>
      </c>
      <c r="I16" s="22" t="s">
        <v>167</v>
      </c>
      <c r="J16" s="23" t="s">
        <v>371</v>
      </c>
      <c r="K16" s="9"/>
      <c r="L16" s="9" t="str">
        <f>"240,0"</f>
        <v>240,0</v>
      </c>
      <c r="M16" s="9" t="str">
        <f>"141,3840"</f>
        <v>141,3840</v>
      </c>
      <c r="N16" s="8" t="s">
        <v>129</v>
      </c>
    </row>
    <row r="17" spans="1:14">
      <c r="A17" s="11" t="s">
        <v>185</v>
      </c>
      <c r="B17" s="10" t="s">
        <v>372</v>
      </c>
      <c r="C17" s="10" t="s">
        <v>373</v>
      </c>
      <c r="D17" s="10" t="s">
        <v>374</v>
      </c>
      <c r="E17" s="10" t="s">
        <v>892</v>
      </c>
      <c r="F17" s="10" t="s">
        <v>213</v>
      </c>
      <c r="G17" s="10" t="s">
        <v>850</v>
      </c>
      <c r="H17" s="24" t="s">
        <v>128</v>
      </c>
      <c r="I17" s="25" t="s">
        <v>224</v>
      </c>
      <c r="J17" s="25" t="s">
        <v>224</v>
      </c>
      <c r="K17" s="11"/>
      <c r="L17" s="11" t="str">
        <f>"220,0"</f>
        <v>220,0</v>
      </c>
      <c r="M17" s="11" t="str">
        <f>"143,9165"</f>
        <v>143,9165</v>
      </c>
      <c r="N17" s="10" t="s">
        <v>609</v>
      </c>
    </row>
    <row r="18" spans="1:14">
      <c r="B18" s="6" t="s">
        <v>186</v>
      </c>
    </row>
    <row r="19" spans="1:14" ht="16">
      <c r="B19" s="6" t="s">
        <v>186</v>
      </c>
      <c r="F19" s="16"/>
    </row>
    <row r="20" spans="1:14" ht="16">
      <c r="B20" s="6" t="s">
        <v>186</v>
      </c>
      <c r="F20" s="16"/>
    </row>
    <row r="21" spans="1:14" ht="16">
      <c r="B21" s="6" t="s">
        <v>186</v>
      </c>
      <c r="F21" s="16"/>
    </row>
    <row r="22" spans="1:14" ht="16">
      <c r="B22" s="6" t="s">
        <v>186</v>
      </c>
      <c r="F22" s="16"/>
    </row>
    <row r="23" spans="1:14" ht="16">
      <c r="B23" s="6" t="s">
        <v>186</v>
      </c>
      <c r="F23" s="16"/>
    </row>
    <row r="24" spans="1:14" ht="16">
      <c r="B24" s="6" t="s">
        <v>186</v>
      </c>
      <c r="F24" s="16"/>
    </row>
    <row r="25" spans="1:14" ht="16">
      <c r="B25" s="6" t="s">
        <v>186</v>
      </c>
      <c r="F25" s="16"/>
    </row>
    <row r="26" spans="1:14">
      <c r="B26" s="6" t="s">
        <v>186</v>
      </c>
      <c r="C26" s="7"/>
      <c r="D26" s="7"/>
      <c r="E26" s="7"/>
      <c r="F26" s="7"/>
      <c r="H26" s="3"/>
      <c r="I26" s="3"/>
      <c r="J26" s="3"/>
      <c r="K26" s="3"/>
      <c r="L26" s="3"/>
      <c r="M26" s="3"/>
      <c r="N26" s="3"/>
    </row>
    <row r="27" spans="1:14">
      <c r="B27" s="6" t="s">
        <v>186</v>
      </c>
      <c r="C27" s="7"/>
      <c r="D27" s="7"/>
      <c r="E27" s="7"/>
      <c r="F27" s="7"/>
      <c r="H27" s="3"/>
      <c r="I27" s="3"/>
      <c r="J27" s="3"/>
      <c r="K27" s="3"/>
      <c r="L27" s="3"/>
      <c r="M27" s="3"/>
      <c r="N27" s="3"/>
    </row>
    <row r="28" spans="1:14">
      <c r="B28" s="6" t="s">
        <v>186</v>
      </c>
      <c r="C28" s="7"/>
      <c r="D28" s="7"/>
      <c r="E28" s="7"/>
      <c r="F28" s="7"/>
      <c r="H28" s="3"/>
      <c r="I28" s="3"/>
      <c r="J28" s="3"/>
      <c r="K28" s="3"/>
      <c r="L28" s="3"/>
      <c r="M28" s="3"/>
      <c r="N28" s="3"/>
    </row>
    <row r="29" spans="1:14">
      <c r="B29" s="6" t="s">
        <v>186</v>
      </c>
      <c r="C29" s="7"/>
      <c r="D29" s="7"/>
      <c r="E29" s="7"/>
      <c r="F29" s="7"/>
      <c r="H29" s="3"/>
      <c r="I29" s="3"/>
      <c r="J29" s="3"/>
      <c r="K29" s="3"/>
      <c r="L29" s="3"/>
      <c r="M29" s="3"/>
      <c r="N29" s="3"/>
    </row>
    <row r="30" spans="1:14">
      <c r="B30" s="6" t="s">
        <v>186</v>
      </c>
      <c r="C30" s="7"/>
      <c r="D30" s="7"/>
      <c r="E30" s="7"/>
      <c r="F30" s="7"/>
      <c r="H30" s="3"/>
      <c r="I30" s="3"/>
      <c r="J30" s="3"/>
      <c r="K30" s="3"/>
      <c r="L30" s="3"/>
      <c r="M30" s="3"/>
      <c r="N30" s="3"/>
    </row>
    <row r="31" spans="1:14">
      <c r="B31" s="6" t="s">
        <v>186</v>
      </c>
      <c r="C31" s="7"/>
      <c r="D31" s="7"/>
      <c r="E31" s="7"/>
      <c r="F31" s="7"/>
      <c r="H31" s="3"/>
      <c r="I31" s="3"/>
      <c r="J31" s="3"/>
      <c r="K31" s="3"/>
      <c r="L31" s="3"/>
      <c r="M31" s="3"/>
      <c r="N31" s="3"/>
    </row>
    <row r="32" spans="1:14">
      <c r="B32" s="6" t="s">
        <v>186</v>
      </c>
      <c r="C32" s="7"/>
      <c r="D32" s="7"/>
      <c r="E32" s="7"/>
      <c r="F32" s="7"/>
      <c r="H32" s="3"/>
      <c r="I32" s="3"/>
      <c r="J32" s="3"/>
      <c r="K32" s="3"/>
      <c r="L32" s="3"/>
      <c r="M32" s="3"/>
      <c r="N32" s="3"/>
    </row>
    <row r="33" spans="2:14">
      <c r="B33" s="6" t="s">
        <v>186</v>
      </c>
      <c r="C33" s="7"/>
      <c r="D33" s="7"/>
      <c r="E33" s="7"/>
      <c r="F33" s="7"/>
      <c r="H33" s="3"/>
      <c r="I33" s="3"/>
      <c r="J33" s="3"/>
      <c r="K33" s="3"/>
      <c r="L33" s="3"/>
      <c r="M33" s="3"/>
      <c r="N33" s="3"/>
    </row>
    <row r="34" spans="2:14">
      <c r="B34" s="6" t="s">
        <v>186</v>
      </c>
      <c r="C34" s="7"/>
      <c r="D34" s="7"/>
      <c r="E34" s="7"/>
      <c r="F34" s="7"/>
      <c r="H34" s="3"/>
      <c r="I34" s="3"/>
      <c r="J34" s="3"/>
      <c r="K34" s="3"/>
      <c r="L34" s="3"/>
      <c r="M34" s="3"/>
      <c r="N34" s="3"/>
    </row>
    <row r="35" spans="2:14">
      <c r="B35" s="6" t="s">
        <v>186</v>
      </c>
      <c r="C35" s="7"/>
      <c r="D35" s="7"/>
      <c r="E35" s="7"/>
      <c r="F35" s="7"/>
      <c r="G35" s="7"/>
      <c r="H35" s="6"/>
      <c r="I35" s="3"/>
      <c r="J35" s="3"/>
      <c r="K35" s="3"/>
      <c r="L35" s="3"/>
      <c r="M35" s="3"/>
      <c r="N35" s="3"/>
    </row>
    <row r="36" spans="2:14">
      <c r="B36" s="6" t="s">
        <v>186</v>
      </c>
      <c r="C36" s="7"/>
      <c r="D36" s="7"/>
      <c r="E36" s="7"/>
      <c r="F36" s="7"/>
      <c r="G36" s="7"/>
      <c r="H36" s="6"/>
      <c r="I36" s="3"/>
      <c r="J36" s="3"/>
      <c r="K36" s="3"/>
      <c r="L36" s="3"/>
      <c r="M36" s="3"/>
      <c r="N36" s="3"/>
    </row>
    <row r="37" spans="2:14">
      <c r="B37" s="6" t="s">
        <v>186</v>
      </c>
      <c r="C37" s="7"/>
      <c r="D37" s="7"/>
      <c r="E37" s="7"/>
      <c r="F37" s="7"/>
      <c r="G37" s="7"/>
      <c r="H37" s="6"/>
      <c r="I37" s="3"/>
      <c r="J37" s="3"/>
      <c r="K37" s="3"/>
      <c r="L37" s="3"/>
      <c r="M37" s="3"/>
      <c r="N37" s="3"/>
    </row>
    <row r="38" spans="2:14">
      <c r="B38" s="6" t="s">
        <v>186</v>
      </c>
      <c r="C38" s="7"/>
      <c r="D38" s="7"/>
      <c r="E38" s="7"/>
      <c r="F38" s="7"/>
      <c r="G38" s="7"/>
      <c r="H38" s="6"/>
      <c r="I38" s="3"/>
      <c r="J38" s="3"/>
      <c r="K38" s="3"/>
      <c r="L38" s="3"/>
      <c r="M38" s="3"/>
      <c r="N38" s="3"/>
    </row>
    <row r="39" spans="2:14">
      <c r="B39" s="6" t="s">
        <v>186</v>
      </c>
    </row>
    <row r="40" spans="2:14">
      <c r="B40" s="6" t="s">
        <v>186</v>
      </c>
    </row>
    <row r="41" spans="2:14">
      <c r="B41" s="6" t="s">
        <v>186</v>
      </c>
    </row>
    <row r="42" spans="2:14">
      <c r="B42" s="6" t="s">
        <v>186</v>
      </c>
    </row>
    <row r="43" spans="2:14">
      <c r="B43" s="6" t="s">
        <v>186</v>
      </c>
    </row>
    <row r="44" spans="2:14">
      <c r="B44" s="6" t="s">
        <v>186</v>
      </c>
    </row>
  </sheetData>
  <mergeCells count="16">
    <mergeCell ref="A15:K1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8:K8"/>
    <mergeCell ref="A12:K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workbookViewId="0">
      <selection activeCell="E26" sqref="E26"/>
    </sheetView>
  </sheetViews>
  <sheetFormatPr baseColWidth="10" defaultColWidth="9.1640625" defaultRowHeight="13"/>
  <cols>
    <col min="1" max="1" width="7.5" style="6" bestFit="1" customWidth="1"/>
    <col min="2" max="2" width="18.66406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65" bestFit="1" customWidth="1"/>
    <col min="13" max="13" width="8.5" style="7" bestFit="1" customWidth="1"/>
    <col min="14" max="14" width="18" style="6" bestFit="1" customWidth="1"/>
    <col min="15" max="16384" width="9.1640625" style="3"/>
  </cols>
  <sheetData>
    <row r="1" spans="1:14" s="2" customFormat="1" ht="29" customHeight="1">
      <c r="A1" s="78" t="s">
        <v>865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97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33">
        <v>1</v>
      </c>
      <c r="I4" s="33">
        <v>2</v>
      </c>
      <c r="J4" s="33">
        <v>3</v>
      </c>
      <c r="K4" s="33" t="s">
        <v>4</v>
      </c>
      <c r="L4" s="98"/>
      <c r="M4" s="77"/>
      <c r="N4" s="90"/>
    </row>
    <row r="5" spans="1:14" ht="16">
      <c r="A5" s="95" t="s">
        <v>71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9" t="s">
        <v>185</v>
      </c>
      <c r="B6" s="8" t="s">
        <v>299</v>
      </c>
      <c r="C6" s="8" t="s">
        <v>300</v>
      </c>
      <c r="D6" s="8" t="s">
        <v>301</v>
      </c>
      <c r="E6" s="8" t="s">
        <v>890</v>
      </c>
      <c r="F6" s="8" t="s">
        <v>348</v>
      </c>
      <c r="G6" s="8" t="s">
        <v>26</v>
      </c>
      <c r="H6" s="22" t="s">
        <v>191</v>
      </c>
      <c r="I6" s="23" t="s">
        <v>201</v>
      </c>
      <c r="J6" s="23" t="s">
        <v>302</v>
      </c>
      <c r="K6" s="9"/>
      <c r="L6" s="67" t="str">
        <f>"250,0"</f>
        <v>250,0</v>
      </c>
      <c r="M6" s="9" t="str">
        <f>"172,1375"</f>
        <v>172,1375</v>
      </c>
      <c r="N6" s="8" t="s">
        <v>346</v>
      </c>
    </row>
    <row r="7" spans="1:14">
      <c r="A7" s="11" t="s">
        <v>228</v>
      </c>
      <c r="B7" s="10" t="s">
        <v>303</v>
      </c>
      <c r="C7" s="10" t="s">
        <v>304</v>
      </c>
      <c r="D7" s="10" t="s">
        <v>301</v>
      </c>
      <c r="E7" s="10" t="s">
        <v>890</v>
      </c>
      <c r="F7" s="10" t="s">
        <v>36</v>
      </c>
      <c r="G7" s="10" t="s">
        <v>305</v>
      </c>
      <c r="H7" s="25" t="s">
        <v>201</v>
      </c>
      <c r="I7" s="25" t="s">
        <v>201</v>
      </c>
      <c r="J7" s="25" t="s">
        <v>302</v>
      </c>
      <c r="K7" s="11"/>
      <c r="L7" s="68">
        <v>0</v>
      </c>
      <c r="M7" s="11" t="str">
        <f>"0,0000"</f>
        <v>0,0000</v>
      </c>
      <c r="N7" s="10" t="s">
        <v>306</v>
      </c>
    </row>
    <row r="8" spans="1:14">
      <c r="B8" s="6" t="s">
        <v>186</v>
      </c>
    </row>
    <row r="9" spans="1:14" ht="16">
      <c r="A9" s="91" t="s">
        <v>122</v>
      </c>
      <c r="B9" s="91"/>
      <c r="C9" s="92"/>
      <c r="D9" s="92"/>
      <c r="E9" s="92"/>
      <c r="F9" s="92"/>
      <c r="G9" s="92"/>
      <c r="H9" s="92"/>
      <c r="I9" s="92"/>
      <c r="J9" s="92"/>
      <c r="K9" s="92"/>
    </row>
    <row r="10" spans="1:14">
      <c r="A10" s="9" t="s">
        <v>185</v>
      </c>
      <c r="B10" s="8" t="s">
        <v>307</v>
      </c>
      <c r="C10" s="8" t="s">
        <v>308</v>
      </c>
      <c r="D10" s="8" t="s">
        <v>309</v>
      </c>
      <c r="E10" s="8" t="s">
        <v>890</v>
      </c>
      <c r="F10" s="8" t="s">
        <v>36</v>
      </c>
      <c r="G10" s="8" t="s">
        <v>26</v>
      </c>
      <c r="H10" s="22" t="s">
        <v>238</v>
      </c>
      <c r="I10" s="23" t="s">
        <v>239</v>
      </c>
      <c r="J10" s="22" t="s">
        <v>239</v>
      </c>
      <c r="K10" s="9"/>
      <c r="L10" s="67" t="str">
        <f>"320,0"</f>
        <v>320,0</v>
      </c>
      <c r="M10" s="9" t="str">
        <f>"207,4240"</f>
        <v>207,4240</v>
      </c>
      <c r="N10" s="8" t="s">
        <v>347</v>
      </c>
    </row>
    <row r="11" spans="1:14">
      <c r="A11" s="15" t="s">
        <v>187</v>
      </c>
      <c r="B11" s="14" t="s">
        <v>310</v>
      </c>
      <c r="C11" s="14" t="s">
        <v>311</v>
      </c>
      <c r="D11" s="14" t="s">
        <v>312</v>
      </c>
      <c r="E11" s="14" t="s">
        <v>890</v>
      </c>
      <c r="F11" s="14" t="s">
        <v>36</v>
      </c>
      <c r="G11" s="14" t="s">
        <v>26</v>
      </c>
      <c r="H11" s="29" t="s">
        <v>191</v>
      </c>
      <c r="I11" s="28" t="s">
        <v>191</v>
      </c>
      <c r="J11" s="29" t="s">
        <v>173</v>
      </c>
      <c r="K11" s="15"/>
      <c r="L11" s="70" t="str">
        <f>"250,0"</f>
        <v>250,0</v>
      </c>
      <c r="M11" s="15" t="str">
        <f>"161,2750"</f>
        <v>161,2750</v>
      </c>
      <c r="N11" s="14" t="s">
        <v>842</v>
      </c>
    </row>
    <row r="12" spans="1:14">
      <c r="A12" s="11" t="s">
        <v>313</v>
      </c>
      <c r="B12" s="10" t="s">
        <v>314</v>
      </c>
      <c r="C12" s="10" t="s">
        <v>315</v>
      </c>
      <c r="D12" s="10" t="s">
        <v>312</v>
      </c>
      <c r="E12" s="10" t="s">
        <v>890</v>
      </c>
      <c r="F12" s="10" t="s">
        <v>36</v>
      </c>
      <c r="G12" s="10" t="s">
        <v>26</v>
      </c>
      <c r="H12" s="24" t="s">
        <v>150</v>
      </c>
      <c r="I12" s="24" t="s">
        <v>93</v>
      </c>
      <c r="J12" s="24" t="s">
        <v>214</v>
      </c>
      <c r="K12" s="11"/>
      <c r="L12" s="68" t="str">
        <f>"210,0"</f>
        <v>210,0</v>
      </c>
      <c r="M12" s="11" t="str">
        <f>"135,4710"</f>
        <v>135,4710</v>
      </c>
      <c r="N12" s="10" t="s">
        <v>347</v>
      </c>
    </row>
    <row r="13" spans="1:14">
      <c r="B13" s="6" t="s">
        <v>186</v>
      </c>
    </row>
    <row r="14" spans="1:14" ht="16">
      <c r="A14" s="91" t="s">
        <v>134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</row>
    <row r="15" spans="1:14">
      <c r="A15" s="9" t="s">
        <v>185</v>
      </c>
      <c r="B15" s="8" t="s">
        <v>316</v>
      </c>
      <c r="C15" s="8" t="s">
        <v>317</v>
      </c>
      <c r="D15" s="8" t="s">
        <v>318</v>
      </c>
      <c r="E15" s="8" t="s">
        <v>890</v>
      </c>
      <c r="F15" s="8" t="s">
        <v>36</v>
      </c>
      <c r="G15" s="8" t="s">
        <v>26</v>
      </c>
      <c r="H15" s="23" t="s">
        <v>201</v>
      </c>
      <c r="I15" s="22" t="s">
        <v>319</v>
      </c>
      <c r="J15" s="23" t="s">
        <v>320</v>
      </c>
      <c r="K15" s="9"/>
      <c r="L15" s="67" t="str">
        <f>"337,5"</f>
        <v>337,5</v>
      </c>
      <c r="M15" s="9" t="str">
        <f>"207,0056"</f>
        <v>207,0056</v>
      </c>
      <c r="N15" s="8" t="s">
        <v>321</v>
      </c>
    </row>
    <row r="16" spans="1:14">
      <c r="A16" s="15" t="s">
        <v>187</v>
      </c>
      <c r="B16" s="14" t="s">
        <v>322</v>
      </c>
      <c r="C16" s="14" t="s">
        <v>323</v>
      </c>
      <c r="D16" s="14" t="s">
        <v>324</v>
      </c>
      <c r="E16" s="14" t="s">
        <v>890</v>
      </c>
      <c r="F16" s="14" t="s">
        <v>36</v>
      </c>
      <c r="G16" s="14" t="s">
        <v>325</v>
      </c>
      <c r="H16" s="28" t="s">
        <v>239</v>
      </c>
      <c r="I16" s="28" t="s">
        <v>241</v>
      </c>
      <c r="J16" s="29" t="s">
        <v>320</v>
      </c>
      <c r="K16" s="15"/>
      <c r="L16" s="70" t="str">
        <f>"330,0"</f>
        <v>330,0</v>
      </c>
      <c r="M16" s="15" t="str">
        <f>"205,1115"</f>
        <v>205,1115</v>
      </c>
      <c r="N16" s="14" t="s">
        <v>347</v>
      </c>
    </row>
    <row r="17" spans="1:14">
      <c r="A17" s="15" t="s">
        <v>313</v>
      </c>
      <c r="B17" s="14" t="s">
        <v>326</v>
      </c>
      <c r="C17" s="14" t="s">
        <v>327</v>
      </c>
      <c r="D17" s="14" t="s">
        <v>328</v>
      </c>
      <c r="E17" s="14" t="s">
        <v>890</v>
      </c>
      <c r="F17" s="14" t="s">
        <v>36</v>
      </c>
      <c r="G17" s="14" t="s">
        <v>26</v>
      </c>
      <c r="H17" s="28" t="s">
        <v>329</v>
      </c>
      <c r="I17" s="28" t="s">
        <v>253</v>
      </c>
      <c r="J17" s="28" t="s">
        <v>265</v>
      </c>
      <c r="K17" s="15"/>
      <c r="L17" s="70" t="str">
        <f>"310,0"</f>
        <v>310,0</v>
      </c>
      <c r="M17" s="15" t="str">
        <f>"190,8050"</f>
        <v>190,8050</v>
      </c>
      <c r="N17" s="14" t="s">
        <v>347</v>
      </c>
    </row>
    <row r="18" spans="1:14">
      <c r="A18" s="11" t="s">
        <v>185</v>
      </c>
      <c r="B18" s="10" t="s">
        <v>322</v>
      </c>
      <c r="C18" s="10" t="s">
        <v>330</v>
      </c>
      <c r="D18" s="10" t="s">
        <v>324</v>
      </c>
      <c r="E18" s="10" t="s">
        <v>892</v>
      </c>
      <c r="F18" s="10" t="s">
        <v>36</v>
      </c>
      <c r="G18" s="10" t="s">
        <v>325</v>
      </c>
      <c r="H18" s="24" t="s">
        <v>239</v>
      </c>
      <c r="I18" s="24" t="s">
        <v>241</v>
      </c>
      <c r="J18" s="25" t="s">
        <v>320</v>
      </c>
      <c r="K18" s="11"/>
      <c r="L18" s="68" t="str">
        <f>"330,0"</f>
        <v>330,0</v>
      </c>
      <c r="M18" s="11" t="str">
        <f>"213,9313"</f>
        <v>213,9313</v>
      </c>
      <c r="N18" s="10" t="s">
        <v>347</v>
      </c>
    </row>
    <row r="19" spans="1:14">
      <c r="B19" s="6" t="s">
        <v>186</v>
      </c>
    </row>
    <row r="20" spans="1:14" ht="16">
      <c r="A20" s="91" t="s">
        <v>138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</row>
    <row r="21" spans="1:14">
      <c r="A21" s="13" t="s">
        <v>185</v>
      </c>
      <c r="B21" s="12" t="s">
        <v>331</v>
      </c>
      <c r="C21" s="12" t="s">
        <v>332</v>
      </c>
      <c r="D21" s="12" t="s">
        <v>333</v>
      </c>
      <c r="E21" s="12" t="s">
        <v>890</v>
      </c>
      <c r="F21" s="12" t="s">
        <v>36</v>
      </c>
      <c r="G21" s="12" t="s">
        <v>26</v>
      </c>
      <c r="H21" s="26" t="s">
        <v>296</v>
      </c>
      <c r="I21" s="27" t="s">
        <v>265</v>
      </c>
      <c r="J21" s="27" t="s">
        <v>265</v>
      </c>
      <c r="K21" s="13"/>
      <c r="L21" s="66" t="str">
        <f>"285,0"</f>
        <v>285,0</v>
      </c>
      <c r="M21" s="13" t="str">
        <f>"167,8935"</f>
        <v>167,8935</v>
      </c>
      <c r="N21" s="12" t="s">
        <v>347</v>
      </c>
    </row>
    <row r="22" spans="1:14">
      <c r="B22" s="6" t="s">
        <v>186</v>
      </c>
    </row>
    <row r="23" spans="1:14" ht="16">
      <c r="A23" s="91" t="s">
        <v>145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</row>
    <row r="24" spans="1:14">
      <c r="A24" s="9" t="s">
        <v>185</v>
      </c>
      <c r="B24" s="8" t="s">
        <v>334</v>
      </c>
      <c r="C24" s="8" t="s">
        <v>335</v>
      </c>
      <c r="D24" s="8" t="s">
        <v>336</v>
      </c>
      <c r="E24" s="8" t="s">
        <v>890</v>
      </c>
      <c r="F24" s="8" t="s">
        <v>36</v>
      </c>
      <c r="G24" s="8" t="s">
        <v>26</v>
      </c>
      <c r="H24" s="22" t="s">
        <v>128</v>
      </c>
      <c r="I24" s="22" t="s">
        <v>233</v>
      </c>
      <c r="J24" s="22" t="s">
        <v>337</v>
      </c>
      <c r="K24" s="9"/>
      <c r="L24" s="67" t="str">
        <f>"271,0"</f>
        <v>271,0</v>
      </c>
      <c r="M24" s="9" t="str">
        <f>"156,5838"</f>
        <v>156,5838</v>
      </c>
      <c r="N24" s="8" t="s">
        <v>129</v>
      </c>
    </row>
    <row r="25" spans="1:14">
      <c r="A25" s="11" t="s">
        <v>185</v>
      </c>
      <c r="B25" s="10" t="s">
        <v>334</v>
      </c>
      <c r="C25" s="10" t="s">
        <v>338</v>
      </c>
      <c r="D25" s="10" t="s">
        <v>336</v>
      </c>
      <c r="E25" s="10" t="s">
        <v>892</v>
      </c>
      <c r="F25" s="10" t="s">
        <v>36</v>
      </c>
      <c r="G25" s="10" t="s">
        <v>26</v>
      </c>
      <c r="H25" s="24" t="s">
        <v>128</v>
      </c>
      <c r="I25" s="24" t="s">
        <v>233</v>
      </c>
      <c r="J25" s="24" t="s">
        <v>337</v>
      </c>
      <c r="K25" s="11"/>
      <c r="L25" s="68" t="str">
        <f>"271,0"</f>
        <v>271,0</v>
      </c>
      <c r="M25" s="11" t="str">
        <f>"156,5838"</f>
        <v>156,5838</v>
      </c>
      <c r="N25" s="10" t="s">
        <v>129</v>
      </c>
    </row>
    <row r="26" spans="1:14">
      <c r="B26" s="6" t="s">
        <v>186</v>
      </c>
    </row>
    <row r="27" spans="1:14" ht="16">
      <c r="B27" s="6" t="s">
        <v>186</v>
      </c>
      <c r="F27" s="16"/>
    </row>
    <row r="28" spans="1:14" ht="16">
      <c r="B28" s="6" t="s">
        <v>186</v>
      </c>
      <c r="F28" s="16"/>
    </row>
    <row r="29" spans="1:14" ht="18">
      <c r="B29" s="17" t="s">
        <v>160</v>
      </c>
      <c r="C29" s="17"/>
    </row>
    <row r="30" spans="1:14" ht="16">
      <c r="B30" s="32" t="s">
        <v>178</v>
      </c>
      <c r="C30" s="32"/>
    </row>
    <row r="31" spans="1:14" ht="14">
      <c r="B31" s="19"/>
      <c r="C31" s="20" t="s">
        <v>169</v>
      </c>
    </row>
    <row r="32" spans="1:14" ht="14">
      <c r="B32" s="21" t="s">
        <v>161</v>
      </c>
      <c r="C32" s="21" t="s">
        <v>162</v>
      </c>
      <c r="D32" s="21" t="s">
        <v>849</v>
      </c>
      <c r="E32" s="21" t="s">
        <v>339</v>
      </c>
      <c r="F32" s="21" t="s">
        <v>340</v>
      </c>
    </row>
    <row r="33" spans="2:14">
      <c r="B33" s="6" t="s">
        <v>307</v>
      </c>
      <c r="C33" s="6" t="s">
        <v>169</v>
      </c>
      <c r="D33" s="7" t="s">
        <v>341</v>
      </c>
      <c r="E33" s="7" t="s">
        <v>239</v>
      </c>
      <c r="F33" s="7" t="s">
        <v>342</v>
      </c>
    </row>
    <row r="34" spans="2:14">
      <c r="B34" s="6" t="s">
        <v>316</v>
      </c>
      <c r="C34" s="6" t="s">
        <v>169</v>
      </c>
      <c r="D34" s="7" t="s">
        <v>343</v>
      </c>
      <c r="E34" s="7" t="s">
        <v>319</v>
      </c>
      <c r="F34" s="7" t="s">
        <v>344</v>
      </c>
    </row>
    <row r="35" spans="2:14">
      <c r="B35" s="6" t="s">
        <v>322</v>
      </c>
      <c r="C35" s="6" t="s">
        <v>169</v>
      </c>
      <c r="D35" s="7" t="s">
        <v>343</v>
      </c>
      <c r="E35" s="7" t="s">
        <v>241</v>
      </c>
      <c r="F35" s="7" t="s">
        <v>345</v>
      </c>
    </row>
    <row r="36" spans="2:14">
      <c r="B36" s="6" t="s">
        <v>186</v>
      </c>
    </row>
    <row r="37" spans="2:14">
      <c r="B37" s="6" t="s">
        <v>186</v>
      </c>
    </row>
    <row r="38" spans="2:14">
      <c r="B38" s="6" t="s">
        <v>186</v>
      </c>
      <c r="C38" s="7"/>
      <c r="D38" s="7"/>
      <c r="E38" s="7"/>
      <c r="F38" s="7"/>
      <c r="G38" s="7"/>
      <c r="I38" s="6"/>
      <c r="J38" s="3"/>
      <c r="K38" s="3"/>
      <c r="L38" s="74"/>
      <c r="M38" s="3"/>
      <c r="N38" s="3"/>
    </row>
    <row r="39" spans="2:14">
      <c r="B39" s="6" t="s">
        <v>186</v>
      </c>
      <c r="C39" s="7"/>
      <c r="D39" s="7"/>
      <c r="E39" s="7"/>
      <c r="F39" s="7"/>
      <c r="G39" s="7"/>
      <c r="I39" s="6"/>
      <c r="J39" s="3"/>
      <c r="K39" s="3"/>
      <c r="L39" s="74"/>
      <c r="M39" s="3"/>
      <c r="N39" s="3"/>
    </row>
    <row r="40" spans="2:14">
      <c r="B40" s="6" t="s">
        <v>186</v>
      </c>
      <c r="C40" s="7"/>
      <c r="D40" s="7"/>
      <c r="E40" s="7"/>
      <c r="F40" s="7"/>
      <c r="G40" s="7"/>
      <c r="I40" s="6"/>
      <c r="J40" s="3"/>
      <c r="K40" s="3"/>
      <c r="L40" s="74"/>
      <c r="M40" s="3"/>
      <c r="N40" s="3"/>
    </row>
    <row r="41" spans="2:14">
      <c r="B41" s="6" t="s">
        <v>186</v>
      </c>
      <c r="C41" s="7"/>
      <c r="D41" s="7"/>
      <c r="E41" s="7"/>
      <c r="F41" s="7"/>
      <c r="G41" s="7"/>
      <c r="I41" s="6"/>
      <c r="J41" s="3"/>
      <c r="K41" s="3"/>
      <c r="L41" s="74"/>
      <c r="M41" s="3"/>
      <c r="N41" s="3"/>
    </row>
    <row r="42" spans="2:14">
      <c r="B42" s="6" t="s">
        <v>186</v>
      </c>
      <c r="C42" s="7"/>
      <c r="D42" s="7"/>
      <c r="E42" s="7"/>
      <c r="F42" s="7"/>
      <c r="G42" s="7"/>
      <c r="I42" s="6"/>
      <c r="J42" s="3"/>
      <c r="K42" s="3"/>
      <c r="L42" s="74"/>
      <c r="M42" s="3"/>
      <c r="N42" s="3"/>
    </row>
  </sheetData>
  <mergeCells count="17">
    <mergeCell ref="A23:K23"/>
    <mergeCell ref="M3:M4"/>
    <mergeCell ref="N3:N4"/>
    <mergeCell ref="A5:K5"/>
    <mergeCell ref="A9:K9"/>
    <mergeCell ref="A14:K14"/>
    <mergeCell ref="A20:K20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3"/>
  <sheetViews>
    <sheetView workbookViewId="0">
      <selection activeCell="E35" sqref="E35"/>
    </sheetView>
  </sheetViews>
  <sheetFormatPr baseColWidth="10" defaultColWidth="9.1640625" defaultRowHeight="13"/>
  <cols>
    <col min="1" max="1" width="7.5" style="6" bestFit="1" customWidth="1"/>
    <col min="2" max="2" width="19.16406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65" bestFit="1" customWidth="1"/>
    <col min="13" max="13" width="8.5" style="7" bestFit="1" customWidth="1"/>
    <col min="14" max="14" width="20.33203125" style="6" customWidth="1"/>
    <col min="15" max="16384" width="9.1640625" style="3"/>
  </cols>
  <sheetData>
    <row r="1" spans="1:14" s="2" customFormat="1" ht="29" customHeight="1">
      <c r="A1" s="78" t="s">
        <v>866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97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36">
        <v>1</v>
      </c>
      <c r="I4" s="36">
        <v>2</v>
      </c>
      <c r="J4" s="36">
        <v>3</v>
      </c>
      <c r="K4" s="36" t="s">
        <v>4</v>
      </c>
      <c r="L4" s="98"/>
      <c r="M4" s="77"/>
      <c r="N4" s="90"/>
    </row>
    <row r="5" spans="1:14" ht="16">
      <c r="A5" s="95" t="s">
        <v>358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375</v>
      </c>
      <c r="C6" s="12" t="s">
        <v>376</v>
      </c>
      <c r="D6" s="12" t="s">
        <v>377</v>
      </c>
      <c r="E6" s="12" t="s">
        <v>890</v>
      </c>
      <c r="F6" s="12" t="s">
        <v>378</v>
      </c>
      <c r="G6" s="12" t="s">
        <v>26</v>
      </c>
      <c r="H6" s="26" t="s">
        <v>20</v>
      </c>
      <c r="I6" s="26" t="s">
        <v>28</v>
      </c>
      <c r="J6" s="27" t="s">
        <v>29</v>
      </c>
      <c r="K6" s="13"/>
      <c r="L6" s="66" t="str">
        <f>"55,0"</f>
        <v>55,0</v>
      </c>
      <c r="M6" s="13" t="str">
        <f>"72,9575"</f>
        <v>72,9575</v>
      </c>
      <c r="N6" s="12" t="s">
        <v>417</v>
      </c>
    </row>
    <row r="7" spans="1:14">
      <c r="B7" s="6" t="s">
        <v>186</v>
      </c>
    </row>
    <row r="8" spans="1:14" ht="16">
      <c r="A8" s="91" t="s">
        <v>10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379</v>
      </c>
      <c r="C9" s="12" t="s">
        <v>380</v>
      </c>
      <c r="D9" s="12" t="s">
        <v>25</v>
      </c>
      <c r="E9" s="12" t="s">
        <v>890</v>
      </c>
      <c r="F9" s="12" t="s">
        <v>36</v>
      </c>
      <c r="G9" s="12" t="s">
        <v>26</v>
      </c>
      <c r="H9" s="26" t="s">
        <v>20</v>
      </c>
      <c r="I9" s="26" t="s">
        <v>21</v>
      </c>
      <c r="J9" s="27" t="s">
        <v>28</v>
      </c>
      <c r="K9" s="13"/>
      <c r="L9" s="66" t="str">
        <f>"52,5"</f>
        <v>52,5</v>
      </c>
      <c r="M9" s="13" t="str">
        <f>"65,5462"</f>
        <v>65,5462</v>
      </c>
      <c r="N9" s="12" t="s">
        <v>129</v>
      </c>
    </row>
    <row r="10" spans="1:14">
      <c r="B10" s="6" t="s">
        <v>186</v>
      </c>
    </row>
    <row r="11" spans="1:14" ht="16">
      <c r="A11" s="91" t="s">
        <v>32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</row>
    <row r="12" spans="1:14">
      <c r="A12" s="13" t="s">
        <v>185</v>
      </c>
      <c r="B12" s="12" t="s">
        <v>381</v>
      </c>
      <c r="C12" s="12" t="s">
        <v>382</v>
      </c>
      <c r="D12" s="12" t="s">
        <v>383</v>
      </c>
      <c r="E12" s="12" t="s">
        <v>890</v>
      </c>
      <c r="F12" s="12" t="s">
        <v>348</v>
      </c>
      <c r="G12" s="12" t="s">
        <v>26</v>
      </c>
      <c r="H12" s="26" t="s">
        <v>28</v>
      </c>
      <c r="I12" s="26" t="s">
        <v>29</v>
      </c>
      <c r="J12" s="27" t="s">
        <v>76</v>
      </c>
      <c r="K12" s="13"/>
      <c r="L12" s="66" t="str">
        <f>"57,5"</f>
        <v>57,5</v>
      </c>
      <c r="M12" s="13" t="str">
        <f>"67,7523"</f>
        <v>67,7523</v>
      </c>
      <c r="N12" s="12" t="s">
        <v>418</v>
      </c>
    </row>
    <row r="13" spans="1:14">
      <c r="B13" s="6" t="s">
        <v>186</v>
      </c>
    </row>
    <row r="14" spans="1:14" ht="16">
      <c r="A14" s="91" t="s">
        <v>57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</row>
    <row r="15" spans="1:14">
      <c r="A15" s="13" t="s">
        <v>185</v>
      </c>
      <c r="B15" s="12" t="s">
        <v>384</v>
      </c>
      <c r="C15" s="12" t="s">
        <v>385</v>
      </c>
      <c r="D15" s="12" t="s">
        <v>386</v>
      </c>
      <c r="E15" s="12" t="s">
        <v>890</v>
      </c>
      <c r="F15" s="12" t="s">
        <v>387</v>
      </c>
      <c r="G15" s="12" t="s">
        <v>26</v>
      </c>
      <c r="H15" s="26" t="s">
        <v>47</v>
      </c>
      <c r="I15" s="26" t="s">
        <v>19</v>
      </c>
      <c r="J15" s="26" t="s">
        <v>20</v>
      </c>
      <c r="K15" s="13"/>
      <c r="L15" s="66" t="str">
        <f>"50,0"</f>
        <v>50,0</v>
      </c>
      <c r="M15" s="13" t="str">
        <f>"51,4700"</f>
        <v>51,4700</v>
      </c>
      <c r="N15" s="12" t="s">
        <v>417</v>
      </c>
    </row>
    <row r="16" spans="1:14">
      <c r="B16" s="6" t="s">
        <v>186</v>
      </c>
    </row>
    <row r="17" spans="1:14" ht="16">
      <c r="A17" s="91" t="s">
        <v>71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</row>
    <row r="18" spans="1:14">
      <c r="A18" s="13" t="s">
        <v>185</v>
      </c>
      <c r="B18" s="12" t="s">
        <v>388</v>
      </c>
      <c r="C18" s="12" t="s">
        <v>389</v>
      </c>
      <c r="D18" s="12" t="s">
        <v>390</v>
      </c>
      <c r="E18" s="12" t="s">
        <v>890</v>
      </c>
      <c r="F18" s="12" t="s">
        <v>387</v>
      </c>
      <c r="G18" s="12" t="s">
        <v>26</v>
      </c>
      <c r="H18" s="26" t="s">
        <v>40</v>
      </c>
      <c r="I18" s="26" t="s">
        <v>55</v>
      </c>
      <c r="J18" s="27" t="s">
        <v>206</v>
      </c>
      <c r="K18" s="13"/>
      <c r="L18" s="66" t="str">
        <f>"70,0"</f>
        <v>70,0</v>
      </c>
      <c r="M18" s="13" t="str">
        <f>"67,5220"</f>
        <v>67,5220</v>
      </c>
      <c r="N18" s="12" t="s">
        <v>417</v>
      </c>
    </row>
    <row r="19" spans="1:14">
      <c r="B19" s="6" t="s">
        <v>186</v>
      </c>
    </row>
    <row r="20" spans="1:14" ht="16">
      <c r="A20" s="91" t="s">
        <v>71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</row>
    <row r="21" spans="1:14">
      <c r="A21" s="13" t="s">
        <v>185</v>
      </c>
      <c r="B21" s="12" t="s">
        <v>391</v>
      </c>
      <c r="C21" s="12" t="s">
        <v>392</v>
      </c>
      <c r="D21" s="12" t="s">
        <v>301</v>
      </c>
      <c r="E21" s="12" t="s">
        <v>893</v>
      </c>
      <c r="F21" s="12" t="s">
        <v>36</v>
      </c>
      <c r="G21" s="12" t="s">
        <v>393</v>
      </c>
      <c r="H21" s="26" t="s">
        <v>18</v>
      </c>
      <c r="I21" s="26" t="s">
        <v>22</v>
      </c>
      <c r="J21" s="27" t="s">
        <v>75</v>
      </c>
      <c r="K21" s="13"/>
      <c r="L21" s="66" t="str">
        <f>"100,0"</f>
        <v>100,0</v>
      </c>
      <c r="M21" s="13" t="str">
        <f>"71,2600"</f>
        <v>71,2600</v>
      </c>
      <c r="N21" s="12" t="s">
        <v>129</v>
      </c>
    </row>
    <row r="22" spans="1:14">
      <c r="B22" s="6" t="s">
        <v>186</v>
      </c>
    </row>
    <row r="23" spans="1:14" ht="16">
      <c r="A23" s="91" t="s">
        <v>122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</row>
    <row r="24" spans="1:14">
      <c r="A24" s="9" t="s">
        <v>185</v>
      </c>
      <c r="B24" s="8" t="s">
        <v>394</v>
      </c>
      <c r="C24" s="8" t="s">
        <v>395</v>
      </c>
      <c r="D24" s="8" t="s">
        <v>396</v>
      </c>
      <c r="E24" s="8" t="s">
        <v>890</v>
      </c>
      <c r="F24" s="8" t="s">
        <v>387</v>
      </c>
      <c r="G24" s="8" t="s">
        <v>26</v>
      </c>
      <c r="H24" s="23" t="s">
        <v>30</v>
      </c>
      <c r="I24" s="22" t="s">
        <v>30</v>
      </c>
      <c r="J24" s="22" t="s">
        <v>31</v>
      </c>
      <c r="K24" s="9"/>
      <c r="L24" s="67" t="str">
        <f>"120,0"</f>
        <v>120,0</v>
      </c>
      <c r="M24" s="59" t="str">
        <f>"82,9920"</f>
        <v>82,9920</v>
      </c>
      <c r="N24" s="8" t="s">
        <v>417</v>
      </c>
    </row>
    <row r="25" spans="1:14">
      <c r="A25" s="11" t="s">
        <v>228</v>
      </c>
      <c r="B25" s="10" t="s">
        <v>397</v>
      </c>
      <c r="C25" s="10" t="s">
        <v>398</v>
      </c>
      <c r="D25" s="10" t="s">
        <v>399</v>
      </c>
      <c r="E25" s="10" t="s">
        <v>890</v>
      </c>
      <c r="F25" s="10" t="s">
        <v>387</v>
      </c>
      <c r="G25" s="10" t="s">
        <v>26</v>
      </c>
      <c r="H25" s="25" t="s">
        <v>31</v>
      </c>
      <c r="I25" s="25" t="s">
        <v>31</v>
      </c>
      <c r="J25" s="25" t="s">
        <v>31</v>
      </c>
      <c r="K25" s="11"/>
      <c r="L25" s="68">
        <v>0</v>
      </c>
      <c r="M25" s="60" t="str">
        <f>"0,0000"</f>
        <v>0,0000</v>
      </c>
      <c r="N25" s="10" t="s">
        <v>417</v>
      </c>
    </row>
    <row r="26" spans="1:14">
      <c r="B26" s="6" t="s">
        <v>186</v>
      </c>
    </row>
    <row r="27" spans="1:14" ht="16">
      <c r="A27" s="91" t="s">
        <v>134</v>
      </c>
      <c r="B27" s="91"/>
      <c r="C27" s="92"/>
      <c r="D27" s="92"/>
      <c r="E27" s="92"/>
      <c r="F27" s="92"/>
      <c r="G27" s="92"/>
      <c r="H27" s="92"/>
      <c r="I27" s="92"/>
      <c r="J27" s="92"/>
      <c r="K27" s="92"/>
    </row>
    <row r="28" spans="1:14">
      <c r="A28" s="9" t="s">
        <v>185</v>
      </c>
      <c r="B28" s="8" t="s">
        <v>400</v>
      </c>
      <c r="C28" s="8" t="s">
        <v>401</v>
      </c>
      <c r="D28" s="8" t="s">
        <v>402</v>
      </c>
      <c r="E28" s="8" t="s">
        <v>890</v>
      </c>
      <c r="F28" s="8" t="s">
        <v>213</v>
      </c>
      <c r="G28" s="8" t="s">
        <v>850</v>
      </c>
      <c r="H28" s="22" t="s">
        <v>133</v>
      </c>
      <c r="I28" s="22" t="s">
        <v>106</v>
      </c>
      <c r="J28" s="22" t="s">
        <v>80</v>
      </c>
      <c r="K28" s="9"/>
      <c r="L28" s="67" t="str">
        <f>"150,0"</f>
        <v>150,0</v>
      </c>
      <c r="M28" s="9" t="str">
        <f>"97,7250"</f>
        <v>97,7250</v>
      </c>
      <c r="N28" s="8" t="s">
        <v>356</v>
      </c>
    </row>
    <row r="29" spans="1:14">
      <c r="A29" s="15" t="s">
        <v>187</v>
      </c>
      <c r="B29" s="14" t="s">
        <v>403</v>
      </c>
      <c r="C29" s="14" t="s">
        <v>404</v>
      </c>
      <c r="D29" s="14" t="s">
        <v>231</v>
      </c>
      <c r="E29" s="14" t="s">
        <v>890</v>
      </c>
      <c r="F29" s="14" t="s">
        <v>36</v>
      </c>
      <c r="G29" s="14" t="s">
        <v>26</v>
      </c>
      <c r="H29" s="28" t="s">
        <v>133</v>
      </c>
      <c r="I29" s="29" t="s">
        <v>106</v>
      </c>
      <c r="J29" s="29" t="s">
        <v>106</v>
      </c>
      <c r="K29" s="15"/>
      <c r="L29" s="70" t="str">
        <f>"130,0"</f>
        <v>130,0</v>
      </c>
      <c r="M29" s="15" t="str">
        <f>"82,9920"</f>
        <v>82,9920</v>
      </c>
      <c r="N29" s="14" t="s">
        <v>129</v>
      </c>
    </row>
    <row r="30" spans="1:14">
      <c r="A30" s="11" t="s">
        <v>185</v>
      </c>
      <c r="B30" s="10" t="s">
        <v>403</v>
      </c>
      <c r="C30" s="10" t="s">
        <v>405</v>
      </c>
      <c r="D30" s="10" t="s">
        <v>231</v>
      </c>
      <c r="E30" s="10" t="s">
        <v>895</v>
      </c>
      <c r="F30" s="10" t="s">
        <v>36</v>
      </c>
      <c r="G30" s="10" t="s">
        <v>26</v>
      </c>
      <c r="H30" s="24" t="s">
        <v>133</v>
      </c>
      <c r="I30" s="25" t="s">
        <v>106</v>
      </c>
      <c r="J30" s="25" t="s">
        <v>106</v>
      </c>
      <c r="K30" s="11"/>
      <c r="L30" s="68" t="str">
        <f>"130,0"</f>
        <v>130,0</v>
      </c>
      <c r="M30" s="11" t="str">
        <f>"127,2267"</f>
        <v>127,2267</v>
      </c>
      <c r="N30" s="10" t="s">
        <v>129</v>
      </c>
    </row>
    <row r="31" spans="1:14">
      <c r="B31" s="6" t="s">
        <v>186</v>
      </c>
    </row>
    <row r="32" spans="1:14" ht="16">
      <c r="A32" s="91" t="s">
        <v>156</v>
      </c>
      <c r="B32" s="91"/>
      <c r="C32" s="92"/>
      <c r="D32" s="92"/>
      <c r="E32" s="92"/>
      <c r="F32" s="92"/>
      <c r="G32" s="92"/>
      <c r="H32" s="92"/>
      <c r="I32" s="92"/>
      <c r="J32" s="92"/>
      <c r="K32" s="92"/>
    </row>
    <row r="33" spans="1:14">
      <c r="A33" s="9" t="s">
        <v>185</v>
      </c>
      <c r="B33" s="8" t="s">
        <v>406</v>
      </c>
      <c r="C33" s="8" t="s">
        <v>407</v>
      </c>
      <c r="D33" s="8" t="s">
        <v>408</v>
      </c>
      <c r="E33" s="8" t="s">
        <v>890</v>
      </c>
      <c r="F33" s="8" t="s">
        <v>387</v>
      </c>
      <c r="G33" s="8" t="s">
        <v>26</v>
      </c>
      <c r="H33" s="22" t="s">
        <v>30</v>
      </c>
      <c r="I33" s="22" t="s">
        <v>31</v>
      </c>
      <c r="J33" s="22" t="s">
        <v>43</v>
      </c>
      <c r="K33" s="9"/>
      <c r="L33" s="67" t="str">
        <f>"125,0"</f>
        <v>125,0</v>
      </c>
      <c r="M33" s="9" t="str">
        <f>"72,8500"</f>
        <v>72,8500</v>
      </c>
      <c r="N33" s="8" t="s">
        <v>417</v>
      </c>
    </row>
    <row r="34" spans="1:14">
      <c r="A34" s="11" t="s">
        <v>187</v>
      </c>
      <c r="B34" s="10" t="s">
        <v>409</v>
      </c>
      <c r="C34" s="10" t="s">
        <v>410</v>
      </c>
      <c r="D34" s="10" t="s">
        <v>411</v>
      </c>
      <c r="E34" s="10" t="s">
        <v>890</v>
      </c>
      <c r="F34" s="10" t="s">
        <v>387</v>
      </c>
      <c r="G34" s="10" t="s">
        <v>26</v>
      </c>
      <c r="H34" s="24" t="s">
        <v>31</v>
      </c>
      <c r="I34" s="25" t="s">
        <v>43</v>
      </c>
      <c r="J34" s="25" t="s">
        <v>43</v>
      </c>
      <c r="K34" s="11"/>
      <c r="L34" s="68" t="str">
        <f>"120,0"</f>
        <v>120,0</v>
      </c>
      <c r="M34" s="11" t="str">
        <f>"70,1160"</f>
        <v>70,1160</v>
      </c>
      <c r="N34" s="10" t="s">
        <v>417</v>
      </c>
    </row>
    <row r="35" spans="1:14">
      <c r="B35" s="6" t="s">
        <v>186</v>
      </c>
    </row>
    <row r="36" spans="1:14" ht="16">
      <c r="B36" s="6" t="s">
        <v>186</v>
      </c>
      <c r="F36" s="16"/>
    </row>
    <row r="37" spans="1:14" ht="16">
      <c r="B37" s="6" t="s">
        <v>186</v>
      </c>
      <c r="F37" s="16"/>
    </row>
    <row r="38" spans="1:14" ht="18">
      <c r="B38" s="17" t="s">
        <v>160</v>
      </c>
      <c r="C38" s="17"/>
    </row>
    <row r="39" spans="1:14" ht="16">
      <c r="B39" s="37" t="s">
        <v>412</v>
      </c>
      <c r="C39" s="37"/>
    </row>
    <row r="40" spans="1:14" ht="14">
      <c r="B40" s="19"/>
      <c r="C40" s="20" t="s">
        <v>169</v>
      </c>
    </row>
    <row r="41" spans="1:14" ht="14">
      <c r="B41" s="21" t="s">
        <v>161</v>
      </c>
      <c r="C41" s="21" t="s">
        <v>162</v>
      </c>
      <c r="D41" s="21" t="s">
        <v>849</v>
      </c>
      <c r="E41" s="21" t="s">
        <v>339</v>
      </c>
      <c r="F41" s="21" t="s">
        <v>165</v>
      </c>
    </row>
    <row r="42" spans="1:14">
      <c r="B42" s="6" t="s">
        <v>375</v>
      </c>
      <c r="C42" s="6" t="s">
        <v>169</v>
      </c>
      <c r="D42" s="7" t="s">
        <v>413</v>
      </c>
      <c r="E42" s="7" t="s">
        <v>28</v>
      </c>
      <c r="F42" s="7" t="s">
        <v>414</v>
      </c>
    </row>
    <row r="43" spans="1:14">
      <c r="B43" s="6" t="s">
        <v>381</v>
      </c>
      <c r="C43" s="6" t="s">
        <v>169</v>
      </c>
      <c r="D43" s="7" t="s">
        <v>170</v>
      </c>
      <c r="E43" s="7" t="s">
        <v>29</v>
      </c>
      <c r="F43" s="7" t="s">
        <v>415</v>
      </c>
    </row>
    <row r="44" spans="1:14">
      <c r="B44" s="6" t="s">
        <v>388</v>
      </c>
      <c r="C44" s="6" t="s">
        <v>169</v>
      </c>
      <c r="D44" s="7" t="s">
        <v>175</v>
      </c>
      <c r="E44" s="7" t="s">
        <v>55</v>
      </c>
      <c r="F44" s="7" t="s">
        <v>416</v>
      </c>
    </row>
    <row r="45" spans="1:14">
      <c r="B45" s="6" t="s">
        <v>186</v>
      </c>
    </row>
    <row r="46" spans="1:14">
      <c r="B46" s="6" t="s">
        <v>186</v>
      </c>
    </row>
    <row r="47" spans="1:14">
      <c r="B47" s="6" t="s">
        <v>186</v>
      </c>
    </row>
    <row r="48" spans="1:14">
      <c r="B48" s="6" t="s">
        <v>186</v>
      </c>
    </row>
    <row r="49" spans="2:14">
      <c r="B49" s="6" t="s">
        <v>186</v>
      </c>
      <c r="C49" s="7"/>
      <c r="D49" s="7"/>
      <c r="E49" s="7"/>
      <c r="F49" s="7"/>
      <c r="G49" s="7"/>
      <c r="I49" s="6"/>
      <c r="J49" s="3"/>
      <c r="K49" s="3"/>
      <c r="L49" s="74"/>
      <c r="M49" s="3"/>
      <c r="N49" s="3"/>
    </row>
    <row r="50" spans="2:14">
      <c r="B50" s="6" t="s">
        <v>186</v>
      </c>
      <c r="C50" s="7"/>
      <c r="D50" s="7"/>
      <c r="E50" s="7"/>
      <c r="F50" s="7"/>
      <c r="G50" s="7"/>
      <c r="I50" s="6"/>
      <c r="J50" s="3"/>
      <c r="K50" s="3"/>
      <c r="L50" s="74"/>
      <c r="M50" s="3"/>
      <c r="N50" s="3"/>
    </row>
    <row r="51" spans="2:14">
      <c r="B51" s="6" t="s">
        <v>186</v>
      </c>
      <c r="C51" s="7"/>
      <c r="D51" s="7"/>
      <c r="E51" s="7"/>
      <c r="F51" s="7"/>
      <c r="G51" s="7"/>
      <c r="I51" s="6"/>
      <c r="J51" s="3"/>
      <c r="K51" s="3"/>
      <c r="L51" s="74"/>
      <c r="M51" s="3"/>
      <c r="N51" s="3"/>
    </row>
    <row r="52" spans="2:14">
      <c r="B52" s="6" t="s">
        <v>186</v>
      </c>
      <c r="C52" s="7"/>
      <c r="D52" s="7"/>
      <c r="E52" s="7"/>
      <c r="F52" s="7"/>
      <c r="G52" s="7"/>
      <c r="I52" s="6"/>
      <c r="J52" s="3"/>
      <c r="K52" s="3"/>
      <c r="L52" s="74"/>
      <c r="M52" s="3"/>
      <c r="N52" s="3"/>
    </row>
    <row r="53" spans="2:14">
      <c r="B53" s="6" t="s">
        <v>186</v>
      </c>
      <c r="C53" s="7"/>
      <c r="D53" s="7"/>
      <c r="E53" s="7"/>
      <c r="F53" s="7"/>
      <c r="G53" s="7"/>
      <c r="I53" s="6"/>
      <c r="J53" s="3"/>
      <c r="K53" s="3"/>
      <c r="L53" s="74"/>
      <c r="M53" s="3"/>
      <c r="N53" s="3"/>
    </row>
    <row r="54" spans="2:14">
      <c r="B54" s="6" t="s">
        <v>186</v>
      </c>
      <c r="C54" s="7"/>
      <c r="D54" s="7"/>
      <c r="E54" s="7"/>
      <c r="F54" s="7"/>
      <c r="G54" s="7"/>
      <c r="I54" s="6"/>
      <c r="J54" s="3"/>
      <c r="K54" s="3"/>
      <c r="L54" s="74"/>
      <c r="M54" s="3"/>
      <c r="N54" s="3"/>
    </row>
    <row r="55" spans="2:14">
      <c r="B55" s="6" t="s">
        <v>186</v>
      </c>
      <c r="C55" s="7"/>
      <c r="D55" s="7"/>
      <c r="E55" s="7"/>
      <c r="F55" s="7"/>
      <c r="G55" s="7"/>
      <c r="I55" s="6"/>
      <c r="J55" s="3"/>
      <c r="K55" s="3"/>
      <c r="L55" s="74"/>
      <c r="M55" s="3"/>
      <c r="N55" s="3"/>
    </row>
    <row r="56" spans="2:14">
      <c r="B56" s="6" t="s">
        <v>186</v>
      </c>
      <c r="C56" s="7"/>
      <c r="D56" s="7"/>
      <c r="E56" s="7"/>
      <c r="F56" s="7"/>
      <c r="G56" s="7"/>
      <c r="I56" s="6"/>
      <c r="J56" s="3"/>
      <c r="K56" s="3"/>
      <c r="L56" s="74"/>
      <c r="M56" s="3"/>
      <c r="N56" s="3"/>
    </row>
    <row r="57" spans="2:14">
      <c r="B57" s="6" t="s">
        <v>186</v>
      </c>
      <c r="C57" s="7"/>
      <c r="D57" s="7"/>
      <c r="E57" s="7"/>
      <c r="F57" s="7"/>
      <c r="G57" s="7"/>
      <c r="I57" s="6"/>
      <c r="J57" s="3"/>
      <c r="K57" s="3"/>
      <c r="L57" s="74"/>
      <c r="M57" s="3"/>
      <c r="N57" s="3"/>
    </row>
    <row r="58" spans="2:14">
      <c r="B58" s="6" t="s">
        <v>186</v>
      </c>
      <c r="C58" s="7"/>
      <c r="D58" s="7"/>
      <c r="E58" s="7"/>
      <c r="F58" s="7"/>
      <c r="G58" s="7"/>
      <c r="I58" s="6"/>
      <c r="J58" s="3"/>
      <c r="K58" s="3"/>
      <c r="L58" s="74"/>
      <c r="M58" s="3"/>
      <c r="N58" s="3"/>
    </row>
    <row r="59" spans="2:14">
      <c r="B59" s="6" t="s">
        <v>186</v>
      </c>
      <c r="C59" s="7"/>
      <c r="D59" s="7"/>
      <c r="E59" s="7"/>
      <c r="F59" s="7"/>
      <c r="G59" s="7"/>
      <c r="I59" s="6"/>
      <c r="J59" s="3"/>
      <c r="K59" s="3"/>
      <c r="L59" s="74"/>
      <c r="M59" s="3"/>
      <c r="N59" s="3"/>
    </row>
    <row r="60" spans="2:14">
      <c r="B60" s="6" t="s">
        <v>186</v>
      </c>
      <c r="C60" s="7"/>
      <c r="D60" s="7"/>
      <c r="E60" s="7"/>
      <c r="F60" s="7"/>
      <c r="G60" s="7"/>
      <c r="I60" s="6"/>
      <c r="J60" s="3"/>
      <c r="K60" s="3"/>
      <c r="L60" s="74"/>
      <c r="M60" s="3"/>
      <c r="N60" s="3"/>
    </row>
    <row r="61" spans="2:14">
      <c r="B61" s="6" t="s">
        <v>186</v>
      </c>
    </row>
    <row r="62" spans="2:14">
      <c r="B62" s="6" t="s">
        <v>186</v>
      </c>
    </row>
    <row r="63" spans="2:14">
      <c r="B63" s="6" t="s">
        <v>186</v>
      </c>
    </row>
  </sheetData>
  <mergeCells count="21">
    <mergeCell ref="A14:K14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8:K8"/>
    <mergeCell ref="A11:K11"/>
    <mergeCell ref="A17:K17"/>
    <mergeCell ref="A20:K20"/>
    <mergeCell ref="A23:K23"/>
    <mergeCell ref="A27:K27"/>
    <mergeCell ref="A32:K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workbookViewId="0">
      <selection activeCell="E11" sqref="E11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7" bestFit="1" customWidth="1"/>
    <col min="14" max="14" width="20.6640625" style="6" customWidth="1"/>
    <col min="15" max="16384" width="9.1640625" style="3"/>
  </cols>
  <sheetData>
    <row r="1" spans="1:14" s="2" customFormat="1" ht="29" customHeight="1">
      <c r="A1" s="78" t="s">
        <v>867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57.7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94"/>
      <c r="C4" s="77"/>
      <c r="D4" s="77"/>
      <c r="E4" s="77"/>
      <c r="F4" s="77"/>
      <c r="G4" s="77"/>
      <c r="H4" s="38">
        <v>1</v>
      </c>
      <c r="I4" s="38">
        <v>2</v>
      </c>
      <c r="J4" s="38">
        <v>3</v>
      </c>
      <c r="K4" s="38" t="s">
        <v>4</v>
      </c>
      <c r="L4" s="77"/>
      <c r="M4" s="77"/>
      <c r="N4" s="90"/>
    </row>
    <row r="5" spans="1:14" ht="16">
      <c r="A5" s="95" t="s">
        <v>134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9" t="s">
        <v>185</v>
      </c>
      <c r="B6" s="8" t="s">
        <v>419</v>
      </c>
      <c r="C6" s="8" t="s">
        <v>420</v>
      </c>
      <c r="D6" s="8" t="s">
        <v>421</v>
      </c>
      <c r="E6" s="8" t="s">
        <v>890</v>
      </c>
      <c r="F6" s="8" t="s">
        <v>61</v>
      </c>
      <c r="G6" s="8" t="s">
        <v>26</v>
      </c>
      <c r="H6" s="22" t="s">
        <v>195</v>
      </c>
      <c r="I6" s="22" t="s">
        <v>110</v>
      </c>
      <c r="J6" s="23" t="s">
        <v>283</v>
      </c>
      <c r="K6" s="9"/>
      <c r="L6" s="9" t="str">
        <f>"170,0"</f>
        <v>170,0</v>
      </c>
      <c r="M6" s="9" t="str">
        <f>"109,2080"</f>
        <v>109,2080</v>
      </c>
      <c r="N6" s="8" t="s">
        <v>618</v>
      </c>
    </row>
    <row r="7" spans="1:14">
      <c r="A7" s="11" t="s">
        <v>187</v>
      </c>
      <c r="B7" s="10" t="s">
        <v>423</v>
      </c>
      <c r="C7" s="10" t="s">
        <v>424</v>
      </c>
      <c r="D7" s="10" t="s">
        <v>425</v>
      </c>
      <c r="E7" s="10" t="s">
        <v>890</v>
      </c>
      <c r="F7" s="10" t="s">
        <v>348</v>
      </c>
      <c r="G7" s="10" t="s">
        <v>26</v>
      </c>
      <c r="H7" s="24" t="s">
        <v>290</v>
      </c>
      <c r="I7" s="24" t="s">
        <v>195</v>
      </c>
      <c r="J7" s="11"/>
      <c r="K7" s="11"/>
      <c r="L7" s="11" t="str">
        <f>"157,5"</f>
        <v>157,5</v>
      </c>
      <c r="M7" s="11" t="str">
        <f>"100,9575"</f>
        <v>100,9575</v>
      </c>
      <c r="N7" s="10"/>
    </row>
    <row r="8" spans="1:14">
      <c r="B8" s="6" t="s">
        <v>186</v>
      </c>
    </row>
    <row r="9" spans="1:14" ht="16">
      <c r="A9" s="91" t="s">
        <v>156</v>
      </c>
      <c r="B9" s="91"/>
      <c r="C9" s="92"/>
      <c r="D9" s="92"/>
      <c r="E9" s="92"/>
      <c r="F9" s="92"/>
      <c r="G9" s="92"/>
      <c r="H9" s="92"/>
      <c r="I9" s="92"/>
      <c r="J9" s="92"/>
      <c r="K9" s="92"/>
    </row>
    <row r="10" spans="1:14">
      <c r="A10" s="13" t="s">
        <v>185</v>
      </c>
      <c r="B10" s="12" t="s">
        <v>426</v>
      </c>
      <c r="C10" s="12" t="s">
        <v>427</v>
      </c>
      <c r="D10" s="12" t="s">
        <v>428</v>
      </c>
      <c r="E10" s="12" t="s">
        <v>890</v>
      </c>
      <c r="F10" s="12" t="s">
        <v>348</v>
      </c>
      <c r="G10" s="12" t="s">
        <v>223</v>
      </c>
      <c r="H10" s="26" t="s">
        <v>90</v>
      </c>
      <c r="I10" s="26" t="s">
        <v>121</v>
      </c>
      <c r="J10" s="26" t="s">
        <v>283</v>
      </c>
      <c r="K10" s="13"/>
      <c r="L10" s="13" t="str">
        <f>"182,5"</f>
        <v>182,5</v>
      </c>
      <c r="M10" s="13" t="str">
        <f>"104,5360"</f>
        <v>104,5360</v>
      </c>
      <c r="N10" s="12" t="s">
        <v>429</v>
      </c>
    </row>
    <row r="11" spans="1:14">
      <c r="B11" s="6" t="s">
        <v>186</v>
      </c>
    </row>
    <row r="12" spans="1:14" ht="16">
      <c r="B12" s="6" t="s">
        <v>186</v>
      </c>
      <c r="F12" s="16"/>
    </row>
    <row r="13" spans="1:14" ht="16">
      <c r="B13" s="6" t="s">
        <v>186</v>
      </c>
      <c r="F13" s="16"/>
    </row>
    <row r="14" spans="1:14" ht="16">
      <c r="B14" s="6" t="s">
        <v>186</v>
      </c>
      <c r="F14" s="16"/>
    </row>
    <row r="15" spans="1:14" ht="16">
      <c r="B15" s="6" t="s">
        <v>186</v>
      </c>
      <c r="F15" s="16"/>
    </row>
    <row r="16" spans="1:14" ht="16">
      <c r="B16" s="6" t="s">
        <v>186</v>
      </c>
      <c r="F16" s="16"/>
    </row>
    <row r="17" spans="2:14" ht="16">
      <c r="B17" s="6" t="s">
        <v>186</v>
      </c>
      <c r="F17" s="16"/>
    </row>
    <row r="18" spans="2:14">
      <c r="B18" s="6" t="s">
        <v>186</v>
      </c>
      <c r="C18" s="7"/>
      <c r="D18" s="7"/>
      <c r="E18" s="7"/>
      <c r="F18" s="7"/>
      <c r="G18" s="7"/>
      <c r="H18" s="6"/>
      <c r="I18" s="3"/>
      <c r="J18" s="3"/>
      <c r="K18" s="3"/>
      <c r="L18" s="3"/>
      <c r="M18" s="3"/>
      <c r="N18" s="3"/>
    </row>
    <row r="19" spans="2:14">
      <c r="B19" s="6" t="s">
        <v>186</v>
      </c>
      <c r="C19" s="7"/>
      <c r="D19" s="7"/>
      <c r="E19" s="7"/>
      <c r="F19" s="7"/>
      <c r="G19" s="7"/>
      <c r="H19" s="6"/>
      <c r="I19" s="3"/>
      <c r="J19" s="3"/>
      <c r="K19" s="3"/>
      <c r="L19" s="3"/>
      <c r="M19" s="3"/>
      <c r="N19" s="3"/>
    </row>
    <row r="20" spans="2:14">
      <c r="B20" s="6" t="s">
        <v>186</v>
      </c>
      <c r="C20" s="7"/>
      <c r="D20" s="7"/>
      <c r="E20" s="7"/>
      <c r="F20" s="7"/>
      <c r="G20" s="7"/>
      <c r="H20" s="6"/>
      <c r="I20" s="3"/>
      <c r="J20" s="3"/>
      <c r="K20" s="3"/>
      <c r="L20" s="3"/>
      <c r="M20" s="3"/>
      <c r="N20" s="3"/>
    </row>
    <row r="21" spans="2:14">
      <c r="B21" s="6" t="s">
        <v>186</v>
      </c>
      <c r="C21" s="7"/>
      <c r="D21" s="7"/>
      <c r="E21" s="7"/>
      <c r="F21" s="7"/>
      <c r="G21" s="7"/>
      <c r="H21" s="6"/>
      <c r="I21" s="3"/>
      <c r="J21" s="3"/>
      <c r="K21" s="3"/>
      <c r="L21" s="3"/>
      <c r="M21" s="3"/>
      <c r="N21" s="3"/>
    </row>
    <row r="22" spans="2:14">
      <c r="B22" s="6" t="s">
        <v>186</v>
      </c>
      <c r="C22" s="7"/>
      <c r="D22" s="7"/>
      <c r="E22" s="7"/>
      <c r="F22" s="7"/>
      <c r="G22" s="7"/>
      <c r="H22" s="6"/>
      <c r="I22" s="3"/>
      <c r="J22" s="3"/>
      <c r="K22" s="3"/>
      <c r="L22" s="3"/>
      <c r="M22" s="3"/>
      <c r="N22" s="3"/>
    </row>
    <row r="23" spans="2:14">
      <c r="B23" s="6" t="s">
        <v>186</v>
      </c>
      <c r="C23" s="7"/>
      <c r="D23" s="7"/>
      <c r="E23" s="7"/>
      <c r="F23" s="7"/>
      <c r="G23" s="7"/>
      <c r="H23" s="6"/>
      <c r="I23" s="3"/>
      <c r="J23" s="3"/>
      <c r="K23" s="3"/>
      <c r="L23" s="3"/>
      <c r="M23" s="3"/>
      <c r="N23" s="3"/>
    </row>
    <row r="24" spans="2:14">
      <c r="B24" s="6" t="s">
        <v>186</v>
      </c>
      <c r="C24" s="7"/>
      <c r="D24" s="7"/>
      <c r="E24" s="7"/>
      <c r="F24" s="7"/>
      <c r="G24" s="7"/>
      <c r="H24" s="6"/>
      <c r="I24" s="3"/>
      <c r="J24" s="3"/>
      <c r="K24" s="3"/>
      <c r="L24" s="3"/>
      <c r="M24" s="3"/>
      <c r="N24" s="3"/>
    </row>
    <row r="25" spans="2:14">
      <c r="B25" s="6" t="s">
        <v>186</v>
      </c>
      <c r="C25" s="7"/>
      <c r="D25" s="7"/>
      <c r="E25" s="7"/>
      <c r="F25" s="7"/>
      <c r="G25" s="7"/>
      <c r="H25" s="6"/>
      <c r="I25" s="3"/>
      <c r="J25" s="3"/>
      <c r="K25" s="3"/>
      <c r="L25" s="3"/>
      <c r="M25" s="3"/>
      <c r="N25" s="3"/>
    </row>
    <row r="26" spans="2:14">
      <c r="B26" s="6" t="s">
        <v>186</v>
      </c>
      <c r="C26" s="7"/>
      <c r="D26" s="7"/>
      <c r="E26" s="7"/>
      <c r="F26" s="7"/>
      <c r="G26" s="7"/>
      <c r="H26" s="6"/>
      <c r="I26" s="3"/>
      <c r="J26" s="3"/>
      <c r="K26" s="3"/>
      <c r="L26" s="3"/>
      <c r="M26" s="3"/>
      <c r="N26" s="3"/>
    </row>
    <row r="27" spans="2:14">
      <c r="B27" s="6" t="s">
        <v>186</v>
      </c>
      <c r="C27" s="7"/>
      <c r="D27" s="7"/>
      <c r="E27" s="7"/>
      <c r="F27" s="7"/>
      <c r="G27" s="7"/>
      <c r="H27" s="6"/>
      <c r="I27" s="3"/>
      <c r="J27" s="3"/>
      <c r="K27" s="3"/>
      <c r="L27" s="3"/>
      <c r="M27" s="3"/>
      <c r="N27" s="3"/>
    </row>
    <row r="28" spans="2:14">
      <c r="C28" s="7"/>
      <c r="D28" s="7"/>
      <c r="E28" s="7"/>
      <c r="F28" s="7"/>
      <c r="G28" s="7"/>
      <c r="H28" s="6"/>
      <c r="I28" s="3"/>
      <c r="J28" s="3"/>
      <c r="K28" s="3"/>
      <c r="L28" s="3"/>
      <c r="M28" s="3"/>
      <c r="N28" s="3"/>
    </row>
  </sheetData>
  <mergeCells count="14">
    <mergeCell ref="M3:M4"/>
    <mergeCell ref="N3:N4"/>
    <mergeCell ref="A5:K5"/>
    <mergeCell ref="A9:K9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10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20.1640625" style="6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1.664062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7" bestFit="1" customWidth="1"/>
    <col min="14" max="14" width="27.83203125" style="6" bestFit="1" customWidth="1"/>
    <col min="15" max="16384" width="9.1640625" style="3"/>
  </cols>
  <sheetData>
    <row r="1" spans="1:14" s="2" customFormat="1" ht="29" customHeight="1">
      <c r="A1" s="78" t="s">
        <v>869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56">
        <v>1</v>
      </c>
      <c r="I4" s="56">
        <v>2</v>
      </c>
      <c r="J4" s="56">
        <v>3</v>
      </c>
      <c r="K4" s="56" t="s">
        <v>4</v>
      </c>
      <c r="L4" s="77"/>
      <c r="M4" s="77"/>
      <c r="N4" s="90"/>
    </row>
    <row r="5" spans="1:14" ht="16">
      <c r="A5" s="95" t="s">
        <v>71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838</v>
      </c>
      <c r="C6" s="12" t="s">
        <v>839</v>
      </c>
      <c r="D6" s="12" t="s">
        <v>840</v>
      </c>
      <c r="E6" s="12" t="s">
        <v>890</v>
      </c>
      <c r="F6" s="12" t="s">
        <v>841</v>
      </c>
      <c r="G6" s="12" t="s">
        <v>26</v>
      </c>
      <c r="H6" s="26" t="s">
        <v>21</v>
      </c>
      <c r="I6" s="26" t="s">
        <v>28</v>
      </c>
      <c r="J6" s="27" t="s">
        <v>29</v>
      </c>
      <c r="K6" s="13"/>
      <c r="L6" s="13" t="str">
        <f>"55,0"</f>
        <v>55,0</v>
      </c>
      <c r="M6" s="13" t="str">
        <f>"41,0603"</f>
        <v>41,0603</v>
      </c>
      <c r="N6" s="12" t="s">
        <v>739</v>
      </c>
    </row>
    <row r="7" spans="1:14">
      <c r="B7" s="6" t="s">
        <v>186</v>
      </c>
    </row>
    <row r="8" spans="1:14" ht="16">
      <c r="A8" s="91" t="s">
        <v>145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678</v>
      </c>
      <c r="C9" s="12" t="s">
        <v>679</v>
      </c>
      <c r="D9" s="12" t="s">
        <v>680</v>
      </c>
      <c r="E9" s="12" t="s">
        <v>890</v>
      </c>
      <c r="F9" s="12" t="s">
        <v>36</v>
      </c>
      <c r="G9" s="12" t="s">
        <v>26</v>
      </c>
      <c r="H9" s="26" t="s">
        <v>101</v>
      </c>
      <c r="I9" s="27" t="s">
        <v>255</v>
      </c>
      <c r="J9" s="13"/>
      <c r="K9" s="13"/>
      <c r="L9" s="13" t="str">
        <f>"195,0"</f>
        <v>195,0</v>
      </c>
      <c r="M9" s="13" t="str">
        <f>"112,5540"</f>
        <v>112,5540</v>
      </c>
      <c r="N9" s="12"/>
    </row>
    <row r="10" spans="1:14">
      <c r="B10" s="6" t="s">
        <v>186</v>
      </c>
    </row>
  </sheetData>
  <mergeCells count="14">
    <mergeCell ref="A8:K8"/>
    <mergeCell ref="M3:M4"/>
    <mergeCell ref="N3:N4"/>
    <mergeCell ref="A5:K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4"/>
  <sheetViews>
    <sheetView workbookViewId="0">
      <selection activeCell="E60" sqref="E60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7.83203125" style="6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7" bestFit="1" customWidth="1"/>
    <col min="14" max="14" width="26.6640625" style="6" bestFit="1" customWidth="1"/>
    <col min="15" max="16384" width="9.1640625" style="3"/>
  </cols>
  <sheetData>
    <row r="1" spans="1:14" s="2" customFormat="1" ht="29" customHeight="1">
      <c r="A1" s="78" t="s">
        <v>870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9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42">
        <v>1</v>
      </c>
      <c r="I4" s="42">
        <v>2</v>
      </c>
      <c r="J4" s="42">
        <v>3</v>
      </c>
      <c r="K4" s="42" t="s">
        <v>4</v>
      </c>
      <c r="L4" s="77"/>
      <c r="M4" s="77"/>
      <c r="N4" s="90"/>
    </row>
    <row r="5" spans="1:14" ht="16">
      <c r="A5" s="95" t="s">
        <v>10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23</v>
      </c>
      <c r="C6" s="12" t="s">
        <v>24</v>
      </c>
      <c r="D6" s="12" t="s">
        <v>25</v>
      </c>
      <c r="E6" s="12" t="s">
        <v>890</v>
      </c>
      <c r="F6" s="12" t="s">
        <v>348</v>
      </c>
      <c r="G6" s="12" t="s">
        <v>26</v>
      </c>
      <c r="H6" s="26" t="s">
        <v>22</v>
      </c>
      <c r="I6" s="26" t="s">
        <v>30</v>
      </c>
      <c r="J6" s="26" t="s">
        <v>31</v>
      </c>
      <c r="K6" s="13"/>
      <c r="L6" s="13" t="str">
        <f>"120,0"</f>
        <v>120,0</v>
      </c>
      <c r="M6" s="13" t="str">
        <f>"149,8200"</f>
        <v>149,8200</v>
      </c>
      <c r="N6" s="12" t="s">
        <v>350</v>
      </c>
    </row>
    <row r="7" spans="1:14">
      <c r="B7" s="6" t="s">
        <v>186</v>
      </c>
    </row>
    <row r="8" spans="1:14" ht="16">
      <c r="A8" s="91" t="s">
        <v>32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9" t="s">
        <v>185</v>
      </c>
      <c r="B9" s="8" t="s">
        <v>690</v>
      </c>
      <c r="C9" s="8" t="s">
        <v>691</v>
      </c>
      <c r="D9" s="8" t="s">
        <v>692</v>
      </c>
      <c r="E9" s="61" t="s">
        <v>891</v>
      </c>
      <c r="F9" s="8" t="s">
        <v>54</v>
      </c>
      <c r="G9" s="63" t="s">
        <v>26</v>
      </c>
      <c r="H9" s="22" t="s">
        <v>76</v>
      </c>
      <c r="I9" s="22" t="s">
        <v>40</v>
      </c>
      <c r="J9" s="22" t="s">
        <v>55</v>
      </c>
      <c r="K9" s="9"/>
      <c r="L9" s="9" t="str">
        <f>"70,0"</f>
        <v>70,0</v>
      </c>
      <c r="M9" s="9" t="str">
        <f>"83,3000"</f>
        <v>83,3000</v>
      </c>
      <c r="N9" s="8" t="s">
        <v>196</v>
      </c>
    </row>
    <row r="10" spans="1:14">
      <c r="A10" s="11" t="s">
        <v>185</v>
      </c>
      <c r="B10" s="10" t="s">
        <v>693</v>
      </c>
      <c r="C10" s="10" t="s">
        <v>694</v>
      </c>
      <c r="D10" s="10" t="s">
        <v>695</v>
      </c>
      <c r="E10" s="62" t="s">
        <v>894</v>
      </c>
      <c r="F10" s="10" t="s">
        <v>348</v>
      </c>
      <c r="G10" s="64" t="s">
        <v>26</v>
      </c>
      <c r="H10" s="24" t="s">
        <v>76</v>
      </c>
      <c r="I10" s="24" t="s">
        <v>40</v>
      </c>
      <c r="J10" s="24" t="s">
        <v>55</v>
      </c>
      <c r="K10" s="11"/>
      <c r="L10" s="11" t="str">
        <f>"70,0"</f>
        <v>70,0</v>
      </c>
      <c r="M10" s="11" t="str">
        <f>"108,6607"</f>
        <v>108,6607</v>
      </c>
      <c r="N10" s="10" t="s">
        <v>739</v>
      </c>
    </row>
    <row r="11" spans="1:14">
      <c r="B11" s="6" t="s">
        <v>186</v>
      </c>
    </row>
    <row r="12" spans="1:14" ht="16">
      <c r="A12" s="91" t="s">
        <v>50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</row>
    <row r="13" spans="1:14">
      <c r="A13" s="13" t="s">
        <v>185</v>
      </c>
      <c r="B13" s="12" t="s">
        <v>696</v>
      </c>
      <c r="C13" s="12" t="s">
        <v>697</v>
      </c>
      <c r="D13" s="12" t="s">
        <v>698</v>
      </c>
      <c r="E13" s="12" t="s">
        <v>889</v>
      </c>
      <c r="F13" s="12" t="s">
        <v>348</v>
      </c>
      <c r="G13" s="12" t="s">
        <v>26</v>
      </c>
      <c r="H13" s="26" t="s">
        <v>206</v>
      </c>
      <c r="I13" s="26" t="s">
        <v>632</v>
      </c>
      <c r="J13" s="27" t="s">
        <v>17</v>
      </c>
      <c r="K13" s="13"/>
      <c r="L13" s="13" t="str">
        <f>"82,5"</f>
        <v>82,5</v>
      </c>
      <c r="M13" s="13" t="str">
        <f>"95,9970"</f>
        <v>95,9970</v>
      </c>
      <c r="N13" s="12" t="s">
        <v>740</v>
      </c>
    </row>
    <row r="14" spans="1:14">
      <c r="B14" s="6" t="s">
        <v>186</v>
      </c>
    </row>
    <row r="15" spans="1:14" ht="16">
      <c r="A15" s="91" t="s">
        <v>57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</row>
    <row r="16" spans="1:14">
      <c r="A16" s="9" t="s">
        <v>185</v>
      </c>
      <c r="B16" s="8" t="s">
        <v>66</v>
      </c>
      <c r="C16" s="8" t="s">
        <v>67</v>
      </c>
      <c r="D16" s="8" t="s">
        <v>68</v>
      </c>
      <c r="E16" s="8" t="s">
        <v>890</v>
      </c>
      <c r="F16" s="8" t="s">
        <v>36</v>
      </c>
      <c r="G16" s="8" t="s">
        <v>26</v>
      </c>
      <c r="H16" s="22" t="s">
        <v>69</v>
      </c>
      <c r="I16" s="22" t="s">
        <v>49</v>
      </c>
      <c r="J16" s="22" t="s">
        <v>70</v>
      </c>
      <c r="K16" s="9"/>
      <c r="L16" s="9" t="str">
        <f>"110,0"</f>
        <v>110,0</v>
      </c>
      <c r="M16" s="9" t="str">
        <f>"112,2660"</f>
        <v>112,2660</v>
      </c>
      <c r="N16" s="8" t="s">
        <v>347</v>
      </c>
    </row>
    <row r="17" spans="1:14">
      <c r="A17" s="11" t="s">
        <v>185</v>
      </c>
      <c r="B17" s="10" t="s">
        <v>699</v>
      </c>
      <c r="C17" s="10" t="s">
        <v>700</v>
      </c>
      <c r="D17" s="10" t="s">
        <v>501</v>
      </c>
      <c r="E17" s="10" t="s">
        <v>894</v>
      </c>
      <c r="F17" s="10" t="s">
        <v>213</v>
      </c>
      <c r="G17" s="10" t="s">
        <v>850</v>
      </c>
      <c r="H17" s="24" t="s">
        <v>206</v>
      </c>
      <c r="I17" s="24" t="s">
        <v>27</v>
      </c>
      <c r="J17" s="24" t="s">
        <v>16</v>
      </c>
      <c r="K17" s="11"/>
      <c r="L17" s="11" t="str">
        <f>"85,0"</f>
        <v>85,0</v>
      </c>
      <c r="M17" s="11" t="str">
        <f>"105,8489"</f>
        <v>105,8489</v>
      </c>
      <c r="N17" s="10" t="s">
        <v>609</v>
      </c>
    </row>
    <row r="18" spans="1:14">
      <c r="B18" s="6" t="s">
        <v>186</v>
      </c>
    </row>
    <row r="19" spans="1:14" ht="16">
      <c r="A19" s="91" t="s">
        <v>71</v>
      </c>
      <c r="B19" s="91"/>
      <c r="C19" s="92"/>
      <c r="D19" s="92"/>
      <c r="E19" s="92"/>
      <c r="F19" s="92"/>
      <c r="G19" s="92"/>
      <c r="H19" s="92"/>
      <c r="I19" s="92"/>
      <c r="J19" s="92"/>
      <c r="K19" s="92"/>
    </row>
    <row r="20" spans="1:14">
      <c r="A20" s="13" t="s">
        <v>185</v>
      </c>
      <c r="B20" s="12" t="s">
        <v>72</v>
      </c>
      <c r="C20" s="12" t="s">
        <v>73</v>
      </c>
      <c r="D20" s="12" t="s">
        <v>74</v>
      </c>
      <c r="E20" s="12" t="s">
        <v>890</v>
      </c>
      <c r="F20" s="12" t="s">
        <v>36</v>
      </c>
      <c r="G20" s="12" t="s">
        <v>26</v>
      </c>
      <c r="H20" s="26" t="s">
        <v>78</v>
      </c>
      <c r="I20" s="26" t="s">
        <v>79</v>
      </c>
      <c r="J20" s="27" t="s">
        <v>80</v>
      </c>
      <c r="K20" s="13"/>
      <c r="L20" s="13" t="str">
        <f>"145,0"</f>
        <v>145,0</v>
      </c>
      <c r="M20" s="13" t="str">
        <f>"144,2460"</f>
        <v>144,2460</v>
      </c>
      <c r="N20" s="12" t="s">
        <v>347</v>
      </c>
    </row>
    <row r="21" spans="1:14">
      <c r="B21" s="6" t="s">
        <v>186</v>
      </c>
    </row>
    <row r="22" spans="1:14" ht="16">
      <c r="A22" s="91" t="s">
        <v>10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</row>
    <row r="23" spans="1:14">
      <c r="A23" s="13" t="s">
        <v>185</v>
      </c>
      <c r="B23" s="12" t="s">
        <v>480</v>
      </c>
      <c r="C23" s="12" t="s">
        <v>481</v>
      </c>
      <c r="D23" s="12" t="s">
        <v>482</v>
      </c>
      <c r="E23" s="12" t="s">
        <v>891</v>
      </c>
      <c r="F23" s="12" t="s">
        <v>61</v>
      </c>
      <c r="G23" s="12" t="s">
        <v>26</v>
      </c>
      <c r="H23" s="26" t="s">
        <v>28</v>
      </c>
      <c r="I23" s="26" t="s">
        <v>40</v>
      </c>
      <c r="J23" s="26" t="s">
        <v>55</v>
      </c>
      <c r="K23" s="13"/>
      <c r="L23" s="13" t="str">
        <f>"70,0"</f>
        <v>70,0</v>
      </c>
      <c r="M23" s="13" t="str">
        <f>"82,4670"</f>
        <v>82,4670</v>
      </c>
      <c r="N23" s="12" t="s">
        <v>355</v>
      </c>
    </row>
    <row r="24" spans="1:14">
      <c r="B24" s="6" t="s">
        <v>186</v>
      </c>
    </row>
    <row r="25" spans="1:14" ht="16">
      <c r="A25" s="91" t="s">
        <v>50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</row>
    <row r="26" spans="1:14">
      <c r="A26" s="9" t="s">
        <v>185</v>
      </c>
      <c r="B26" s="8" t="s">
        <v>701</v>
      </c>
      <c r="C26" s="8" t="s">
        <v>702</v>
      </c>
      <c r="D26" s="8" t="s">
        <v>703</v>
      </c>
      <c r="E26" s="8" t="s">
        <v>889</v>
      </c>
      <c r="F26" s="8" t="s">
        <v>433</v>
      </c>
      <c r="G26" s="8" t="s">
        <v>434</v>
      </c>
      <c r="H26" s="23" t="s">
        <v>78</v>
      </c>
      <c r="I26" s="22" t="s">
        <v>78</v>
      </c>
      <c r="J26" s="22" t="s">
        <v>291</v>
      </c>
      <c r="K26" s="9"/>
      <c r="L26" s="9" t="str">
        <f>"152,5"</f>
        <v>152,5</v>
      </c>
      <c r="M26" s="9" t="str">
        <f>"130,0673"</f>
        <v>130,0673</v>
      </c>
      <c r="N26" s="8" t="s">
        <v>610</v>
      </c>
    </row>
    <row r="27" spans="1:14">
      <c r="A27" s="11" t="s">
        <v>187</v>
      </c>
      <c r="B27" s="10" t="s">
        <v>704</v>
      </c>
      <c r="C27" s="10" t="s">
        <v>705</v>
      </c>
      <c r="D27" s="10" t="s">
        <v>706</v>
      </c>
      <c r="E27" s="10" t="s">
        <v>889</v>
      </c>
      <c r="F27" s="10" t="s">
        <v>433</v>
      </c>
      <c r="G27" s="10" t="s">
        <v>434</v>
      </c>
      <c r="H27" s="24" t="s">
        <v>30</v>
      </c>
      <c r="I27" s="24" t="s">
        <v>133</v>
      </c>
      <c r="J27" s="25" t="s">
        <v>78</v>
      </c>
      <c r="K27" s="11"/>
      <c r="L27" s="11" t="str">
        <f>"130,0"</f>
        <v>130,0</v>
      </c>
      <c r="M27" s="11" t="str">
        <f>"117,3250"</f>
        <v>117,3250</v>
      </c>
      <c r="N27" s="10" t="s">
        <v>610</v>
      </c>
    </row>
    <row r="28" spans="1:14">
      <c r="B28" s="6" t="s">
        <v>186</v>
      </c>
    </row>
    <row r="29" spans="1:14" ht="16">
      <c r="A29" s="91" t="s">
        <v>57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</row>
    <row r="30" spans="1:14">
      <c r="A30" s="13" t="s">
        <v>185</v>
      </c>
      <c r="B30" s="12" t="s">
        <v>95</v>
      </c>
      <c r="C30" s="12" t="s">
        <v>96</v>
      </c>
      <c r="D30" s="12" t="s">
        <v>97</v>
      </c>
      <c r="E30" s="12" t="s">
        <v>890</v>
      </c>
      <c r="F30" s="12" t="s">
        <v>348</v>
      </c>
      <c r="G30" s="12" t="s">
        <v>26</v>
      </c>
      <c r="H30" s="26" t="s">
        <v>91</v>
      </c>
      <c r="I30" s="26" t="s">
        <v>100</v>
      </c>
      <c r="J30" s="26" t="s">
        <v>101</v>
      </c>
      <c r="K30" s="13"/>
      <c r="L30" s="13" t="str">
        <f>"195,0"</f>
        <v>195,0</v>
      </c>
      <c r="M30" s="13" t="str">
        <f>"150,5205"</f>
        <v>150,5205</v>
      </c>
      <c r="N30" s="12" t="s">
        <v>347</v>
      </c>
    </row>
    <row r="31" spans="1:14">
      <c r="B31" s="6" t="s">
        <v>186</v>
      </c>
    </row>
    <row r="32" spans="1:14" ht="16">
      <c r="A32" s="91" t="s">
        <v>71</v>
      </c>
      <c r="B32" s="91"/>
      <c r="C32" s="92"/>
      <c r="D32" s="92"/>
      <c r="E32" s="92"/>
      <c r="F32" s="92"/>
      <c r="G32" s="92"/>
      <c r="H32" s="92"/>
      <c r="I32" s="92"/>
      <c r="J32" s="92"/>
      <c r="K32" s="92"/>
    </row>
    <row r="33" spans="1:14">
      <c r="A33" s="9" t="s">
        <v>185</v>
      </c>
      <c r="B33" s="8" t="s">
        <v>707</v>
      </c>
      <c r="C33" s="8" t="s">
        <v>708</v>
      </c>
      <c r="D33" s="8" t="s">
        <v>709</v>
      </c>
      <c r="E33" s="8" t="s">
        <v>891</v>
      </c>
      <c r="F33" s="8" t="s">
        <v>433</v>
      </c>
      <c r="G33" s="8" t="s">
        <v>434</v>
      </c>
      <c r="H33" s="22" t="s">
        <v>133</v>
      </c>
      <c r="I33" s="22" t="s">
        <v>89</v>
      </c>
      <c r="J33" s="23" t="s">
        <v>127</v>
      </c>
      <c r="K33" s="9"/>
      <c r="L33" s="9" t="str">
        <f>"155,0"</f>
        <v>155,0</v>
      </c>
      <c r="M33" s="9" t="str">
        <f>"112,0340"</f>
        <v>112,0340</v>
      </c>
      <c r="N33" s="8" t="s">
        <v>610</v>
      </c>
    </row>
    <row r="34" spans="1:14">
      <c r="A34" s="15" t="s">
        <v>187</v>
      </c>
      <c r="B34" s="14" t="s">
        <v>710</v>
      </c>
      <c r="C34" s="14" t="s">
        <v>711</v>
      </c>
      <c r="D34" s="14" t="s">
        <v>712</v>
      </c>
      <c r="E34" s="14" t="s">
        <v>891</v>
      </c>
      <c r="F34" s="14" t="s">
        <v>54</v>
      </c>
      <c r="G34" s="14" t="s">
        <v>26</v>
      </c>
      <c r="H34" s="28" t="s">
        <v>17</v>
      </c>
      <c r="I34" s="28" t="s">
        <v>22</v>
      </c>
      <c r="J34" s="28" t="s">
        <v>70</v>
      </c>
      <c r="K34" s="15"/>
      <c r="L34" s="15" t="str">
        <f>"110,0"</f>
        <v>110,0</v>
      </c>
      <c r="M34" s="15" t="str">
        <f>"80,4650"</f>
        <v>80,4650</v>
      </c>
      <c r="N34" s="14" t="s">
        <v>196</v>
      </c>
    </row>
    <row r="35" spans="1:14">
      <c r="A35" s="15" t="s">
        <v>313</v>
      </c>
      <c r="B35" s="14" t="s">
        <v>713</v>
      </c>
      <c r="C35" s="14" t="s">
        <v>714</v>
      </c>
      <c r="D35" s="14" t="s">
        <v>301</v>
      </c>
      <c r="E35" s="14" t="s">
        <v>891</v>
      </c>
      <c r="F35" s="14" t="s">
        <v>213</v>
      </c>
      <c r="G35" s="14" t="s">
        <v>850</v>
      </c>
      <c r="H35" s="28" t="s">
        <v>27</v>
      </c>
      <c r="I35" s="29" t="s">
        <v>17</v>
      </c>
      <c r="J35" s="28" t="s">
        <v>22</v>
      </c>
      <c r="K35" s="15"/>
      <c r="L35" s="15" t="str">
        <f>"100,0"</f>
        <v>100,0</v>
      </c>
      <c r="M35" s="15" t="str">
        <f>"71,2600"</f>
        <v>71,2600</v>
      </c>
      <c r="N35" s="14" t="s">
        <v>356</v>
      </c>
    </row>
    <row r="36" spans="1:14">
      <c r="A36" s="15" t="s">
        <v>185</v>
      </c>
      <c r="B36" s="14" t="s">
        <v>715</v>
      </c>
      <c r="C36" s="14" t="s">
        <v>716</v>
      </c>
      <c r="D36" s="14" t="s">
        <v>709</v>
      </c>
      <c r="E36" s="14" t="s">
        <v>889</v>
      </c>
      <c r="F36" s="14" t="s">
        <v>14</v>
      </c>
      <c r="G36" s="14" t="s">
        <v>15</v>
      </c>
      <c r="H36" s="28" t="s">
        <v>126</v>
      </c>
      <c r="I36" s="28" t="s">
        <v>283</v>
      </c>
      <c r="J36" s="29" t="s">
        <v>92</v>
      </c>
      <c r="K36" s="15"/>
      <c r="L36" s="15" t="str">
        <f>"182,5"</f>
        <v>182,5</v>
      </c>
      <c r="M36" s="15" t="str">
        <f>"131,9110"</f>
        <v>131,9110</v>
      </c>
      <c r="N36" s="14" t="s">
        <v>613</v>
      </c>
    </row>
    <row r="37" spans="1:14">
      <c r="A37" s="15" t="s">
        <v>185</v>
      </c>
      <c r="B37" s="14" t="s">
        <v>508</v>
      </c>
      <c r="C37" s="14" t="s">
        <v>509</v>
      </c>
      <c r="D37" s="14" t="s">
        <v>510</v>
      </c>
      <c r="E37" s="14" t="s">
        <v>893</v>
      </c>
      <c r="F37" s="14" t="s">
        <v>61</v>
      </c>
      <c r="G37" s="14" t="s">
        <v>26</v>
      </c>
      <c r="H37" s="28" t="s">
        <v>110</v>
      </c>
      <c r="I37" s="29" t="s">
        <v>100</v>
      </c>
      <c r="J37" s="29" t="s">
        <v>100</v>
      </c>
      <c r="K37" s="15"/>
      <c r="L37" s="15" t="str">
        <f>"170,0"</f>
        <v>170,0</v>
      </c>
      <c r="M37" s="15" t="str">
        <f>"123,3520"</f>
        <v>123,3520</v>
      </c>
      <c r="N37" s="14" t="s">
        <v>354</v>
      </c>
    </row>
    <row r="38" spans="1:14">
      <c r="A38" s="15" t="s">
        <v>185</v>
      </c>
      <c r="B38" s="14" t="s">
        <v>717</v>
      </c>
      <c r="C38" s="14" t="s">
        <v>718</v>
      </c>
      <c r="D38" s="14" t="s">
        <v>719</v>
      </c>
      <c r="E38" s="14" t="s">
        <v>890</v>
      </c>
      <c r="F38" s="14" t="s">
        <v>262</v>
      </c>
      <c r="G38" s="14" t="s">
        <v>289</v>
      </c>
      <c r="H38" s="28" t="s">
        <v>167</v>
      </c>
      <c r="I38" s="29" t="s">
        <v>191</v>
      </c>
      <c r="J38" s="15"/>
      <c r="K38" s="15"/>
      <c r="L38" s="15" t="str">
        <f>"240,0"</f>
        <v>240,0</v>
      </c>
      <c r="M38" s="15" t="str">
        <f>"175,2000"</f>
        <v>175,2000</v>
      </c>
      <c r="N38" s="14"/>
    </row>
    <row r="39" spans="1:14">
      <c r="A39" s="15" t="s">
        <v>187</v>
      </c>
      <c r="B39" s="14" t="s">
        <v>111</v>
      </c>
      <c r="C39" s="14" t="s">
        <v>112</v>
      </c>
      <c r="D39" s="14" t="s">
        <v>113</v>
      </c>
      <c r="E39" s="14" t="s">
        <v>890</v>
      </c>
      <c r="F39" s="14" t="s">
        <v>61</v>
      </c>
      <c r="G39" s="14" t="s">
        <v>26</v>
      </c>
      <c r="H39" s="28" t="s">
        <v>115</v>
      </c>
      <c r="I39" s="28" t="s">
        <v>116</v>
      </c>
      <c r="J39" s="29" t="s">
        <v>117</v>
      </c>
      <c r="K39" s="15"/>
      <c r="L39" s="15" t="str">
        <f>"225,0"</f>
        <v>225,0</v>
      </c>
      <c r="M39" s="15" t="str">
        <f>"160,4700"</f>
        <v>160,4700</v>
      </c>
      <c r="N39" s="14" t="s">
        <v>354</v>
      </c>
    </row>
    <row r="40" spans="1:14">
      <c r="A40" s="15" t="s">
        <v>313</v>
      </c>
      <c r="B40" s="14" t="s">
        <v>720</v>
      </c>
      <c r="C40" s="14" t="s">
        <v>721</v>
      </c>
      <c r="D40" s="14" t="s">
        <v>635</v>
      </c>
      <c r="E40" s="14" t="s">
        <v>890</v>
      </c>
      <c r="F40" s="14" t="s">
        <v>36</v>
      </c>
      <c r="G40" s="14" t="s">
        <v>26</v>
      </c>
      <c r="H40" s="28" t="s">
        <v>92</v>
      </c>
      <c r="I40" s="29" t="s">
        <v>722</v>
      </c>
      <c r="J40" s="29" t="s">
        <v>722</v>
      </c>
      <c r="K40" s="15"/>
      <c r="L40" s="15" t="str">
        <f>"185,0"</f>
        <v>185,0</v>
      </c>
      <c r="M40" s="15" t="str">
        <f>"132,7005"</f>
        <v>132,7005</v>
      </c>
      <c r="N40" s="14" t="s">
        <v>741</v>
      </c>
    </row>
    <row r="41" spans="1:14">
      <c r="A41" s="11" t="s">
        <v>531</v>
      </c>
      <c r="B41" s="10" t="s">
        <v>511</v>
      </c>
      <c r="C41" s="10" t="s">
        <v>512</v>
      </c>
      <c r="D41" s="10" t="s">
        <v>513</v>
      </c>
      <c r="E41" s="10" t="s">
        <v>890</v>
      </c>
      <c r="F41" s="10" t="s">
        <v>433</v>
      </c>
      <c r="G41" s="10" t="s">
        <v>434</v>
      </c>
      <c r="H41" s="25" t="s">
        <v>98</v>
      </c>
      <c r="I41" s="25" t="s">
        <v>110</v>
      </c>
      <c r="J41" s="24" t="s">
        <v>110</v>
      </c>
      <c r="K41" s="11"/>
      <c r="L41" s="11" t="str">
        <f>"170,0"</f>
        <v>170,0</v>
      </c>
      <c r="M41" s="11" t="str">
        <f>"128,9620"</f>
        <v>128,9620</v>
      </c>
      <c r="N41" s="10" t="s">
        <v>610</v>
      </c>
    </row>
    <row r="42" spans="1:14">
      <c r="B42" s="6" t="s">
        <v>186</v>
      </c>
    </row>
    <row r="43" spans="1:14" ht="16">
      <c r="A43" s="91" t="s">
        <v>122</v>
      </c>
      <c r="B43" s="91"/>
      <c r="C43" s="92"/>
      <c r="D43" s="92"/>
      <c r="E43" s="92"/>
      <c r="F43" s="92"/>
      <c r="G43" s="92"/>
      <c r="H43" s="92"/>
      <c r="I43" s="92"/>
      <c r="J43" s="92"/>
      <c r="K43" s="92"/>
    </row>
    <row r="44" spans="1:14">
      <c r="A44" s="9" t="s">
        <v>185</v>
      </c>
      <c r="B44" s="8" t="s">
        <v>723</v>
      </c>
      <c r="C44" s="8" t="s">
        <v>724</v>
      </c>
      <c r="D44" s="8" t="s">
        <v>543</v>
      </c>
      <c r="E44" s="8" t="s">
        <v>893</v>
      </c>
      <c r="F44" s="8" t="s">
        <v>61</v>
      </c>
      <c r="G44" s="8" t="s">
        <v>26</v>
      </c>
      <c r="H44" s="22" t="s">
        <v>248</v>
      </c>
      <c r="I44" s="23" t="s">
        <v>371</v>
      </c>
      <c r="J44" s="23" t="s">
        <v>371</v>
      </c>
      <c r="K44" s="9"/>
      <c r="L44" s="9" t="str">
        <f>"255,0"</f>
        <v>255,0</v>
      </c>
      <c r="M44" s="9" t="str">
        <f>"173,6805"</f>
        <v>173,6805</v>
      </c>
      <c r="N44" s="8" t="s">
        <v>354</v>
      </c>
    </row>
    <row r="45" spans="1:14">
      <c r="A45" s="11" t="s">
        <v>185</v>
      </c>
      <c r="B45" s="10" t="s">
        <v>723</v>
      </c>
      <c r="C45" s="10" t="s">
        <v>725</v>
      </c>
      <c r="D45" s="10" t="s">
        <v>543</v>
      </c>
      <c r="E45" s="10" t="s">
        <v>890</v>
      </c>
      <c r="F45" s="10" t="s">
        <v>61</v>
      </c>
      <c r="G45" s="10" t="s">
        <v>26</v>
      </c>
      <c r="H45" s="24" t="s">
        <v>248</v>
      </c>
      <c r="I45" s="25" t="s">
        <v>371</v>
      </c>
      <c r="J45" s="25" t="s">
        <v>371</v>
      </c>
      <c r="K45" s="11"/>
      <c r="L45" s="11" t="str">
        <f>"255,0"</f>
        <v>255,0</v>
      </c>
      <c r="M45" s="11" t="str">
        <f>"173,6805"</f>
        <v>173,6805</v>
      </c>
      <c r="N45" s="10" t="s">
        <v>354</v>
      </c>
    </row>
    <row r="46" spans="1:14">
      <c r="B46" s="6" t="s">
        <v>186</v>
      </c>
    </row>
    <row r="47" spans="1:14" ht="16">
      <c r="A47" s="91" t="s">
        <v>134</v>
      </c>
      <c r="B47" s="91"/>
      <c r="C47" s="92"/>
      <c r="D47" s="92"/>
      <c r="E47" s="92"/>
      <c r="F47" s="92"/>
      <c r="G47" s="92"/>
      <c r="H47" s="92"/>
      <c r="I47" s="92"/>
      <c r="J47" s="92"/>
      <c r="K47" s="92"/>
    </row>
    <row r="48" spans="1:14">
      <c r="A48" s="13" t="s">
        <v>185</v>
      </c>
      <c r="B48" s="12" t="s">
        <v>726</v>
      </c>
      <c r="C48" s="12" t="s">
        <v>327</v>
      </c>
      <c r="D48" s="12" t="s">
        <v>727</v>
      </c>
      <c r="E48" s="12" t="s">
        <v>890</v>
      </c>
      <c r="F48" s="12" t="s">
        <v>14</v>
      </c>
      <c r="G48" s="12" t="s">
        <v>15</v>
      </c>
      <c r="H48" s="26" t="s">
        <v>167</v>
      </c>
      <c r="I48" s="27" t="s">
        <v>191</v>
      </c>
      <c r="J48" s="13"/>
      <c r="K48" s="13"/>
      <c r="L48" s="13" t="str">
        <f>"240,0"</f>
        <v>240,0</v>
      </c>
      <c r="M48" s="13" t="str">
        <f>"153,6480"</f>
        <v>153,6480</v>
      </c>
      <c r="N48" s="12" t="s">
        <v>728</v>
      </c>
    </row>
    <row r="49" spans="1:14">
      <c r="B49" s="6" t="s">
        <v>186</v>
      </c>
    </row>
    <row r="50" spans="1:14" ht="16">
      <c r="A50" s="91" t="s">
        <v>138</v>
      </c>
      <c r="B50" s="91"/>
      <c r="C50" s="92"/>
      <c r="D50" s="92"/>
      <c r="E50" s="92"/>
      <c r="F50" s="92"/>
      <c r="G50" s="92"/>
      <c r="H50" s="92"/>
      <c r="I50" s="92"/>
      <c r="J50" s="92"/>
      <c r="K50" s="92"/>
    </row>
    <row r="51" spans="1:14">
      <c r="A51" s="9" t="s">
        <v>185</v>
      </c>
      <c r="B51" s="8" t="s">
        <v>197</v>
      </c>
      <c r="C51" s="8" t="s">
        <v>198</v>
      </c>
      <c r="D51" s="8" t="s">
        <v>199</v>
      </c>
      <c r="E51" s="8" t="s">
        <v>890</v>
      </c>
      <c r="F51" s="8" t="s">
        <v>36</v>
      </c>
      <c r="G51" s="8" t="s">
        <v>26</v>
      </c>
      <c r="H51" s="22" t="s">
        <v>128</v>
      </c>
      <c r="I51" s="22" t="s">
        <v>117</v>
      </c>
      <c r="J51" s="23" t="s">
        <v>167</v>
      </c>
      <c r="K51" s="9"/>
      <c r="L51" s="9" t="str">
        <f>"232,5"</f>
        <v>232,5</v>
      </c>
      <c r="M51" s="9" t="str">
        <f>"142,3133"</f>
        <v>142,3133</v>
      </c>
      <c r="N51" s="8" t="s">
        <v>347</v>
      </c>
    </row>
    <row r="52" spans="1:14">
      <c r="A52" s="15" t="s">
        <v>187</v>
      </c>
      <c r="B52" s="14" t="s">
        <v>729</v>
      </c>
      <c r="C52" s="14" t="s">
        <v>730</v>
      </c>
      <c r="D52" s="14" t="s">
        <v>731</v>
      </c>
      <c r="E52" s="14" t="s">
        <v>890</v>
      </c>
      <c r="F52" s="14" t="s">
        <v>14</v>
      </c>
      <c r="G52" s="14" t="s">
        <v>15</v>
      </c>
      <c r="H52" s="28" t="s">
        <v>214</v>
      </c>
      <c r="I52" s="29" t="s">
        <v>128</v>
      </c>
      <c r="J52" s="29" t="s">
        <v>215</v>
      </c>
      <c r="K52" s="15"/>
      <c r="L52" s="15" t="str">
        <f>"210,0"</f>
        <v>210,0</v>
      </c>
      <c r="M52" s="15" t="str">
        <f>"127,8060"</f>
        <v>127,8060</v>
      </c>
      <c r="N52" s="14" t="s">
        <v>349</v>
      </c>
    </row>
    <row r="53" spans="1:14">
      <c r="A53" s="15" t="s">
        <v>313</v>
      </c>
      <c r="B53" s="14" t="s">
        <v>573</v>
      </c>
      <c r="C53" s="14" t="s">
        <v>574</v>
      </c>
      <c r="D53" s="14" t="s">
        <v>572</v>
      </c>
      <c r="E53" s="14" t="s">
        <v>890</v>
      </c>
      <c r="F53" s="14" t="s">
        <v>54</v>
      </c>
      <c r="G53" s="14" t="s">
        <v>26</v>
      </c>
      <c r="H53" s="28" t="s">
        <v>106</v>
      </c>
      <c r="I53" s="28" t="s">
        <v>80</v>
      </c>
      <c r="J53" s="28" t="s">
        <v>98</v>
      </c>
      <c r="K53" s="15"/>
      <c r="L53" s="15" t="str">
        <f>"160,0"</f>
        <v>160,0</v>
      </c>
      <c r="M53" s="15" t="str">
        <f>"98,9760"</f>
        <v>98,9760</v>
      </c>
      <c r="N53" s="14" t="s">
        <v>196</v>
      </c>
    </row>
    <row r="54" spans="1:14">
      <c r="A54" s="11" t="s">
        <v>185</v>
      </c>
      <c r="B54" s="10" t="s">
        <v>573</v>
      </c>
      <c r="C54" s="10" t="s">
        <v>577</v>
      </c>
      <c r="D54" s="10" t="s">
        <v>572</v>
      </c>
      <c r="E54" s="10" t="s">
        <v>895</v>
      </c>
      <c r="F54" s="10" t="s">
        <v>54</v>
      </c>
      <c r="G54" s="10" t="s">
        <v>26</v>
      </c>
      <c r="H54" s="24" t="s">
        <v>106</v>
      </c>
      <c r="I54" s="24" t="s">
        <v>80</v>
      </c>
      <c r="J54" s="24" t="s">
        <v>98</v>
      </c>
      <c r="K54" s="11"/>
      <c r="L54" s="11" t="str">
        <f>"160,0"</f>
        <v>160,0</v>
      </c>
      <c r="M54" s="11" t="str">
        <f>"139,5562"</f>
        <v>139,5562</v>
      </c>
      <c r="N54" s="10" t="s">
        <v>196</v>
      </c>
    </row>
    <row r="55" spans="1:14">
      <c r="B55" s="6" t="s">
        <v>186</v>
      </c>
    </row>
    <row r="56" spans="1:14" ht="16">
      <c r="A56" s="91" t="s">
        <v>145</v>
      </c>
      <c r="B56" s="91"/>
      <c r="C56" s="92"/>
      <c r="D56" s="92"/>
      <c r="E56" s="92"/>
      <c r="F56" s="92"/>
      <c r="G56" s="92"/>
      <c r="H56" s="92"/>
      <c r="I56" s="92"/>
      <c r="J56" s="92"/>
      <c r="K56" s="92"/>
    </row>
    <row r="57" spans="1:14">
      <c r="A57" s="9" t="s">
        <v>185</v>
      </c>
      <c r="B57" s="8" t="s">
        <v>146</v>
      </c>
      <c r="C57" s="8" t="s">
        <v>147</v>
      </c>
      <c r="D57" s="8" t="s">
        <v>148</v>
      </c>
      <c r="E57" s="8" t="s">
        <v>893</v>
      </c>
      <c r="F57" s="8" t="s">
        <v>61</v>
      </c>
      <c r="G57" s="8" t="s">
        <v>26</v>
      </c>
      <c r="H57" s="22" t="s">
        <v>150</v>
      </c>
      <c r="I57" s="23" t="s">
        <v>151</v>
      </c>
      <c r="J57" s="9"/>
      <c r="K57" s="9"/>
      <c r="L57" s="9" t="str">
        <f>"190,0"</f>
        <v>190,0</v>
      </c>
      <c r="M57" s="59" t="str">
        <f>"112,9740"</f>
        <v>112,9740</v>
      </c>
      <c r="N57" s="8" t="s">
        <v>355</v>
      </c>
    </row>
    <row r="58" spans="1:14">
      <c r="A58" s="15" t="s">
        <v>185</v>
      </c>
      <c r="B58" s="14" t="s">
        <v>578</v>
      </c>
      <c r="C58" s="14" t="s">
        <v>579</v>
      </c>
      <c r="D58" s="14" t="s">
        <v>580</v>
      </c>
      <c r="E58" s="14" t="s">
        <v>890</v>
      </c>
      <c r="F58" s="14" t="s">
        <v>61</v>
      </c>
      <c r="G58" s="14" t="s">
        <v>26</v>
      </c>
      <c r="H58" s="28" t="s">
        <v>247</v>
      </c>
      <c r="I58" s="28" t="s">
        <v>732</v>
      </c>
      <c r="J58" s="28" t="s">
        <v>233</v>
      </c>
      <c r="K58" s="15"/>
      <c r="L58" s="15" t="str">
        <f>"260,0"</f>
        <v>260,0</v>
      </c>
      <c r="M58" s="69" t="str">
        <f>"155,4280"</f>
        <v>155,4280</v>
      </c>
      <c r="N58" s="14" t="s">
        <v>355</v>
      </c>
    </row>
    <row r="59" spans="1:14">
      <c r="A59" s="11" t="s">
        <v>187</v>
      </c>
      <c r="B59" s="10" t="s">
        <v>733</v>
      </c>
      <c r="C59" s="10" t="s">
        <v>734</v>
      </c>
      <c r="D59" s="10" t="s">
        <v>735</v>
      </c>
      <c r="E59" s="10" t="s">
        <v>890</v>
      </c>
      <c r="F59" s="10" t="s">
        <v>54</v>
      </c>
      <c r="G59" s="10" t="s">
        <v>26</v>
      </c>
      <c r="H59" s="24" t="s">
        <v>110</v>
      </c>
      <c r="I59" s="24" t="s">
        <v>92</v>
      </c>
      <c r="J59" s="24" t="s">
        <v>93</v>
      </c>
      <c r="K59" s="11"/>
      <c r="L59" s="11" t="str">
        <f>"200,0"</f>
        <v>200,0</v>
      </c>
      <c r="M59" s="60" t="str">
        <f>"118,8200"</f>
        <v>118,8200</v>
      </c>
      <c r="N59" s="10" t="s">
        <v>196</v>
      </c>
    </row>
    <row r="60" spans="1:14">
      <c r="B60" s="6" t="s">
        <v>186</v>
      </c>
    </row>
    <row r="61" spans="1:14" ht="16">
      <c r="B61" s="6" t="s">
        <v>186</v>
      </c>
      <c r="F61" s="16"/>
    </row>
    <row r="62" spans="1:14" ht="16">
      <c r="B62" s="6" t="s">
        <v>186</v>
      </c>
      <c r="F62" s="16"/>
    </row>
    <row r="63" spans="1:14" ht="18">
      <c r="B63" s="17" t="s">
        <v>160</v>
      </c>
      <c r="C63" s="17"/>
    </row>
    <row r="64" spans="1:14" ht="16">
      <c r="B64" s="43" t="s">
        <v>178</v>
      </c>
      <c r="C64" s="43"/>
    </row>
    <row r="65" spans="2:14" ht="14">
      <c r="B65" s="19"/>
      <c r="C65" s="20" t="s">
        <v>169</v>
      </c>
    </row>
    <row r="66" spans="2:14" ht="14">
      <c r="B66" s="21" t="s">
        <v>161</v>
      </c>
      <c r="C66" s="21" t="s">
        <v>162</v>
      </c>
      <c r="D66" s="21" t="s">
        <v>849</v>
      </c>
      <c r="E66" s="21" t="s">
        <v>339</v>
      </c>
      <c r="F66" s="21" t="s">
        <v>165</v>
      </c>
    </row>
    <row r="67" spans="2:14">
      <c r="B67" s="6" t="s">
        <v>717</v>
      </c>
      <c r="C67" s="6" t="s">
        <v>169</v>
      </c>
      <c r="D67" s="7" t="s">
        <v>175</v>
      </c>
      <c r="E67" s="7" t="s">
        <v>167</v>
      </c>
      <c r="F67" s="7" t="s">
        <v>737</v>
      </c>
    </row>
    <row r="68" spans="2:14">
      <c r="B68" s="6" t="s">
        <v>723</v>
      </c>
      <c r="C68" s="6" t="s">
        <v>169</v>
      </c>
      <c r="D68" s="7" t="s">
        <v>341</v>
      </c>
      <c r="E68" s="7" t="s">
        <v>248</v>
      </c>
      <c r="F68" s="7" t="s">
        <v>736</v>
      </c>
    </row>
    <row r="69" spans="2:14">
      <c r="B69" s="6" t="s">
        <v>111</v>
      </c>
      <c r="C69" s="6" t="s">
        <v>169</v>
      </c>
      <c r="D69" s="7" t="s">
        <v>175</v>
      </c>
      <c r="E69" s="7" t="s">
        <v>116</v>
      </c>
      <c r="F69" s="7" t="s">
        <v>738</v>
      </c>
    </row>
    <row r="70" spans="2:14">
      <c r="B70" s="6" t="s">
        <v>186</v>
      </c>
    </row>
    <row r="71" spans="2:14">
      <c r="B71" s="6" t="s">
        <v>186</v>
      </c>
    </row>
    <row r="72" spans="2:14">
      <c r="B72" s="6" t="s">
        <v>186</v>
      </c>
      <c r="C72" s="7"/>
      <c r="D72" s="7"/>
      <c r="E72" s="7"/>
      <c r="F72" s="7"/>
      <c r="G72" s="7"/>
      <c r="H72" s="6"/>
      <c r="I72" s="3"/>
      <c r="J72" s="3"/>
      <c r="K72" s="3"/>
      <c r="L72" s="3"/>
      <c r="M72" s="3"/>
      <c r="N72" s="3"/>
    </row>
    <row r="73" spans="2:14">
      <c r="B73" s="6" t="s">
        <v>186</v>
      </c>
      <c r="C73" s="7"/>
      <c r="D73" s="7"/>
      <c r="E73" s="7"/>
      <c r="F73" s="7"/>
      <c r="G73" s="7"/>
      <c r="H73" s="6"/>
      <c r="I73" s="3"/>
      <c r="J73" s="3"/>
      <c r="K73" s="3"/>
      <c r="L73" s="3"/>
      <c r="M73" s="3"/>
      <c r="N73" s="3"/>
    </row>
    <row r="74" spans="2:14">
      <c r="B74" s="6" t="s">
        <v>186</v>
      </c>
      <c r="C74" s="7"/>
      <c r="D74" s="7"/>
      <c r="E74" s="7"/>
      <c r="F74" s="7"/>
      <c r="G74" s="7"/>
      <c r="H74" s="6"/>
      <c r="I74" s="3"/>
      <c r="J74" s="3"/>
      <c r="K74" s="3"/>
      <c r="L74" s="3"/>
      <c r="M74" s="3"/>
      <c r="N74" s="3"/>
    </row>
    <row r="75" spans="2:14">
      <c r="B75" s="6" t="s">
        <v>186</v>
      </c>
      <c r="C75" s="7"/>
      <c r="D75" s="7"/>
      <c r="E75" s="7"/>
      <c r="F75" s="7"/>
      <c r="G75" s="7"/>
      <c r="H75" s="6"/>
      <c r="I75" s="3"/>
      <c r="J75" s="3"/>
      <c r="K75" s="3"/>
      <c r="L75" s="3"/>
      <c r="M75" s="3"/>
      <c r="N75" s="3"/>
    </row>
    <row r="76" spans="2:14">
      <c r="B76" s="6" t="s">
        <v>186</v>
      </c>
    </row>
    <row r="77" spans="2:14">
      <c r="B77" s="6" t="s">
        <v>186</v>
      </c>
    </row>
    <row r="78" spans="2:14">
      <c r="B78" s="6" t="s">
        <v>186</v>
      </c>
    </row>
    <row r="79" spans="2:14">
      <c r="B79" s="6" t="s">
        <v>186</v>
      </c>
    </row>
    <row r="80" spans="2:14">
      <c r="B80" s="6" t="s">
        <v>186</v>
      </c>
    </row>
    <row r="81" spans="2:2">
      <c r="B81" s="6" t="s">
        <v>186</v>
      </c>
    </row>
    <row r="82" spans="2:2">
      <c r="B82" s="6" t="s">
        <v>186</v>
      </c>
    </row>
    <row r="83" spans="2:2">
      <c r="B83" s="6" t="s">
        <v>186</v>
      </c>
    </row>
    <row r="84" spans="2:2">
      <c r="B84" s="6" t="s">
        <v>186</v>
      </c>
    </row>
    <row r="85" spans="2:2">
      <c r="B85" s="6" t="s">
        <v>186</v>
      </c>
    </row>
    <row r="86" spans="2:2">
      <c r="B86" s="6" t="s">
        <v>186</v>
      </c>
    </row>
    <row r="87" spans="2:2">
      <c r="B87" s="6" t="s">
        <v>186</v>
      </c>
    </row>
    <row r="88" spans="2:2">
      <c r="B88" s="6" t="s">
        <v>186</v>
      </c>
    </row>
    <row r="89" spans="2:2">
      <c r="B89" s="6" t="s">
        <v>186</v>
      </c>
    </row>
    <row r="90" spans="2:2">
      <c r="B90" s="6" t="s">
        <v>186</v>
      </c>
    </row>
    <row r="91" spans="2:2">
      <c r="B91" s="6" t="s">
        <v>186</v>
      </c>
    </row>
    <row r="92" spans="2:2">
      <c r="B92" s="6" t="s">
        <v>186</v>
      </c>
    </row>
    <row r="93" spans="2:2">
      <c r="B93" s="6" t="s">
        <v>186</v>
      </c>
    </row>
    <row r="94" spans="2:2">
      <c r="B94" s="6" t="s">
        <v>186</v>
      </c>
    </row>
    <row r="95" spans="2:2">
      <c r="B95" s="6" t="s">
        <v>186</v>
      </c>
    </row>
    <row r="96" spans="2:2">
      <c r="B96" s="6" t="s">
        <v>186</v>
      </c>
    </row>
    <row r="97" spans="2:2">
      <c r="B97" s="6" t="s">
        <v>186</v>
      </c>
    </row>
    <row r="98" spans="2:2">
      <c r="B98" s="6" t="s">
        <v>186</v>
      </c>
    </row>
    <row r="99" spans="2:2">
      <c r="B99" s="6" t="s">
        <v>186</v>
      </c>
    </row>
    <row r="100" spans="2:2">
      <c r="B100" s="6" t="s">
        <v>186</v>
      </c>
    </row>
    <row r="101" spans="2:2">
      <c r="B101" s="6" t="s">
        <v>186</v>
      </c>
    </row>
    <row r="102" spans="2:2">
      <c r="B102" s="6" t="s">
        <v>186</v>
      </c>
    </row>
    <row r="103" spans="2:2">
      <c r="B103" s="6" t="s">
        <v>186</v>
      </c>
    </row>
    <row r="104" spans="2:2">
      <c r="B104" s="6" t="s">
        <v>186</v>
      </c>
    </row>
  </sheetData>
  <mergeCells count="25">
    <mergeCell ref="A15:K1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8:K8"/>
    <mergeCell ref="A12:K12"/>
    <mergeCell ref="A47:K47"/>
    <mergeCell ref="A50:K50"/>
    <mergeCell ref="A56:K56"/>
    <mergeCell ref="A19:K19"/>
    <mergeCell ref="A22:K22"/>
    <mergeCell ref="A25:K25"/>
    <mergeCell ref="A29:K29"/>
    <mergeCell ref="A32:K32"/>
    <mergeCell ref="A43:K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3"/>
  <sheetViews>
    <sheetView workbookViewId="0">
      <selection activeCell="E32" sqref="E32"/>
    </sheetView>
  </sheetViews>
  <sheetFormatPr baseColWidth="10" defaultColWidth="9.1640625" defaultRowHeight="13"/>
  <cols>
    <col min="1" max="1" width="7.5" style="6" bestFit="1" customWidth="1"/>
    <col min="2" max="2" width="27.83203125" style="6" bestFit="1" customWidth="1"/>
    <col min="3" max="3" width="27.83203125" style="6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1" width="5.5" style="7" customWidth="1"/>
    <col min="12" max="12" width="10.5" style="65" bestFit="1" customWidth="1"/>
    <col min="13" max="13" width="8.5" style="7" bestFit="1" customWidth="1"/>
    <col min="14" max="14" width="21.6640625" style="6" customWidth="1"/>
    <col min="15" max="16384" width="9.1640625" style="3"/>
  </cols>
  <sheetData>
    <row r="1" spans="1:14" s="2" customFormat="1" ht="29" customHeight="1">
      <c r="A1" s="78" t="s">
        <v>871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9</v>
      </c>
      <c r="I3" s="76"/>
      <c r="J3" s="76"/>
      <c r="K3" s="76"/>
      <c r="L3" s="97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45">
        <v>1</v>
      </c>
      <c r="I4" s="45">
        <v>2</v>
      </c>
      <c r="J4" s="45">
        <v>3</v>
      </c>
      <c r="K4" s="45" t="s">
        <v>4</v>
      </c>
      <c r="L4" s="98"/>
      <c r="M4" s="77"/>
      <c r="N4" s="90"/>
    </row>
    <row r="5" spans="1:14" ht="16">
      <c r="A5" s="95" t="s">
        <v>32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280</v>
      </c>
      <c r="C6" s="12" t="s">
        <v>281</v>
      </c>
      <c r="D6" s="12" t="s">
        <v>282</v>
      </c>
      <c r="E6" s="12" t="s">
        <v>890</v>
      </c>
      <c r="F6" s="12" t="s">
        <v>36</v>
      </c>
      <c r="G6" s="12" t="s">
        <v>26</v>
      </c>
      <c r="H6" s="26" t="s">
        <v>89</v>
      </c>
      <c r="I6" s="26" t="s">
        <v>110</v>
      </c>
      <c r="J6" s="26" t="s">
        <v>100</v>
      </c>
      <c r="K6" s="27" t="s">
        <v>285</v>
      </c>
      <c r="L6" s="66" t="str">
        <f>"180,0"</f>
        <v>180,0</v>
      </c>
      <c r="M6" s="13" t="str">
        <f>"217,9080"</f>
        <v>217,9080</v>
      </c>
      <c r="N6" s="12" t="s">
        <v>129</v>
      </c>
    </row>
    <row r="7" spans="1:14">
      <c r="B7" s="6" t="s">
        <v>186</v>
      </c>
    </row>
    <row r="8" spans="1:14" ht="16">
      <c r="A8" s="91" t="s">
        <v>57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9" t="s">
        <v>185</v>
      </c>
      <c r="B9" s="8" t="s">
        <v>742</v>
      </c>
      <c r="C9" s="8" t="s">
        <v>743</v>
      </c>
      <c r="D9" s="8" t="s">
        <v>68</v>
      </c>
      <c r="E9" s="8" t="s">
        <v>890</v>
      </c>
      <c r="F9" s="8" t="s">
        <v>54</v>
      </c>
      <c r="G9" s="8" t="s">
        <v>26</v>
      </c>
      <c r="H9" s="23" t="s">
        <v>106</v>
      </c>
      <c r="I9" s="22" t="s">
        <v>106</v>
      </c>
      <c r="J9" s="22" t="s">
        <v>80</v>
      </c>
      <c r="K9" s="9"/>
      <c r="L9" s="67" t="str">
        <f>"150,0"</f>
        <v>150,0</v>
      </c>
      <c r="M9" s="9" t="str">
        <f>"153,0900"</f>
        <v>153,0900</v>
      </c>
      <c r="N9" s="8" t="s">
        <v>351</v>
      </c>
    </row>
    <row r="10" spans="1:14">
      <c r="A10" s="11" t="s">
        <v>185</v>
      </c>
      <c r="B10" s="10" t="s">
        <v>742</v>
      </c>
      <c r="C10" s="10" t="s">
        <v>744</v>
      </c>
      <c r="D10" s="10" t="s">
        <v>68</v>
      </c>
      <c r="E10" s="10" t="s">
        <v>892</v>
      </c>
      <c r="F10" s="10" t="s">
        <v>54</v>
      </c>
      <c r="G10" s="10" t="s">
        <v>26</v>
      </c>
      <c r="H10" s="25" t="s">
        <v>106</v>
      </c>
      <c r="I10" s="24" t="s">
        <v>106</v>
      </c>
      <c r="J10" s="24" t="s">
        <v>80</v>
      </c>
      <c r="K10" s="11"/>
      <c r="L10" s="68" t="str">
        <f>"150,0"</f>
        <v>150,0</v>
      </c>
      <c r="M10" s="11" t="str">
        <f>"162,2754"</f>
        <v>162,2754</v>
      </c>
      <c r="N10" s="10" t="s">
        <v>351</v>
      </c>
    </row>
    <row r="11" spans="1:14">
      <c r="B11" s="6" t="s">
        <v>186</v>
      </c>
    </row>
    <row r="12" spans="1:14" ht="16">
      <c r="A12" s="91" t="s">
        <v>134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</row>
    <row r="13" spans="1:14">
      <c r="A13" s="13" t="s">
        <v>185</v>
      </c>
      <c r="B13" s="12" t="s">
        <v>745</v>
      </c>
      <c r="C13" s="12" t="s">
        <v>746</v>
      </c>
      <c r="D13" s="12" t="s">
        <v>747</v>
      </c>
      <c r="E13" s="12" t="s">
        <v>890</v>
      </c>
      <c r="F13" s="12" t="s">
        <v>237</v>
      </c>
      <c r="G13" s="12" t="s">
        <v>26</v>
      </c>
      <c r="H13" s="26" t="s">
        <v>191</v>
      </c>
      <c r="I13" s="26" t="s">
        <v>200</v>
      </c>
      <c r="J13" s="27" t="s">
        <v>329</v>
      </c>
      <c r="K13" s="13"/>
      <c r="L13" s="66" t="str">
        <f>"265,0"</f>
        <v>265,0</v>
      </c>
      <c r="M13" s="13" t="str">
        <f>"170,0505"</f>
        <v>170,0505</v>
      </c>
      <c r="N13" s="12" t="s">
        <v>346</v>
      </c>
    </row>
    <row r="14" spans="1:14">
      <c r="B14" s="6" t="s">
        <v>186</v>
      </c>
    </row>
    <row r="15" spans="1:14" ht="16">
      <c r="A15" s="91" t="s">
        <v>138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</row>
    <row r="16" spans="1:14">
      <c r="A16" s="9" t="s">
        <v>228</v>
      </c>
      <c r="B16" s="8" t="s">
        <v>748</v>
      </c>
      <c r="C16" s="8" t="s">
        <v>749</v>
      </c>
      <c r="D16" s="8" t="s">
        <v>569</v>
      </c>
      <c r="E16" s="8" t="s">
        <v>893</v>
      </c>
      <c r="F16" s="8" t="s">
        <v>433</v>
      </c>
      <c r="G16" s="8" t="s">
        <v>434</v>
      </c>
      <c r="H16" s="23" t="s">
        <v>155</v>
      </c>
      <c r="I16" s="23" t="s">
        <v>155</v>
      </c>
      <c r="J16" s="23" t="s">
        <v>155</v>
      </c>
      <c r="K16" s="9"/>
      <c r="L16" s="67">
        <v>0</v>
      </c>
      <c r="M16" s="9" t="str">
        <f>"0,0000"</f>
        <v>0,0000</v>
      </c>
      <c r="N16" s="8"/>
    </row>
    <row r="17" spans="1:14">
      <c r="A17" s="15" t="s">
        <v>185</v>
      </c>
      <c r="B17" s="14" t="s">
        <v>750</v>
      </c>
      <c r="C17" s="14" t="s">
        <v>751</v>
      </c>
      <c r="D17" s="14" t="s">
        <v>752</v>
      </c>
      <c r="E17" s="14" t="s">
        <v>890</v>
      </c>
      <c r="F17" s="14" t="s">
        <v>237</v>
      </c>
      <c r="G17" s="14" t="s">
        <v>26</v>
      </c>
      <c r="H17" s="28" t="s">
        <v>253</v>
      </c>
      <c r="I17" s="28" t="s">
        <v>171</v>
      </c>
      <c r="J17" s="29" t="s">
        <v>239</v>
      </c>
      <c r="K17" s="15"/>
      <c r="L17" s="70" t="str">
        <f>"305,0"</f>
        <v>305,0</v>
      </c>
      <c r="M17" s="15" t="str">
        <f>"186,3855"</f>
        <v>186,3855</v>
      </c>
      <c r="N17" s="14" t="s">
        <v>688</v>
      </c>
    </row>
    <row r="18" spans="1:14">
      <c r="A18" s="15" t="s">
        <v>187</v>
      </c>
      <c r="B18" s="14" t="s">
        <v>753</v>
      </c>
      <c r="C18" s="14" t="s">
        <v>754</v>
      </c>
      <c r="D18" s="14" t="s">
        <v>144</v>
      </c>
      <c r="E18" s="14" t="s">
        <v>890</v>
      </c>
      <c r="F18" s="14" t="s">
        <v>348</v>
      </c>
      <c r="G18" s="14" t="s">
        <v>289</v>
      </c>
      <c r="H18" s="28" t="s">
        <v>732</v>
      </c>
      <c r="I18" s="29" t="s">
        <v>249</v>
      </c>
      <c r="J18" s="29" t="s">
        <v>249</v>
      </c>
      <c r="K18" s="15"/>
      <c r="L18" s="70" t="str">
        <f>"252,5"</f>
        <v>252,5</v>
      </c>
      <c r="M18" s="15" t="str">
        <f>"155,7673"</f>
        <v>155,7673</v>
      </c>
      <c r="N18" s="14" t="s">
        <v>777</v>
      </c>
    </row>
    <row r="19" spans="1:14">
      <c r="A19" s="11" t="s">
        <v>185</v>
      </c>
      <c r="B19" s="10" t="s">
        <v>268</v>
      </c>
      <c r="C19" s="10" t="s">
        <v>755</v>
      </c>
      <c r="D19" s="10" t="s">
        <v>756</v>
      </c>
      <c r="E19" s="10" t="s">
        <v>894</v>
      </c>
      <c r="F19" s="10" t="s">
        <v>209</v>
      </c>
      <c r="G19" s="10" t="s">
        <v>26</v>
      </c>
      <c r="H19" s="24" t="s">
        <v>155</v>
      </c>
      <c r="I19" s="24" t="s">
        <v>247</v>
      </c>
      <c r="J19" s="24" t="s">
        <v>191</v>
      </c>
      <c r="K19" s="11"/>
      <c r="L19" s="68" t="str">
        <f>"250,0"</f>
        <v>250,0</v>
      </c>
      <c r="M19" s="11" t="str">
        <f>"197,5007"</f>
        <v>197,5007</v>
      </c>
      <c r="N19" s="10"/>
    </row>
    <row r="20" spans="1:14">
      <c r="B20" s="6" t="s">
        <v>186</v>
      </c>
    </row>
    <row r="21" spans="1:14" ht="16">
      <c r="A21" s="91" t="s">
        <v>145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</row>
    <row r="22" spans="1:14">
      <c r="A22" s="9" t="s">
        <v>185</v>
      </c>
      <c r="B22" s="8" t="s">
        <v>250</v>
      </c>
      <c r="C22" s="8" t="s">
        <v>251</v>
      </c>
      <c r="D22" s="8" t="s">
        <v>252</v>
      </c>
      <c r="E22" s="8" t="s">
        <v>890</v>
      </c>
      <c r="F22" s="8" t="s">
        <v>348</v>
      </c>
      <c r="G22" s="8" t="s">
        <v>852</v>
      </c>
      <c r="H22" s="22" t="s">
        <v>239</v>
      </c>
      <c r="I22" s="23" t="s">
        <v>241</v>
      </c>
      <c r="J22" s="23" t="s">
        <v>241</v>
      </c>
      <c r="K22" s="9"/>
      <c r="L22" s="67" t="str">
        <f>"320,0"</f>
        <v>320,0</v>
      </c>
      <c r="M22" s="9" t="str">
        <f>"188,3840"</f>
        <v>188,3840</v>
      </c>
      <c r="N22" s="8"/>
    </row>
    <row r="23" spans="1:14">
      <c r="A23" s="11" t="s">
        <v>187</v>
      </c>
      <c r="B23" s="10" t="s">
        <v>757</v>
      </c>
      <c r="C23" s="10" t="s">
        <v>758</v>
      </c>
      <c r="D23" s="10" t="s">
        <v>759</v>
      </c>
      <c r="E23" s="10" t="s">
        <v>890</v>
      </c>
      <c r="F23" s="10" t="s">
        <v>237</v>
      </c>
      <c r="G23" s="10" t="s">
        <v>26</v>
      </c>
      <c r="H23" s="25" t="s">
        <v>171</v>
      </c>
      <c r="I23" s="25" t="s">
        <v>171</v>
      </c>
      <c r="J23" s="24" t="s">
        <v>171</v>
      </c>
      <c r="K23" s="11"/>
      <c r="L23" s="68" t="str">
        <f>"305,0"</f>
        <v>305,0</v>
      </c>
      <c r="M23" s="11" t="str">
        <f>"180,7430"</f>
        <v>180,7430</v>
      </c>
      <c r="N23" s="10" t="s">
        <v>346</v>
      </c>
    </row>
    <row r="24" spans="1:14">
      <c r="B24" s="6" t="s">
        <v>186</v>
      </c>
    </row>
    <row r="25" spans="1:14" ht="16">
      <c r="A25" s="91" t="s">
        <v>156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</row>
    <row r="26" spans="1:14">
      <c r="A26" s="9" t="s">
        <v>185</v>
      </c>
      <c r="B26" s="8" t="s">
        <v>760</v>
      </c>
      <c r="C26" s="8" t="s">
        <v>761</v>
      </c>
      <c r="D26" s="8" t="s">
        <v>762</v>
      </c>
      <c r="E26" s="8" t="s">
        <v>890</v>
      </c>
      <c r="F26" s="8" t="s">
        <v>262</v>
      </c>
      <c r="G26" s="8" t="s">
        <v>289</v>
      </c>
      <c r="H26" s="22" t="s">
        <v>763</v>
      </c>
      <c r="I26" s="23" t="s">
        <v>764</v>
      </c>
      <c r="J26" s="9"/>
      <c r="K26" s="9"/>
      <c r="L26" s="67" t="str">
        <f>"390,0"</f>
        <v>390,0</v>
      </c>
      <c r="M26" s="9" t="str">
        <f>"226,3170"</f>
        <v>226,3170</v>
      </c>
      <c r="N26" s="8"/>
    </row>
    <row r="27" spans="1:14">
      <c r="A27" s="15" t="s">
        <v>187</v>
      </c>
      <c r="B27" s="14" t="s">
        <v>765</v>
      </c>
      <c r="C27" s="14" t="s">
        <v>766</v>
      </c>
      <c r="D27" s="14" t="s">
        <v>767</v>
      </c>
      <c r="E27" s="14" t="s">
        <v>890</v>
      </c>
      <c r="F27" s="14" t="s">
        <v>237</v>
      </c>
      <c r="G27" s="14" t="s">
        <v>26</v>
      </c>
      <c r="H27" s="28" t="s">
        <v>263</v>
      </c>
      <c r="I27" s="29" t="s">
        <v>768</v>
      </c>
      <c r="J27" s="15"/>
      <c r="K27" s="15"/>
      <c r="L27" s="70" t="str">
        <f>"340,0"</f>
        <v>340,0</v>
      </c>
      <c r="M27" s="15" t="str">
        <f>"199,5460"</f>
        <v>199,5460</v>
      </c>
      <c r="N27" s="14" t="s">
        <v>776</v>
      </c>
    </row>
    <row r="28" spans="1:14">
      <c r="A28" s="11" t="s">
        <v>185</v>
      </c>
      <c r="B28" s="10" t="s">
        <v>292</v>
      </c>
      <c r="C28" s="10" t="s">
        <v>293</v>
      </c>
      <c r="D28" s="10" t="s">
        <v>294</v>
      </c>
      <c r="E28" s="10" t="s">
        <v>892</v>
      </c>
      <c r="F28" s="10" t="s">
        <v>262</v>
      </c>
      <c r="G28" s="10" t="s">
        <v>295</v>
      </c>
      <c r="H28" s="24" t="s">
        <v>253</v>
      </c>
      <c r="I28" s="24" t="s">
        <v>265</v>
      </c>
      <c r="J28" s="24" t="s">
        <v>239</v>
      </c>
      <c r="K28" s="11"/>
      <c r="L28" s="68" t="str">
        <f>"320,0"</f>
        <v>320,0</v>
      </c>
      <c r="M28" s="11" t="str">
        <f>"183,9552"</f>
        <v>183,9552</v>
      </c>
      <c r="N28" s="10" t="s">
        <v>297</v>
      </c>
    </row>
    <row r="29" spans="1:14">
      <c r="B29" s="6" t="s">
        <v>186</v>
      </c>
    </row>
    <row r="30" spans="1:14" ht="16">
      <c r="A30" s="91" t="s">
        <v>769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</row>
    <row r="31" spans="1:14">
      <c r="A31" s="13" t="s">
        <v>185</v>
      </c>
      <c r="B31" s="12" t="s">
        <v>770</v>
      </c>
      <c r="C31" s="12" t="s">
        <v>771</v>
      </c>
      <c r="D31" s="12" t="s">
        <v>772</v>
      </c>
      <c r="E31" s="12" t="s">
        <v>890</v>
      </c>
      <c r="F31" s="12" t="s">
        <v>213</v>
      </c>
      <c r="G31" s="12" t="s">
        <v>850</v>
      </c>
      <c r="H31" s="26" t="s">
        <v>116</v>
      </c>
      <c r="I31" s="26" t="s">
        <v>167</v>
      </c>
      <c r="J31" s="26" t="s">
        <v>191</v>
      </c>
      <c r="K31" s="13"/>
      <c r="L31" s="66" t="str">
        <f>"250,0"</f>
        <v>250,0</v>
      </c>
      <c r="M31" s="13" t="str">
        <f>"139,2500"</f>
        <v>139,2500</v>
      </c>
      <c r="N31" s="12"/>
    </row>
    <row r="32" spans="1:14">
      <c r="B32" s="6" t="s">
        <v>186</v>
      </c>
    </row>
    <row r="33" spans="2:6" ht="16">
      <c r="B33" s="6" t="s">
        <v>186</v>
      </c>
      <c r="F33" s="16"/>
    </row>
    <row r="34" spans="2:6" ht="16">
      <c r="B34" s="6" t="s">
        <v>186</v>
      </c>
      <c r="F34" s="16"/>
    </row>
    <row r="35" spans="2:6" ht="18">
      <c r="B35" s="17" t="s">
        <v>160</v>
      </c>
      <c r="C35" s="17"/>
    </row>
    <row r="36" spans="2:6" ht="16">
      <c r="B36" s="44" t="s">
        <v>178</v>
      </c>
      <c r="C36" s="44"/>
    </row>
    <row r="37" spans="2:6" ht="14">
      <c r="B37" s="19"/>
      <c r="C37" s="20" t="s">
        <v>169</v>
      </c>
    </row>
    <row r="38" spans="2:6" ht="14">
      <c r="B38" s="21" t="s">
        <v>161</v>
      </c>
      <c r="C38" s="21" t="s">
        <v>162</v>
      </c>
      <c r="D38" s="21" t="s">
        <v>849</v>
      </c>
      <c r="E38" s="21" t="s">
        <v>339</v>
      </c>
      <c r="F38" s="21" t="s">
        <v>165</v>
      </c>
    </row>
    <row r="39" spans="2:6">
      <c r="B39" s="6" t="s">
        <v>760</v>
      </c>
      <c r="C39" s="6" t="s">
        <v>169</v>
      </c>
      <c r="D39" s="7" t="s">
        <v>274</v>
      </c>
      <c r="E39" s="7" t="s">
        <v>763</v>
      </c>
      <c r="F39" s="7" t="s">
        <v>773</v>
      </c>
    </row>
    <row r="40" spans="2:6">
      <c r="B40" s="6" t="s">
        <v>765</v>
      </c>
      <c r="C40" s="6" t="s">
        <v>169</v>
      </c>
      <c r="D40" s="7" t="s">
        <v>274</v>
      </c>
      <c r="E40" s="7" t="s">
        <v>263</v>
      </c>
      <c r="F40" s="7" t="s">
        <v>774</v>
      </c>
    </row>
    <row r="41" spans="2:6">
      <c r="B41" s="6" t="s">
        <v>250</v>
      </c>
      <c r="C41" s="6" t="s">
        <v>169</v>
      </c>
      <c r="D41" s="7" t="s">
        <v>277</v>
      </c>
      <c r="E41" s="7" t="s">
        <v>239</v>
      </c>
      <c r="F41" s="7" t="s">
        <v>775</v>
      </c>
    </row>
    <row r="42" spans="2:6">
      <c r="B42" s="6" t="s">
        <v>186</v>
      </c>
    </row>
    <row r="43" spans="2:6">
      <c r="B43" s="6" t="s">
        <v>186</v>
      </c>
    </row>
    <row r="44" spans="2:6">
      <c r="B44" s="6" t="s">
        <v>186</v>
      </c>
    </row>
    <row r="45" spans="2:6">
      <c r="B45" s="6" t="s">
        <v>186</v>
      </c>
    </row>
    <row r="46" spans="2:6">
      <c r="B46" s="6" t="s">
        <v>186</v>
      </c>
    </row>
    <row r="47" spans="2:6">
      <c r="B47" s="6" t="s">
        <v>186</v>
      </c>
    </row>
    <row r="48" spans="2:6">
      <c r="B48" s="6" t="s">
        <v>186</v>
      </c>
    </row>
    <row r="49" spans="2:14">
      <c r="B49" s="6" t="s">
        <v>186</v>
      </c>
      <c r="C49" s="7"/>
      <c r="D49" s="7"/>
      <c r="E49" s="7"/>
      <c r="F49" s="7"/>
      <c r="G49" s="7"/>
      <c r="I49" s="6"/>
      <c r="J49" s="3"/>
      <c r="K49" s="3"/>
      <c r="L49" s="74"/>
      <c r="M49" s="3"/>
      <c r="N49" s="3"/>
    </row>
    <row r="50" spans="2:14">
      <c r="B50" s="6" t="s">
        <v>186</v>
      </c>
      <c r="C50" s="7"/>
      <c r="D50" s="7"/>
      <c r="E50" s="7"/>
      <c r="F50" s="7"/>
      <c r="G50" s="7"/>
      <c r="I50" s="6"/>
      <c r="J50" s="3"/>
      <c r="K50" s="3"/>
      <c r="L50" s="74"/>
      <c r="M50" s="3"/>
      <c r="N50" s="3"/>
    </row>
    <row r="51" spans="2:14">
      <c r="B51" s="6" t="s">
        <v>186</v>
      </c>
      <c r="C51" s="7"/>
      <c r="D51" s="7"/>
      <c r="E51" s="7"/>
      <c r="F51" s="7"/>
      <c r="G51" s="7"/>
      <c r="I51" s="6"/>
      <c r="J51" s="3"/>
      <c r="K51" s="3"/>
      <c r="L51" s="74"/>
      <c r="M51" s="3"/>
      <c r="N51" s="3"/>
    </row>
    <row r="52" spans="2:14">
      <c r="B52" s="6" t="s">
        <v>186</v>
      </c>
      <c r="C52" s="7"/>
      <c r="D52" s="7"/>
      <c r="E52" s="7"/>
      <c r="F52" s="7"/>
      <c r="G52" s="7"/>
      <c r="I52" s="6"/>
      <c r="J52" s="3"/>
      <c r="K52" s="3"/>
      <c r="L52" s="74"/>
      <c r="M52" s="3"/>
      <c r="N52" s="3"/>
    </row>
    <row r="53" spans="2:14">
      <c r="B53" s="6" t="s">
        <v>186</v>
      </c>
      <c r="C53" s="7"/>
      <c r="D53" s="7"/>
      <c r="E53" s="7"/>
      <c r="F53" s="7"/>
      <c r="G53" s="7"/>
      <c r="I53" s="6"/>
      <c r="J53" s="3"/>
      <c r="K53" s="3"/>
      <c r="L53" s="74"/>
      <c r="M53" s="3"/>
      <c r="N53" s="3"/>
    </row>
    <row r="54" spans="2:14">
      <c r="B54" s="6" t="s">
        <v>186</v>
      </c>
      <c r="C54" s="7"/>
      <c r="D54" s="7"/>
      <c r="E54" s="7"/>
      <c r="F54" s="7"/>
      <c r="G54" s="7"/>
      <c r="I54" s="6"/>
      <c r="J54" s="3"/>
      <c r="K54" s="3"/>
      <c r="L54" s="74"/>
      <c r="M54" s="3"/>
      <c r="N54" s="3"/>
    </row>
    <row r="55" spans="2:14">
      <c r="B55" s="6" t="s">
        <v>186</v>
      </c>
      <c r="C55" s="7"/>
      <c r="D55" s="7"/>
      <c r="E55" s="7"/>
      <c r="F55" s="7"/>
      <c r="G55" s="7"/>
      <c r="I55" s="6"/>
      <c r="J55" s="3"/>
      <c r="K55" s="3"/>
      <c r="L55" s="74"/>
      <c r="M55" s="3"/>
      <c r="N55" s="3"/>
    </row>
    <row r="56" spans="2:14">
      <c r="B56" s="6" t="s">
        <v>186</v>
      </c>
    </row>
    <row r="57" spans="2:14">
      <c r="B57" s="6" t="s">
        <v>186</v>
      </c>
    </row>
    <row r="58" spans="2:14">
      <c r="B58" s="6" t="s">
        <v>186</v>
      </c>
    </row>
    <row r="59" spans="2:14">
      <c r="B59" s="6" t="s">
        <v>186</v>
      </c>
    </row>
    <row r="60" spans="2:14">
      <c r="B60" s="6" t="s">
        <v>186</v>
      </c>
    </row>
    <row r="61" spans="2:14">
      <c r="B61" s="6" t="s">
        <v>186</v>
      </c>
    </row>
    <row r="62" spans="2:14">
      <c r="B62" s="6" t="s">
        <v>186</v>
      </c>
    </row>
    <row r="63" spans="2:14">
      <c r="B63" s="6" t="s">
        <v>186</v>
      </c>
    </row>
  </sheetData>
  <mergeCells count="19">
    <mergeCell ref="A21:K21"/>
    <mergeCell ref="A25:K25"/>
    <mergeCell ref="A30:K30"/>
    <mergeCell ref="M3:M4"/>
    <mergeCell ref="N3:N4"/>
    <mergeCell ref="A5:K5"/>
    <mergeCell ref="A8:K8"/>
    <mergeCell ref="A12:K12"/>
    <mergeCell ref="A15:K1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4"/>
  <sheetViews>
    <sheetView workbookViewId="0">
      <selection activeCell="E25" sqref="E25"/>
    </sheetView>
  </sheetViews>
  <sheetFormatPr baseColWidth="10" defaultColWidth="9.1640625" defaultRowHeight="13"/>
  <cols>
    <col min="1" max="1" width="7.5" style="6" bestFit="1" customWidth="1"/>
    <col min="2" max="2" width="21.33203125" style="6" customWidth="1"/>
    <col min="3" max="3" width="28.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customWidth="1"/>
    <col min="8" max="11" width="5.5" style="7" customWidth="1"/>
    <col min="12" max="12" width="10.5" style="7" bestFit="1" customWidth="1"/>
    <col min="13" max="13" width="11.5" style="7" customWidth="1"/>
    <col min="14" max="14" width="29.33203125" style="6" bestFit="1" customWidth="1"/>
    <col min="15" max="16384" width="9.1640625" style="3"/>
  </cols>
  <sheetData>
    <row r="1" spans="1:14" s="2" customFormat="1" ht="29" customHeight="1">
      <c r="A1" s="78" t="s">
        <v>872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48">
        <v>1</v>
      </c>
      <c r="I4" s="48">
        <v>2</v>
      </c>
      <c r="J4" s="48">
        <v>3</v>
      </c>
      <c r="K4" s="48" t="s">
        <v>4</v>
      </c>
      <c r="L4" s="77"/>
      <c r="M4" s="77"/>
      <c r="N4" s="90"/>
    </row>
    <row r="5" spans="1:14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794</v>
      </c>
      <c r="C6" s="12" t="s">
        <v>873</v>
      </c>
      <c r="D6" s="12" t="s">
        <v>68</v>
      </c>
      <c r="E6" s="12" t="s">
        <v>896</v>
      </c>
      <c r="F6" s="12" t="s">
        <v>433</v>
      </c>
      <c r="G6" s="12" t="s">
        <v>434</v>
      </c>
      <c r="H6" s="26" t="s">
        <v>64</v>
      </c>
      <c r="I6" s="27" t="s">
        <v>20</v>
      </c>
      <c r="J6" s="26" t="s">
        <v>20</v>
      </c>
      <c r="K6" s="13"/>
      <c r="L6" s="13" t="str">
        <f>"50,0"</f>
        <v>50,0</v>
      </c>
      <c r="M6" s="13" t="str">
        <f>"37,4200"</f>
        <v>37,4200</v>
      </c>
      <c r="N6" s="12" t="s">
        <v>610</v>
      </c>
    </row>
    <row r="7" spans="1:14">
      <c r="B7" s="6" t="s">
        <v>186</v>
      </c>
    </row>
    <row r="8" spans="1:14" ht="16">
      <c r="A8" s="91" t="s">
        <v>71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9" t="s">
        <v>185</v>
      </c>
      <c r="B9" s="8" t="s">
        <v>792</v>
      </c>
      <c r="C9" s="8" t="s">
        <v>874</v>
      </c>
      <c r="D9" s="8" t="s">
        <v>795</v>
      </c>
      <c r="E9" s="61" t="s">
        <v>896</v>
      </c>
      <c r="F9" s="8" t="s">
        <v>348</v>
      </c>
      <c r="G9" s="63" t="s">
        <v>434</v>
      </c>
      <c r="H9" s="23" t="s">
        <v>76</v>
      </c>
      <c r="I9" s="22" t="s">
        <v>40</v>
      </c>
      <c r="J9" s="23" t="s">
        <v>55</v>
      </c>
      <c r="K9" s="9"/>
      <c r="L9" s="9" t="str">
        <f>"65,0"</f>
        <v>65,0</v>
      </c>
      <c r="M9" s="59" t="str">
        <f>"45,1328"</f>
        <v>45,1328</v>
      </c>
      <c r="N9" s="8"/>
    </row>
    <row r="10" spans="1:14">
      <c r="A10" s="15" t="s">
        <v>187</v>
      </c>
      <c r="B10" s="14" t="s">
        <v>796</v>
      </c>
      <c r="C10" s="14" t="s">
        <v>875</v>
      </c>
      <c r="D10" s="14" t="s">
        <v>797</v>
      </c>
      <c r="E10" s="72" t="s">
        <v>896</v>
      </c>
      <c r="F10" s="14" t="s">
        <v>348</v>
      </c>
      <c r="G10" s="73" t="s">
        <v>26</v>
      </c>
      <c r="H10" s="28" t="s">
        <v>64</v>
      </c>
      <c r="I10" s="28" t="s">
        <v>48</v>
      </c>
      <c r="J10" s="29" t="s">
        <v>28</v>
      </c>
      <c r="K10" s="15"/>
      <c r="L10" s="15" t="str">
        <f>"47,5"</f>
        <v>47,5</v>
      </c>
      <c r="M10" s="69" t="str">
        <f>"32,8676"</f>
        <v>32,8676</v>
      </c>
      <c r="N10" s="14"/>
    </row>
    <row r="11" spans="1:14">
      <c r="A11" s="15" t="s">
        <v>185</v>
      </c>
      <c r="B11" s="14" t="s">
        <v>792</v>
      </c>
      <c r="C11" s="14" t="s">
        <v>793</v>
      </c>
      <c r="D11" s="14" t="s">
        <v>795</v>
      </c>
      <c r="E11" s="72" t="s">
        <v>890</v>
      </c>
      <c r="F11" s="14" t="s">
        <v>348</v>
      </c>
      <c r="G11" s="73" t="s">
        <v>434</v>
      </c>
      <c r="H11" s="29" t="s">
        <v>76</v>
      </c>
      <c r="I11" s="28" t="s">
        <v>40</v>
      </c>
      <c r="J11" s="29" t="s">
        <v>55</v>
      </c>
      <c r="K11" s="15"/>
      <c r="L11" s="15" t="str">
        <f>"65,0"</f>
        <v>65,0</v>
      </c>
      <c r="M11" s="69" t="str">
        <f>"45,1328"</f>
        <v>45,1328</v>
      </c>
      <c r="N11" s="14"/>
    </row>
    <row r="12" spans="1:14">
      <c r="A12" s="15" t="s">
        <v>187</v>
      </c>
      <c r="B12" s="14" t="s">
        <v>511</v>
      </c>
      <c r="C12" s="14" t="s">
        <v>512</v>
      </c>
      <c r="D12" s="14" t="s">
        <v>513</v>
      </c>
      <c r="E12" s="72" t="s">
        <v>890</v>
      </c>
      <c r="F12" s="14" t="s">
        <v>433</v>
      </c>
      <c r="G12" s="73" t="s">
        <v>434</v>
      </c>
      <c r="H12" s="28" t="s">
        <v>28</v>
      </c>
      <c r="I12" s="28" t="s">
        <v>76</v>
      </c>
      <c r="J12" s="29" t="s">
        <v>40</v>
      </c>
      <c r="K12" s="15"/>
      <c r="L12" s="15" t="str">
        <f>"60,0"</f>
        <v>60,0</v>
      </c>
      <c r="M12" s="69" t="str">
        <f>"44,1420"</f>
        <v>44,1420</v>
      </c>
      <c r="N12" s="14" t="s">
        <v>610</v>
      </c>
    </row>
    <row r="13" spans="1:14">
      <c r="A13" s="11" t="s">
        <v>313</v>
      </c>
      <c r="B13" s="10" t="s">
        <v>798</v>
      </c>
      <c r="C13" s="10" t="s">
        <v>799</v>
      </c>
      <c r="D13" s="10" t="s">
        <v>800</v>
      </c>
      <c r="E13" s="62" t="s">
        <v>890</v>
      </c>
      <c r="F13" s="10" t="s">
        <v>262</v>
      </c>
      <c r="G13" s="64" t="s">
        <v>289</v>
      </c>
      <c r="H13" s="24" t="s">
        <v>76</v>
      </c>
      <c r="I13" s="25" t="s">
        <v>40</v>
      </c>
      <c r="J13" s="25" t="s">
        <v>40</v>
      </c>
      <c r="K13" s="11"/>
      <c r="L13" s="11" t="str">
        <f>"60,0"</f>
        <v>60,0</v>
      </c>
      <c r="M13" s="60" t="str">
        <f>"41,9625"</f>
        <v>41,9625</v>
      </c>
      <c r="N13" s="10" t="s">
        <v>815</v>
      </c>
    </row>
    <row r="14" spans="1:14">
      <c r="B14" s="6" t="s">
        <v>186</v>
      </c>
    </row>
    <row r="15" spans="1:14" ht="16">
      <c r="A15" s="91" t="s">
        <v>122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</row>
    <row r="16" spans="1:14">
      <c r="A16" s="9" t="s">
        <v>185</v>
      </c>
      <c r="B16" s="8" t="s">
        <v>801</v>
      </c>
      <c r="C16" s="8" t="s">
        <v>874</v>
      </c>
      <c r="D16" s="8" t="s">
        <v>802</v>
      </c>
      <c r="E16" s="61" t="s">
        <v>896</v>
      </c>
      <c r="F16" s="8" t="s">
        <v>348</v>
      </c>
      <c r="G16" s="63" t="s">
        <v>434</v>
      </c>
      <c r="H16" s="22" t="s">
        <v>28</v>
      </c>
      <c r="I16" s="22" t="s">
        <v>76</v>
      </c>
      <c r="J16" s="22" t="s">
        <v>40</v>
      </c>
      <c r="K16" s="9"/>
      <c r="L16" s="9" t="str">
        <f>"65,0"</f>
        <v>65,0</v>
      </c>
      <c r="M16" s="9" t="str">
        <f>"43,3355"</f>
        <v>43,3355</v>
      </c>
      <c r="N16" s="8"/>
    </row>
    <row r="17" spans="1:14">
      <c r="A17" s="15" t="s">
        <v>185</v>
      </c>
      <c r="B17" s="14" t="s">
        <v>803</v>
      </c>
      <c r="C17" s="14" t="s">
        <v>804</v>
      </c>
      <c r="D17" s="14" t="s">
        <v>805</v>
      </c>
      <c r="E17" s="72" t="s">
        <v>890</v>
      </c>
      <c r="F17" s="14" t="s">
        <v>262</v>
      </c>
      <c r="G17" s="73" t="s">
        <v>289</v>
      </c>
      <c r="H17" s="71" t="s">
        <v>77</v>
      </c>
      <c r="I17" s="28" t="s">
        <v>41</v>
      </c>
      <c r="J17" s="29" t="s">
        <v>55</v>
      </c>
      <c r="K17" s="15"/>
      <c r="L17" s="15" t="str">
        <f>"67,5"</f>
        <v>67,5</v>
      </c>
      <c r="M17" s="15" t="str">
        <f>"45,3060"</f>
        <v>45,3060</v>
      </c>
      <c r="N17" s="14" t="s">
        <v>297</v>
      </c>
    </row>
    <row r="18" spans="1:14">
      <c r="A18" s="15" t="s">
        <v>187</v>
      </c>
      <c r="B18" s="14" t="s">
        <v>806</v>
      </c>
      <c r="C18" s="14" t="s">
        <v>807</v>
      </c>
      <c r="D18" s="14" t="s">
        <v>808</v>
      </c>
      <c r="E18" s="72" t="s">
        <v>890</v>
      </c>
      <c r="F18" s="14" t="s">
        <v>348</v>
      </c>
      <c r="G18" s="73" t="s">
        <v>26</v>
      </c>
      <c r="H18" s="28" t="s">
        <v>76</v>
      </c>
      <c r="I18" s="29" t="s">
        <v>55</v>
      </c>
      <c r="J18" s="29" t="s">
        <v>55</v>
      </c>
      <c r="K18" s="15"/>
      <c r="L18" s="15" t="str">
        <f>"60,0"</f>
        <v>60,0</v>
      </c>
      <c r="M18" s="15" t="str">
        <f>"39,7740"</f>
        <v>39,7740</v>
      </c>
      <c r="N18" s="14" t="s">
        <v>816</v>
      </c>
    </row>
    <row r="19" spans="1:14">
      <c r="A19" s="15" t="s">
        <v>313</v>
      </c>
      <c r="B19" s="14" t="s">
        <v>397</v>
      </c>
      <c r="C19" s="14" t="s">
        <v>398</v>
      </c>
      <c r="D19" s="14" t="s">
        <v>399</v>
      </c>
      <c r="E19" s="72" t="s">
        <v>890</v>
      </c>
      <c r="F19" s="14" t="s">
        <v>387</v>
      </c>
      <c r="G19" s="73" t="s">
        <v>26</v>
      </c>
      <c r="H19" s="28" t="s">
        <v>20</v>
      </c>
      <c r="I19" s="28" t="s">
        <v>28</v>
      </c>
      <c r="J19" s="28" t="s">
        <v>76</v>
      </c>
      <c r="K19" s="15"/>
      <c r="L19" s="15" t="str">
        <f>"60,0"</f>
        <v>60,0</v>
      </c>
      <c r="M19" s="15" t="str">
        <f>"39,1740"</f>
        <v>39,1740</v>
      </c>
      <c r="N19" s="14" t="s">
        <v>417</v>
      </c>
    </row>
    <row r="20" spans="1:14">
      <c r="A20" s="15" t="s">
        <v>531</v>
      </c>
      <c r="B20" s="14" t="s">
        <v>521</v>
      </c>
      <c r="C20" s="14" t="s">
        <v>522</v>
      </c>
      <c r="D20" s="14" t="s">
        <v>523</v>
      </c>
      <c r="E20" s="72" t="s">
        <v>890</v>
      </c>
      <c r="F20" s="14" t="s">
        <v>348</v>
      </c>
      <c r="G20" s="73" t="s">
        <v>26</v>
      </c>
      <c r="H20" s="28" t="s">
        <v>28</v>
      </c>
      <c r="I20" s="28" t="s">
        <v>76</v>
      </c>
      <c r="J20" s="29" t="s">
        <v>41</v>
      </c>
      <c r="K20" s="15"/>
      <c r="L20" s="15" t="str">
        <f>"60,0"</f>
        <v>60,0</v>
      </c>
      <c r="M20" s="15" t="str">
        <f>"38,8290"</f>
        <v>38,8290</v>
      </c>
      <c r="N20" s="14" t="s">
        <v>617</v>
      </c>
    </row>
    <row r="21" spans="1:14">
      <c r="A21" s="11" t="s">
        <v>185</v>
      </c>
      <c r="B21" s="10" t="s">
        <v>521</v>
      </c>
      <c r="C21" s="10" t="s">
        <v>544</v>
      </c>
      <c r="D21" s="10" t="s">
        <v>523</v>
      </c>
      <c r="E21" s="62" t="s">
        <v>892</v>
      </c>
      <c r="F21" s="10" t="s">
        <v>348</v>
      </c>
      <c r="G21" s="64" t="s">
        <v>26</v>
      </c>
      <c r="H21" s="24" t="s">
        <v>28</v>
      </c>
      <c r="I21" s="24" t="s">
        <v>76</v>
      </c>
      <c r="J21" s="25" t="s">
        <v>41</v>
      </c>
      <c r="K21" s="11"/>
      <c r="L21" s="11" t="str">
        <f>"60,0"</f>
        <v>60,0</v>
      </c>
      <c r="M21" s="11" t="str">
        <f>"38,8290"</f>
        <v>38,8290</v>
      </c>
      <c r="N21" s="10" t="s">
        <v>617</v>
      </c>
    </row>
    <row r="22" spans="1:14">
      <c r="B22" s="6" t="s">
        <v>186</v>
      </c>
    </row>
    <row r="23" spans="1:14" ht="16">
      <c r="A23" s="91" t="s">
        <v>134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</row>
    <row r="24" spans="1:14">
      <c r="A24" s="13" t="s">
        <v>185</v>
      </c>
      <c r="B24" s="12" t="s">
        <v>809</v>
      </c>
      <c r="C24" s="12" t="s">
        <v>810</v>
      </c>
      <c r="D24" s="12" t="s">
        <v>811</v>
      </c>
      <c r="E24" s="12" t="s">
        <v>890</v>
      </c>
      <c r="F24" s="12" t="s">
        <v>387</v>
      </c>
      <c r="G24" s="12" t="s">
        <v>26</v>
      </c>
      <c r="H24" s="27" t="s">
        <v>28</v>
      </c>
      <c r="I24" s="26" t="s">
        <v>28</v>
      </c>
      <c r="J24" s="27" t="s">
        <v>76</v>
      </c>
      <c r="K24" s="13"/>
      <c r="L24" s="13" t="str">
        <f>"55,0"</f>
        <v>55,0</v>
      </c>
      <c r="M24" s="13" t="str">
        <f>"33,7673"</f>
        <v>33,7673</v>
      </c>
      <c r="N24" s="12" t="s">
        <v>417</v>
      </c>
    </row>
    <row r="25" spans="1:14">
      <c r="B25" s="6" t="s">
        <v>186</v>
      </c>
    </row>
    <row r="26" spans="1:14" ht="16">
      <c r="B26" s="6" t="s">
        <v>186</v>
      </c>
      <c r="F26" s="16"/>
    </row>
    <row r="27" spans="1:14">
      <c r="B27" s="6" t="s">
        <v>186</v>
      </c>
    </row>
    <row r="28" spans="1:14" ht="18">
      <c r="B28" s="17" t="s">
        <v>160</v>
      </c>
      <c r="C28" s="17"/>
    </row>
    <row r="29" spans="1:14" ht="16">
      <c r="B29" s="49" t="s">
        <v>178</v>
      </c>
      <c r="C29" s="49"/>
    </row>
    <row r="30" spans="1:14" ht="14">
      <c r="B30" s="19"/>
      <c r="C30" s="20" t="s">
        <v>169</v>
      </c>
      <c r="G30" s="3"/>
    </row>
    <row r="31" spans="1:14" ht="14">
      <c r="B31" s="21" t="s">
        <v>161</v>
      </c>
      <c r="C31" s="21" t="s">
        <v>162</v>
      </c>
      <c r="D31" s="21" t="s">
        <v>849</v>
      </c>
      <c r="E31" s="21" t="s">
        <v>339</v>
      </c>
      <c r="F31" s="21" t="s">
        <v>340</v>
      </c>
      <c r="G31" s="3"/>
    </row>
    <row r="32" spans="1:14">
      <c r="B32" s="6" t="s">
        <v>803</v>
      </c>
      <c r="C32" s="6" t="s">
        <v>169</v>
      </c>
      <c r="D32" s="7" t="s">
        <v>341</v>
      </c>
      <c r="E32" s="7" t="s">
        <v>41</v>
      </c>
      <c r="F32" s="7" t="s">
        <v>813</v>
      </c>
      <c r="G32" s="3"/>
    </row>
    <row r="33" spans="2:14">
      <c r="B33" s="6" t="s">
        <v>792</v>
      </c>
      <c r="C33" s="6" t="s">
        <v>169</v>
      </c>
      <c r="D33" s="7" t="s">
        <v>175</v>
      </c>
      <c r="E33" s="7" t="s">
        <v>40</v>
      </c>
      <c r="F33" s="7" t="s">
        <v>812</v>
      </c>
      <c r="G33" s="3"/>
    </row>
    <row r="34" spans="2:14">
      <c r="B34" s="6" t="s">
        <v>511</v>
      </c>
      <c r="C34" s="6" t="s">
        <v>169</v>
      </c>
      <c r="D34" s="7" t="s">
        <v>175</v>
      </c>
      <c r="E34" s="7" t="s">
        <v>76</v>
      </c>
      <c r="F34" s="7" t="s">
        <v>814</v>
      </c>
      <c r="G34" s="3"/>
    </row>
    <row r="35" spans="2:14">
      <c r="B35" s="6" t="s">
        <v>186</v>
      </c>
      <c r="C35" s="7"/>
      <c r="D35" s="7"/>
      <c r="E35" s="7"/>
      <c r="F35" s="7"/>
      <c r="G35" s="7"/>
      <c r="I35" s="6"/>
      <c r="J35" s="3"/>
      <c r="K35" s="3"/>
      <c r="L35" s="3"/>
      <c r="M35" s="3"/>
      <c r="N35" s="3"/>
    </row>
    <row r="36" spans="2:14">
      <c r="B36" s="6" t="s">
        <v>186</v>
      </c>
      <c r="C36" s="7"/>
      <c r="D36" s="7"/>
      <c r="E36" s="7"/>
      <c r="F36" s="7"/>
      <c r="G36" s="7"/>
      <c r="I36" s="6"/>
      <c r="J36" s="3"/>
      <c r="K36" s="3"/>
      <c r="L36" s="3"/>
      <c r="M36" s="3"/>
      <c r="N36" s="3"/>
    </row>
    <row r="37" spans="2:14">
      <c r="B37" s="6" t="s">
        <v>186</v>
      </c>
      <c r="C37" s="7"/>
      <c r="D37" s="7"/>
      <c r="E37" s="7"/>
      <c r="F37" s="7"/>
      <c r="G37" s="7"/>
      <c r="I37" s="6"/>
      <c r="J37" s="3"/>
      <c r="K37" s="3"/>
      <c r="L37" s="3"/>
      <c r="M37" s="3"/>
      <c r="N37" s="3"/>
    </row>
    <row r="38" spans="2:14">
      <c r="B38" s="6" t="s">
        <v>186</v>
      </c>
      <c r="C38" s="7"/>
      <c r="D38" s="7"/>
      <c r="E38" s="7"/>
      <c r="F38" s="7"/>
      <c r="G38" s="7"/>
      <c r="I38" s="6"/>
      <c r="J38" s="3"/>
      <c r="K38" s="3"/>
      <c r="L38" s="3"/>
      <c r="M38" s="3"/>
      <c r="N38" s="3"/>
    </row>
    <row r="39" spans="2:14">
      <c r="B39" s="6" t="s">
        <v>186</v>
      </c>
      <c r="C39" s="7"/>
      <c r="D39" s="7"/>
      <c r="E39" s="7"/>
      <c r="F39" s="7"/>
      <c r="G39" s="7"/>
      <c r="I39" s="6"/>
      <c r="J39" s="3"/>
      <c r="K39" s="3"/>
      <c r="L39" s="3"/>
      <c r="M39" s="3"/>
      <c r="N39" s="3"/>
    </row>
    <row r="40" spans="2:14">
      <c r="B40" s="6" t="s">
        <v>186</v>
      </c>
      <c r="C40" s="7"/>
      <c r="D40" s="7"/>
      <c r="E40" s="7"/>
      <c r="F40" s="7"/>
      <c r="G40" s="7"/>
      <c r="I40" s="6"/>
      <c r="J40" s="3"/>
      <c r="K40" s="3"/>
      <c r="L40" s="3"/>
      <c r="M40" s="3"/>
      <c r="N40" s="3"/>
    </row>
    <row r="41" spans="2:14">
      <c r="B41" s="6" t="s">
        <v>186</v>
      </c>
      <c r="C41" s="7"/>
      <c r="D41" s="7"/>
      <c r="E41" s="7"/>
      <c r="F41" s="7"/>
      <c r="G41" s="7"/>
      <c r="I41" s="6"/>
      <c r="J41" s="3"/>
      <c r="K41" s="3"/>
      <c r="L41" s="3"/>
      <c r="M41" s="3"/>
      <c r="N41" s="3"/>
    </row>
    <row r="42" spans="2:14">
      <c r="B42" s="6" t="s">
        <v>186</v>
      </c>
    </row>
    <row r="43" spans="2:14">
      <c r="B43" s="6" t="s">
        <v>186</v>
      </c>
    </row>
    <row r="44" spans="2:14">
      <c r="B44" s="6" t="s">
        <v>186</v>
      </c>
    </row>
  </sheetData>
  <mergeCells count="16">
    <mergeCell ref="A23:K23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K5"/>
    <mergeCell ref="A8:K8"/>
    <mergeCell ref="A15:K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9"/>
  <sheetViews>
    <sheetView workbookViewId="0">
      <selection activeCell="E13" sqref="E13"/>
    </sheetView>
  </sheetViews>
  <sheetFormatPr baseColWidth="10" defaultColWidth="9.1640625" defaultRowHeight="13"/>
  <cols>
    <col min="1" max="1" width="7.5" style="6" bestFit="1" customWidth="1"/>
    <col min="2" max="2" width="19.83203125" style="6" bestFit="1" customWidth="1"/>
    <col min="3" max="3" width="29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1" width="5.5" style="7" customWidth="1"/>
    <col min="12" max="12" width="10.5" style="7" bestFit="1" customWidth="1"/>
    <col min="13" max="13" width="11" style="7" customWidth="1"/>
    <col min="14" max="14" width="18.5" style="6" customWidth="1"/>
    <col min="15" max="16384" width="9.1640625" style="3"/>
  </cols>
  <sheetData>
    <row r="1" spans="1:14" s="2" customFormat="1" ht="35.25" customHeight="1">
      <c r="A1" s="78" t="s">
        <v>876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50.2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94"/>
      <c r="C4" s="77"/>
      <c r="D4" s="77"/>
      <c r="E4" s="77"/>
      <c r="F4" s="77"/>
      <c r="G4" s="77"/>
      <c r="H4" s="50">
        <v>1</v>
      </c>
      <c r="I4" s="50">
        <v>2</v>
      </c>
      <c r="J4" s="50">
        <v>3</v>
      </c>
      <c r="K4" s="50" t="s">
        <v>4</v>
      </c>
      <c r="L4" s="77"/>
      <c r="M4" s="77"/>
      <c r="N4" s="90"/>
    </row>
    <row r="5" spans="1:14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627</v>
      </c>
      <c r="C6" s="12" t="s">
        <v>868</v>
      </c>
      <c r="D6" s="12" t="s">
        <v>68</v>
      </c>
      <c r="E6" s="12" t="s">
        <v>893</v>
      </c>
      <c r="F6" s="12" t="s">
        <v>36</v>
      </c>
      <c r="G6" s="12" t="s">
        <v>26</v>
      </c>
      <c r="H6" s="26" t="s">
        <v>63</v>
      </c>
      <c r="I6" s="26" t="s">
        <v>47</v>
      </c>
      <c r="J6" s="27" t="s">
        <v>19</v>
      </c>
      <c r="K6" s="13"/>
      <c r="L6" s="13" t="str">
        <f>"40,0"</f>
        <v>40,0</v>
      </c>
      <c r="M6" s="13" t="str">
        <f>"35,9980"</f>
        <v>35,9980</v>
      </c>
      <c r="N6" s="12" t="s">
        <v>684</v>
      </c>
    </row>
    <row r="7" spans="1:14">
      <c r="B7" s="6" t="s">
        <v>186</v>
      </c>
    </row>
    <row r="8" spans="1:14" ht="16">
      <c r="A8" s="91" t="s">
        <v>134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419</v>
      </c>
      <c r="C9" s="12" t="s">
        <v>420</v>
      </c>
      <c r="D9" s="12" t="s">
        <v>421</v>
      </c>
      <c r="E9" s="12" t="s">
        <v>890</v>
      </c>
      <c r="F9" s="12" t="s">
        <v>61</v>
      </c>
      <c r="G9" s="12" t="s">
        <v>26</v>
      </c>
      <c r="H9" s="27" t="s">
        <v>40</v>
      </c>
      <c r="I9" s="26" t="s">
        <v>40</v>
      </c>
      <c r="J9" s="26" t="s">
        <v>455</v>
      </c>
      <c r="K9" s="13"/>
      <c r="L9" s="13" t="str">
        <f>"72,5"</f>
        <v>72,5</v>
      </c>
      <c r="M9" s="13" t="str">
        <f>"44,6636"</f>
        <v>44,6636</v>
      </c>
      <c r="N9" s="12" t="s">
        <v>612</v>
      </c>
    </row>
    <row r="10" spans="1:14">
      <c r="B10" s="6" t="s">
        <v>186</v>
      </c>
    </row>
    <row r="11" spans="1:14" ht="16">
      <c r="A11" s="91" t="s">
        <v>138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</row>
    <row r="12" spans="1:14">
      <c r="A12" s="13" t="s">
        <v>185</v>
      </c>
      <c r="B12" s="12" t="s">
        <v>817</v>
      </c>
      <c r="C12" s="12" t="s">
        <v>818</v>
      </c>
      <c r="D12" s="12" t="s">
        <v>236</v>
      </c>
      <c r="E12" s="12" t="s">
        <v>890</v>
      </c>
      <c r="F12" s="12" t="s">
        <v>36</v>
      </c>
      <c r="G12" s="12" t="s">
        <v>26</v>
      </c>
      <c r="H12" s="26" t="s">
        <v>206</v>
      </c>
      <c r="I12" s="27" t="s">
        <v>16</v>
      </c>
      <c r="J12" s="27" t="s">
        <v>16</v>
      </c>
      <c r="K12" s="13"/>
      <c r="L12" s="13" t="str">
        <f>"75,0"</f>
        <v>75,0</v>
      </c>
      <c r="M12" s="13" t="str">
        <f>"43,6912"</f>
        <v>43,6912</v>
      </c>
      <c r="N12" s="12"/>
    </row>
    <row r="13" spans="1:14">
      <c r="B13" s="6" t="s">
        <v>186</v>
      </c>
    </row>
    <row r="14" spans="1:14">
      <c r="B14" s="6" t="s">
        <v>186</v>
      </c>
      <c r="C14" s="7"/>
      <c r="D14" s="7"/>
      <c r="E14" s="7"/>
      <c r="F14" s="7"/>
      <c r="G14" s="7"/>
      <c r="I14" s="6"/>
      <c r="J14" s="3"/>
      <c r="K14" s="3"/>
      <c r="L14" s="3"/>
      <c r="M14" s="3"/>
      <c r="N14" s="3"/>
    </row>
    <row r="15" spans="1:14">
      <c r="B15" s="6" t="s">
        <v>186</v>
      </c>
      <c r="C15" s="7"/>
      <c r="D15" s="7"/>
      <c r="E15" s="7"/>
      <c r="F15" s="7"/>
      <c r="G15" s="7"/>
      <c r="I15" s="6"/>
      <c r="J15" s="3"/>
      <c r="K15" s="3"/>
      <c r="L15" s="3"/>
      <c r="M15" s="3"/>
      <c r="N15" s="3"/>
    </row>
    <row r="16" spans="1:14">
      <c r="B16" s="6" t="s">
        <v>186</v>
      </c>
      <c r="C16" s="7"/>
      <c r="D16" s="7"/>
      <c r="E16" s="7"/>
      <c r="F16" s="7"/>
      <c r="G16" s="7"/>
      <c r="I16" s="6"/>
      <c r="J16" s="3"/>
      <c r="K16" s="3"/>
      <c r="L16" s="3"/>
      <c r="M16" s="3"/>
      <c r="N16" s="3"/>
    </row>
    <row r="17" spans="2:14">
      <c r="B17" s="6" t="s">
        <v>186</v>
      </c>
      <c r="C17" s="7"/>
      <c r="D17" s="7"/>
      <c r="E17" s="7"/>
      <c r="F17" s="7"/>
      <c r="G17" s="7"/>
      <c r="I17" s="6"/>
      <c r="J17" s="3"/>
      <c r="K17" s="3"/>
      <c r="L17" s="3"/>
      <c r="M17" s="3"/>
      <c r="N17" s="3"/>
    </row>
    <row r="18" spans="2:14">
      <c r="B18" s="6" t="s">
        <v>186</v>
      </c>
      <c r="C18" s="7"/>
      <c r="D18" s="7"/>
      <c r="E18" s="7"/>
      <c r="F18" s="7"/>
      <c r="G18" s="7"/>
      <c r="I18" s="6"/>
      <c r="J18" s="3"/>
      <c r="K18" s="3"/>
      <c r="L18" s="3"/>
      <c r="M18" s="3"/>
      <c r="N18" s="3"/>
    </row>
    <row r="19" spans="2:14">
      <c r="B19" s="6" t="s">
        <v>186</v>
      </c>
      <c r="C19" s="7"/>
      <c r="D19" s="7"/>
      <c r="E19" s="7"/>
      <c r="F19" s="7"/>
      <c r="G19" s="7"/>
      <c r="I19" s="6"/>
      <c r="J19" s="3"/>
      <c r="K19" s="3"/>
      <c r="L19" s="3"/>
      <c r="M19" s="3"/>
      <c r="N19" s="3"/>
    </row>
    <row r="20" spans="2:14">
      <c r="B20" s="6" t="s">
        <v>186</v>
      </c>
      <c r="C20" s="7"/>
      <c r="D20" s="7"/>
      <c r="E20" s="7"/>
      <c r="F20" s="7"/>
      <c r="G20" s="7"/>
      <c r="I20" s="6"/>
      <c r="J20" s="3"/>
      <c r="K20" s="3"/>
      <c r="L20" s="3"/>
      <c r="M20" s="3"/>
      <c r="N20" s="3"/>
    </row>
    <row r="21" spans="2:14">
      <c r="B21" s="6" t="s">
        <v>186</v>
      </c>
      <c r="C21" s="7"/>
      <c r="D21" s="7"/>
      <c r="E21" s="7"/>
      <c r="F21" s="7"/>
      <c r="G21" s="7"/>
      <c r="I21" s="6"/>
      <c r="J21" s="3"/>
      <c r="K21" s="3"/>
      <c r="L21" s="3"/>
      <c r="M21" s="3"/>
      <c r="N21" s="3"/>
    </row>
    <row r="22" spans="2:14">
      <c r="B22" s="6" t="s">
        <v>186</v>
      </c>
      <c r="C22" s="7"/>
      <c r="D22" s="7"/>
      <c r="E22" s="7"/>
      <c r="F22" s="7"/>
      <c r="G22" s="7"/>
      <c r="I22" s="6"/>
      <c r="J22" s="3"/>
      <c r="K22" s="3"/>
      <c r="L22" s="3"/>
      <c r="M22" s="3"/>
      <c r="N22" s="3"/>
    </row>
    <row r="23" spans="2:14">
      <c r="B23" s="6" t="s">
        <v>186</v>
      </c>
      <c r="C23" s="7"/>
      <c r="D23" s="7"/>
      <c r="E23" s="7"/>
      <c r="F23" s="7"/>
      <c r="G23" s="7"/>
      <c r="I23" s="6"/>
      <c r="J23" s="3"/>
      <c r="K23" s="3"/>
      <c r="L23" s="3"/>
      <c r="M23" s="3"/>
      <c r="N23" s="3"/>
    </row>
    <row r="24" spans="2:14">
      <c r="B24" s="6" t="s">
        <v>186</v>
      </c>
      <c r="C24" s="7"/>
      <c r="D24" s="7"/>
      <c r="E24" s="7"/>
      <c r="F24" s="7"/>
      <c r="G24" s="7"/>
      <c r="I24" s="6"/>
      <c r="J24" s="3"/>
      <c r="K24" s="3"/>
      <c r="L24" s="3"/>
      <c r="M24" s="3"/>
      <c r="N24" s="3"/>
    </row>
    <row r="25" spans="2:14">
      <c r="B25" s="6" t="s">
        <v>186</v>
      </c>
      <c r="C25" s="7"/>
      <c r="D25" s="7"/>
      <c r="E25" s="7"/>
      <c r="F25" s="7"/>
      <c r="G25" s="7"/>
      <c r="I25" s="6"/>
      <c r="J25" s="3"/>
      <c r="K25" s="3"/>
      <c r="L25" s="3"/>
      <c r="M25" s="3"/>
      <c r="N25" s="3"/>
    </row>
    <row r="26" spans="2:14">
      <c r="B26" s="6" t="s">
        <v>186</v>
      </c>
      <c r="C26" s="7"/>
      <c r="D26" s="7"/>
      <c r="E26" s="7"/>
      <c r="F26" s="7"/>
      <c r="G26" s="7"/>
      <c r="I26" s="6"/>
      <c r="J26" s="3"/>
      <c r="K26" s="3"/>
      <c r="L26" s="3"/>
      <c r="M26" s="3"/>
      <c r="N26" s="3"/>
    </row>
    <row r="27" spans="2:14">
      <c r="B27" s="6" t="s">
        <v>186</v>
      </c>
      <c r="C27" s="7"/>
      <c r="D27" s="7"/>
      <c r="E27" s="7"/>
      <c r="F27" s="7"/>
      <c r="G27" s="7"/>
      <c r="I27" s="6"/>
      <c r="J27" s="3"/>
      <c r="K27" s="3"/>
      <c r="L27" s="3"/>
      <c r="M27" s="3"/>
      <c r="N27" s="3"/>
    </row>
    <row r="28" spans="2:14">
      <c r="B28" s="6" t="s">
        <v>186</v>
      </c>
      <c r="C28" s="7"/>
      <c r="D28" s="7"/>
      <c r="E28" s="7"/>
      <c r="F28" s="7"/>
      <c r="G28" s="7"/>
      <c r="I28" s="6"/>
      <c r="J28" s="3"/>
      <c r="K28" s="3"/>
      <c r="L28" s="3"/>
      <c r="M28" s="3"/>
      <c r="N28" s="3"/>
    </row>
    <row r="29" spans="2:14">
      <c r="B29" s="6" t="s">
        <v>186</v>
      </c>
      <c r="C29" s="7"/>
      <c r="D29" s="7"/>
      <c r="E29" s="7"/>
      <c r="F29" s="7"/>
      <c r="G29" s="7"/>
      <c r="I29" s="6"/>
      <c r="J29" s="3"/>
      <c r="K29" s="3"/>
      <c r="L29" s="3"/>
      <c r="M29" s="3"/>
      <c r="N29" s="3"/>
    </row>
    <row r="30" spans="2:14">
      <c r="B30" s="6" t="s">
        <v>186</v>
      </c>
      <c r="C30" s="7"/>
      <c r="D30" s="7"/>
      <c r="E30" s="7"/>
      <c r="F30" s="7"/>
      <c r="G30" s="7"/>
      <c r="I30" s="6"/>
      <c r="J30" s="3"/>
      <c r="K30" s="3"/>
      <c r="L30" s="3"/>
      <c r="M30" s="3"/>
      <c r="N30" s="3"/>
    </row>
    <row r="31" spans="2:14">
      <c r="B31" s="6" t="s">
        <v>186</v>
      </c>
      <c r="C31" s="7"/>
      <c r="D31" s="7"/>
      <c r="E31" s="7"/>
      <c r="F31" s="7"/>
      <c r="G31" s="7"/>
      <c r="I31" s="6"/>
      <c r="J31" s="3"/>
      <c r="K31" s="3"/>
      <c r="L31" s="3"/>
      <c r="M31" s="3"/>
      <c r="N31" s="3"/>
    </row>
    <row r="32" spans="2:14">
      <c r="B32" s="6" t="s">
        <v>186</v>
      </c>
      <c r="C32" s="7"/>
      <c r="D32" s="7"/>
      <c r="E32" s="7"/>
      <c r="F32" s="7"/>
      <c r="G32" s="7"/>
      <c r="I32" s="6"/>
      <c r="J32" s="3"/>
      <c r="K32" s="3"/>
      <c r="L32" s="3"/>
      <c r="M32" s="3"/>
      <c r="N32" s="3"/>
    </row>
    <row r="33" spans="2:14">
      <c r="B33" s="6" t="s">
        <v>186</v>
      </c>
      <c r="C33" s="7"/>
      <c r="D33" s="7"/>
      <c r="E33" s="7"/>
      <c r="F33" s="7"/>
      <c r="G33" s="7"/>
      <c r="I33" s="6"/>
      <c r="J33" s="3"/>
      <c r="K33" s="3"/>
      <c r="L33" s="3"/>
      <c r="M33" s="3"/>
      <c r="N33" s="3"/>
    </row>
    <row r="34" spans="2:14">
      <c r="B34" s="6" t="s">
        <v>186</v>
      </c>
      <c r="C34" s="7"/>
      <c r="D34" s="7"/>
      <c r="E34" s="7"/>
      <c r="F34" s="7"/>
      <c r="G34" s="7"/>
      <c r="I34" s="6"/>
      <c r="J34" s="3"/>
      <c r="K34" s="3"/>
      <c r="L34" s="3"/>
      <c r="M34" s="3"/>
      <c r="N34" s="3"/>
    </row>
    <row r="35" spans="2:14">
      <c r="C35" s="7"/>
      <c r="D35" s="7"/>
      <c r="E35" s="7"/>
      <c r="F35" s="7"/>
      <c r="G35" s="7"/>
      <c r="I35" s="6"/>
      <c r="J35" s="3"/>
      <c r="K35" s="3"/>
      <c r="L35" s="3"/>
      <c r="M35" s="3"/>
      <c r="N35" s="3"/>
    </row>
    <row r="36" spans="2:14">
      <c r="C36" s="7"/>
      <c r="D36" s="7"/>
      <c r="E36" s="7"/>
      <c r="F36" s="7"/>
      <c r="G36" s="7"/>
      <c r="I36" s="6"/>
      <c r="J36" s="3"/>
      <c r="K36" s="3"/>
      <c r="L36" s="3"/>
      <c r="M36" s="3"/>
      <c r="N36" s="3"/>
    </row>
    <row r="37" spans="2:14">
      <c r="C37" s="7"/>
      <c r="D37" s="7"/>
      <c r="E37" s="7"/>
      <c r="F37" s="7"/>
      <c r="G37" s="7"/>
      <c r="I37" s="6"/>
      <c r="J37" s="3"/>
      <c r="K37" s="3"/>
      <c r="L37" s="3"/>
      <c r="M37" s="3"/>
      <c r="N37" s="3"/>
    </row>
    <row r="38" spans="2:14">
      <c r="C38" s="7"/>
      <c r="D38" s="7"/>
      <c r="E38" s="7"/>
      <c r="F38" s="7"/>
      <c r="G38" s="7"/>
      <c r="I38" s="6"/>
      <c r="J38" s="3"/>
      <c r="K38" s="3"/>
      <c r="L38" s="3"/>
      <c r="M38" s="3"/>
      <c r="N38" s="3"/>
    </row>
    <row r="39" spans="2:14">
      <c r="C39" s="7"/>
      <c r="D39" s="7"/>
      <c r="E39" s="7"/>
      <c r="F39" s="7"/>
      <c r="G39" s="7"/>
      <c r="I39" s="6"/>
      <c r="J39" s="3"/>
      <c r="K39" s="3"/>
      <c r="L39" s="3"/>
      <c r="M39" s="3"/>
      <c r="N39" s="3"/>
    </row>
  </sheetData>
  <mergeCells count="15">
    <mergeCell ref="A5:K5"/>
    <mergeCell ref="A8:K8"/>
    <mergeCell ref="A11:K11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2"/>
  <sheetViews>
    <sheetView workbookViewId="0">
      <selection activeCell="E13" sqref="E13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5" width="5.5" style="7" customWidth="1"/>
    <col min="16" max="16" width="7.83203125" style="7" bestFit="1" customWidth="1"/>
    <col min="17" max="17" width="8.5" style="7" bestFit="1" customWidth="1"/>
    <col min="18" max="18" width="18.5" style="6" customWidth="1"/>
    <col min="19" max="16384" width="9.1640625" style="3"/>
  </cols>
  <sheetData>
    <row r="1" spans="1:18" s="2" customFormat="1" ht="29" customHeight="1">
      <c r="A1" s="78" t="s">
        <v>877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18" s="2" customFormat="1" ht="56.2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18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791</v>
      </c>
      <c r="M3" s="76"/>
      <c r="N3" s="76"/>
      <c r="O3" s="76"/>
      <c r="P3" s="76" t="s">
        <v>1</v>
      </c>
      <c r="Q3" s="76" t="s">
        <v>3</v>
      </c>
      <c r="R3" s="89" t="s">
        <v>2</v>
      </c>
    </row>
    <row r="4" spans="1:18" s="1" customFormat="1" ht="15" thickBot="1">
      <c r="A4" s="87"/>
      <c r="B4" s="94"/>
      <c r="C4" s="77"/>
      <c r="D4" s="77"/>
      <c r="E4" s="77"/>
      <c r="F4" s="77"/>
      <c r="G4" s="77"/>
      <c r="H4" s="51">
        <v>1</v>
      </c>
      <c r="I4" s="51">
        <v>2</v>
      </c>
      <c r="J4" s="51">
        <v>3</v>
      </c>
      <c r="K4" s="51" t="s">
        <v>4</v>
      </c>
      <c r="L4" s="51">
        <v>1</v>
      </c>
      <c r="M4" s="51">
        <v>2</v>
      </c>
      <c r="N4" s="51">
        <v>3</v>
      </c>
      <c r="O4" s="51" t="s">
        <v>4</v>
      </c>
      <c r="P4" s="77"/>
      <c r="Q4" s="77"/>
      <c r="R4" s="90"/>
    </row>
    <row r="5" spans="1:18" ht="16">
      <c r="A5" s="95" t="s">
        <v>122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8">
      <c r="A6" s="13" t="s">
        <v>185</v>
      </c>
      <c r="B6" s="12" t="s">
        <v>820</v>
      </c>
      <c r="C6" s="12" t="s">
        <v>821</v>
      </c>
      <c r="D6" s="12" t="s">
        <v>822</v>
      </c>
      <c r="E6" s="12" t="s">
        <v>890</v>
      </c>
      <c r="F6" s="12" t="s">
        <v>61</v>
      </c>
      <c r="G6" s="12" t="s">
        <v>26</v>
      </c>
      <c r="H6" s="26" t="s">
        <v>27</v>
      </c>
      <c r="I6" s="27" t="s">
        <v>16</v>
      </c>
      <c r="J6" s="27" t="s">
        <v>16</v>
      </c>
      <c r="K6" s="13"/>
      <c r="L6" s="26" t="s">
        <v>76</v>
      </c>
      <c r="M6" s="27" t="s">
        <v>40</v>
      </c>
      <c r="N6" s="13"/>
      <c r="O6" s="13"/>
      <c r="P6" s="13" t="str">
        <f>"140,0"</f>
        <v>140,0</v>
      </c>
      <c r="Q6" s="13" t="str">
        <f>"92,2110"</f>
        <v>92,2110</v>
      </c>
      <c r="R6" s="12" t="s">
        <v>354</v>
      </c>
    </row>
    <row r="7" spans="1:18">
      <c r="B7" s="6" t="s">
        <v>186</v>
      </c>
    </row>
    <row r="8" spans="1:18" ht="16">
      <c r="A8" s="91" t="s">
        <v>134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8">
      <c r="A9" s="13" t="s">
        <v>185</v>
      </c>
      <c r="B9" s="12" t="s">
        <v>419</v>
      </c>
      <c r="C9" s="12" t="s">
        <v>420</v>
      </c>
      <c r="D9" s="12" t="s">
        <v>421</v>
      </c>
      <c r="E9" s="12" t="s">
        <v>890</v>
      </c>
      <c r="F9" s="12" t="s">
        <v>61</v>
      </c>
      <c r="G9" s="12" t="s">
        <v>26</v>
      </c>
      <c r="H9" s="26" t="s">
        <v>75</v>
      </c>
      <c r="I9" s="26" t="s">
        <v>30</v>
      </c>
      <c r="J9" s="27" t="s">
        <v>39</v>
      </c>
      <c r="K9" s="13"/>
      <c r="L9" s="26" t="s">
        <v>40</v>
      </c>
      <c r="M9" s="26" t="s">
        <v>455</v>
      </c>
      <c r="N9" s="27" t="s">
        <v>632</v>
      </c>
      <c r="O9" s="13"/>
      <c r="P9" s="13" t="str">
        <f>"187,5"</f>
        <v>187,5</v>
      </c>
      <c r="Q9" s="13" t="str">
        <f>"115,5094"</f>
        <v>115,5094</v>
      </c>
      <c r="R9" s="12" t="s">
        <v>618</v>
      </c>
    </row>
    <row r="10" spans="1:18">
      <c r="B10" s="6" t="s">
        <v>186</v>
      </c>
    </row>
    <row r="11" spans="1:18" ht="16">
      <c r="A11" s="91" t="s">
        <v>138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8">
      <c r="A12" s="13" t="s">
        <v>185</v>
      </c>
      <c r="B12" s="12" t="s">
        <v>664</v>
      </c>
      <c r="C12" s="12" t="s">
        <v>665</v>
      </c>
      <c r="D12" s="12" t="s">
        <v>823</v>
      </c>
      <c r="E12" s="12" t="s">
        <v>890</v>
      </c>
      <c r="F12" s="12" t="s">
        <v>262</v>
      </c>
      <c r="G12" s="12" t="s">
        <v>26</v>
      </c>
      <c r="H12" s="26" t="s">
        <v>106</v>
      </c>
      <c r="I12" s="26" t="s">
        <v>79</v>
      </c>
      <c r="J12" s="13"/>
      <c r="K12" s="13"/>
      <c r="L12" s="26" t="s">
        <v>456</v>
      </c>
      <c r="M12" s="26" t="s">
        <v>632</v>
      </c>
      <c r="N12" s="27" t="s">
        <v>16</v>
      </c>
      <c r="O12" s="13"/>
      <c r="P12" s="13" t="str">
        <f>"227,5"</f>
        <v>227,5</v>
      </c>
      <c r="Q12" s="13" t="str">
        <f>"132,6723"</f>
        <v>132,6723</v>
      </c>
      <c r="R12" s="12" t="s">
        <v>297</v>
      </c>
    </row>
    <row r="13" spans="1:18">
      <c r="B13" s="6" t="s">
        <v>186</v>
      </c>
    </row>
    <row r="14" spans="1:18">
      <c r="B14" s="7"/>
      <c r="C14" s="7"/>
      <c r="D14" s="7"/>
      <c r="E14" s="7"/>
      <c r="F14" s="7"/>
      <c r="G14" s="7"/>
      <c r="J14" s="6"/>
      <c r="K14" s="3"/>
      <c r="L14" s="3"/>
      <c r="M14" s="3"/>
      <c r="N14" s="3"/>
      <c r="O14" s="3"/>
      <c r="P14" s="3"/>
      <c r="Q14" s="3"/>
      <c r="R14" s="3"/>
    </row>
    <row r="15" spans="1:18">
      <c r="B15" s="7"/>
      <c r="C15" s="7"/>
      <c r="D15" s="7"/>
      <c r="E15" s="7"/>
      <c r="F15" s="7"/>
      <c r="G15" s="7"/>
      <c r="J15" s="6"/>
      <c r="K15" s="3"/>
      <c r="L15" s="3"/>
      <c r="M15" s="3"/>
      <c r="N15" s="3"/>
      <c r="O15" s="3"/>
      <c r="P15" s="3"/>
      <c r="Q15" s="3"/>
      <c r="R15" s="3"/>
    </row>
    <row r="16" spans="1:18">
      <c r="B16" s="7"/>
      <c r="C16" s="7"/>
      <c r="D16" s="7"/>
      <c r="E16" s="7"/>
      <c r="F16" s="7"/>
      <c r="G16" s="7"/>
      <c r="J16" s="6"/>
      <c r="K16" s="3"/>
      <c r="L16" s="3"/>
      <c r="M16" s="3"/>
      <c r="N16" s="3"/>
      <c r="O16" s="3"/>
      <c r="P16" s="3"/>
      <c r="Q16" s="3"/>
      <c r="R16" s="3"/>
    </row>
    <row r="17" spans="2:18">
      <c r="B17" s="7"/>
      <c r="C17" s="7"/>
      <c r="D17" s="7"/>
      <c r="E17" s="7"/>
      <c r="F17" s="7"/>
      <c r="G17" s="7"/>
      <c r="J17" s="6"/>
      <c r="K17" s="3"/>
      <c r="L17" s="3"/>
      <c r="M17" s="3"/>
      <c r="N17" s="3"/>
      <c r="O17" s="3"/>
      <c r="P17" s="3"/>
      <c r="Q17" s="3"/>
      <c r="R17" s="3"/>
    </row>
    <row r="18" spans="2:18">
      <c r="B18" s="7"/>
      <c r="C18" s="7"/>
      <c r="D18" s="7"/>
      <c r="E18" s="7"/>
      <c r="F18" s="7"/>
      <c r="G18" s="7"/>
      <c r="J18" s="6"/>
      <c r="K18" s="3"/>
      <c r="L18" s="3"/>
      <c r="M18" s="3"/>
      <c r="N18" s="3"/>
      <c r="O18" s="3"/>
      <c r="P18" s="3"/>
      <c r="Q18" s="3"/>
      <c r="R18" s="3"/>
    </row>
    <row r="19" spans="2:18">
      <c r="B19" s="7"/>
      <c r="C19" s="7"/>
      <c r="D19" s="7"/>
      <c r="E19" s="7"/>
      <c r="F19" s="7"/>
      <c r="G19" s="7"/>
      <c r="J19" s="6"/>
      <c r="K19" s="3"/>
      <c r="L19" s="3"/>
      <c r="M19" s="3"/>
      <c r="N19" s="3"/>
      <c r="O19" s="3"/>
      <c r="P19" s="3"/>
      <c r="Q19" s="3"/>
      <c r="R19" s="3"/>
    </row>
    <row r="20" spans="2:18">
      <c r="B20" s="7"/>
      <c r="C20" s="7"/>
      <c r="D20" s="7"/>
      <c r="E20" s="7"/>
      <c r="F20" s="7"/>
      <c r="G20" s="7"/>
      <c r="J20" s="6"/>
      <c r="K20" s="3"/>
      <c r="L20" s="3"/>
      <c r="M20" s="3"/>
      <c r="N20" s="3"/>
      <c r="O20" s="3"/>
      <c r="P20" s="3"/>
      <c r="Q20" s="3"/>
      <c r="R20" s="3"/>
    </row>
    <row r="21" spans="2:18">
      <c r="B21" s="7"/>
      <c r="C21" s="7"/>
      <c r="D21" s="7"/>
      <c r="E21" s="7"/>
      <c r="F21" s="7"/>
      <c r="G21" s="7"/>
      <c r="J21" s="6"/>
      <c r="K21" s="3"/>
      <c r="L21" s="3"/>
      <c r="M21" s="3"/>
      <c r="N21" s="3"/>
      <c r="O21" s="3"/>
      <c r="P21" s="3"/>
      <c r="Q21" s="3"/>
      <c r="R21" s="3"/>
    </row>
    <row r="22" spans="2:18">
      <c r="B22" s="7"/>
      <c r="C22" s="7"/>
      <c r="D22" s="7"/>
      <c r="E22" s="7"/>
      <c r="F22" s="7"/>
      <c r="G22" s="7"/>
      <c r="J22" s="6"/>
      <c r="K22" s="3"/>
      <c r="L22" s="3"/>
      <c r="M22" s="3"/>
      <c r="N22" s="3"/>
      <c r="O22" s="3"/>
      <c r="P22" s="3"/>
      <c r="Q22" s="3"/>
      <c r="R22" s="3"/>
    </row>
    <row r="23" spans="2:18">
      <c r="B23" s="7"/>
      <c r="C23" s="7"/>
      <c r="D23" s="7"/>
      <c r="E23" s="7"/>
      <c r="F23" s="7"/>
      <c r="G23" s="7"/>
      <c r="J23" s="6"/>
      <c r="K23" s="3"/>
      <c r="L23" s="3"/>
      <c r="M23" s="3"/>
      <c r="N23" s="3"/>
      <c r="O23" s="3"/>
      <c r="P23" s="3"/>
      <c r="Q23" s="3"/>
      <c r="R23" s="3"/>
    </row>
    <row r="24" spans="2:18">
      <c r="B24" s="7"/>
      <c r="C24" s="7"/>
      <c r="D24" s="7"/>
      <c r="E24" s="7"/>
      <c r="F24" s="7"/>
      <c r="G24" s="7"/>
      <c r="J24" s="6"/>
      <c r="K24" s="3"/>
      <c r="L24" s="3"/>
      <c r="M24" s="3"/>
      <c r="N24" s="3"/>
      <c r="O24" s="3"/>
      <c r="P24" s="3"/>
      <c r="Q24" s="3"/>
      <c r="R24" s="3"/>
    </row>
    <row r="25" spans="2:18">
      <c r="B25" s="7"/>
      <c r="C25" s="7"/>
      <c r="D25" s="7"/>
      <c r="E25" s="7"/>
      <c r="F25" s="7"/>
      <c r="G25" s="7"/>
      <c r="J25" s="6"/>
      <c r="K25" s="3"/>
      <c r="L25" s="3"/>
      <c r="M25" s="3"/>
      <c r="N25" s="3"/>
      <c r="O25" s="3"/>
      <c r="P25" s="3"/>
      <c r="Q25" s="3"/>
      <c r="R25" s="3"/>
    </row>
    <row r="26" spans="2:18">
      <c r="B26" s="7"/>
      <c r="C26" s="7"/>
      <c r="D26" s="7"/>
      <c r="E26" s="7"/>
      <c r="F26" s="7"/>
      <c r="G26" s="7"/>
      <c r="J26" s="6"/>
      <c r="K26" s="3"/>
      <c r="L26" s="3"/>
      <c r="M26" s="3"/>
      <c r="N26" s="3"/>
      <c r="O26" s="3"/>
      <c r="P26" s="3"/>
      <c r="Q26" s="3"/>
      <c r="R26" s="3"/>
    </row>
    <row r="27" spans="2:18">
      <c r="B27" s="7"/>
      <c r="C27" s="7"/>
      <c r="D27" s="7"/>
      <c r="E27" s="7"/>
      <c r="F27" s="7"/>
      <c r="G27" s="7"/>
      <c r="J27" s="6"/>
      <c r="K27" s="3"/>
      <c r="L27" s="3"/>
      <c r="M27" s="3"/>
      <c r="N27" s="3"/>
      <c r="O27" s="3"/>
      <c r="P27" s="3"/>
      <c r="Q27" s="3"/>
      <c r="R27" s="3"/>
    </row>
    <row r="28" spans="2:18">
      <c r="B28" s="7"/>
      <c r="C28" s="7"/>
      <c r="D28" s="7"/>
      <c r="E28" s="7"/>
      <c r="F28" s="7"/>
      <c r="G28" s="7"/>
      <c r="J28" s="6"/>
      <c r="K28" s="3"/>
      <c r="L28" s="3"/>
      <c r="M28" s="3"/>
      <c r="N28" s="3"/>
      <c r="O28" s="3"/>
      <c r="P28" s="3"/>
      <c r="Q28" s="3"/>
      <c r="R28" s="3"/>
    </row>
    <row r="29" spans="2:18">
      <c r="B29" s="7"/>
      <c r="C29" s="7"/>
      <c r="D29" s="7"/>
      <c r="E29" s="7"/>
      <c r="F29" s="7"/>
      <c r="G29" s="7"/>
      <c r="J29" s="6"/>
      <c r="K29" s="3"/>
      <c r="L29" s="3"/>
      <c r="M29" s="3"/>
      <c r="N29" s="3"/>
      <c r="O29" s="3"/>
      <c r="P29" s="3"/>
      <c r="Q29" s="3"/>
      <c r="R29" s="3"/>
    </row>
    <row r="30" spans="2:18">
      <c r="B30" s="7"/>
      <c r="C30" s="7"/>
      <c r="D30" s="7"/>
      <c r="E30" s="7"/>
      <c r="F30" s="7"/>
      <c r="G30" s="7"/>
      <c r="J30" s="6"/>
      <c r="K30" s="3"/>
      <c r="L30" s="3"/>
      <c r="M30" s="3"/>
      <c r="N30" s="3"/>
      <c r="O30" s="3"/>
      <c r="P30" s="3"/>
      <c r="Q30" s="3"/>
      <c r="R30" s="3"/>
    </row>
    <row r="31" spans="2:18">
      <c r="B31" s="7"/>
      <c r="C31" s="7"/>
      <c r="D31" s="7"/>
      <c r="E31" s="7"/>
      <c r="F31" s="7"/>
      <c r="G31" s="7"/>
      <c r="J31" s="6"/>
      <c r="K31" s="3"/>
      <c r="L31" s="3"/>
      <c r="M31" s="3"/>
      <c r="N31" s="3"/>
      <c r="O31" s="3"/>
      <c r="P31" s="3"/>
      <c r="Q31" s="3"/>
      <c r="R31" s="3"/>
    </row>
    <row r="32" spans="2:18">
      <c r="B32" s="7"/>
      <c r="C32" s="7"/>
      <c r="D32" s="7"/>
      <c r="E32" s="7"/>
      <c r="F32" s="7"/>
      <c r="G32" s="7"/>
      <c r="J32" s="6"/>
      <c r="K32" s="3"/>
      <c r="L32" s="3"/>
      <c r="M32" s="3"/>
      <c r="N32" s="3"/>
      <c r="O32" s="3"/>
      <c r="P32" s="3"/>
      <c r="Q32" s="3"/>
      <c r="R32" s="3"/>
    </row>
  </sheetData>
  <mergeCells count="16">
    <mergeCell ref="A11:O11"/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  <mergeCell ref="A5:O5"/>
    <mergeCell ref="A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workbookViewId="0">
      <selection activeCell="E31" sqref="E31"/>
    </sheetView>
  </sheetViews>
  <sheetFormatPr baseColWidth="10" defaultColWidth="9.1640625" defaultRowHeight="13"/>
  <cols>
    <col min="1" max="1" width="7.5" style="6" bestFit="1" customWidth="1"/>
    <col min="2" max="2" width="20.832031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0.33203125" style="6" customWidth="1"/>
    <col min="7" max="7" width="34.83203125" style="6" customWidth="1"/>
    <col min="8" max="10" width="5.5" style="7" customWidth="1"/>
    <col min="11" max="11" width="4.83203125" style="7" customWidth="1"/>
    <col min="12" max="14" width="5.5" style="7" customWidth="1"/>
    <col min="15" max="15" width="4.83203125" style="7" customWidth="1"/>
    <col min="16" max="18" width="5.5" style="7" customWidth="1"/>
    <col min="19" max="19" width="4.83203125" style="7" customWidth="1"/>
    <col min="20" max="20" width="7.83203125" style="65" bestFit="1" customWidth="1"/>
    <col min="21" max="21" width="8.5" style="7" bestFit="1" customWidth="1"/>
    <col min="22" max="22" width="20.5" style="6" customWidth="1"/>
    <col min="23" max="16384" width="9.1640625" style="3"/>
  </cols>
  <sheetData>
    <row r="1" spans="1:22" s="2" customFormat="1" ht="29" customHeight="1">
      <c r="A1" s="78" t="s">
        <v>856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22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7</v>
      </c>
      <c r="I3" s="76"/>
      <c r="J3" s="76"/>
      <c r="K3" s="76"/>
      <c r="L3" s="76" t="s">
        <v>8</v>
      </c>
      <c r="M3" s="76"/>
      <c r="N3" s="76"/>
      <c r="O3" s="76"/>
      <c r="P3" s="76" t="s">
        <v>9</v>
      </c>
      <c r="Q3" s="76"/>
      <c r="R3" s="76"/>
      <c r="S3" s="76"/>
      <c r="T3" s="97" t="s">
        <v>1</v>
      </c>
      <c r="U3" s="76" t="s">
        <v>3</v>
      </c>
      <c r="V3" s="89" t="s">
        <v>2</v>
      </c>
    </row>
    <row r="4" spans="1:22" s="1" customFormat="1" ht="21" customHeight="1" thickBot="1">
      <c r="A4" s="87"/>
      <c r="B4" s="94"/>
      <c r="C4" s="77"/>
      <c r="D4" s="77"/>
      <c r="E4" s="77"/>
      <c r="F4" s="77"/>
      <c r="G4" s="77"/>
      <c r="H4" s="30">
        <v>1</v>
      </c>
      <c r="I4" s="30">
        <v>2</v>
      </c>
      <c r="J4" s="30">
        <v>3</v>
      </c>
      <c r="K4" s="30" t="s">
        <v>4</v>
      </c>
      <c r="L4" s="30">
        <v>1</v>
      </c>
      <c r="M4" s="30">
        <v>2</v>
      </c>
      <c r="N4" s="30">
        <v>3</v>
      </c>
      <c r="O4" s="30" t="s">
        <v>4</v>
      </c>
      <c r="P4" s="30">
        <v>1</v>
      </c>
      <c r="Q4" s="30">
        <v>2</v>
      </c>
      <c r="R4" s="30">
        <v>3</v>
      </c>
      <c r="S4" s="30" t="s">
        <v>4</v>
      </c>
      <c r="T4" s="98"/>
      <c r="U4" s="77"/>
      <c r="V4" s="90"/>
    </row>
    <row r="5" spans="1:22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22">
      <c r="A6" s="13" t="s">
        <v>185</v>
      </c>
      <c r="B6" s="12" t="s">
        <v>203</v>
      </c>
      <c r="C6" s="12" t="s">
        <v>204</v>
      </c>
      <c r="D6" s="12" t="s">
        <v>205</v>
      </c>
      <c r="E6" s="12" t="s">
        <v>890</v>
      </c>
      <c r="F6" s="12" t="s">
        <v>54</v>
      </c>
      <c r="G6" s="12" t="s">
        <v>26</v>
      </c>
      <c r="H6" s="26" t="s">
        <v>55</v>
      </c>
      <c r="I6" s="26" t="s">
        <v>206</v>
      </c>
      <c r="J6" s="26" t="s">
        <v>27</v>
      </c>
      <c r="K6" s="13"/>
      <c r="L6" s="26" t="s">
        <v>48</v>
      </c>
      <c r="M6" s="27" t="s">
        <v>20</v>
      </c>
      <c r="N6" s="26" t="s">
        <v>20</v>
      </c>
      <c r="O6" s="13"/>
      <c r="P6" s="26" t="s">
        <v>17</v>
      </c>
      <c r="Q6" s="26" t="s">
        <v>18</v>
      </c>
      <c r="R6" s="26" t="s">
        <v>22</v>
      </c>
      <c r="S6" s="13"/>
      <c r="T6" s="66" t="str">
        <f>"230,0"</f>
        <v>230,0</v>
      </c>
      <c r="U6" s="13" t="str">
        <f>"251,8960"</f>
        <v>251,8960</v>
      </c>
      <c r="V6" s="12" t="s">
        <v>351</v>
      </c>
    </row>
    <row r="7" spans="1:22">
      <c r="B7" s="6" t="s">
        <v>186</v>
      </c>
    </row>
    <row r="8" spans="1:22" ht="16">
      <c r="A8" s="91" t="s">
        <v>71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22">
      <c r="A9" s="9" t="s">
        <v>185</v>
      </c>
      <c r="B9" s="8" t="s">
        <v>207</v>
      </c>
      <c r="C9" s="8" t="s">
        <v>208</v>
      </c>
      <c r="D9" s="8" t="s">
        <v>113</v>
      </c>
      <c r="E9" s="8" t="s">
        <v>893</v>
      </c>
      <c r="F9" s="8" t="s">
        <v>209</v>
      </c>
      <c r="G9" s="8" t="s">
        <v>26</v>
      </c>
      <c r="H9" s="22" t="s">
        <v>78</v>
      </c>
      <c r="I9" s="22" t="s">
        <v>79</v>
      </c>
      <c r="J9" s="22" t="s">
        <v>80</v>
      </c>
      <c r="K9" s="9"/>
      <c r="L9" s="22" t="s">
        <v>16</v>
      </c>
      <c r="M9" s="22" t="s">
        <v>17</v>
      </c>
      <c r="N9" s="22" t="s">
        <v>18</v>
      </c>
      <c r="O9" s="9"/>
      <c r="P9" s="22" t="s">
        <v>78</v>
      </c>
      <c r="Q9" s="22" t="s">
        <v>79</v>
      </c>
      <c r="R9" s="22" t="s">
        <v>80</v>
      </c>
      <c r="S9" s="9"/>
      <c r="T9" s="67" t="str">
        <f>"395,0"</f>
        <v>395,0</v>
      </c>
      <c r="U9" s="9" t="str">
        <f>"281,7140"</f>
        <v>281,7140</v>
      </c>
      <c r="V9" s="8"/>
    </row>
    <row r="10" spans="1:22">
      <c r="A10" s="11" t="s">
        <v>185</v>
      </c>
      <c r="B10" s="10" t="s">
        <v>210</v>
      </c>
      <c r="C10" s="10" t="s">
        <v>211</v>
      </c>
      <c r="D10" s="10" t="s">
        <v>212</v>
      </c>
      <c r="E10" s="10" t="s">
        <v>890</v>
      </c>
      <c r="F10" s="10" t="s">
        <v>213</v>
      </c>
      <c r="G10" s="10" t="s">
        <v>850</v>
      </c>
      <c r="H10" s="24" t="s">
        <v>150</v>
      </c>
      <c r="I10" s="24" t="s">
        <v>93</v>
      </c>
      <c r="J10" s="25" t="s">
        <v>214</v>
      </c>
      <c r="K10" s="11"/>
      <c r="L10" s="24" t="s">
        <v>80</v>
      </c>
      <c r="M10" s="24" t="s">
        <v>89</v>
      </c>
      <c r="N10" s="25" t="s">
        <v>98</v>
      </c>
      <c r="O10" s="11"/>
      <c r="P10" s="24" t="s">
        <v>115</v>
      </c>
      <c r="Q10" s="24" t="s">
        <v>215</v>
      </c>
      <c r="R10" s="24" t="s">
        <v>116</v>
      </c>
      <c r="S10" s="11"/>
      <c r="T10" s="68" t="str">
        <f>"580,0"</f>
        <v>580,0</v>
      </c>
      <c r="U10" s="11" t="str">
        <f>"417,1940"</f>
        <v>417,1940</v>
      </c>
      <c r="V10" s="10" t="s">
        <v>356</v>
      </c>
    </row>
    <row r="11" spans="1:22">
      <c r="B11" s="6" t="s">
        <v>186</v>
      </c>
    </row>
    <row r="12" spans="1:22" ht="16">
      <c r="A12" s="91" t="s">
        <v>122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22">
      <c r="A13" s="9" t="s">
        <v>185</v>
      </c>
      <c r="B13" s="8" t="s">
        <v>216</v>
      </c>
      <c r="C13" s="8" t="s">
        <v>217</v>
      </c>
      <c r="D13" s="8" t="s">
        <v>218</v>
      </c>
      <c r="E13" s="8" t="s">
        <v>890</v>
      </c>
      <c r="F13" s="8" t="s">
        <v>105</v>
      </c>
      <c r="G13" s="8" t="s">
        <v>26</v>
      </c>
      <c r="H13" s="22" t="s">
        <v>151</v>
      </c>
      <c r="I13" s="22" t="s">
        <v>219</v>
      </c>
      <c r="J13" s="22" t="s">
        <v>155</v>
      </c>
      <c r="K13" s="9"/>
      <c r="L13" s="22" t="s">
        <v>91</v>
      </c>
      <c r="M13" s="22" t="s">
        <v>121</v>
      </c>
      <c r="N13" s="22" t="s">
        <v>100</v>
      </c>
      <c r="O13" s="9"/>
      <c r="P13" s="22" t="s">
        <v>116</v>
      </c>
      <c r="Q13" s="22" t="s">
        <v>167</v>
      </c>
      <c r="R13" s="22" t="s">
        <v>191</v>
      </c>
      <c r="S13" s="9"/>
      <c r="T13" s="67" t="str">
        <f>"660,0"</f>
        <v>660,0</v>
      </c>
      <c r="U13" s="59" t="str">
        <f>"442,7940"</f>
        <v>442,7940</v>
      </c>
      <c r="V13" s="8"/>
    </row>
    <row r="14" spans="1:22">
      <c r="A14" s="11" t="s">
        <v>187</v>
      </c>
      <c r="B14" s="10" t="s">
        <v>220</v>
      </c>
      <c r="C14" s="10" t="s">
        <v>221</v>
      </c>
      <c r="D14" s="10" t="s">
        <v>222</v>
      </c>
      <c r="E14" s="10" t="s">
        <v>890</v>
      </c>
      <c r="F14" s="10" t="s">
        <v>348</v>
      </c>
      <c r="G14" s="10" t="s">
        <v>223</v>
      </c>
      <c r="H14" s="24" t="s">
        <v>93</v>
      </c>
      <c r="I14" s="24" t="s">
        <v>115</v>
      </c>
      <c r="J14" s="11"/>
      <c r="K14" s="11"/>
      <c r="L14" s="24" t="s">
        <v>106</v>
      </c>
      <c r="M14" s="24" t="s">
        <v>80</v>
      </c>
      <c r="N14" s="24" t="s">
        <v>91</v>
      </c>
      <c r="O14" s="11"/>
      <c r="P14" s="24" t="s">
        <v>93</v>
      </c>
      <c r="Q14" s="24" t="s">
        <v>116</v>
      </c>
      <c r="R14" s="24" t="s">
        <v>224</v>
      </c>
      <c r="S14" s="11"/>
      <c r="T14" s="68" t="str">
        <f>"615,0"</f>
        <v>615,0</v>
      </c>
      <c r="U14" s="60" t="str">
        <f>"412,9110"</f>
        <v>412,9110</v>
      </c>
      <c r="V14" s="10"/>
    </row>
    <row r="15" spans="1:22">
      <c r="B15" s="6" t="s">
        <v>186</v>
      </c>
    </row>
    <row r="16" spans="1:22" ht="16">
      <c r="A16" s="91" t="s">
        <v>134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22">
      <c r="A17" s="9" t="s">
        <v>185</v>
      </c>
      <c r="B17" s="8" t="s">
        <v>225</v>
      </c>
      <c r="C17" s="8" t="s">
        <v>226</v>
      </c>
      <c r="D17" s="8" t="s">
        <v>227</v>
      </c>
      <c r="E17" s="61" t="s">
        <v>890</v>
      </c>
      <c r="F17" s="8" t="s">
        <v>348</v>
      </c>
      <c r="G17" s="63" t="s">
        <v>26</v>
      </c>
      <c r="H17" s="22" t="s">
        <v>92</v>
      </c>
      <c r="I17" s="22" t="s">
        <v>101</v>
      </c>
      <c r="J17" s="23" t="s">
        <v>93</v>
      </c>
      <c r="K17" s="9"/>
      <c r="L17" s="22" t="s">
        <v>78</v>
      </c>
      <c r="M17" s="22" t="s">
        <v>106</v>
      </c>
      <c r="N17" s="22" t="s">
        <v>79</v>
      </c>
      <c r="O17" s="9"/>
      <c r="P17" s="22" t="s">
        <v>128</v>
      </c>
      <c r="Q17" s="23" t="s">
        <v>155</v>
      </c>
      <c r="R17" s="23" t="s">
        <v>155</v>
      </c>
      <c r="S17" s="9"/>
      <c r="T17" s="67" t="str">
        <f>"560,0"</f>
        <v>560,0</v>
      </c>
      <c r="U17" s="9" t="str">
        <f>"358,1200"</f>
        <v>358,1200</v>
      </c>
      <c r="V17" s="8" t="s">
        <v>347</v>
      </c>
    </row>
    <row r="18" spans="1:22">
      <c r="A18" s="11" t="s">
        <v>228</v>
      </c>
      <c r="B18" s="10" t="s">
        <v>229</v>
      </c>
      <c r="C18" s="10" t="s">
        <v>230</v>
      </c>
      <c r="D18" s="10" t="s">
        <v>231</v>
      </c>
      <c r="E18" s="62" t="s">
        <v>890</v>
      </c>
      <c r="F18" s="10" t="s">
        <v>348</v>
      </c>
      <c r="G18" s="64" t="s">
        <v>26</v>
      </c>
      <c r="H18" s="24" t="s">
        <v>128</v>
      </c>
      <c r="I18" s="24" t="s">
        <v>232</v>
      </c>
      <c r="J18" s="24" t="s">
        <v>117</v>
      </c>
      <c r="K18" s="11"/>
      <c r="L18" s="24" t="s">
        <v>89</v>
      </c>
      <c r="M18" s="25" t="s">
        <v>91</v>
      </c>
      <c r="N18" s="25" t="s">
        <v>110</v>
      </c>
      <c r="O18" s="11"/>
      <c r="P18" s="25" t="s">
        <v>233</v>
      </c>
      <c r="Q18" s="25" t="s">
        <v>233</v>
      </c>
      <c r="R18" s="25" t="s">
        <v>233</v>
      </c>
      <c r="S18" s="11"/>
      <c r="T18" s="68">
        <v>0</v>
      </c>
      <c r="U18" s="11" t="str">
        <f>"0,0000"</f>
        <v>0,0000</v>
      </c>
      <c r="V18" s="10" t="s">
        <v>357</v>
      </c>
    </row>
    <row r="19" spans="1:22">
      <c r="B19" s="6" t="s">
        <v>186</v>
      </c>
    </row>
    <row r="20" spans="1:22" ht="16">
      <c r="A20" s="91" t="s">
        <v>138</v>
      </c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22">
      <c r="A21" s="9" t="s">
        <v>185</v>
      </c>
      <c r="B21" s="8" t="s">
        <v>234</v>
      </c>
      <c r="C21" s="8" t="s">
        <v>235</v>
      </c>
      <c r="D21" s="8" t="s">
        <v>236</v>
      </c>
      <c r="E21" s="8" t="s">
        <v>890</v>
      </c>
      <c r="F21" s="8" t="s">
        <v>237</v>
      </c>
      <c r="G21" s="8" t="s">
        <v>26</v>
      </c>
      <c r="H21" s="22" t="s">
        <v>238</v>
      </c>
      <c r="I21" s="22" t="s">
        <v>239</v>
      </c>
      <c r="J21" s="22" t="s">
        <v>240</v>
      </c>
      <c r="K21" s="9"/>
      <c r="L21" s="22" t="s">
        <v>126</v>
      </c>
      <c r="M21" s="23" t="s">
        <v>92</v>
      </c>
      <c r="N21" s="23" t="s">
        <v>92</v>
      </c>
      <c r="O21" s="9"/>
      <c r="P21" s="22" t="s">
        <v>241</v>
      </c>
      <c r="Q21" s="22" t="s">
        <v>242</v>
      </c>
      <c r="R21" s="22" t="s">
        <v>243</v>
      </c>
      <c r="S21" s="9"/>
      <c r="T21" s="67" t="str">
        <f>"865,0"</f>
        <v>865,0</v>
      </c>
      <c r="U21" s="9" t="str">
        <f>"527,4770"</f>
        <v>527,4770</v>
      </c>
      <c r="V21" s="8" t="s">
        <v>346</v>
      </c>
    </row>
    <row r="22" spans="1:22">
      <c r="A22" s="11" t="s">
        <v>187</v>
      </c>
      <c r="B22" s="10" t="s">
        <v>244</v>
      </c>
      <c r="C22" s="10" t="s">
        <v>245</v>
      </c>
      <c r="D22" s="10" t="s">
        <v>246</v>
      </c>
      <c r="E22" s="10" t="s">
        <v>890</v>
      </c>
      <c r="F22" s="10" t="s">
        <v>348</v>
      </c>
      <c r="G22" s="10" t="s">
        <v>851</v>
      </c>
      <c r="H22" s="24" t="s">
        <v>224</v>
      </c>
      <c r="I22" s="24" t="s">
        <v>247</v>
      </c>
      <c r="J22" s="24" t="s">
        <v>248</v>
      </c>
      <c r="K22" s="11"/>
      <c r="L22" s="24" t="s">
        <v>126</v>
      </c>
      <c r="M22" s="24" t="s">
        <v>92</v>
      </c>
      <c r="N22" s="25" t="s">
        <v>114</v>
      </c>
      <c r="O22" s="11"/>
      <c r="P22" s="24" t="s">
        <v>191</v>
      </c>
      <c r="Q22" s="24" t="s">
        <v>233</v>
      </c>
      <c r="R22" s="24" t="s">
        <v>249</v>
      </c>
      <c r="S22" s="11"/>
      <c r="T22" s="68" t="str">
        <f>"712,5"</f>
        <v>712,5</v>
      </c>
      <c r="U22" s="11" t="str">
        <f>"434,8388"</f>
        <v>434,8388</v>
      </c>
      <c r="V22" s="10"/>
    </row>
    <row r="23" spans="1:22">
      <c r="B23" s="6" t="s">
        <v>186</v>
      </c>
    </row>
    <row r="24" spans="1:22" ht="16">
      <c r="A24" s="91" t="s">
        <v>145</v>
      </c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22">
      <c r="A25" s="9" t="s">
        <v>185</v>
      </c>
      <c r="B25" s="8" t="s">
        <v>250</v>
      </c>
      <c r="C25" s="8" t="s">
        <v>251</v>
      </c>
      <c r="D25" s="8" t="s">
        <v>252</v>
      </c>
      <c r="E25" s="61" t="s">
        <v>890</v>
      </c>
      <c r="F25" s="8" t="s">
        <v>348</v>
      </c>
      <c r="G25" s="63" t="s">
        <v>852</v>
      </c>
      <c r="H25" s="22" t="s">
        <v>201</v>
      </c>
      <c r="I25" s="22" t="s">
        <v>253</v>
      </c>
      <c r="J25" s="22" t="s">
        <v>238</v>
      </c>
      <c r="K25" s="9"/>
      <c r="L25" s="22" t="s">
        <v>150</v>
      </c>
      <c r="M25" s="22" t="s">
        <v>254</v>
      </c>
      <c r="N25" s="22" t="s">
        <v>255</v>
      </c>
      <c r="O25" s="9"/>
      <c r="P25" s="22" t="s">
        <v>239</v>
      </c>
      <c r="Q25" s="23" t="s">
        <v>241</v>
      </c>
      <c r="R25" s="23" t="s">
        <v>241</v>
      </c>
      <c r="S25" s="9"/>
      <c r="T25" s="67" t="str">
        <f>"822,5"</f>
        <v>822,5</v>
      </c>
      <c r="U25" s="9" t="str">
        <f>"484,2057"</f>
        <v>484,2057</v>
      </c>
      <c r="V25" s="8"/>
    </row>
    <row r="26" spans="1:22">
      <c r="A26" s="11" t="s">
        <v>187</v>
      </c>
      <c r="B26" s="10" t="s">
        <v>256</v>
      </c>
      <c r="C26" s="10" t="s">
        <v>257</v>
      </c>
      <c r="D26" s="10" t="s">
        <v>258</v>
      </c>
      <c r="E26" s="62" t="s">
        <v>890</v>
      </c>
      <c r="F26" s="10" t="s">
        <v>209</v>
      </c>
      <c r="G26" s="64" t="s">
        <v>26</v>
      </c>
      <c r="H26" s="24" t="s">
        <v>100</v>
      </c>
      <c r="I26" s="24" t="s">
        <v>93</v>
      </c>
      <c r="J26" s="24" t="s">
        <v>214</v>
      </c>
      <c r="K26" s="11"/>
      <c r="L26" s="24" t="s">
        <v>98</v>
      </c>
      <c r="M26" s="24" t="s">
        <v>110</v>
      </c>
      <c r="N26" s="24" t="s">
        <v>100</v>
      </c>
      <c r="O26" s="11"/>
      <c r="P26" s="24" t="s">
        <v>100</v>
      </c>
      <c r="Q26" s="24" t="s">
        <v>93</v>
      </c>
      <c r="R26" s="24" t="s">
        <v>115</v>
      </c>
      <c r="S26" s="11"/>
      <c r="T26" s="68" t="str">
        <f>"605,0"</f>
        <v>605,0</v>
      </c>
      <c r="U26" s="11" t="str">
        <f>"357,1315"</f>
        <v>357,1315</v>
      </c>
      <c r="V26" s="10"/>
    </row>
    <row r="27" spans="1:22">
      <c r="B27" s="6" t="s">
        <v>186</v>
      </c>
    </row>
    <row r="28" spans="1:22" ht="16">
      <c r="A28" s="91" t="s">
        <v>156</v>
      </c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22">
      <c r="A29" s="9" t="s">
        <v>185</v>
      </c>
      <c r="B29" s="8" t="s">
        <v>259</v>
      </c>
      <c r="C29" s="8" t="s">
        <v>260</v>
      </c>
      <c r="D29" s="8" t="s">
        <v>261</v>
      </c>
      <c r="E29" s="8" t="s">
        <v>890</v>
      </c>
      <c r="F29" s="8" t="s">
        <v>262</v>
      </c>
      <c r="G29" s="8" t="s">
        <v>850</v>
      </c>
      <c r="H29" s="22" t="s">
        <v>239</v>
      </c>
      <c r="I29" s="22" t="s">
        <v>263</v>
      </c>
      <c r="J29" s="22" t="s">
        <v>264</v>
      </c>
      <c r="K29" s="9"/>
      <c r="L29" s="22" t="s">
        <v>93</v>
      </c>
      <c r="M29" s="22" t="s">
        <v>214</v>
      </c>
      <c r="N29" s="22" t="s">
        <v>115</v>
      </c>
      <c r="O29" s="9"/>
      <c r="P29" s="22" t="s">
        <v>265</v>
      </c>
      <c r="Q29" s="22" t="s">
        <v>266</v>
      </c>
      <c r="R29" s="22" t="s">
        <v>263</v>
      </c>
      <c r="S29" s="9"/>
      <c r="T29" s="67" t="str">
        <f>"907,5"</f>
        <v>907,5</v>
      </c>
      <c r="U29" s="9" t="str">
        <f>"517,8195"</f>
        <v>517,8195</v>
      </c>
      <c r="V29" s="8" t="s">
        <v>267</v>
      </c>
    </row>
    <row r="30" spans="1:22">
      <c r="A30" s="11" t="s">
        <v>187</v>
      </c>
      <c r="B30" s="10" t="s">
        <v>268</v>
      </c>
      <c r="C30" s="10" t="s">
        <v>269</v>
      </c>
      <c r="D30" s="10" t="s">
        <v>270</v>
      </c>
      <c r="E30" s="10" t="s">
        <v>890</v>
      </c>
      <c r="F30" s="10" t="s">
        <v>209</v>
      </c>
      <c r="G30" s="10" t="s">
        <v>26</v>
      </c>
      <c r="H30" s="25" t="s">
        <v>150</v>
      </c>
      <c r="I30" s="24" t="s">
        <v>151</v>
      </c>
      <c r="J30" s="24" t="s">
        <v>115</v>
      </c>
      <c r="K30" s="11"/>
      <c r="L30" s="24" t="s">
        <v>106</v>
      </c>
      <c r="M30" s="24" t="s">
        <v>80</v>
      </c>
      <c r="N30" s="25" t="s">
        <v>98</v>
      </c>
      <c r="O30" s="11"/>
      <c r="P30" s="24" t="s">
        <v>93</v>
      </c>
      <c r="Q30" s="24" t="s">
        <v>128</v>
      </c>
      <c r="R30" s="24" t="s">
        <v>167</v>
      </c>
      <c r="S30" s="11"/>
      <c r="T30" s="68" t="str">
        <f>"605,0"</f>
        <v>605,0</v>
      </c>
      <c r="U30" s="11" t="str">
        <f>"349,8110"</f>
        <v>349,8110</v>
      </c>
      <c r="V30" s="10"/>
    </row>
    <row r="31" spans="1:22">
      <c r="B31" s="6" t="s">
        <v>186</v>
      </c>
    </row>
    <row r="32" spans="1:22" ht="16">
      <c r="B32" s="6" t="s">
        <v>186</v>
      </c>
      <c r="F32" s="16"/>
    </row>
    <row r="33" spans="2:7" ht="16">
      <c r="B33" s="6" t="s">
        <v>186</v>
      </c>
      <c r="F33" s="16"/>
    </row>
    <row r="34" spans="2:7" ht="16">
      <c r="B34" s="6" t="s">
        <v>186</v>
      </c>
      <c r="F34" s="16"/>
    </row>
    <row r="35" spans="2:7" ht="16">
      <c r="B35" s="6" t="s">
        <v>186</v>
      </c>
      <c r="F35" s="16"/>
    </row>
    <row r="36" spans="2:7" ht="16">
      <c r="B36" s="6" t="s">
        <v>186</v>
      </c>
      <c r="F36" s="16"/>
    </row>
    <row r="37" spans="2:7" ht="16">
      <c r="B37" s="6" t="s">
        <v>186</v>
      </c>
      <c r="F37" s="16"/>
    </row>
    <row r="38" spans="2:7" ht="16">
      <c r="B38" s="6" t="s">
        <v>186</v>
      </c>
      <c r="F38" s="16"/>
    </row>
    <row r="39" spans="2:7">
      <c r="B39" s="6" t="s">
        <v>186</v>
      </c>
    </row>
    <row r="40" spans="2:7" ht="18">
      <c r="B40" s="6" t="s">
        <v>186</v>
      </c>
      <c r="C40" s="17" t="s">
        <v>160</v>
      </c>
      <c r="D40" s="17"/>
    </row>
    <row r="41" spans="2:7">
      <c r="B41" s="6" t="s">
        <v>186</v>
      </c>
    </row>
    <row r="42" spans="2:7" ht="14">
      <c r="B42" s="6" t="s">
        <v>186</v>
      </c>
      <c r="C42" s="19"/>
      <c r="D42" s="20" t="s">
        <v>169</v>
      </c>
    </row>
    <row r="43" spans="2:7" ht="14">
      <c r="B43" s="6" t="s">
        <v>186</v>
      </c>
      <c r="C43" s="21" t="s">
        <v>161</v>
      </c>
      <c r="D43" s="21" t="s">
        <v>162</v>
      </c>
      <c r="E43" s="21" t="s">
        <v>163</v>
      </c>
      <c r="F43" s="21" t="s">
        <v>164</v>
      </c>
      <c r="G43" s="21" t="s">
        <v>165</v>
      </c>
    </row>
    <row r="44" spans="2:7">
      <c r="B44" s="6" t="s">
        <v>186</v>
      </c>
      <c r="C44" s="6" t="s">
        <v>234</v>
      </c>
      <c r="D44" s="6" t="s">
        <v>169</v>
      </c>
      <c r="E44" s="7" t="s">
        <v>271</v>
      </c>
      <c r="F44" s="7" t="s">
        <v>272</v>
      </c>
      <c r="G44" s="7" t="s">
        <v>273</v>
      </c>
    </row>
    <row r="45" spans="2:7">
      <c r="B45" s="6" t="s">
        <v>186</v>
      </c>
      <c r="C45" s="6" t="s">
        <v>259</v>
      </c>
      <c r="D45" s="6" t="s">
        <v>169</v>
      </c>
      <c r="E45" s="7" t="s">
        <v>274</v>
      </c>
      <c r="F45" s="7" t="s">
        <v>275</v>
      </c>
      <c r="G45" s="7" t="s">
        <v>276</v>
      </c>
    </row>
    <row r="46" spans="2:7">
      <c r="B46" s="6" t="s">
        <v>186</v>
      </c>
      <c r="C46" s="6" t="s">
        <v>250</v>
      </c>
      <c r="D46" s="6" t="s">
        <v>169</v>
      </c>
      <c r="E46" s="7" t="s">
        <v>277</v>
      </c>
      <c r="F46" s="7" t="s">
        <v>278</v>
      </c>
      <c r="G46" s="7" t="s">
        <v>279</v>
      </c>
    </row>
    <row r="47" spans="2:7">
      <c r="B47" s="6" t="s">
        <v>186</v>
      </c>
    </row>
    <row r="48" spans="2:7">
      <c r="B48" s="6" t="s">
        <v>186</v>
      </c>
    </row>
    <row r="49" spans="2:2">
      <c r="B49" s="6" t="s">
        <v>186</v>
      </c>
    </row>
    <row r="50" spans="2:2">
      <c r="B50" s="6" t="s">
        <v>186</v>
      </c>
    </row>
    <row r="51" spans="2:2">
      <c r="B51" s="6" t="s">
        <v>186</v>
      </c>
    </row>
    <row r="52" spans="2:2">
      <c r="B52" s="6" t="s">
        <v>186</v>
      </c>
    </row>
    <row r="53" spans="2:2">
      <c r="B53" s="6" t="s">
        <v>186</v>
      </c>
    </row>
    <row r="54" spans="2:2">
      <c r="B54" s="6" t="s">
        <v>186</v>
      </c>
    </row>
    <row r="55" spans="2:2">
      <c r="B55" s="6" t="s">
        <v>186</v>
      </c>
    </row>
    <row r="56" spans="2:2">
      <c r="B56" s="6" t="s">
        <v>186</v>
      </c>
    </row>
    <row r="57" spans="2:2">
      <c r="B57" s="6" t="s">
        <v>186</v>
      </c>
    </row>
  </sheetData>
  <mergeCells count="21">
    <mergeCell ref="A12:S12"/>
    <mergeCell ref="A16:S16"/>
    <mergeCell ref="A20:S20"/>
    <mergeCell ref="A24:S24"/>
    <mergeCell ref="A28:S28"/>
    <mergeCell ref="A8:S8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S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33"/>
  <sheetViews>
    <sheetView workbookViewId="0">
      <selection sqref="A1:R2"/>
    </sheetView>
  </sheetViews>
  <sheetFormatPr baseColWidth="10" defaultColWidth="9.1640625" defaultRowHeight="13"/>
  <cols>
    <col min="1" max="1" width="7.5" style="6" bestFit="1" customWidth="1"/>
    <col min="2" max="2" width="20.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5" style="6" customWidth="1"/>
    <col min="8" max="15" width="5.5" style="7" customWidth="1"/>
    <col min="16" max="16" width="7.83203125" style="7" bestFit="1" customWidth="1"/>
    <col min="17" max="17" width="8.5" style="7" bestFit="1" customWidth="1"/>
    <col min="18" max="18" width="23.5" style="6" customWidth="1"/>
    <col min="19" max="16384" width="9.1640625" style="3"/>
  </cols>
  <sheetData>
    <row r="1" spans="1:18" s="2" customFormat="1" ht="30.75" customHeight="1">
      <c r="A1" s="78" t="s">
        <v>878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18" s="2" customFormat="1" ht="55.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18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791</v>
      </c>
      <c r="M3" s="76"/>
      <c r="N3" s="76"/>
      <c r="O3" s="76"/>
      <c r="P3" s="76" t="s">
        <v>1</v>
      </c>
      <c r="Q3" s="76" t="s">
        <v>3</v>
      </c>
      <c r="R3" s="89" t="s">
        <v>2</v>
      </c>
    </row>
    <row r="4" spans="1:18" s="1" customFormat="1" ht="15" thickBot="1">
      <c r="A4" s="87"/>
      <c r="B4" s="94"/>
      <c r="C4" s="77"/>
      <c r="D4" s="77"/>
      <c r="E4" s="77"/>
      <c r="F4" s="77"/>
      <c r="G4" s="77"/>
      <c r="H4" s="52">
        <v>1</v>
      </c>
      <c r="I4" s="52">
        <v>2</v>
      </c>
      <c r="J4" s="52">
        <v>3</v>
      </c>
      <c r="K4" s="52" t="s">
        <v>4</v>
      </c>
      <c r="L4" s="52">
        <v>1</v>
      </c>
      <c r="M4" s="52">
        <v>2</v>
      </c>
      <c r="N4" s="52">
        <v>3</v>
      </c>
      <c r="O4" s="52" t="s">
        <v>4</v>
      </c>
      <c r="P4" s="77"/>
      <c r="Q4" s="77"/>
      <c r="R4" s="90"/>
    </row>
    <row r="5" spans="1:18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8">
      <c r="A6" s="13" t="s">
        <v>185</v>
      </c>
      <c r="B6" s="12" t="s">
        <v>824</v>
      </c>
      <c r="C6" s="12" t="s">
        <v>825</v>
      </c>
      <c r="D6" s="12" t="s">
        <v>68</v>
      </c>
      <c r="E6" s="12" t="s">
        <v>890</v>
      </c>
      <c r="F6" s="12" t="s">
        <v>36</v>
      </c>
      <c r="G6" s="12" t="s">
        <v>26</v>
      </c>
      <c r="H6" s="26" t="s">
        <v>20</v>
      </c>
      <c r="I6" s="26" t="s">
        <v>28</v>
      </c>
      <c r="J6" s="26" t="s">
        <v>77</v>
      </c>
      <c r="K6" s="13"/>
      <c r="L6" s="26" t="s">
        <v>20</v>
      </c>
      <c r="M6" s="27" t="s">
        <v>28</v>
      </c>
      <c r="N6" s="27" t="s">
        <v>28</v>
      </c>
      <c r="O6" s="13"/>
      <c r="P6" s="13" t="str">
        <f>"112,5"</f>
        <v>112,5</v>
      </c>
      <c r="Q6" s="13" t="str">
        <f>"84,1950"</f>
        <v>84,1950</v>
      </c>
      <c r="R6" s="12" t="s">
        <v>347</v>
      </c>
    </row>
    <row r="7" spans="1:18">
      <c r="B7" s="6" t="s">
        <v>186</v>
      </c>
    </row>
    <row r="8" spans="1:18" ht="16">
      <c r="A8" s="91" t="s">
        <v>71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8">
      <c r="A9" s="9" t="s">
        <v>185</v>
      </c>
      <c r="B9" s="8" t="s">
        <v>826</v>
      </c>
      <c r="C9" s="8" t="s">
        <v>640</v>
      </c>
      <c r="D9" s="8" t="s">
        <v>827</v>
      </c>
      <c r="E9" s="8" t="s">
        <v>890</v>
      </c>
      <c r="F9" s="8" t="s">
        <v>262</v>
      </c>
      <c r="G9" s="8" t="s">
        <v>26</v>
      </c>
      <c r="H9" s="22" t="s">
        <v>27</v>
      </c>
      <c r="I9" s="23" t="s">
        <v>632</v>
      </c>
      <c r="J9" s="23" t="s">
        <v>632</v>
      </c>
      <c r="K9" s="9"/>
      <c r="L9" s="22" t="s">
        <v>40</v>
      </c>
      <c r="M9" s="23" t="s">
        <v>41</v>
      </c>
      <c r="N9" s="23" t="s">
        <v>41</v>
      </c>
      <c r="O9" s="9"/>
      <c r="P9" s="9" t="str">
        <f>"145,0"</f>
        <v>145,0</v>
      </c>
      <c r="Q9" s="9" t="str">
        <f>"100,1841"</f>
        <v>100,1841</v>
      </c>
      <c r="R9" s="8" t="s">
        <v>834</v>
      </c>
    </row>
    <row r="10" spans="1:18">
      <c r="A10" s="11" t="s">
        <v>187</v>
      </c>
      <c r="B10" s="10" t="s">
        <v>511</v>
      </c>
      <c r="C10" s="10" t="s">
        <v>512</v>
      </c>
      <c r="D10" s="10" t="s">
        <v>513</v>
      </c>
      <c r="E10" s="10" t="s">
        <v>890</v>
      </c>
      <c r="F10" s="10" t="s">
        <v>433</v>
      </c>
      <c r="G10" s="10" t="s">
        <v>434</v>
      </c>
      <c r="H10" s="24" t="s">
        <v>76</v>
      </c>
      <c r="I10" s="25" t="s">
        <v>40</v>
      </c>
      <c r="J10" s="24" t="s">
        <v>40</v>
      </c>
      <c r="K10" s="11"/>
      <c r="L10" s="24" t="s">
        <v>20</v>
      </c>
      <c r="M10" s="24" t="s">
        <v>76</v>
      </c>
      <c r="N10" s="25" t="s">
        <v>40</v>
      </c>
      <c r="O10" s="11"/>
      <c r="P10" s="11" t="str">
        <f>"125,0"</f>
        <v>125,0</v>
      </c>
      <c r="Q10" s="11" t="str">
        <f>"91,9625"</f>
        <v>91,9625</v>
      </c>
      <c r="R10" s="10" t="s">
        <v>610</v>
      </c>
    </row>
    <row r="11" spans="1:18">
      <c r="B11" s="6" t="s">
        <v>186</v>
      </c>
    </row>
    <row r="12" spans="1:18" ht="16">
      <c r="A12" s="91" t="s">
        <v>134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8">
      <c r="A13" s="9" t="s">
        <v>185</v>
      </c>
      <c r="B13" s="8" t="s">
        <v>828</v>
      </c>
      <c r="C13" s="8" t="s">
        <v>829</v>
      </c>
      <c r="D13" s="8" t="s">
        <v>830</v>
      </c>
      <c r="E13" s="8" t="s">
        <v>890</v>
      </c>
      <c r="F13" s="8" t="s">
        <v>387</v>
      </c>
      <c r="G13" s="8" t="s">
        <v>26</v>
      </c>
      <c r="H13" s="23" t="s">
        <v>17</v>
      </c>
      <c r="I13" s="22" t="s">
        <v>17</v>
      </c>
      <c r="J13" s="22" t="s">
        <v>18</v>
      </c>
      <c r="K13" s="9"/>
      <c r="L13" s="22" t="s">
        <v>20</v>
      </c>
      <c r="M13" s="22" t="s">
        <v>28</v>
      </c>
      <c r="N13" s="23" t="s">
        <v>40</v>
      </c>
      <c r="O13" s="9"/>
      <c r="P13" s="9" t="str">
        <f>"150,0"</f>
        <v>150,0</v>
      </c>
      <c r="Q13" s="9" t="str">
        <f>"92,1225"</f>
        <v>92,1225</v>
      </c>
      <c r="R13" s="8" t="s">
        <v>417</v>
      </c>
    </row>
    <row r="14" spans="1:18">
      <c r="A14" s="15" t="s">
        <v>187</v>
      </c>
      <c r="B14" s="14" t="s">
        <v>831</v>
      </c>
      <c r="C14" s="14" t="s">
        <v>832</v>
      </c>
      <c r="D14" s="14" t="s">
        <v>811</v>
      </c>
      <c r="E14" s="14" t="s">
        <v>890</v>
      </c>
      <c r="F14" s="14" t="s">
        <v>348</v>
      </c>
      <c r="G14" s="14" t="s">
        <v>26</v>
      </c>
      <c r="H14" s="28" t="s">
        <v>27</v>
      </c>
      <c r="I14" s="29" t="s">
        <v>632</v>
      </c>
      <c r="J14" s="29" t="s">
        <v>632</v>
      </c>
      <c r="K14" s="15"/>
      <c r="L14" s="28" t="s">
        <v>21</v>
      </c>
      <c r="M14" s="28" t="s">
        <v>28</v>
      </c>
      <c r="N14" s="29" t="s">
        <v>29</v>
      </c>
      <c r="O14" s="15"/>
      <c r="P14" s="15" t="str">
        <f>"135,0"</f>
        <v>135,0</v>
      </c>
      <c r="Q14" s="15" t="str">
        <f>"82,8833"</f>
        <v>82,8833</v>
      </c>
      <c r="R14" s="14"/>
    </row>
    <row r="15" spans="1:18">
      <c r="A15" s="11" t="s">
        <v>313</v>
      </c>
      <c r="B15" s="10" t="s">
        <v>809</v>
      </c>
      <c r="C15" s="10" t="s">
        <v>810</v>
      </c>
      <c r="D15" s="10" t="s">
        <v>811</v>
      </c>
      <c r="E15" s="10" t="s">
        <v>890</v>
      </c>
      <c r="F15" s="10" t="s">
        <v>387</v>
      </c>
      <c r="G15" s="10" t="s">
        <v>26</v>
      </c>
      <c r="H15" s="24" t="s">
        <v>206</v>
      </c>
      <c r="I15" s="24" t="s">
        <v>833</v>
      </c>
      <c r="J15" s="25" t="s">
        <v>27</v>
      </c>
      <c r="K15" s="11"/>
      <c r="L15" s="24" t="s">
        <v>28</v>
      </c>
      <c r="M15" s="25" t="s">
        <v>76</v>
      </c>
      <c r="N15" s="25" t="s">
        <v>76</v>
      </c>
      <c r="O15" s="11"/>
      <c r="P15" s="11" t="str">
        <f>"133,0"</f>
        <v>133,0</v>
      </c>
      <c r="Q15" s="11" t="str">
        <f>"81,6554"</f>
        <v>81,6554</v>
      </c>
      <c r="R15" s="10" t="s">
        <v>417</v>
      </c>
    </row>
    <row r="16" spans="1:18">
      <c r="B16" s="6" t="s">
        <v>186</v>
      </c>
    </row>
    <row r="17" spans="2:18">
      <c r="B17" s="6" t="s">
        <v>186</v>
      </c>
      <c r="C17" s="7"/>
      <c r="D17" s="7"/>
      <c r="E17" s="7"/>
      <c r="F17" s="7"/>
      <c r="G17" s="7"/>
      <c r="K17" s="6"/>
      <c r="L17" s="3"/>
      <c r="M17" s="3"/>
      <c r="N17" s="3"/>
      <c r="O17" s="3"/>
      <c r="P17" s="3"/>
      <c r="Q17" s="3"/>
      <c r="R17" s="3"/>
    </row>
    <row r="18" spans="2:18">
      <c r="B18" s="6" t="s">
        <v>186</v>
      </c>
      <c r="C18" s="7"/>
      <c r="D18" s="7"/>
      <c r="E18" s="7"/>
      <c r="F18" s="7"/>
      <c r="G18" s="7"/>
      <c r="K18" s="6"/>
      <c r="L18" s="3"/>
      <c r="M18" s="3"/>
      <c r="N18" s="3"/>
      <c r="O18" s="3"/>
      <c r="P18" s="3"/>
      <c r="Q18" s="3"/>
      <c r="R18" s="3"/>
    </row>
    <row r="19" spans="2:18">
      <c r="B19" s="6" t="s">
        <v>186</v>
      </c>
      <c r="C19" s="7"/>
      <c r="D19" s="7"/>
      <c r="E19" s="7"/>
      <c r="F19" s="7"/>
      <c r="G19" s="7"/>
      <c r="K19" s="6"/>
      <c r="L19" s="3"/>
      <c r="M19" s="3"/>
      <c r="N19" s="3"/>
      <c r="O19" s="3"/>
      <c r="P19" s="3"/>
      <c r="Q19" s="3"/>
      <c r="R19" s="3"/>
    </row>
    <row r="20" spans="2:18">
      <c r="B20" s="6" t="s">
        <v>186</v>
      </c>
      <c r="C20" s="7"/>
      <c r="D20" s="7"/>
      <c r="E20" s="7"/>
      <c r="F20" s="7"/>
      <c r="G20" s="7"/>
      <c r="K20" s="6"/>
      <c r="L20" s="3"/>
      <c r="M20" s="3"/>
      <c r="N20" s="3"/>
      <c r="O20" s="3"/>
      <c r="P20" s="3"/>
      <c r="Q20" s="3"/>
      <c r="R20" s="3"/>
    </row>
    <row r="21" spans="2:18">
      <c r="B21" s="6" t="s">
        <v>186</v>
      </c>
      <c r="C21" s="7"/>
      <c r="D21" s="7"/>
      <c r="E21" s="7"/>
      <c r="F21" s="7"/>
      <c r="G21" s="7"/>
      <c r="K21" s="6"/>
      <c r="L21" s="3"/>
      <c r="M21" s="3"/>
      <c r="N21" s="3"/>
      <c r="O21" s="3"/>
      <c r="P21" s="3"/>
      <c r="Q21" s="3"/>
      <c r="R21" s="3"/>
    </row>
    <row r="22" spans="2:18">
      <c r="B22" s="6" t="s">
        <v>186</v>
      </c>
      <c r="C22" s="7"/>
      <c r="D22" s="7"/>
      <c r="E22" s="7"/>
      <c r="F22" s="7"/>
      <c r="G22" s="7"/>
      <c r="K22" s="6"/>
      <c r="L22" s="3"/>
      <c r="M22" s="3"/>
      <c r="N22" s="3"/>
      <c r="O22" s="3"/>
      <c r="P22" s="3"/>
      <c r="Q22" s="3"/>
      <c r="R22" s="3"/>
    </row>
    <row r="23" spans="2:18">
      <c r="B23" s="6" t="s">
        <v>186</v>
      </c>
      <c r="C23" s="7"/>
      <c r="D23" s="7"/>
      <c r="E23" s="7"/>
      <c r="F23" s="7"/>
      <c r="G23" s="7"/>
      <c r="K23" s="6"/>
      <c r="L23" s="3"/>
      <c r="M23" s="3"/>
      <c r="N23" s="3"/>
      <c r="O23" s="3"/>
      <c r="P23" s="3"/>
      <c r="Q23" s="3"/>
      <c r="R23" s="3"/>
    </row>
    <row r="24" spans="2:18">
      <c r="B24" s="6" t="s">
        <v>186</v>
      </c>
      <c r="C24" s="7"/>
      <c r="D24" s="7"/>
      <c r="E24" s="7"/>
      <c r="F24" s="7"/>
      <c r="G24" s="7"/>
      <c r="K24" s="6"/>
      <c r="L24" s="3"/>
      <c r="M24" s="3"/>
      <c r="N24" s="3"/>
      <c r="O24" s="3"/>
      <c r="P24" s="3"/>
      <c r="Q24" s="3"/>
      <c r="R24" s="3"/>
    </row>
    <row r="25" spans="2:18">
      <c r="B25" s="6" t="s">
        <v>186</v>
      </c>
      <c r="C25" s="7"/>
      <c r="D25" s="7"/>
      <c r="E25" s="7"/>
      <c r="F25" s="7"/>
      <c r="G25" s="7"/>
      <c r="K25" s="6"/>
      <c r="L25" s="3"/>
      <c r="M25" s="3"/>
      <c r="N25" s="3"/>
      <c r="O25" s="3"/>
      <c r="P25" s="3"/>
      <c r="Q25" s="3"/>
      <c r="R25" s="3"/>
    </row>
    <row r="26" spans="2:18">
      <c r="B26" s="6" t="s">
        <v>186</v>
      </c>
      <c r="C26" s="7"/>
      <c r="D26" s="7"/>
      <c r="E26" s="7"/>
      <c r="F26" s="7"/>
      <c r="G26" s="7"/>
      <c r="K26" s="6"/>
      <c r="L26" s="3"/>
      <c r="M26" s="3"/>
      <c r="N26" s="3"/>
      <c r="O26" s="3"/>
      <c r="P26" s="3"/>
      <c r="Q26" s="3"/>
      <c r="R26" s="3"/>
    </row>
    <row r="27" spans="2:18">
      <c r="B27" s="6" t="s">
        <v>186</v>
      </c>
      <c r="C27" s="7"/>
      <c r="D27" s="7"/>
      <c r="E27" s="7"/>
      <c r="F27" s="7"/>
      <c r="G27" s="7"/>
      <c r="K27" s="6"/>
      <c r="L27" s="3"/>
      <c r="M27" s="3"/>
      <c r="N27" s="3"/>
      <c r="O27" s="3"/>
      <c r="P27" s="3"/>
      <c r="Q27" s="3"/>
      <c r="R27" s="3"/>
    </row>
    <row r="28" spans="2:18">
      <c r="B28" s="6" t="s">
        <v>186</v>
      </c>
      <c r="C28" s="7"/>
      <c r="D28" s="7"/>
      <c r="E28" s="7"/>
      <c r="F28" s="7"/>
      <c r="G28" s="7"/>
      <c r="K28" s="6"/>
      <c r="L28" s="3"/>
      <c r="M28" s="3"/>
      <c r="N28" s="3"/>
      <c r="O28" s="3"/>
      <c r="P28" s="3"/>
      <c r="Q28" s="3"/>
      <c r="R28" s="3"/>
    </row>
    <row r="29" spans="2:18">
      <c r="B29" s="6" t="s">
        <v>186</v>
      </c>
      <c r="C29" s="7"/>
      <c r="D29" s="7"/>
      <c r="E29" s="7"/>
      <c r="F29" s="7"/>
      <c r="G29" s="7"/>
      <c r="K29" s="6"/>
      <c r="L29" s="3"/>
      <c r="M29" s="3"/>
      <c r="N29" s="3"/>
      <c r="O29" s="3"/>
      <c r="P29" s="3"/>
      <c r="Q29" s="3"/>
      <c r="R29" s="3"/>
    </row>
    <row r="30" spans="2:18">
      <c r="B30" s="6" t="s">
        <v>186</v>
      </c>
      <c r="C30" s="7"/>
      <c r="D30" s="7"/>
      <c r="E30" s="7"/>
      <c r="F30" s="7"/>
      <c r="G30" s="7"/>
      <c r="K30" s="6"/>
      <c r="L30" s="3"/>
      <c r="M30" s="3"/>
      <c r="N30" s="3"/>
      <c r="O30" s="3"/>
      <c r="P30" s="3"/>
      <c r="Q30" s="3"/>
      <c r="R30" s="3"/>
    </row>
    <row r="31" spans="2:18">
      <c r="B31" s="6" t="s">
        <v>186</v>
      </c>
      <c r="C31" s="7"/>
      <c r="D31" s="7"/>
      <c r="E31" s="7"/>
      <c r="F31" s="7"/>
      <c r="G31" s="7"/>
      <c r="K31" s="6"/>
      <c r="L31" s="3"/>
      <c r="M31" s="3"/>
      <c r="N31" s="3"/>
      <c r="O31" s="3"/>
      <c r="P31" s="3"/>
      <c r="Q31" s="3"/>
      <c r="R31" s="3"/>
    </row>
    <row r="32" spans="2:18">
      <c r="B32" s="6" t="s">
        <v>186</v>
      </c>
      <c r="C32" s="7"/>
      <c r="D32" s="7"/>
      <c r="E32" s="7"/>
      <c r="F32" s="7"/>
      <c r="G32" s="7"/>
      <c r="K32" s="6"/>
      <c r="L32" s="3"/>
      <c r="M32" s="3"/>
      <c r="N32" s="3"/>
      <c r="O32" s="3"/>
      <c r="P32" s="3"/>
      <c r="Q32" s="3"/>
      <c r="R32" s="3"/>
    </row>
    <row r="33" spans="3:18">
      <c r="C33" s="7"/>
      <c r="D33" s="7"/>
      <c r="E33" s="7"/>
      <c r="F33" s="7"/>
      <c r="G33" s="7"/>
      <c r="K33" s="6"/>
      <c r="L33" s="3"/>
      <c r="M33" s="3"/>
      <c r="N33" s="3"/>
      <c r="O33" s="3"/>
      <c r="P33" s="3"/>
      <c r="Q33" s="3"/>
      <c r="R33" s="3"/>
    </row>
  </sheetData>
  <mergeCells count="16">
    <mergeCell ref="A12:O12"/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  <mergeCell ref="A5:O5"/>
    <mergeCell ref="A8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06"/>
  <sheetViews>
    <sheetView workbookViewId="0">
      <selection activeCell="E16" sqref="E16"/>
    </sheetView>
  </sheetViews>
  <sheetFormatPr baseColWidth="10" defaultColWidth="9.1640625" defaultRowHeight="13"/>
  <cols>
    <col min="1" max="1" width="9.1640625" style="2"/>
    <col min="2" max="2" width="25.83203125" style="6" bestFit="1" customWidth="1"/>
    <col min="3" max="3" width="27.83203125" style="6" customWidth="1"/>
    <col min="4" max="4" width="16.5" style="6" customWidth="1"/>
    <col min="5" max="5" width="11.33203125" style="6" customWidth="1"/>
    <col min="6" max="6" width="23.6640625" style="6" bestFit="1" customWidth="1"/>
    <col min="7" max="7" width="31.33203125" style="6" bestFit="1" customWidth="1"/>
    <col min="8" max="10" width="5.5" style="7" customWidth="1"/>
    <col min="11" max="11" width="5.5" style="6" customWidth="1"/>
    <col min="12" max="12" width="10.5" style="7" bestFit="1" customWidth="1"/>
    <col min="13" max="13" width="8.5" style="7" bestFit="1" customWidth="1"/>
    <col min="14" max="14" width="23" style="6" bestFit="1" customWidth="1"/>
    <col min="15" max="16384" width="9.1640625" style="3"/>
  </cols>
  <sheetData>
    <row r="1" spans="1:14" s="2" customFormat="1" ht="48" customHeight="1">
      <c r="A1" s="78" t="s">
        <v>879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s="2" customFormat="1" ht="39.75" customHeight="1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s="1" customFormat="1" ht="14">
      <c r="A3" s="86"/>
      <c r="B3" s="76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819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77"/>
      <c r="C4" s="77"/>
      <c r="D4" s="77"/>
      <c r="E4" s="77"/>
      <c r="F4" s="77"/>
      <c r="G4" s="77"/>
      <c r="H4" s="58">
        <v>1</v>
      </c>
      <c r="I4" s="58">
        <v>2</v>
      </c>
      <c r="J4" s="58">
        <v>3</v>
      </c>
      <c r="K4" s="58" t="s">
        <v>4</v>
      </c>
      <c r="L4" s="77"/>
      <c r="M4" s="77"/>
      <c r="N4" s="90"/>
    </row>
    <row r="5" spans="1:14" ht="16">
      <c r="B5" s="91" t="s">
        <v>57</v>
      </c>
      <c r="C5" s="104"/>
      <c r="D5" s="104"/>
      <c r="E5" s="104"/>
      <c r="F5" s="104"/>
      <c r="G5" s="104"/>
      <c r="H5" s="104"/>
      <c r="I5" s="104"/>
      <c r="J5" s="104"/>
      <c r="K5" s="104"/>
    </row>
    <row r="6" spans="1:14">
      <c r="A6" s="75" t="s">
        <v>185</v>
      </c>
      <c r="B6" s="12" t="s">
        <v>58</v>
      </c>
      <c r="C6" s="12" t="s">
        <v>880</v>
      </c>
      <c r="D6" s="12" t="s">
        <v>835</v>
      </c>
      <c r="E6" s="12" t="s">
        <v>896</v>
      </c>
      <c r="F6" s="12" t="s">
        <v>61</v>
      </c>
      <c r="G6" s="12" t="s">
        <v>26</v>
      </c>
      <c r="H6" s="26" t="s">
        <v>836</v>
      </c>
      <c r="I6" s="26" t="s">
        <v>447</v>
      </c>
      <c r="J6" s="27" t="s">
        <v>837</v>
      </c>
      <c r="K6" s="12"/>
      <c r="L6" s="13" t="str">
        <f>"30,0"</f>
        <v>30,0</v>
      </c>
      <c r="M6" s="13" t="str">
        <f>"27,6495"</f>
        <v>27,6495</v>
      </c>
      <c r="N6" s="12" t="s">
        <v>622</v>
      </c>
    </row>
    <row r="8" spans="1:14" ht="16">
      <c r="B8" s="91" t="s">
        <v>57</v>
      </c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75" t="s">
        <v>185</v>
      </c>
      <c r="B9" s="12" t="s">
        <v>824</v>
      </c>
      <c r="C9" s="12" t="s">
        <v>825</v>
      </c>
      <c r="D9" s="12" t="s">
        <v>68</v>
      </c>
      <c r="E9" s="12" t="s">
        <v>890</v>
      </c>
      <c r="F9" s="12" t="s">
        <v>36</v>
      </c>
      <c r="G9" s="12" t="s">
        <v>26</v>
      </c>
      <c r="H9" s="26" t="s">
        <v>20</v>
      </c>
      <c r="I9" s="26" t="s">
        <v>28</v>
      </c>
      <c r="J9" s="26" t="s">
        <v>77</v>
      </c>
      <c r="K9" s="12"/>
      <c r="L9" s="13" t="str">
        <f>"62,5"</f>
        <v>62,5</v>
      </c>
      <c r="M9" s="13" t="str">
        <f>"46,7750"</f>
        <v>46,7750</v>
      </c>
      <c r="N9" s="12" t="s">
        <v>347</v>
      </c>
    </row>
    <row r="11" spans="1:14" ht="16">
      <c r="B11" s="91" t="s">
        <v>71</v>
      </c>
      <c r="C11" s="92"/>
      <c r="D11" s="92"/>
      <c r="E11" s="92"/>
      <c r="F11" s="92"/>
      <c r="G11" s="92"/>
      <c r="H11" s="92"/>
      <c r="I11" s="92"/>
      <c r="J11" s="92"/>
      <c r="K11" s="92"/>
    </row>
    <row r="12" spans="1:14">
      <c r="A12" s="75" t="s">
        <v>185</v>
      </c>
      <c r="B12" s="12" t="s">
        <v>511</v>
      </c>
      <c r="C12" s="12" t="s">
        <v>512</v>
      </c>
      <c r="D12" s="12" t="s">
        <v>513</v>
      </c>
      <c r="E12" s="12" t="s">
        <v>890</v>
      </c>
      <c r="F12" s="12" t="s">
        <v>433</v>
      </c>
      <c r="G12" s="12" t="s">
        <v>434</v>
      </c>
      <c r="H12" s="26" t="s">
        <v>76</v>
      </c>
      <c r="I12" s="27" t="s">
        <v>40</v>
      </c>
      <c r="J12" s="26" t="s">
        <v>40</v>
      </c>
      <c r="K12" s="12"/>
      <c r="L12" s="13" t="str">
        <f>"65,0"</f>
        <v>65,0</v>
      </c>
      <c r="M12" s="13" t="str">
        <f>"47,8205"</f>
        <v>47,8205</v>
      </c>
      <c r="N12" s="12" t="s">
        <v>610</v>
      </c>
    </row>
    <row r="14" spans="1:14" ht="16">
      <c r="B14" s="91" t="s">
        <v>145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4">
      <c r="A15" s="75" t="s">
        <v>185</v>
      </c>
      <c r="B15" s="12" t="s">
        <v>788</v>
      </c>
      <c r="C15" s="12" t="s">
        <v>789</v>
      </c>
      <c r="D15" s="12" t="s">
        <v>790</v>
      </c>
      <c r="E15" s="12" t="s">
        <v>890</v>
      </c>
      <c r="F15" s="12" t="s">
        <v>61</v>
      </c>
      <c r="G15" s="12" t="s">
        <v>26</v>
      </c>
      <c r="H15" s="26" t="s">
        <v>27</v>
      </c>
      <c r="I15" s="27" t="s">
        <v>84</v>
      </c>
      <c r="J15" s="27" t="s">
        <v>84</v>
      </c>
      <c r="K15" s="12"/>
      <c r="L15" s="13" t="str">
        <f>"80,0"</f>
        <v>80,0</v>
      </c>
      <c r="M15" s="13" t="str">
        <f>"45,3560"</f>
        <v>45,3560</v>
      </c>
      <c r="N15" s="12" t="s">
        <v>354</v>
      </c>
    </row>
    <row r="17" spans="12:14">
      <c r="L17" s="3"/>
      <c r="M17" s="3"/>
      <c r="N17" s="3"/>
    </row>
    <row r="18" spans="12:14">
      <c r="L18" s="3"/>
      <c r="M18" s="3"/>
      <c r="N18" s="3"/>
    </row>
    <row r="19" spans="12:14">
      <c r="L19" s="3"/>
      <c r="M19" s="3"/>
      <c r="N19" s="3"/>
    </row>
    <row r="20" spans="12:14">
      <c r="L20" s="3"/>
      <c r="M20" s="3"/>
      <c r="N20" s="3"/>
    </row>
    <row r="21" spans="12:14">
      <c r="L21" s="3"/>
      <c r="M21" s="3"/>
      <c r="N21" s="3"/>
    </row>
    <row r="22" spans="12:14">
      <c r="L22" s="3"/>
      <c r="M22" s="3"/>
      <c r="N22" s="3"/>
    </row>
    <row r="23" spans="12:14">
      <c r="L23" s="3"/>
      <c r="M23" s="3"/>
      <c r="N23" s="3"/>
    </row>
    <row r="24" spans="12:14">
      <c r="L24" s="3"/>
      <c r="M24" s="3"/>
      <c r="N24" s="3"/>
    </row>
    <row r="25" spans="12:14">
      <c r="L25" s="3"/>
      <c r="M25" s="3"/>
      <c r="N25" s="3"/>
    </row>
    <row r="26" spans="12:14">
      <c r="L26" s="3"/>
      <c r="M26" s="3"/>
      <c r="N26" s="3"/>
    </row>
    <row r="27" spans="12:14">
      <c r="L27" s="3"/>
      <c r="M27" s="3"/>
      <c r="N27" s="3"/>
    </row>
    <row r="28" spans="12:14">
      <c r="L28" s="3"/>
      <c r="M28" s="3"/>
      <c r="N28" s="3"/>
    </row>
    <row r="29" spans="12:14">
      <c r="L29" s="3"/>
      <c r="M29" s="3"/>
      <c r="N29" s="3"/>
    </row>
    <row r="30" spans="12:14">
      <c r="L30" s="3"/>
      <c r="M30" s="3"/>
      <c r="N30" s="3"/>
    </row>
    <row r="31" spans="12:14">
      <c r="L31" s="3"/>
      <c r="M31" s="3"/>
      <c r="N31" s="3"/>
    </row>
    <row r="32" spans="12:14">
      <c r="L32" s="3"/>
      <c r="M32" s="3"/>
      <c r="N32" s="3"/>
    </row>
    <row r="33" spans="12:14">
      <c r="L33" s="3"/>
      <c r="M33" s="3"/>
      <c r="N33" s="3"/>
    </row>
    <row r="34" spans="12:14">
      <c r="L34" s="3"/>
      <c r="M34" s="3"/>
      <c r="N34" s="3"/>
    </row>
    <row r="35" spans="12:14">
      <c r="L35" s="3"/>
      <c r="M35" s="3"/>
      <c r="N35" s="3"/>
    </row>
    <row r="36" spans="12:14">
      <c r="L36" s="3"/>
      <c r="M36" s="3"/>
      <c r="N36" s="3"/>
    </row>
    <row r="37" spans="12:14">
      <c r="L37" s="3"/>
      <c r="M37" s="3"/>
      <c r="N37" s="3"/>
    </row>
    <row r="38" spans="12:14">
      <c r="L38" s="3"/>
      <c r="M38" s="3"/>
      <c r="N38" s="3"/>
    </row>
    <row r="39" spans="12:14">
      <c r="L39" s="3"/>
      <c r="M39" s="3"/>
      <c r="N39" s="3"/>
    </row>
    <row r="40" spans="12:14">
      <c r="L40" s="3"/>
      <c r="M40" s="3"/>
      <c r="N40" s="3"/>
    </row>
    <row r="41" spans="12:14">
      <c r="L41" s="3"/>
      <c r="M41" s="3"/>
      <c r="N41" s="3"/>
    </row>
    <row r="42" spans="12:14">
      <c r="L42" s="3"/>
      <c r="M42" s="3"/>
      <c r="N42" s="3"/>
    </row>
    <row r="43" spans="12:14">
      <c r="L43" s="3"/>
      <c r="M43" s="3"/>
      <c r="N43" s="3"/>
    </row>
    <row r="44" spans="12:14">
      <c r="L44" s="3"/>
      <c r="M44" s="3"/>
      <c r="N44" s="3"/>
    </row>
    <row r="45" spans="12:14">
      <c r="L45" s="3"/>
      <c r="M45" s="3"/>
      <c r="N45" s="3"/>
    </row>
    <row r="46" spans="12:14">
      <c r="L46" s="3"/>
      <c r="M46" s="3"/>
      <c r="N46" s="3"/>
    </row>
    <row r="47" spans="12:14">
      <c r="L47" s="3"/>
      <c r="M47" s="3"/>
      <c r="N47" s="3"/>
    </row>
    <row r="48" spans="12:14">
      <c r="L48" s="3"/>
      <c r="M48" s="3"/>
      <c r="N48" s="3"/>
    </row>
    <row r="49" spans="12:14">
      <c r="L49" s="3"/>
      <c r="M49" s="3"/>
      <c r="N49" s="3"/>
    </row>
    <row r="50" spans="12:14">
      <c r="L50" s="3"/>
      <c r="M50" s="3"/>
      <c r="N50" s="3"/>
    </row>
    <row r="51" spans="12:14">
      <c r="L51" s="3"/>
      <c r="M51" s="3"/>
      <c r="N51" s="3"/>
    </row>
    <row r="52" spans="12:14">
      <c r="L52" s="3"/>
      <c r="M52" s="3"/>
      <c r="N52" s="3"/>
    </row>
    <row r="53" spans="12:14">
      <c r="L53" s="3"/>
      <c r="M53" s="3"/>
      <c r="N53" s="3"/>
    </row>
    <row r="54" spans="12:14">
      <c r="L54" s="3"/>
      <c r="M54" s="3"/>
      <c r="N54" s="3"/>
    </row>
    <row r="55" spans="12:14">
      <c r="L55" s="3"/>
      <c r="M55" s="3"/>
      <c r="N55" s="3"/>
    </row>
    <row r="56" spans="12:14">
      <c r="L56" s="3"/>
      <c r="M56" s="3"/>
      <c r="N56" s="3"/>
    </row>
    <row r="57" spans="12:14">
      <c r="L57" s="3"/>
      <c r="M57" s="3"/>
      <c r="N57" s="3"/>
    </row>
    <row r="58" spans="12:14">
      <c r="L58" s="3"/>
      <c r="M58" s="3"/>
      <c r="N58" s="3"/>
    </row>
    <row r="59" spans="12:14">
      <c r="L59" s="3"/>
      <c r="M59" s="3"/>
      <c r="N59" s="3"/>
    </row>
    <row r="60" spans="12:14">
      <c r="L60" s="3"/>
      <c r="M60" s="3"/>
      <c r="N60" s="3"/>
    </row>
    <row r="61" spans="12:14">
      <c r="L61" s="3"/>
      <c r="M61" s="3"/>
      <c r="N61" s="3"/>
    </row>
    <row r="62" spans="12:14">
      <c r="L62" s="3"/>
      <c r="M62" s="3"/>
      <c r="N62" s="3"/>
    </row>
    <row r="63" spans="12:14">
      <c r="L63" s="3"/>
      <c r="M63" s="3"/>
      <c r="N63" s="3"/>
    </row>
    <row r="64" spans="12:14">
      <c r="L64" s="3"/>
      <c r="M64" s="3"/>
      <c r="N64" s="3"/>
    </row>
    <row r="65" spans="12:14">
      <c r="L65" s="3"/>
      <c r="M65" s="3"/>
      <c r="N65" s="3"/>
    </row>
    <row r="66" spans="12:14">
      <c r="L66" s="3"/>
      <c r="M66" s="3"/>
      <c r="N66" s="3"/>
    </row>
    <row r="67" spans="12:14">
      <c r="L67" s="3"/>
      <c r="M67" s="3"/>
      <c r="N67" s="3"/>
    </row>
    <row r="68" spans="12:14">
      <c r="L68" s="3"/>
      <c r="M68" s="3"/>
      <c r="N68" s="3"/>
    </row>
    <row r="69" spans="12:14">
      <c r="L69" s="3"/>
      <c r="M69" s="3"/>
      <c r="N69" s="3"/>
    </row>
    <row r="70" spans="12:14">
      <c r="L70" s="3"/>
      <c r="M70" s="3"/>
      <c r="N70" s="3"/>
    </row>
    <row r="71" spans="12:14">
      <c r="L71" s="3"/>
      <c r="M71" s="3"/>
      <c r="N71" s="3"/>
    </row>
    <row r="72" spans="12:14">
      <c r="L72" s="3"/>
      <c r="M72" s="3"/>
      <c r="N72" s="3"/>
    </row>
    <row r="73" spans="12:14">
      <c r="L73" s="3"/>
      <c r="M73" s="3"/>
      <c r="N73" s="3"/>
    </row>
    <row r="74" spans="12:14">
      <c r="L74" s="3"/>
      <c r="M74" s="3"/>
      <c r="N74" s="3"/>
    </row>
    <row r="75" spans="12:14">
      <c r="L75" s="3"/>
      <c r="M75" s="3"/>
      <c r="N75" s="3"/>
    </row>
    <row r="76" spans="12:14">
      <c r="L76" s="3"/>
      <c r="M76" s="3"/>
      <c r="N76" s="3"/>
    </row>
    <row r="77" spans="12:14">
      <c r="L77" s="3"/>
      <c r="M77" s="3"/>
      <c r="N77" s="3"/>
    </row>
    <row r="78" spans="12:14">
      <c r="L78" s="3"/>
      <c r="M78" s="3"/>
      <c r="N78" s="3"/>
    </row>
    <row r="79" spans="12:14">
      <c r="L79" s="3"/>
      <c r="M79" s="3"/>
      <c r="N79" s="3"/>
    </row>
    <row r="80" spans="12:14">
      <c r="L80" s="3"/>
      <c r="M80" s="3"/>
      <c r="N80" s="3"/>
    </row>
    <row r="81" spans="12:14">
      <c r="L81" s="3"/>
      <c r="M81" s="3"/>
      <c r="N81" s="3"/>
    </row>
    <row r="82" spans="12:14">
      <c r="L82" s="3"/>
      <c r="M82" s="3"/>
      <c r="N82" s="3"/>
    </row>
    <row r="83" spans="12:14">
      <c r="L83" s="3"/>
      <c r="M83" s="3"/>
      <c r="N83" s="3"/>
    </row>
    <row r="84" spans="12:14">
      <c r="L84" s="3"/>
      <c r="M84" s="3"/>
      <c r="N84" s="3"/>
    </row>
    <row r="85" spans="12:14">
      <c r="L85" s="3"/>
      <c r="M85" s="3"/>
      <c r="N85" s="3"/>
    </row>
    <row r="86" spans="12:14">
      <c r="L86" s="3"/>
      <c r="M86" s="3"/>
      <c r="N86" s="3"/>
    </row>
    <row r="87" spans="12:14">
      <c r="L87" s="3"/>
      <c r="M87" s="3"/>
      <c r="N87" s="3"/>
    </row>
    <row r="88" spans="12:14">
      <c r="L88" s="3"/>
      <c r="M88" s="3"/>
      <c r="N88" s="3"/>
    </row>
    <row r="89" spans="12:14">
      <c r="L89" s="3"/>
      <c r="M89" s="3"/>
      <c r="N89" s="3"/>
    </row>
    <row r="90" spans="12:14">
      <c r="L90" s="3"/>
      <c r="M90" s="3"/>
      <c r="N90" s="3"/>
    </row>
    <row r="91" spans="12:14">
      <c r="L91" s="3"/>
      <c r="M91" s="3"/>
      <c r="N91" s="3"/>
    </row>
    <row r="92" spans="12:14">
      <c r="L92" s="3"/>
      <c r="M92" s="3"/>
      <c r="N92" s="3"/>
    </row>
    <row r="93" spans="12:14">
      <c r="L93" s="3"/>
      <c r="M93" s="3"/>
      <c r="N93" s="3"/>
    </row>
    <row r="94" spans="12:14">
      <c r="L94" s="3"/>
      <c r="M94" s="3"/>
      <c r="N94" s="3"/>
    </row>
    <row r="95" spans="12:14">
      <c r="L95" s="3"/>
      <c r="M95" s="3"/>
      <c r="N95" s="3"/>
    </row>
    <row r="96" spans="12:14">
      <c r="L96" s="3"/>
      <c r="M96" s="3"/>
      <c r="N96" s="3"/>
    </row>
    <row r="97" spans="12:14">
      <c r="L97" s="3"/>
      <c r="M97" s="3"/>
      <c r="N97" s="3"/>
    </row>
    <row r="98" spans="12:14">
      <c r="L98" s="3"/>
      <c r="M98" s="3"/>
      <c r="N98" s="3"/>
    </row>
    <row r="99" spans="12:14">
      <c r="L99" s="3"/>
      <c r="M99" s="3"/>
      <c r="N99" s="3"/>
    </row>
    <row r="100" spans="12:14">
      <c r="L100" s="3"/>
      <c r="M100" s="3"/>
      <c r="N100" s="3"/>
    </row>
    <row r="101" spans="12:14">
      <c r="L101" s="3"/>
      <c r="M101" s="3"/>
      <c r="N101" s="3"/>
    </row>
    <row r="102" spans="12:14">
      <c r="L102" s="3"/>
      <c r="M102" s="3"/>
      <c r="N102" s="3"/>
    </row>
    <row r="103" spans="12:14">
      <c r="L103" s="3"/>
      <c r="M103" s="3"/>
      <c r="N103" s="3"/>
    </row>
    <row r="104" spans="12:14">
      <c r="L104" s="3"/>
      <c r="M104" s="3"/>
      <c r="N104" s="3"/>
    </row>
    <row r="105" spans="12:14">
      <c r="L105" s="3"/>
      <c r="M105" s="3"/>
      <c r="N105" s="3"/>
    </row>
    <row r="106" spans="12:14">
      <c r="L106" s="3"/>
      <c r="M106" s="3"/>
      <c r="N106" s="3"/>
    </row>
  </sheetData>
  <mergeCells count="16">
    <mergeCell ref="B8:K8"/>
    <mergeCell ref="B11:K11"/>
    <mergeCell ref="B14:K14"/>
    <mergeCell ref="B5:K5"/>
    <mergeCell ref="B3:B4"/>
    <mergeCell ref="C3:C4"/>
    <mergeCell ref="D3:D4"/>
    <mergeCell ref="E3:E4"/>
    <mergeCell ref="F3:F4"/>
    <mergeCell ref="G3:G4"/>
    <mergeCell ref="H3:K3"/>
    <mergeCell ref="A1:N2"/>
    <mergeCell ref="A3:A4"/>
    <mergeCell ref="L3:L4"/>
    <mergeCell ref="M3:M4"/>
    <mergeCell ref="N3:N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0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9.83203125" style="6" bestFit="1" customWidth="1"/>
    <col min="3" max="3" width="29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7.5" style="7" bestFit="1" customWidth="1"/>
    <col min="14" max="14" width="17.83203125" style="6" customWidth="1"/>
    <col min="15" max="16384" width="9.1640625" style="3"/>
  </cols>
  <sheetData>
    <row r="1" spans="1:14" s="2" customFormat="1" ht="48" customHeight="1">
      <c r="A1" s="78" t="s">
        <v>881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51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819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94"/>
      <c r="C4" s="77"/>
      <c r="D4" s="77"/>
      <c r="E4" s="77"/>
      <c r="F4" s="77"/>
      <c r="G4" s="77"/>
      <c r="H4" s="55">
        <v>1</v>
      </c>
      <c r="I4" s="55">
        <v>2</v>
      </c>
      <c r="J4" s="55">
        <v>3</v>
      </c>
      <c r="K4" s="55" t="s">
        <v>4</v>
      </c>
      <c r="L4" s="77"/>
      <c r="M4" s="77"/>
      <c r="N4" s="90"/>
    </row>
    <row r="5" spans="1:14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627</v>
      </c>
      <c r="C6" s="12" t="s">
        <v>868</v>
      </c>
      <c r="D6" s="12" t="s">
        <v>68</v>
      </c>
      <c r="E6" s="12" t="s">
        <v>893</v>
      </c>
      <c r="F6" s="12" t="s">
        <v>36</v>
      </c>
      <c r="G6" s="12" t="s">
        <v>26</v>
      </c>
      <c r="H6" s="26" t="s">
        <v>20</v>
      </c>
      <c r="I6" s="26" t="s">
        <v>28</v>
      </c>
      <c r="J6" s="26" t="s">
        <v>29</v>
      </c>
      <c r="K6" s="13"/>
      <c r="L6" s="13" t="str">
        <f>"57,5"</f>
        <v>57,5</v>
      </c>
      <c r="M6" s="13" t="str">
        <f>"51,7471"</f>
        <v>51,7471</v>
      </c>
      <c r="N6" s="12" t="s">
        <v>684</v>
      </c>
    </row>
    <row r="7" spans="1:14">
      <c r="B7" s="6" t="s">
        <v>186</v>
      </c>
    </row>
    <row r="8" spans="1:14" ht="16">
      <c r="A8" s="91" t="s">
        <v>134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419</v>
      </c>
      <c r="C9" s="12" t="s">
        <v>420</v>
      </c>
      <c r="D9" s="12" t="s">
        <v>421</v>
      </c>
      <c r="E9" s="12" t="s">
        <v>890</v>
      </c>
      <c r="F9" s="12" t="s">
        <v>61</v>
      </c>
      <c r="G9" s="12" t="s">
        <v>26</v>
      </c>
      <c r="H9" s="26" t="s">
        <v>75</v>
      </c>
      <c r="I9" s="26" t="s">
        <v>30</v>
      </c>
      <c r="J9" s="27" t="s">
        <v>39</v>
      </c>
      <c r="K9" s="13"/>
      <c r="L9" s="13" t="str">
        <f>"115,0"</f>
        <v>115,0</v>
      </c>
      <c r="M9" s="13" t="str">
        <f>"70,8458"</f>
        <v>70,8458</v>
      </c>
      <c r="N9" s="12" t="s">
        <v>612</v>
      </c>
    </row>
    <row r="10" spans="1:14">
      <c r="B10" s="6" t="s">
        <v>186</v>
      </c>
    </row>
    <row r="11" spans="1:14">
      <c r="B11" s="7"/>
      <c r="C11" s="7"/>
      <c r="D11" s="7"/>
      <c r="E11" s="7"/>
      <c r="F11" s="7"/>
      <c r="G11" s="7"/>
      <c r="H11" s="6"/>
      <c r="I11" s="3"/>
      <c r="J11" s="3"/>
      <c r="K11" s="3"/>
      <c r="L11" s="3"/>
      <c r="M11" s="3"/>
      <c r="N11" s="3"/>
    </row>
    <row r="12" spans="1:14">
      <c r="B12" s="7"/>
      <c r="C12" s="7"/>
      <c r="D12" s="7"/>
      <c r="E12" s="7"/>
      <c r="F12" s="7"/>
      <c r="G12" s="7"/>
      <c r="H12" s="6"/>
      <c r="I12" s="3"/>
      <c r="J12" s="3"/>
      <c r="K12" s="3"/>
      <c r="L12" s="3"/>
      <c r="M12" s="3"/>
      <c r="N12" s="3"/>
    </row>
    <row r="13" spans="1:14">
      <c r="B13" s="7"/>
      <c r="C13" s="7"/>
      <c r="D13" s="7"/>
      <c r="E13" s="7"/>
      <c r="F13" s="7"/>
      <c r="G13" s="7"/>
      <c r="H13" s="6"/>
      <c r="I13" s="3"/>
      <c r="J13" s="3"/>
      <c r="K13" s="3"/>
      <c r="L13" s="3"/>
      <c r="M13" s="3"/>
      <c r="N13" s="3"/>
    </row>
    <row r="14" spans="1:14">
      <c r="B14" s="7"/>
      <c r="C14" s="7"/>
      <c r="D14" s="7"/>
      <c r="E14" s="7"/>
      <c r="F14" s="7"/>
      <c r="G14" s="7"/>
      <c r="H14" s="6"/>
      <c r="I14" s="3"/>
      <c r="J14" s="3"/>
      <c r="K14" s="3"/>
      <c r="L14" s="3"/>
      <c r="M14" s="3"/>
      <c r="N14" s="3"/>
    </row>
    <row r="15" spans="1:14">
      <c r="B15" s="7"/>
      <c r="C15" s="7"/>
      <c r="D15" s="7"/>
      <c r="E15" s="7"/>
      <c r="F15" s="7"/>
      <c r="G15" s="7"/>
      <c r="H15" s="6"/>
      <c r="I15" s="3"/>
      <c r="J15" s="3"/>
      <c r="K15" s="3"/>
      <c r="L15" s="3"/>
      <c r="M15" s="3"/>
      <c r="N15" s="3"/>
    </row>
    <row r="16" spans="1:14">
      <c r="B16" s="7"/>
      <c r="C16" s="7"/>
      <c r="D16" s="7"/>
      <c r="E16" s="7"/>
      <c r="F16" s="7"/>
      <c r="G16" s="7"/>
      <c r="H16" s="6"/>
      <c r="I16" s="3"/>
      <c r="J16" s="3"/>
      <c r="K16" s="3"/>
      <c r="L16" s="3"/>
      <c r="M16" s="3"/>
      <c r="N16" s="3"/>
    </row>
    <row r="17" spans="2:14">
      <c r="B17" s="7"/>
      <c r="C17" s="7"/>
      <c r="D17" s="7"/>
      <c r="E17" s="7"/>
      <c r="F17" s="7"/>
      <c r="G17" s="7"/>
      <c r="H17" s="6"/>
      <c r="I17" s="3"/>
      <c r="J17" s="3"/>
      <c r="K17" s="3"/>
      <c r="L17" s="3"/>
      <c r="M17" s="3"/>
      <c r="N17" s="3"/>
    </row>
    <row r="18" spans="2:14">
      <c r="B18" s="7"/>
      <c r="C18" s="7"/>
      <c r="D18" s="7"/>
      <c r="E18" s="7"/>
      <c r="F18" s="7"/>
      <c r="G18" s="7"/>
      <c r="H18" s="6"/>
      <c r="I18" s="3"/>
      <c r="J18" s="3"/>
      <c r="K18" s="3"/>
      <c r="L18" s="3"/>
      <c r="M18" s="3"/>
      <c r="N18" s="3"/>
    </row>
    <row r="19" spans="2:14">
      <c r="B19" s="7"/>
      <c r="C19" s="7"/>
      <c r="D19" s="7"/>
      <c r="E19" s="7"/>
      <c r="F19" s="7"/>
      <c r="G19" s="7"/>
      <c r="H19" s="6"/>
      <c r="I19" s="3"/>
      <c r="J19" s="3"/>
      <c r="K19" s="3"/>
      <c r="L19" s="3"/>
      <c r="M19" s="3"/>
      <c r="N19" s="3"/>
    </row>
    <row r="20" spans="2:14">
      <c r="B20" s="7"/>
      <c r="C20" s="7"/>
      <c r="D20" s="7"/>
      <c r="E20" s="7"/>
      <c r="F20" s="7"/>
      <c r="G20" s="7"/>
      <c r="H20" s="6"/>
      <c r="I20" s="3"/>
      <c r="J20" s="3"/>
      <c r="K20" s="3"/>
      <c r="L20" s="3"/>
      <c r="M20" s="3"/>
      <c r="N20" s="3"/>
    </row>
    <row r="21" spans="2:14">
      <c r="B21" s="7"/>
      <c r="C21" s="7"/>
      <c r="D21" s="7"/>
      <c r="E21" s="7"/>
      <c r="F21" s="7"/>
      <c r="G21" s="7"/>
      <c r="H21" s="6"/>
      <c r="I21" s="3"/>
      <c r="J21" s="3"/>
      <c r="K21" s="3"/>
      <c r="L21" s="3"/>
      <c r="M21" s="3"/>
      <c r="N21" s="3"/>
    </row>
    <row r="22" spans="2:14">
      <c r="B22" s="7"/>
      <c r="C22" s="7"/>
      <c r="D22" s="7"/>
      <c r="E22" s="7"/>
      <c r="F22" s="7"/>
      <c r="G22" s="7"/>
      <c r="H22" s="6"/>
      <c r="I22" s="3"/>
      <c r="J22" s="3"/>
      <c r="K22" s="3"/>
      <c r="L22" s="3"/>
      <c r="M22" s="3"/>
      <c r="N22" s="3"/>
    </row>
    <row r="23" spans="2:14">
      <c r="B23" s="7"/>
      <c r="C23" s="7"/>
      <c r="D23" s="7"/>
      <c r="E23" s="7"/>
      <c r="F23" s="7"/>
      <c r="G23" s="7"/>
      <c r="H23" s="6"/>
      <c r="I23" s="3"/>
      <c r="J23" s="3"/>
      <c r="K23" s="3"/>
      <c r="L23" s="3"/>
      <c r="M23" s="3"/>
      <c r="N23" s="3"/>
    </row>
    <row r="24" spans="2:14">
      <c r="B24" s="7"/>
      <c r="C24" s="7"/>
      <c r="D24" s="7"/>
      <c r="E24" s="7"/>
      <c r="F24" s="7"/>
      <c r="G24" s="7"/>
      <c r="H24" s="6"/>
      <c r="I24" s="3"/>
      <c r="J24" s="3"/>
      <c r="K24" s="3"/>
      <c r="L24" s="3"/>
      <c r="M24" s="3"/>
      <c r="N24" s="3"/>
    </row>
    <row r="25" spans="2:14">
      <c r="B25" s="7"/>
      <c r="C25" s="7"/>
      <c r="D25" s="7"/>
      <c r="E25" s="7"/>
      <c r="F25" s="7"/>
      <c r="G25" s="7"/>
      <c r="H25" s="6"/>
      <c r="I25" s="3"/>
      <c r="J25" s="3"/>
      <c r="K25" s="3"/>
      <c r="L25" s="3"/>
      <c r="M25" s="3"/>
      <c r="N25" s="3"/>
    </row>
    <row r="26" spans="2:14">
      <c r="B26" s="7"/>
      <c r="C26" s="7"/>
      <c r="D26" s="7"/>
      <c r="E26" s="7"/>
      <c r="F26" s="7"/>
      <c r="G26" s="7"/>
      <c r="H26" s="6"/>
      <c r="I26" s="3"/>
      <c r="J26" s="3"/>
      <c r="K26" s="3"/>
      <c r="L26" s="3"/>
      <c r="M26" s="3"/>
      <c r="N26" s="3"/>
    </row>
    <row r="27" spans="2:14">
      <c r="B27" s="7"/>
      <c r="C27" s="7"/>
      <c r="D27" s="7"/>
      <c r="E27" s="7"/>
      <c r="F27" s="7"/>
      <c r="G27" s="7"/>
      <c r="H27" s="6"/>
      <c r="I27" s="3"/>
      <c r="J27" s="3"/>
      <c r="K27" s="3"/>
      <c r="L27" s="3"/>
      <c r="M27" s="3"/>
      <c r="N27" s="3"/>
    </row>
    <row r="28" spans="2:14">
      <c r="B28" s="7"/>
      <c r="C28" s="7"/>
      <c r="D28" s="7"/>
      <c r="E28" s="7"/>
      <c r="F28" s="7"/>
      <c r="G28" s="7"/>
      <c r="H28" s="6"/>
      <c r="I28" s="3"/>
      <c r="J28" s="3"/>
      <c r="K28" s="3"/>
      <c r="L28" s="3"/>
      <c r="M28" s="3"/>
      <c r="N28" s="3"/>
    </row>
    <row r="29" spans="2:14">
      <c r="B29" s="7"/>
      <c r="C29" s="7"/>
      <c r="D29" s="7"/>
      <c r="E29" s="7"/>
      <c r="F29" s="7"/>
      <c r="G29" s="7"/>
      <c r="H29" s="6"/>
      <c r="I29" s="3"/>
      <c r="J29" s="3"/>
      <c r="K29" s="3"/>
      <c r="L29" s="3"/>
      <c r="M29" s="3"/>
      <c r="N29" s="3"/>
    </row>
    <row r="30" spans="2:14">
      <c r="B30" s="7"/>
      <c r="C30" s="7"/>
      <c r="D30" s="7"/>
      <c r="E30" s="7"/>
      <c r="F30" s="7"/>
      <c r="G30" s="7"/>
      <c r="H30" s="6"/>
      <c r="I30" s="3"/>
      <c r="J30" s="3"/>
      <c r="K30" s="3"/>
      <c r="L30" s="3"/>
      <c r="M30" s="3"/>
      <c r="N30" s="3"/>
    </row>
  </sheetData>
  <mergeCells count="14">
    <mergeCell ref="M3:M4"/>
    <mergeCell ref="N3:N4"/>
    <mergeCell ref="A5:K5"/>
    <mergeCell ref="A8:K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1"/>
  <sheetViews>
    <sheetView workbookViewId="0">
      <selection activeCell="E11" sqref="E11"/>
    </sheetView>
  </sheetViews>
  <sheetFormatPr baseColWidth="10" defaultColWidth="9.1640625" defaultRowHeight="13"/>
  <cols>
    <col min="1" max="1" width="7.5" style="6" bestFit="1" customWidth="1"/>
    <col min="2" max="2" width="20.5" style="6" customWidth="1"/>
    <col min="3" max="3" width="27.664062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1.6640625" style="6" bestFit="1" customWidth="1"/>
    <col min="8" max="10" width="4.5" style="7" customWidth="1"/>
    <col min="11" max="11" width="4.83203125" style="7" customWidth="1"/>
    <col min="12" max="12" width="10.5" style="7" bestFit="1" customWidth="1"/>
    <col min="13" max="13" width="7.5" style="7" bestFit="1" customWidth="1"/>
    <col min="14" max="14" width="17.33203125" style="6" bestFit="1" customWidth="1"/>
    <col min="15" max="16384" width="9.1640625" style="3"/>
  </cols>
  <sheetData>
    <row r="1" spans="1:14" s="2" customFormat="1" ht="38.25" customHeight="1">
      <c r="A1" s="78" t="s">
        <v>882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58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94"/>
      <c r="C4" s="77"/>
      <c r="D4" s="77"/>
      <c r="E4" s="77"/>
      <c r="F4" s="77"/>
      <c r="G4" s="77"/>
      <c r="H4" s="54">
        <v>1</v>
      </c>
      <c r="I4" s="54">
        <v>2</v>
      </c>
      <c r="J4" s="54">
        <v>3</v>
      </c>
      <c r="K4" s="54" t="s">
        <v>4</v>
      </c>
      <c r="L4" s="77"/>
      <c r="M4" s="77"/>
      <c r="N4" s="90"/>
    </row>
    <row r="5" spans="1:14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9" t="s">
        <v>185</v>
      </c>
      <c r="B6" s="8" t="s">
        <v>496</v>
      </c>
      <c r="C6" s="8" t="s">
        <v>883</v>
      </c>
      <c r="D6" s="8" t="s">
        <v>498</v>
      </c>
      <c r="E6" s="8" t="s">
        <v>896</v>
      </c>
      <c r="F6" s="8" t="s">
        <v>213</v>
      </c>
      <c r="G6" s="8" t="s">
        <v>850</v>
      </c>
      <c r="H6" s="22" t="s">
        <v>47</v>
      </c>
      <c r="I6" s="22" t="s">
        <v>64</v>
      </c>
      <c r="J6" s="22" t="s">
        <v>19</v>
      </c>
      <c r="K6" s="9"/>
      <c r="L6" s="9" t="str">
        <f>"45,0"</f>
        <v>45,0</v>
      </c>
      <c r="M6" s="9" t="str">
        <f>"34,7512"</f>
        <v>34,7512</v>
      </c>
      <c r="N6" s="8" t="s">
        <v>356</v>
      </c>
    </row>
    <row r="7" spans="1:14">
      <c r="A7" s="11" t="s">
        <v>185</v>
      </c>
      <c r="B7" s="10" t="s">
        <v>824</v>
      </c>
      <c r="C7" s="10" t="s">
        <v>825</v>
      </c>
      <c r="D7" s="10" t="s">
        <v>68</v>
      </c>
      <c r="E7" s="10" t="s">
        <v>890</v>
      </c>
      <c r="F7" s="10" t="s">
        <v>36</v>
      </c>
      <c r="G7" s="10" t="s">
        <v>26</v>
      </c>
      <c r="H7" s="24" t="s">
        <v>20</v>
      </c>
      <c r="I7" s="25" t="s">
        <v>28</v>
      </c>
      <c r="J7" s="25" t="s">
        <v>28</v>
      </c>
      <c r="K7" s="11"/>
      <c r="L7" s="11" t="str">
        <f>"50,0"</f>
        <v>50,0</v>
      </c>
      <c r="M7" s="11" t="str">
        <f>"37,4200"</f>
        <v>37,4200</v>
      </c>
      <c r="N7" s="10" t="s">
        <v>347</v>
      </c>
    </row>
    <row r="8" spans="1:14">
      <c r="B8" s="6" t="s">
        <v>186</v>
      </c>
    </row>
    <row r="9" spans="1:14" ht="16">
      <c r="A9" s="91" t="s">
        <v>71</v>
      </c>
      <c r="B9" s="91"/>
      <c r="C9" s="92"/>
      <c r="D9" s="92"/>
      <c r="E9" s="92"/>
      <c r="F9" s="92"/>
      <c r="G9" s="92"/>
      <c r="H9" s="92"/>
      <c r="I9" s="92"/>
      <c r="J9" s="92"/>
      <c r="K9" s="92"/>
    </row>
    <row r="10" spans="1:14">
      <c r="A10" s="13" t="s">
        <v>185</v>
      </c>
      <c r="B10" s="12" t="s">
        <v>511</v>
      </c>
      <c r="C10" s="12" t="s">
        <v>512</v>
      </c>
      <c r="D10" s="12" t="s">
        <v>513</v>
      </c>
      <c r="E10" s="12" t="s">
        <v>890</v>
      </c>
      <c r="F10" s="12" t="s">
        <v>433</v>
      </c>
      <c r="G10" s="12" t="s">
        <v>434</v>
      </c>
      <c r="H10" s="26" t="s">
        <v>20</v>
      </c>
      <c r="I10" s="26" t="s">
        <v>76</v>
      </c>
      <c r="J10" s="27" t="s">
        <v>40</v>
      </c>
      <c r="K10" s="13"/>
      <c r="L10" s="13" t="str">
        <f>"60,0"</f>
        <v>60,0</v>
      </c>
      <c r="M10" s="13" t="str">
        <f>"44,1420"</f>
        <v>44,1420</v>
      </c>
      <c r="N10" s="12" t="s">
        <v>610</v>
      </c>
    </row>
    <row r="11" spans="1:14">
      <c r="B11" s="6" t="s">
        <v>186</v>
      </c>
    </row>
    <row r="12" spans="1:14">
      <c r="B12" s="7"/>
      <c r="C12" s="7"/>
      <c r="D12" s="7"/>
      <c r="E12" s="7"/>
      <c r="F12" s="7"/>
      <c r="G12" s="7"/>
      <c r="H12" s="6"/>
      <c r="I12" s="3"/>
      <c r="J12" s="3"/>
      <c r="K12" s="3"/>
      <c r="L12" s="3"/>
      <c r="M12" s="3"/>
      <c r="N12" s="3"/>
    </row>
    <row r="13" spans="1:14">
      <c r="B13" s="7"/>
      <c r="C13" s="7"/>
      <c r="D13" s="7"/>
      <c r="E13" s="7"/>
      <c r="F13" s="7"/>
      <c r="G13" s="7"/>
      <c r="H13" s="6"/>
      <c r="I13" s="3"/>
      <c r="J13" s="3"/>
      <c r="K13" s="3"/>
      <c r="L13" s="3"/>
      <c r="M13" s="3"/>
      <c r="N13" s="3"/>
    </row>
    <row r="14" spans="1:14">
      <c r="B14" s="7"/>
      <c r="C14" s="7"/>
      <c r="D14" s="7"/>
      <c r="E14" s="7"/>
      <c r="F14" s="7"/>
      <c r="G14" s="7"/>
      <c r="H14" s="6"/>
      <c r="I14" s="3"/>
      <c r="J14" s="3"/>
      <c r="K14" s="3"/>
      <c r="L14" s="3"/>
      <c r="M14" s="3"/>
      <c r="N14" s="3"/>
    </row>
    <row r="15" spans="1:14">
      <c r="B15" s="7"/>
      <c r="C15" s="7"/>
      <c r="D15" s="7"/>
      <c r="E15" s="7"/>
      <c r="F15" s="7"/>
      <c r="G15" s="7"/>
      <c r="H15" s="6"/>
      <c r="I15" s="3"/>
      <c r="J15" s="3"/>
      <c r="K15" s="3"/>
      <c r="L15" s="3"/>
      <c r="M15" s="3"/>
      <c r="N15" s="3"/>
    </row>
    <row r="16" spans="1:14">
      <c r="B16" s="7"/>
      <c r="C16" s="7"/>
      <c r="D16" s="7"/>
      <c r="E16" s="7"/>
      <c r="F16" s="7"/>
      <c r="G16" s="7"/>
      <c r="H16" s="6"/>
      <c r="I16" s="3"/>
      <c r="J16" s="3"/>
      <c r="K16" s="3"/>
      <c r="L16" s="3"/>
      <c r="M16" s="3"/>
      <c r="N16" s="3"/>
    </row>
    <row r="17" spans="2:14">
      <c r="B17" s="7"/>
      <c r="C17" s="7"/>
      <c r="D17" s="7"/>
      <c r="E17" s="7"/>
      <c r="F17" s="7"/>
      <c r="G17" s="7"/>
      <c r="H17" s="6"/>
      <c r="I17" s="3"/>
      <c r="J17" s="3"/>
      <c r="K17" s="3"/>
      <c r="L17" s="3"/>
      <c r="M17" s="3"/>
      <c r="N17" s="3"/>
    </row>
    <row r="18" spans="2:14">
      <c r="B18" s="7"/>
      <c r="C18" s="7"/>
      <c r="D18" s="7"/>
      <c r="E18" s="7"/>
      <c r="F18" s="7"/>
      <c r="G18" s="7"/>
      <c r="H18" s="6"/>
      <c r="I18" s="3"/>
      <c r="J18" s="3"/>
      <c r="K18" s="3"/>
      <c r="L18" s="3"/>
      <c r="M18" s="3"/>
      <c r="N18" s="3"/>
    </row>
    <row r="19" spans="2:14">
      <c r="B19" s="7"/>
      <c r="C19" s="7"/>
      <c r="D19" s="7"/>
      <c r="E19" s="7"/>
      <c r="F19" s="7"/>
      <c r="G19" s="7"/>
      <c r="H19" s="6"/>
      <c r="I19" s="3"/>
      <c r="J19" s="3"/>
      <c r="K19" s="3"/>
      <c r="L19" s="3"/>
      <c r="M19" s="3"/>
      <c r="N19" s="3"/>
    </row>
    <row r="20" spans="2:14">
      <c r="B20" s="7"/>
      <c r="C20" s="7"/>
      <c r="D20" s="7"/>
      <c r="E20" s="7"/>
      <c r="F20" s="7"/>
      <c r="G20" s="7"/>
      <c r="H20" s="6"/>
      <c r="I20" s="3"/>
      <c r="J20" s="3"/>
      <c r="K20" s="3"/>
      <c r="L20" s="3"/>
      <c r="M20" s="3"/>
      <c r="N20" s="3"/>
    </row>
    <row r="21" spans="2:14">
      <c r="B21" s="7"/>
      <c r="C21" s="7"/>
      <c r="D21" s="7"/>
      <c r="E21" s="7"/>
      <c r="F21" s="7"/>
      <c r="G21" s="7"/>
      <c r="H21" s="6"/>
      <c r="I21" s="3"/>
      <c r="J21" s="3"/>
      <c r="K21" s="3"/>
      <c r="L21" s="3"/>
      <c r="M21" s="3"/>
      <c r="N21" s="3"/>
    </row>
    <row r="22" spans="2:14">
      <c r="B22" s="7"/>
      <c r="C22" s="7"/>
      <c r="D22" s="7"/>
      <c r="E22" s="7"/>
      <c r="F22" s="7"/>
      <c r="G22" s="7"/>
      <c r="H22" s="6"/>
      <c r="I22" s="3"/>
      <c r="J22" s="3"/>
      <c r="K22" s="3"/>
      <c r="L22" s="3"/>
      <c r="M22" s="3"/>
      <c r="N22" s="3"/>
    </row>
    <row r="23" spans="2:14">
      <c r="B23" s="7"/>
      <c r="C23" s="7"/>
      <c r="D23" s="7"/>
      <c r="E23" s="7"/>
      <c r="F23" s="7"/>
      <c r="G23" s="7"/>
      <c r="H23" s="6"/>
      <c r="I23" s="3"/>
      <c r="J23" s="3"/>
      <c r="K23" s="3"/>
      <c r="L23" s="3"/>
      <c r="M23" s="3"/>
      <c r="N23" s="3"/>
    </row>
    <row r="24" spans="2:14">
      <c r="B24" s="7"/>
      <c r="C24" s="7"/>
      <c r="D24" s="7"/>
      <c r="E24" s="7"/>
      <c r="F24" s="7"/>
      <c r="G24" s="7"/>
      <c r="H24" s="6"/>
      <c r="I24" s="3"/>
      <c r="J24" s="3"/>
      <c r="K24" s="3"/>
      <c r="L24" s="3"/>
      <c r="M24" s="3"/>
      <c r="N24" s="3"/>
    </row>
    <row r="25" spans="2:14">
      <c r="B25" s="7"/>
      <c r="C25" s="7"/>
      <c r="D25" s="7"/>
      <c r="E25" s="7"/>
      <c r="F25" s="7"/>
      <c r="G25" s="7"/>
      <c r="H25" s="6"/>
      <c r="I25" s="3"/>
      <c r="J25" s="3"/>
      <c r="K25" s="3"/>
      <c r="L25" s="3"/>
      <c r="M25" s="3"/>
      <c r="N25" s="3"/>
    </row>
    <row r="26" spans="2:14">
      <c r="B26" s="7"/>
      <c r="C26" s="7"/>
      <c r="D26" s="7"/>
      <c r="E26" s="7"/>
      <c r="F26" s="7"/>
      <c r="G26" s="7"/>
      <c r="H26" s="6"/>
      <c r="I26" s="3"/>
      <c r="J26" s="3"/>
      <c r="K26" s="3"/>
      <c r="L26" s="3"/>
      <c r="M26" s="3"/>
      <c r="N26" s="3"/>
    </row>
    <row r="27" spans="2:14">
      <c r="B27" s="7"/>
      <c r="C27" s="7"/>
      <c r="D27" s="7"/>
      <c r="E27" s="7"/>
      <c r="F27" s="7"/>
      <c r="G27" s="7"/>
      <c r="H27" s="6"/>
      <c r="I27" s="3"/>
      <c r="J27" s="3"/>
      <c r="K27" s="3"/>
      <c r="L27" s="3"/>
      <c r="M27" s="3"/>
      <c r="N27" s="3"/>
    </row>
    <row r="28" spans="2:14">
      <c r="B28" s="7"/>
      <c r="C28" s="7"/>
      <c r="D28" s="7"/>
      <c r="E28" s="7"/>
      <c r="F28" s="7"/>
      <c r="G28" s="7"/>
      <c r="H28" s="6"/>
      <c r="I28" s="3"/>
      <c r="J28" s="3"/>
      <c r="K28" s="3"/>
      <c r="L28" s="3"/>
      <c r="M28" s="3"/>
      <c r="N28" s="3"/>
    </row>
    <row r="29" spans="2:14">
      <c r="B29" s="7"/>
      <c r="C29" s="7"/>
      <c r="D29" s="7"/>
      <c r="E29" s="7"/>
      <c r="F29" s="7"/>
      <c r="G29" s="7"/>
      <c r="H29" s="6"/>
      <c r="I29" s="3"/>
      <c r="J29" s="3"/>
      <c r="K29" s="3"/>
      <c r="L29" s="3"/>
      <c r="M29" s="3"/>
      <c r="N29" s="3"/>
    </row>
    <row r="30" spans="2:14">
      <c r="B30" s="7"/>
      <c r="C30" s="7"/>
      <c r="D30" s="7"/>
      <c r="E30" s="7"/>
      <c r="F30" s="7"/>
      <c r="G30" s="7"/>
      <c r="H30" s="6"/>
      <c r="I30" s="3"/>
      <c r="J30" s="3"/>
      <c r="K30" s="3"/>
      <c r="L30" s="3"/>
      <c r="M30" s="3"/>
      <c r="N30" s="3"/>
    </row>
    <row r="31" spans="2:14">
      <c r="B31" s="7"/>
      <c r="C31" s="7"/>
      <c r="D31" s="7"/>
      <c r="E31" s="7"/>
      <c r="F31" s="7"/>
      <c r="G31" s="7"/>
      <c r="H31" s="6"/>
      <c r="I31" s="3"/>
      <c r="J31" s="3"/>
      <c r="K31" s="3"/>
      <c r="L31" s="3"/>
      <c r="M31" s="3"/>
      <c r="N31" s="3"/>
    </row>
  </sheetData>
  <mergeCells count="14">
    <mergeCell ref="M3:M4"/>
    <mergeCell ref="N3:N4"/>
    <mergeCell ref="A5:K5"/>
    <mergeCell ref="A9:K9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1"/>
  <sheetViews>
    <sheetView tabSelected="1"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19.83203125" style="6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1.664062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7.5" style="7" bestFit="1" customWidth="1"/>
    <col min="14" max="14" width="15.5" style="6" bestFit="1" customWidth="1"/>
    <col min="15" max="16384" width="9.1640625" style="3"/>
  </cols>
  <sheetData>
    <row r="1" spans="1:14" s="2" customFormat="1" ht="39" customHeight="1">
      <c r="A1" s="78" t="s">
        <v>884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71.2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885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15" thickBot="1">
      <c r="A4" s="87"/>
      <c r="B4" s="94"/>
      <c r="C4" s="77"/>
      <c r="D4" s="77"/>
      <c r="E4" s="77"/>
      <c r="F4" s="77"/>
      <c r="G4" s="77"/>
      <c r="H4" s="53">
        <v>1</v>
      </c>
      <c r="I4" s="53">
        <v>2</v>
      </c>
      <c r="J4" s="53">
        <v>3</v>
      </c>
      <c r="K4" s="53" t="s">
        <v>4</v>
      </c>
      <c r="L4" s="77"/>
      <c r="M4" s="77"/>
      <c r="N4" s="90"/>
    </row>
    <row r="5" spans="1:14" ht="16">
      <c r="A5" s="95" t="s">
        <v>138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817</v>
      </c>
      <c r="C6" s="12" t="s">
        <v>818</v>
      </c>
      <c r="D6" s="12" t="s">
        <v>236</v>
      </c>
      <c r="E6" s="12" t="s">
        <v>890</v>
      </c>
      <c r="F6" s="12" t="s">
        <v>36</v>
      </c>
      <c r="G6" s="12" t="s">
        <v>26</v>
      </c>
      <c r="H6" s="26" t="s">
        <v>76</v>
      </c>
      <c r="I6" s="26" t="s">
        <v>55</v>
      </c>
      <c r="J6" s="26" t="s">
        <v>27</v>
      </c>
      <c r="K6" s="13"/>
      <c r="L6" s="13" t="str">
        <f>"80,0"</f>
        <v>80,0</v>
      </c>
      <c r="M6" s="13" t="str">
        <f>"46,6040"</f>
        <v>46,6040</v>
      </c>
      <c r="N6" s="12"/>
    </row>
    <row r="7" spans="1:14">
      <c r="B7" s="6" t="s">
        <v>186</v>
      </c>
    </row>
    <row r="8" spans="1:14">
      <c r="B8" s="6" t="s">
        <v>186</v>
      </c>
      <c r="C8" s="7"/>
      <c r="D8" s="7"/>
      <c r="E8" s="7"/>
      <c r="F8" s="7"/>
      <c r="G8" s="7"/>
      <c r="I8" s="6"/>
      <c r="J8" s="3"/>
      <c r="K8" s="3"/>
      <c r="L8" s="3"/>
      <c r="M8" s="3"/>
      <c r="N8" s="3"/>
    </row>
    <row r="9" spans="1:14">
      <c r="B9" s="6" t="s">
        <v>186</v>
      </c>
      <c r="C9" s="7"/>
      <c r="D9" s="7"/>
      <c r="E9" s="7"/>
      <c r="F9" s="7"/>
      <c r="G9" s="7"/>
      <c r="I9" s="6"/>
      <c r="J9" s="3"/>
      <c r="K9" s="3"/>
      <c r="L9" s="3"/>
      <c r="M9" s="3"/>
      <c r="N9" s="3"/>
    </row>
    <row r="10" spans="1:14">
      <c r="B10" s="6" t="s">
        <v>186</v>
      </c>
      <c r="C10" s="7"/>
      <c r="D10" s="7"/>
      <c r="E10" s="7"/>
      <c r="F10" s="7"/>
      <c r="G10" s="7"/>
      <c r="I10" s="6"/>
      <c r="J10" s="3"/>
      <c r="K10" s="3"/>
      <c r="L10" s="3"/>
      <c r="M10" s="3"/>
      <c r="N10" s="3"/>
    </row>
    <row r="11" spans="1:14">
      <c r="B11" s="6" t="s">
        <v>186</v>
      </c>
      <c r="C11" s="7"/>
      <c r="D11" s="7"/>
      <c r="E11" s="7"/>
      <c r="F11" s="7"/>
      <c r="G11" s="7"/>
      <c r="I11" s="6"/>
      <c r="J11" s="3"/>
      <c r="K11" s="3"/>
      <c r="L11" s="3"/>
      <c r="M11" s="3"/>
      <c r="N11" s="3"/>
    </row>
    <row r="12" spans="1:14">
      <c r="B12" s="6" t="s">
        <v>186</v>
      </c>
      <c r="C12" s="7"/>
      <c r="D12" s="7"/>
      <c r="E12" s="7"/>
      <c r="F12" s="7"/>
      <c r="G12" s="7"/>
      <c r="I12" s="6"/>
      <c r="J12" s="3"/>
      <c r="K12" s="3"/>
      <c r="L12" s="3"/>
      <c r="M12" s="3"/>
      <c r="N12" s="3"/>
    </row>
    <row r="13" spans="1:14">
      <c r="B13" s="6" t="s">
        <v>186</v>
      </c>
      <c r="C13" s="7"/>
      <c r="D13" s="7"/>
      <c r="E13" s="7"/>
      <c r="F13" s="7"/>
      <c r="G13" s="7"/>
      <c r="I13" s="6"/>
      <c r="J13" s="3"/>
      <c r="K13" s="3"/>
      <c r="L13" s="3"/>
      <c r="M13" s="3"/>
      <c r="N13" s="3"/>
    </row>
    <row r="14" spans="1:14">
      <c r="B14" s="6" t="s">
        <v>186</v>
      </c>
      <c r="C14" s="7"/>
      <c r="D14" s="7"/>
      <c r="E14" s="7"/>
      <c r="F14" s="7"/>
      <c r="G14" s="7"/>
      <c r="I14" s="6"/>
      <c r="J14" s="3"/>
      <c r="K14" s="3"/>
      <c r="L14" s="3"/>
      <c r="M14" s="3"/>
      <c r="N14" s="3"/>
    </row>
    <row r="15" spans="1:14">
      <c r="B15" s="6" t="s">
        <v>186</v>
      </c>
      <c r="C15" s="7"/>
      <c r="D15" s="7"/>
      <c r="E15" s="7"/>
      <c r="F15" s="7"/>
      <c r="G15" s="7"/>
      <c r="I15" s="6"/>
      <c r="J15" s="3"/>
      <c r="K15" s="3"/>
      <c r="L15" s="3"/>
      <c r="M15" s="3"/>
      <c r="N15" s="3"/>
    </row>
    <row r="16" spans="1:14">
      <c r="B16" s="6" t="s">
        <v>186</v>
      </c>
      <c r="C16" s="7"/>
      <c r="D16" s="7"/>
      <c r="E16" s="7"/>
      <c r="F16" s="7"/>
      <c r="G16" s="7"/>
      <c r="I16" s="6"/>
      <c r="J16" s="3"/>
      <c r="K16" s="3"/>
      <c r="L16" s="3"/>
      <c r="M16" s="3"/>
      <c r="N16" s="3"/>
    </row>
    <row r="17" spans="2:14">
      <c r="B17" s="6" t="s">
        <v>186</v>
      </c>
      <c r="C17" s="7"/>
      <c r="D17" s="7"/>
      <c r="E17" s="7"/>
      <c r="F17" s="7"/>
      <c r="G17" s="7"/>
      <c r="I17" s="6"/>
      <c r="J17" s="3"/>
      <c r="K17" s="3"/>
      <c r="L17" s="3"/>
      <c r="M17" s="3"/>
      <c r="N17" s="3"/>
    </row>
    <row r="18" spans="2:14">
      <c r="B18" s="6" t="s">
        <v>186</v>
      </c>
      <c r="C18" s="7"/>
      <c r="D18" s="7"/>
      <c r="E18" s="7"/>
      <c r="F18" s="7"/>
      <c r="G18" s="7"/>
      <c r="I18" s="6"/>
      <c r="J18" s="3"/>
      <c r="K18" s="3"/>
      <c r="L18" s="3"/>
      <c r="M18" s="3"/>
      <c r="N18" s="3"/>
    </row>
    <row r="19" spans="2:14">
      <c r="B19" s="6" t="s">
        <v>186</v>
      </c>
      <c r="C19" s="7"/>
      <c r="D19" s="7"/>
      <c r="E19" s="7"/>
      <c r="F19" s="7"/>
      <c r="G19" s="7"/>
      <c r="I19" s="6"/>
      <c r="J19" s="3"/>
      <c r="K19" s="3"/>
      <c r="L19" s="3"/>
      <c r="M19" s="3"/>
      <c r="N19" s="3"/>
    </row>
    <row r="20" spans="2:14">
      <c r="B20" s="6" t="s">
        <v>186</v>
      </c>
      <c r="C20" s="7"/>
      <c r="D20" s="7"/>
      <c r="E20" s="7"/>
      <c r="F20" s="7"/>
      <c r="G20" s="7"/>
      <c r="I20" s="6"/>
      <c r="J20" s="3"/>
      <c r="K20" s="3"/>
      <c r="L20" s="3"/>
      <c r="M20" s="3"/>
      <c r="N20" s="3"/>
    </row>
    <row r="21" spans="2:14">
      <c r="B21" s="6" t="s">
        <v>186</v>
      </c>
      <c r="C21" s="7"/>
      <c r="D21" s="7"/>
      <c r="E21" s="7"/>
      <c r="F21" s="7"/>
      <c r="G21" s="7"/>
      <c r="I21" s="6"/>
      <c r="J21" s="3"/>
      <c r="K21" s="3"/>
      <c r="L21" s="3"/>
      <c r="M21" s="3"/>
      <c r="N21" s="3"/>
    </row>
  </sheetData>
  <mergeCells count="13">
    <mergeCell ref="M3:M4"/>
    <mergeCell ref="N3:N4"/>
    <mergeCell ref="A5:K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workbookViewId="0">
      <selection sqref="A1:V2"/>
    </sheetView>
  </sheetViews>
  <sheetFormatPr baseColWidth="10" defaultColWidth="9.1640625" defaultRowHeight="13"/>
  <cols>
    <col min="1" max="1" width="7.5" style="6" bestFit="1" customWidth="1"/>
    <col min="2" max="2" width="17.83203125" style="6" bestFit="1" customWidth="1"/>
    <col min="3" max="3" width="26.3320312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1.6640625" style="6" bestFit="1" customWidth="1"/>
    <col min="8" max="10" width="5.5" style="7" customWidth="1"/>
    <col min="11" max="11" width="4.83203125" style="7" customWidth="1"/>
    <col min="12" max="14" width="5.5" style="7" customWidth="1"/>
    <col min="15" max="15" width="4.83203125" style="7" customWidth="1"/>
    <col min="16" max="18" width="5.5" style="7" customWidth="1"/>
    <col min="19" max="19" width="4.83203125" style="7" customWidth="1"/>
    <col min="20" max="20" width="7.83203125" style="7" bestFit="1" customWidth="1"/>
    <col min="21" max="21" width="8.5" style="7" bestFit="1" customWidth="1"/>
    <col min="22" max="22" width="20" style="6" customWidth="1"/>
    <col min="23" max="16384" width="9.1640625" style="3"/>
  </cols>
  <sheetData>
    <row r="1" spans="1:22" s="2" customFormat="1" ht="29" customHeight="1">
      <c r="A1" s="78" t="s">
        <v>857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22" s="2" customFormat="1" ht="63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7</v>
      </c>
      <c r="I3" s="76"/>
      <c r="J3" s="76"/>
      <c r="K3" s="76"/>
      <c r="L3" s="76" t="s">
        <v>8</v>
      </c>
      <c r="M3" s="76"/>
      <c r="N3" s="76"/>
      <c r="O3" s="76"/>
      <c r="P3" s="76" t="s">
        <v>9</v>
      </c>
      <c r="Q3" s="76"/>
      <c r="R3" s="76"/>
      <c r="S3" s="76"/>
      <c r="T3" s="76" t="s">
        <v>1</v>
      </c>
      <c r="U3" s="76" t="s">
        <v>3</v>
      </c>
      <c r="V3" s="89" t="s">
        <v>2</v>
      </c>
    </row>
    <row r="4" spans="1:22" s="1" customFormat="1" ht="15" thickBot="1">
      <c r="A4" s="87"/>
      <c r="B4" s="94"/>
      <c r="C4" s="77"/>
      <c r="D4" s="77"/>
      <c r="E4" s="77"/>
      <c r="F4" s="77"/>
      <c r="G4" s="77"/>
      <c r="H4" s="5">
        <v>1</v>
      </c>
      <c r="I4" s="5">
        <v>2</v>
      </c>
      <c r="J4" s="5">
        <v>3</v>
      </c>
      <c r="K4" s="5" t="s">
        <v>4</v>
      </c>
      <c r="L4" s="5">
        <v>1</v>
      </c>
      <c r="M4" s="5">
        <v>2</v>
      </c>
      <c r="N4" s="5">
        <v>3</v>
      </c>
      <c r="O4" s="5" t="s">
        <v>4</v>
      </c>
      <c r="P4" s="5">
        <v>1</v>
      </c>
      <c r="Q4" s="5">
        <v>2</v>
      </c>
      <c r="R4" s="5">
        <v>3</v>
      </c>
      <c r="S4" s="5" t="s">
        <v>4</v>
      </c>
      <c r="T4" s="77"/>
      <c r="U4" s="77"/>
      <c r="V4" s="90"/>
    </row>
    <row r="5" spans="1:22" ht="16">
      <c r="A5" s="95" t="s">
        <v>122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22">
      <c r="A6" s="13" t="s">
        <v>185</v>
      </c>
      <c r="B6" s="12" t="s">
        <v>188</v>
      </c>
      <c r="C6" s="12" t="s">
        <v>189</v>
      </c>
      <c r="D6" s="12" t="s">
        <v>190</v>
      </c>
      <c r="E6" s="12" t="s">
        <v>890</v>
      </c>
      <c r="F6" s="12" t="s">
        <v>61</v>
      </c>
      <c r="G6" s="12" t="s">
        <v>26</v>
      </c>
      <c r="H6" s="26" t="s">
        <v>115</v>
      </c>
      <c r="I6" s="26" t="s">
        <v>116</v>
      </c>
      <c r="J6" s="13"/>
      <c r="K6" s="13"/>
      <c r="L6" s="26" t="s">
        <v>89</v>
      </c>
      <c r="M6" s="27" t="s">
        <v>98</v>
      </c>
      <c r="N6" s="13"/>
      <c r="O6" s="13"/>
      <c r="P6" s="26" t="s">
        <v>167</v>
      </c>
      <c r="Q6" s="26" t="s">
        <v>191</v>
      </c>
      <c r="R6" s="13"/>
      <c r="S6" s="13"/>
      <c r="T6" s="13" t="str">
        <f>"630,0"</f>
        <v>630,0</v>
      </c>
      <c r="U6" s="13" t="str">
        <f>"428,4000"</f>
        <v>428,4000</v>
      </c>
      <c r="V6" s="12" t="s">
        <v>355</v>
      </c>
    </row>
    <row r="7" spans="1:22">
      <c r="B7" s="6" t="s">
        <v>186</v>
      </c>
    </row>
    <row r="8" spans="1:22" ht="16">
      <c r="A8" s="91" t="s">
        <v>134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22">
      <c r="A9" s="13" t="s">
        <v>185</v>
      </c>
      <c r="B9" s="12" t="s">
        <v>192</v>
      </c>
      <c r="C9" s="12" t="s">
        <v>193</v>
      </c>
      <c r="D9" s="12" t="s">
        <v>194</v>
      </c>
      <c r="E9" s="12" t="s">
        <v>890</v>
      </c>
      <c r="F9" s="12" t="s">
        <v>54</v>
      </c>
      <c r="G9" s="12" t="s">
        <v>26</v>
      </c>
      <c r="H9" s="26" t="s">
        <v>100</v>
      </c>
      <c r="I9" s="26" t="s">
        <v>150</v>
      </c>
      <c r="J9" s="27" t="s">
        <v>93</v>
      </c>
      <c r="K9" s="13"/>
      <c r="L9" s="26" t="s">
        <v>80</v>
      </c>
      <c r="M9" s="26" t="s">
        <v>195</v>
      </c>
      <c r="N9" s="26" t="s">
        <v>91</v>
      </c>
      <c r="O9" s="13"/>
      <c r="P9" s="26" t="s">
        <v>150</v>
      </c>
      <c r="Q9" s="27" t="s">
        <v>151</v>
      </c>
      <c r="R9" s="26" t="s">
        <v>151</v>
      </c>
      <c r="S9" s="13"/>
      <c r="T9" s="13" t="str">
        <f>"560,0"</f>
        <v>560,0</v>
      </c>
      <c r="U9" s="13" t="str">
        <f>"363,9440"</f>
        <v>363,9440</v>
      </c>
      <c r="V9" s="12" t="s">
        <v>196</v>
      </c>
    </row>
    <row r="10" spans="1:22">
      <c r="B10" s="6" t="s">
        <v>186</v>
      </c>
    </row>
    <row r="11" spans="1:22" ht="16">
      <c r="A11" s="91" t="s">
        <v>138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22">
      <c r="A12" s="13" t="s">
        <v>185</v>
      </c>
      <c r="B12" s="12" t="s">
        <v>197</v>
      </c>
      <c r="C12" s="12" t="s">
        <v>198</v>
      </c>
      <c r="D12" s="12" t="s">
        <v>199</v>
      </c>
      <c r="E12" s="12" t="s">
        <v>890</v>
      </c>
      <c r="F12" s="12" t="s">
        <v>36</v>
      </c>
      <c r="G12" s="12" t="s">
        <v>26</v>
      </c>
      <c r="H12" s="26" t="s">
        <v>200</v>
      </c>
      <c r="I12" s="26" t="s">
        <v>201</v>
      </c>
      <c r="J12" s="27" t="s">
        <v>202</v>
      </c>
      <c r="K12" s="13"/>
      <c r="L12" s="26" t="s">
        <v>78</v>
      </c>
      <c r="M12" s="26" t="s">
        <v>106</v>
      </c>
      <c r="N12" s="26" t="s">
        <v>149</v>
      </c>
      <c r="O12" s="13"/>
      <c r="P12" s="26" t="s">
        <v>128</v>
      </c>
      <c r="Q12" s="26" t="s">
        <v>117</v>
      </c>
      <c r="R12" s="27" t="s">
        <v>167</v>
      </c>
      <c r="S12" s="13"/>
      <c r="T12" s="13" t="str">
        <f>"655,0"</f>
        <v>655,0</v>
      </c>
      <c r="U12" s="13" t="str">
        <f>"400,9255"</f>
        <v>400,9255</v>
      </c>
      <c r="V12" s="12" t="s">
        <v>347</v>
      </c>
    </row>
    <row r="13" spans="1:22">
      <c r="B13" s="6" t="s">
        <v>186</v>
      </c>
    </row>
    <row r="14" spans="1:22">
      <c r="B14" s="6" t="s">
        <v>186</v>
      </c>
      <c r="C14" s="7"/>
      <c r="D14" s="7"/>
      <c r="E14" s="7"/>
      <c r="F14" s="7"/>
      <c r="G14" s="7"/>
      <c r="Q14" s="6"/>
      <c r="R14" s="3"/>
      <c r="S14" s="3"/>
      <c r="T14" s="3"/>
      <c r="U14" s="3"/>
      <c r="V14" s="3"/>
    </row>
    <row r="15" spans="1:22">
      <c r="B15" s="6" t="s">
        <v>186</v>
      </c>
      <c r="C15" s="7"/>
      <c r="D15" s="7"/>
      <c r="E15" s="7"/>
      <c r="F15" s="7"/>
      <c r="G15" s="7"/>
      <c r="Q15" s="6"/>
      <c r="R15" s="3"/>
      <c r="S15" s="3"/>
      <c r="T15" s="3"/>
      <c r="U15" s="3"/>
      <c r="V15" s="3"/>
    </row>
    <row r="16" spans="1:22">
      <c r="B16" s="6" t="s">
        <v>186</v>
      </c>
      <c r="C16" s="7"/>
      <c r="D16" s="7"/>
      <c r="E16" s="7"/>
      <c r="F16" s="7"/>
      <c r="G16" s="7"/>
      <c r="Q16" s="6"/>
      <c r="R16" s="3"/>
      <c r="S16" s="3"/>
      <c r="T16" s="3"/>
      <c r="U16" s="3"/>
      <c r="V16" s="3"/>
    </row>
    <row r="17" spans="2:22">
      <c r="B17" s="6" t="s">
        <v>186</v>
      </c>
      <c r="C17" s="7"/>
      <c r="D17" s="7"/>
      <c r="E17" s="7"/>
      <c r="F17" s="7"/>
      <c r="G17" s="7"/>
      <c r="Q17" s="6"/>
      <c r="R17" s="3"/>
      <c r="S17" s="3"/>
      <c r="T17" s="3"/>
      <c r="U17" s="3"/>
      <c r="V17" s="3"/>
    </row>
    <row r="18" spans="2:22">
      <c r="B18" s="6" t="s">
        <v>186</v>
      </c>
      <c r="C18" s="7"/>
      <c r="D18" s="7"/>
      <c r="E18" s="7"/>
      <c r="F18" s="7"/>
      <c r="G18" s="7"/>
      <c r="Q18" s="6"/>
      <c r="R18" s="3"/>
      <c r="S18" s="3"/>
      <c r="T18" s="3"/>
      <c r="U18" s="3"/>
      <c r="V18" s="3"/>
    </row>
    <row r="19" spans="2:22">
      <c r="B19" s="6" t="s">
        <v>186</v>
      </c>
      <c r="C19" s="7"/>
      <c r="D19" s="7"/>
      <c r="E19" s="7"/>
      <c r="F19" s="7"/>
      <c r="G19" s="7"/>
      <c r="Q19" s="6"/>
      <c r="R19" s="3"/>
      <c r="S19" s="3"/>
      <c r="T19" s="3"/>
      <c r="U19" s="3"/>
      <c r="V19" s="3"/>
    </row>
    <row r="20" spans="2:22">
      <c r="B20" s="6" t="s">
        <v>186</v>
      </c>
      <c r="C20" s="7"/>
      <c r="D20" s="7"/>
      <c r="E20" s="7"/>
      <c r="F20" s="7"/>
      <c r="G20" s="7"/>
      <c r="Q20" s="6"/>
      <c r="R20" s="3"/>
      <c r="S20" s="3"/>
      <c r="T20" s="3"/>
      <c r="U20" s="3"/>
      <c r="V20" s="3"/>
    </row>
    <row r="21" spans="2:22">
      <c r="B21" s="6" t="s">
        <v>186</v>
      </c>
      <c r="C21" s="7"/>
      <c r="D21" s="7"/>
      <c r="E21" s="7"/>
      <c r="F21" s="7"/>
      <c r="G21" s="7"/>
      <c r="Q21" s="6"/>
      <c r="R21" s="3"/>
      <c r="S21" s="3"/>
      <c r="T21" s="3"/>
      <c r="U21" s="3"/>
      <c r="V21" s="3"/>
    </row>
    <row r="22" spans="2:22">
      <c r="B22" s="6" t="s">
        <v>186</v>
      </c>
      <c r="C22" s="7"/>
      <c r="D22" s="7"/>
      <c r="E22" s="7"/>
      <c r="F22" s="7"/>
      <c r="G22" s="7"/>
      <c r="Q22" s="6"/>
      <c r="R22" s="3"/>
      <c r="S22" s="3"/>
      <c r="T22" s="3"/>
      <c r="U22" s="3"/>
      <c r="V22" s="3"/>
    </row>
  </sheetData>
  <mergeCells count="17"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A11:S11"/>
    <mergeCell ref="P3:S3"/>
    <mergeCell ref="T3:T4"/>
    <mergeCell ref="U3:U4"/>
    <mergeCell ref="V3:V4"/>
    <mergeCell ref="A5:S5"/>
    <mergeCell ref="A8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"/>
  <sheetViews>
    <sheetView workbookViewId="0">
      <selection activeCell="E11" sqref="E11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4" width="5.5" style="7" customWidth="1"/>
    <col min="15" max="15" width="4.83203125" style="7" customWidth="1"/>
    <col min="16" max="19" width="5.5" style="7" customWidth="1"/>
    <col min="20" max="20" width="7.83203125" style="7" bestFit="1" customWidth="1"/>
    <col min="21" max="21" width="8.5" style="7" bestFit="1" customWidth="1"/>
    <col min="22" max="22" width="19" style="6" customWidth="1"/>
    <col min="23" max="16384" width="9.1640625" style="3"/>
  </cols>
  <sheetData>
    <row r="1" spans="1:22" s="2" customFormat="1" ht="29.25" customHeight="1">
      <c r="A1" s="78" t="s">
        <v>858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22" s="2" customFormat="1" ht="60.7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7</v>
      </c>
      <c r="I3" s="76"/>
      <c r="J3" s="76"/>
      <c r="K3" s="76"/>
      <c r="L3" s="76" t="s">
        <v>8</v>
      </c>
      <c r="M3" s="76"/>
      <c r="N3" s="76"/>
      <c r="O3" s="76"/>
      <c r="P3" s="76" t="s">
        <v>9</v>
      </c>
      <c r="Q3" s="76"/>
      <c r="R3" s="76"/>
      <c r="S3" s="76"/>
      <c r="T3" s="76" t="s">
        <v>1</v>
      </c>
      <c r="U3" s="76" t="s">
        <v>3</v>
      </c>
      <c r="V3" s="89" t="s">
        <v>2</v>
      </c>
    </row>
    <row r="4" spans="1:22" s="1" customFormat="1" ht="15" thickBot="1">
      <c r="A4" s="87"/>
      <c r="B4" s="94"/>
      <c r="C4" s="77"/>
      <c r="D4" s="77"/>
      <c r="E4" s="77"/>
      <c r="F4" s="77"/>
      <c r="G4" s="77"/>
      <c r="H4" s="31">
        <v>1</v>
      </c>
      <c r="I4" s="31">
        <v>2</v>
      </c>
      <c r="J4" s="31">
        <v>3</v>
      </c>
      <c r="K4" s="31" t="s">
        <v>4</v>
      </c>
      <c r="L4" s="31">
        <v>1</v>
      </c>
      <c r="M4" s="31">
        <v>2</v>
      </c>
      <c r="N4" s="31">
        <v>3</v>
      </c>
      <c r="O4" s="31" t="s">
        <v>4</v>
      </c>
      <c r="P4" s="31">
        <v>1</v>
      </c>
      <c r="Q4" s="31">
        <v>2</v>
      </c>
      <c r="R4" s="31">
        <v>3</v>
      </c>
      <c r="S4" s="31" t="s">
        <v>4</v>
      </c>
      <c r="T4" s="77"/>
      <c r="U4" s="77"/>
      <c r="V4" s="90"/>
    </row>
    <row r="5" spans="1:22" ht="16">
      <c r="A5" s="95" t="s">
        <v>32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22">
      <c r="A6" s="13" t="s">
        <v>185</v>
      </c>
      <c r="B6" s="12" t="s">
        <v>280</v>
      </c>
      <c r="C6" s="12" t="s">
        <v>281</v>
      </c>
      <c r="D6" s="12" t="s">
        <v>282</v>
      </c>
      <c r="E6" s="12" t="s">
        <v>890</v>
      </c>
      <c r="F6" s="12" t="s">
        <v>36</v>
      </c>
      <c r="G6" s="12" t="s">
        <v>26</v>
      </c>
      <c r="H6" s="26" t="s">
        <v>98</v>
      </c>
      <c r="I6" s="26" t="s">
        <v>121</v>
      </c>
      <c r="J6" s="27" t="s">
        <v>283</v>
      </c>
      <c r="K6" s="13"/>
      <c r="L6" s="26" t="s">
        <v>75</v>
      </c>
      <c r="M6" s="26" t="s">
        <v>70</v>
      </c>
      <c r="N6" s="27" t="s">
        <v>284</v>
      </c>
      <c r="O6" s="13"/>
      <c r="P6" s="26" t="s">
        <v>89</v>
      </c>
      <c r="Q6" s="26" t="s">
        <v>110</v>
      </c>
      <c r="R6" s="26" t="s">
        <v>100</v>
      </c>
      <c r="S6" s="27" t="s">
        <v>285</v>
      </c>
      <c r="T6" s="13" t="str">
        <f>"462,5"</f>
        <v>462,5</v>
      </c>
      <c r="U6" s="13" t="str">
        <f>"559,9025"</f>
        <v>559,9025</v>
      </c>
      <c r="V6" s="12" t="s">
        <v>129</v>
      </c>
    </row>
    <row r="7" spans="1:22">
      <c r="B7" s="6" t="s">
        <v>186</v>
      </c>
    </row>
    <row r="8" spans="1:22" ht="16">
      <c r="A8" s="91" t="s">
        <v>156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22">
      <c r="A9" s="9" t="s">
        <v>185</v>
      </c>
      <c r="B9" s="8" t="s">
        <v>286</v>
      </c>
      <c r="C9" s="8" t="s">
        <v>287</v>
      </c>
      <c r="D9" s="8" t="s">
        <v>288</v>
      </c>
      <c r="E9" s="8" t="s">
        <v>890</v>
      </c>
      <c r="F9" s="8" t="s">
        <v>262</v>
      </c>
      <c r="G9" s="8" t="s">
        <v>289</v>
      </c>
      <c r="H9" s="22" t="s">
        <v>167</v>
      </c>
      <c r="I9" s="22" t="s">
        <v>191</v>
      </c>
      <c r="J9" s="23" t="s">
        <v>233</v>
      </c>
      <c r="K9" s="9"/>
      <c r="L9" s="22" t="s">
        <v>106</v>
      </c>
      <c r="M9" s="22" t="s">
        <v>290</v>
      </c>
      <c r="N9" s="23" t="s">
        <v>291</v>
      </c>
      <c r="O9" s="9"/>
      <c r="P9" s="22" t="s">
        <v>155</v>
      </c>
      <c r="Q9" s="22" t="s">
        <v>167</v>
      </c>
      <c r="R9" s="23" t="s">
        <v>191</v>
      </c>
      <c r="S9" s="9"/>
      <c r="T9" s="9" t="str">
        <f>"637,5"</f>
        <v>637,5</v>
      </c>
      <c r="U9" s="9" t="str">
        <f>"374,3400"</f>
        <v>374,3400</v>
      </c>
      <c r="V9" s="8" t="s">
        <v>297</v>
      </c>
    </row>
    <row r="10" spans="1:22">
      <c r="A10" s="11" t="s">
        <v>185</v>
      </c>
      <c r="B10" s="10" t="s">
        <v>292</v>
      </c>
      <c r="C10" s="10" t="s">
        <v>293</v>
      </c>
      <c r="D10" s="10" t="s">
        <v>294</v>
      </c>
      <c r="E10" s="10" t="s">
        <v>892</v>
      </c>
      <c r="F10" s="10" t="s">
        <v>262</v>
      </c>
      <c r="G10" s="10" t="s">
        <v>295</v>
      </c>
      <c r="H10" s="24" t="s">
        <v>296</v>
      </c>
      <c r="I10" s="24" t="s">
        <v>238</v>
      </c>
      <c r="J10" s="25" t="s">
        <v>265</v>
      </c>
      <c r="K10" s="11"/>
      <c r="L10" s="24" t="s">
        <v>150</v>
      </c>
      <c r="M10" s="25" t="s">
        <v>93</v>
      </c>
      <c r="N10" s="24" t="s">
        <v>93</v>
      </c>
      <c r="O10" s="11"/>
      <c r="P10" s="24" t="s">
        <v>253</v>
      </c>
      <c r="Q10" s="24" t="s">
        <v>265</v>
      </c>
      <c r="R10" s="24" t="s">
        <v>239</v>
      </c>
      <c r="S10" s="11"/>
      <c r="T10" s="11" t="str">
        <f>"820,0"</f>
        <v>820,0</v>
      </c>
      <c r="U10" s="11" t="str">
        <f>"471,3852"</f>
        <v>471,3852</v>
      </c>
      <c r="V10" s="10" t="s">
        <v>297</v>
      </c>
    </row>
    <row r="11" spans="1:22">
      <c r="B11" s="6" t="s">
        <v>186</v>
      </c>
    </row>
    <row r="12" spans="1:22" ht="16">
      <c r="B12" s="6" t="s">
        <v>186</v>
      </c>
      <c r="F12" s="16"/>
    </row>
    <row r="13" spans="1:22" ht="16">
      <c r="B13" s="6" t="s">
        <v>186</v>
      </c>
      <c r="F13" s="16"/>
    </row>
    <row r="14" spans="1:22" ht="16">
      <c r="B14" s="6" t="s">
        <v>186</v>
      </c>
      <c r="F14" s="16"/>
    </row>
    <row r="15" spans="1:22" ht="16">
      <c r="B15" s="6" t="s">
        <v>186</v>
      </c>
      <c r="F15" s="16"/>
    </row>
    <row r="16" spans="1:22" ht="16">
      <c r="B16" s="6" t="s">
        <v>186</v>
      </c>
      <c r="F16" s="16"/>
    </row>
    <row r="17" spans="2:22" ht="16">
      <c r="B17" s="6" t="s">
        <v>186</v>
      </c>
      <c r="F17" s="16"/>
    </row>
    <row r="18" spans="2:22" ht="16">
      <c r="B18" s="6" t="s">
        <v>186</v>
      </c>
      <c r="F18" s="16"/>
    </row>
    <row r="19" spans="2:22">
      <c r="B19" s="6" t="s">
        <v>186</v>
      </c>
    </row>
    <row r="20" spans="2:22" ht="18">
      <c r="B20" s="6" t="s">
        <v>186</v>
      </c>
      <c r="C20" s="17"/>
      <c r="G20" s="7"/>
      <c r="U20" s="6"/>
      <c r="V20" s="3"/>
    </row>
    <row r="21" spans="2:22">
      <c r="B21" s="6" t="s">
        <v>186</v>
      </c>
      <c r="C21" s="7"/>
      <c r="D21" s="7"/>
      <c r="E21" s="7"/>
      <c r="F21" s="7"/>
      <c r="G21" s="7"/>
      <c r="Q21" s="6"/>
      <c r="R21" s="3"/>
      <c r="S21" s="3"/>
      <c r="T21" s="3"/>
      <c r="U21" s="3"/>
      <c r="V21" s="3"/>
    </row>
    <row r="22" spans="2:22">
      <c r="B22" s="6" t="s">
        <v>186</v>
      </c>
      <c r="C22" s="7"/>
      <c r="D22" s="7"/>
      <c r="E22" s="7"/>
      <c r="F22" s="7"/>
      <c r="G22" s="7"/>
      <c r="Q22" s="6"/>
      <c r="R22" s="3"/>
      <c r="S22" s="3"/>
      <c r="T22" s="3"/>
      <c r="U22" s="3"/>
      <c r="V22" s="3"/>
    </row>
    <row r="23" spans="2:22">
      <c r="B23" s="6" t="s">
        <v>186</v>
      </c>
      <c r="C23" s="7"/>
      <c r="D23" s="7"/>
      <c r="E23" s="7"/>
      <c r="F23" s="7"/>
      <c r="G23" s="7"/>
      <c r="Q23" s="6"/>
      <c r="R23" s="3"/>
      <c r="S23" s="3"/>
      <c r="T23" s="3"/>
      <c r="U23" s="3"/>
      <c r="V23" s="3"/>
    </row>
    <row r="24" spans="2:22">
      <c r="B24" s="6" t="s">
        <v>186</v>
      </c>
      <c r="C24" s="7"/>
      <c r="D24" s="7"/>
      <c r="E24" s="7"/>
      <c r="F24" s="7"/>
      <c r="G24" s="7"/>
      <c r="Q24" s="6"/>
      <c r="R24" s="3"/>
      <c r="S24" s="3"/>
      <c r="T24" s="3"/>
      <c r="U24" s="3"/>
      <c r="V24" s="3"/>
    </row>
    <row r="25" spans="2:22">
      <c r="B25" s="6" t="s">
        <v>186</v>
      </c>
      <c r="C25" s="7"/>
      <c r="D25" s="7"/>
      <c r="E25" s="7"/>
      <c r="F25" s="7"/>
      <c r="G25" s="7"/>
      <c r="Q25" s="6"/>
      <c r="R25" s="3"/>
      <c r="S25" s="3"/>
      <c r="T25" s="3"/>
      <c r="U25" s="3"/>
      <c r="V25" s="3"/>
    </row>
    <row r="26" spans="2:22">
      <c r="B26" s="6" t="s">
        <v>186</v>
      </c>
      <c r="C26" s="7"/>
      <c r="D26" s="7"/>
      <c r="E26" s="7"/>
      <c r="F26" s="7"/>
      <c r="G26" s="7"/>
      <c r="Q26" s="6"/>
      <c r="R26" s="3"/>
      <c r="S26" s="3"/>
      <c r="T26" s="3"/>
      <c r="U26" s="3"/>
      <c r="V26" s="3"/>
    </row>
    <row r="27" spans="2:22">
      <c r="B27" s="6" t="s">
        <v>186</v>
      </c>
      <c r="C27" s="7"/>
      <c r="D27" s="7"/>
      <c r="E27" s="7"/>
      <c r="F27" s="7"/>
      <c r="G27" s="7"/>
      <c r="Q27" s="6"/>
      <c r="R27" s="3"/>
      <c r="S27" s="3"/>
      <c r="T27" s="3"/>
      <c r="U27" s="3"/>
      <c r="V27" s="3"/>
    </row>
    <row r="28" spans="2:22">
      <c r="B28" s="6" t="s">
        <v>186</v>
      </c>
      <c r="C28" s="7"/>
      <c r="D28" s="7"/>
      <c r="E28" s="7"/>
      <c r="F28" s="7"/>
      <c r="G28" s="7"/>
      <c r="Q28" s="6"/>
      <c r="R28" s="3"/>
      <c r="S28" s="3"/>
      <c r="T28" s="3"/>
      <c r="U28" s="3"/>
      <c r="V28" s="3"/>
    </row>
    <row r="29" spans="2:22">
      <c r="B29" s="6" t="s">
        <v>186</v>
      </c>
      <c r="C29" s="7"/>
      <c r="D29" s="7"/>
      <c r="E29" s="7"/>
      <c r="F29" s="7"/>
      <c r="G29" s="7"/>
      <c r="Q29" s="6"/>
      <c r="R29" s="3"/>
      <c r="S29" s="3"/>
      <c r="T29" s="3"/>
      <c r="U29" s="3"/>
      <c r="V29" s="3"/>
    </row>
    <row r="30" spans="2:22">
      <c r="B30" s="6" t="s">
        <v>186</v>
      </c>
      <c r="C30" s="7"/>
      <c r="D30" s="7"/>
      <c r="E30" s="7"/>
      <c r="F30" s="7"/>
      <c r="G30" s="7"/>
      <c r="Q30" s="6"/>
      <c r="R30" s="3"/>
      <c r="S30" s="3"/>
      <c r="T30" s="3"/>
      <c r="U30" s="3"/>
      <c r="V30" s="3"/>
    </row>
    <row r="31" spans="2:22">
      <c r="B31" s="6" t="s">
        <v>186</v>
      </c>
      <c r="C31" s="7"/>
      <c r="D31" s="7"/>
      <c r="E31" s="7"/>
      <c r="F31" s="7"/>
      <c r="G31" s="7"/>
      <c r="Q31" s="6"/>
      <c r="R31" s="3"/>
      <c r="S31" s="3"/>
      <c r="T31" s="3"/>
      <c r="U31" s="3"/>
      <c r="V31" s="3"/>
    </row>
    <row r="32" spans="2:22">
      <c r="B32" s="6" t="s">
        <v>186</v>
      </c>
      <c r="C32" s="7"/>
      <c r="D32" s="7"/>
      <c r="E32" s="7"/>
      <c r="F32" s="7"/>
      <c r="G32" s="7"/>
      <c r="Q32" s="6"/>
      <c r="R32" s="3"/>
      <c r="S32" s="3"/>
      <c r="T32" s="3"/>
      <c r="U32" s="3"/>
      <c r="V32" s="3"/>
    </row>
    <row r="33" spans="2:22">
      <c r="B33" s="6" t="s">
        <v>186</v>
      </c>
      <c r="C33" s="7"/>
      <c r="D33" s="7"/>
      <c r="E33" s="7"/>
      <c r="F33" s="7"/>
      <c r="G33" s="7"/>
      <c r="Q33" s="6"/>
      <c r="R33" s="3"/>
      <c r="S33" s="3"/>
      <c r="T33" s="3"/>
      <c r="U33" s="3"/>
      <c r="V33" s="3"/>
    </row>
    <row r="34" spans="2:22">
      <c r="B34" s="6" t="s">
        <v>186</v>
      </c>
      <c r="C34" s="7"/>
      <c r="D34" s="7"/>
      <c r="E34" s="7"/>
      <c r="F34" s="7"/>
      <c r="G34" s="7"/>
      <c r="Q34" s="6"/>
      <c r="R34" s="3"/>
      <c r="S34" s="3"/>
      <c r="T34" s="3"/>
      <c r="U34" s="3"/>
      <c r="V34" s="3"/>
    </row>
    <row r="35" spans="2:22">
      <c r="B35" s="6" t="s">
        <v>186</v>
      </c>
      <c r="C35" s="7"/>
      <c r="D35" s="7"/>
      <c r="E35" s="7"/>
      <c r="F35" s="7"/>
      <c r="G35" s="7"/>
      <c r="Q35" s="6"/>
      <c r="R35" s="3"/>
      <c r="S35" s="3"/>
      <c r="T35" s="3"/>
      <c r="U35" s="3"/>
      <c r="V35" s="3"/>
    </row>
    <row r="36" spans="2:22">
      <c r="C36" s="7"/>
      <c r="D36" s="7"/>
      <c r="E36" s="7"/>
      <c r="F36" s="7"/>
      <c r="G36" s="7"/>
      <c r="Q36" s="6"/>
      <c r="R36" s="3"/>
      <c r="S36" s="3"/>
      <c r="T36" s="3"/>
      <c r="U36" s="3"/>
      <c r="V36" s="3"/>
    </row>
    <row r="37" spans="2:22">
      <c r="C37" s="7"/>
      <c r="D37" s="7"/>
      <c r="E37" s="7"/>
      <c r="F37" s="7"/>
      <c r="G37" s="7"/>
      <c r="Q37" s="6"/>
      <c r="R37" s="3"/>
      <c r="S37" s="3"/>
      <c r="T37" s="3"/>
      <c r="U37" s="3"/>
      <c r="V37" s="3"/>
    </row>
  </sheetData>
  <mergeCells count="16">
    <mergeCell ref="A8:S8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0"/>
  <sheetViews>
    <sheetView workbookViewId="0">
      <selection sqref="A1:R2"/>
    </sheetView>
  </sheetViews>
  <sheetFormatPr baseColWidth="10" defaultColWidth="9.1640625" defaultRowHeight="13"/>
  <cols>
    <col min="1" max="1" width="7.5" style="6" bestFit="1" customWidth="1"/>
    <col min="2" max="2" width="20.66406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4" width="5.5" style="7" customWidth="1"/>
    <col min="15" max="15" width="4.83203125" style="7" customWidth="1"/>
    <col min="16" max="16" width="7.83203125" style="7" bestFit="1" customWidth="1"/>
    <col min="17" max="17" width="8.5" style="7" bestFit="1" customWidth="1"/>
    <col min="18" max="18" width="21.83203125" style="6" customWidth="1"/>
    <col min="19" max="16384" width="9.1640625" style="3"/>
  </cols>
  <sheetData>
    <row r="1" spans="1:18" s="2" customFormat="1" ht="29" customHeight="1">
      <c r="A1" s="78" t="s">
        <v>859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18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18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9</v>
      </c>
      <c r="M3" s="76"/>
      <c r="N3" s="76"/>
      <c r="O3" s="76"/>
      <c r="P3" s="76" t="s">
        <v>1</v>
      </c>
      <c r="Q3" s="76" t="s">
        <v>3</v>
      </c>
      <c r="R3" s="89" t="s">
        <v>2</v>
      </c>
    </row>
    <row r="4" spans="1:18" s="1" customFormat="1" ht="21" customHeight="1" thickBot="1">
      <c r="A4" s="87"/>
      <c r="B4" s="94"/>
      <c r="C4" s="77"/>
      <c r="D4" s="77"/>
      <c r="E4" s="77"/>
      <c r="F4" s="77"/>
      <c r="G4" s="77"/>
      <c r="H4" s="46">
        <v>1</v>
      </c>
      <c r="I4" s="46">
        <v>2</v>
      </c>
      <c r="J4" s="46">
        <v>3</v>
      </c>
      <c r="K4" s="46" t="s">
        <v>4</v>
      </c>
      <c r="L4" s="46">
        <v>1</v>
      </c>
      <c r="M4" s="46">
        <v>2</v>
      </c>
      <c r="N4" s="46">
        <v>3</v>
      </c>
      <c r="O4" s="46" t="s">
        <v>4</v>
      </c>
      <c r="P4" s="77"/>
      <c r="Q4" s="77"/>
      <c r="R4" s="90"/>
    </row>
    <row r="5" spans="1:18" ht="16">
      <c r="A5" s="95" t="s">
        <v>57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8">
      <c r="A6" s="13" t="s">
        <v>185</v>
      </c>
      <c r="B6" s="12" t="s">
        <v>66</v>
      </c>
      <c r="C6" s="12" t="s">
        <v>67</v>
      </c>
      <c r="D6" s="12" t="s">
        <v>68</v>
      </c>
      <c r="E6" s="12" t="s">
        <v>890</v>
      </c>
      <c r="F6" s="12" t="s">
        <v>36</v>
      </c>
      <c r="G6" s="12" t="s">
        <v>26</v>
      </c>
      <c r="H6" s="26" t="s">
        <v>20</v>
      </c>
      <c r="I6" s="26" t="s">
        <v>21</v>
      </c>
      <c r="J6" s="27" t="s">
        <v>28</v>
      </c>
      <c r="K6" s="13"/>
      <c r="L6" s="26" t="s">
        <v>69</v>
      </c>
      <c r="M6" s="26" t="s">
        <v>49</v>
      </c>
      <c r="N6" s="26" t="s">
        <v>70</v>
      </c>
      <c r="O6" s="13"/>
      <c r="P6" s="13" t="str">
        <f>"162,5"</f>
        <v>162,5</v>
      </c>
      <c r="Q6" s="13" t="str">
        <f>"165,8475"</f>
        <v>165,8475</v>
      </c>
      <c r="R6" s="12" t="s">
        <v>347</v>
      </c>
    </row>
    <row r="7" spans="1:18">
      <c r="B7" s="6" t="s">
        <v>186</v>
      </c>
    </row>
    <row r="8" spans="1:18" ht="16">
      <c r="A8" s="91" t="s">
        <v>71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8">
      <c r="A9" s="13" t="s">
        <v>185</v>
      </c>
      <c r="B9" s="12" t="s">
        <v>72</v>
      </c>
      <c r="C9" s="12" t="s">
        <v>73</v>
      </c>
      <c r="D9" s="12" t="s">
        <v>74</v>
      </c>
      <c r="E9" s="12" t="s">
        <v>890</v>
      </c>
      <c r="F9" s="12" t="s">
        <v>36</v>
      </c>
      <c r="G9" s="12" t="s">
        <v>26</v>
      </c>
      <c r="H9" s="26" t="s">
        <v>28</v>
      </c>
      <c r="I9" s="26" t="s">
        <v>76</v>
      </c>
      <c r="J9" s="27" t="s">
        <v>77</v>
      </c>
      <c r="K9" s="13"/>
      <c r="L9" s="26" t="s">
        <v>78</v>
      </c>
      <c r="M9" s="26" t="s">
        <v>79</v>
      </c>
      <c r="N9" s="27" t="s">
        <v>80</v>
      </c>
      <c r="O9" s="13"/>
      <c r="P9" s="13" t="str">
        <f>"205,0"</f>
        <v>205,0</v>
      </c>
      <c r="Q9" s="13" t="str">
        <f>"203,9340"</f>
        <v>203,9340</v>
      </c>
      <c r="R9" s="12" t="s">
        <v>129</v>
      </c>
    </row>
    <row r="10" spans="1:18">
      <c r="B10" s="6" t="s">
        <v>186</v>
      </c>
    </row>
    <row r="11" spans="1:18" ht="16">
      <c r="A11" s="91" t="s">
        <v>57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8">
      <c r="A12" s="13" t="s">
        <v>185</v>
      </c>
      <c r="B12" s="12" t="s">
        <v>95</v>
      </c>
      <c r="C12" s="12" t="s">
        <v>96</v>
      </c>
      <c r="D12" s="12" t="s">
        <v>97</v>
      </c>
      <c r="E12" s="12" t="s">
        <v>890</v>
      </c>
      <c r="F12" s="12" t="s">
        <v>348</v>
      </c>
      <c r="G12" s="12" t="s">
        <v>26</v>
      </c>
      <c r="H12" s="26" t="s">
        <v>18</v>
      </c>
      <c r="I12" s="26" t="s">
        <v>99</v>
      </c>
      <c r="J12" s="26" t="s">
        <v>49</v>
      </c>
      <c r="K12" s="13"/>
      <c r="L12" s="26" t="s">
        <v>91</v>
      </c>
      <c r="M12" s="26" t="s">
        <v>100</v>
      </c>
      <c r="N12" s="26" t="s">
        <v>101</v>
      </c>
      <c r="O12" s="13"/>
      <c r="P12" s="13" t="str">
        <f>"302,5"</f>
        <v>302,5</v>
      </c>
      <c r="Q12" s="13" t="str">
        <f>"233,4997"</f>
        <v>233,4997</v>
      </c>
      <c r="R12" s="12" t="s">
        <v>129</v>
      </c>
    </row>
    <row r="13" spans="1:18">
      <c r="B13" s="6" t="s">
        <v>186</v>
      </c>
    </row>
    <row r="14" spans="1:18" ht="16">
      <c r="A14" s="91" t="s">
        <v>71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8">
      <c r="A15" s="9" t="s">
        <v>185</v>
      </c>
      <c r="B15" s="8" t="s">
        <v>713</v>
      </c>
      <c r="C15" s="8" t="s">
        <v>714</v>
      </c>
      <c r="D15" s="8" t="s">
        <v>301</v>
      </c>
      <c r="E15" s="8" t="s">
        <v>891</v>
      </c>
      <c r="F15" s="8" t="s">
        <v>213</v>
      </c>
      <c r="G15" s="8" t="s">
        <v>850</v>
      </c>
      <c r="H15" s="23" t="s">
        <v>55</v>
      </c>
      <c r="I15" s="22" t="s">
        <v>455</v>
      </c>
      <c r="J15" s="23" t="s">
        <v>206</v>
      </c>
      <c r="K15" s="9"/>
      <c r="L15" s="22" t="s">
        <v>27</v>
      </c>
      <c r="M15" s="23" t="s">
        <v>17</v>
      </c>
      <c r="N15" s="22" t="s">
        <v>22</v>
      </c>
      <c r="O15" s="9"/>
      <c r="P15" s="9" t="str">
        <f>"172,5"</f>
        <v>172,5</v>
      </c>
      <c r="Q15" s="9" t="str">
        <f>"122,9235"</f>
        <v>122,9235</v>
      </c>
      <c r="R15" s="8" t="s">
        <v>356</v>
      </c>
    </row>
    <row r="16" spans="1:18">
      <c r="A16" s="11" t="s">
        <v>185</v>
      </c>
      <c r="B16" s="10" t="s">
        <v>511</v>
      </c>
      <c r="C16" s="10" t="s">
        <v>512</v>
      </c>
      <c r="D16" s="10" t="s">
        <v>513</v>
      </c>
      <c r="E16" s="10" t="s">
        <v>890</v>
      </c>
      <c r="F16" s="10" t="s">
        <v>433</v>
      </c>
      <c r="G16" s="10" t="s">
        <v>434</v>
      </c>
      <c r="H16" s="24" t="s">
        <v>70</v>
      </c>
      <c r="I16" s="25" t="s">
        <v>42</v>
      </c>
      <c r="J16" s="25" t="s">
        <v>42</v>
      </c>
      <c r="K16" s="11"/>
      <c r="L16" s="25" t="s">
        <v>98</v>
      </c>
      <c r="M16" s="25" t="s">
        <v>110</v>
      </c>
      <c r="N16" s="24" t="s">
        <v>110</v>
      </c>
      <c r="O16" s="11"/>
      <c r="P16" s="11" t="str">
        <f>"280,0"</f>
        <v>280,0</v>
      </c>
      <c r="Q16" s="11" t="str">
        <f>"212,4080"</f>
        <v>212,4080</v>
      </c>
      <c r="R16" s="10" t="s">
        <v>610</v>
      </c>
    </row>
    <row r="17" spans="1:18">
      <c r="B17" s="6" t="s">
        <v>186</v>
      </c>
    </row>
    <row r="18" spans="1:18" ht="16">
      <c r="A18" s="91" t="s">
        <v>134</v>
      </c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8">
      <c r="A19" s="9" t="s">
        <v>185</v>
      </c>
      <c r="B19" s="8" t="s">
        <v>778</v>
      </c>
      <c r="C19" s="8" t="s">
        <v>779</v>
      </c>
      <c r="D19" s="8" t="s">
        <v>194</v>
      </c>
      <c r="E19" s="8" t="s">
        <v>890</v>
      </c>
      <c r="F19" s="8" t="s">
        <v>61</v>
      </c>
      <c r="G19" s="8" t="s">
        <v>26</v>
      </c>
      <c r="H19" s="22" t="s">
        <v>31</v>
      </c>
      <c r="I19" s="22" t="s">
        <v>43</v>
      </c>
      <c r="J19" s="23" t="s">
        <v>85</v>
      </c>
      <c r="K19" s="9"/>
      <c r="L19" s="22" t="s">
        <v>89</v>
      </c>
      <c r="M19" s="22" t="s">
        <v>110</v>
      </c>
      <c r="N19" s="22" t="s">
        <v>100</v>
      </c>
      <c r="O19" s="9"/>
      <c r="P19" s="9" t="str">
        <f>"305,0"</f>
        <v>305,0</v>
      </c>
      <c r="Q19" s="9" t="str">
        <f>"198,2195"</f>
        <v>198,2195</v>
      </c>
      <c r="R19" s="8" t="s">
        <v>622</v>
      </c>
    </row>
    <row r="20" spans="1:18">
      <c r="A20" s="11" t="s">
        <v>187</v>
      </c>
      <c r="B20" s="10" t="s">
        <v>135</v>
      </c>
      <c r="C20" s="10" t="s">
        <v>136</v>
      </c>
      <c r="D20" s="10" t="s">
        <v>137</v>
      </c>
      <c r="E20" s="10" t="s">
        <v>890</v>
      </c>
      <c r="F20" s="10" t="s">
        <v>14</v>
      </c>
      <c r="G20" s="10" t="s">
        <v>15</v>
      </c>
      <c r="H20" s="24" t="s">
        <v>22</v>
      </c>
      <c r="I20" s="24" t="s">
        <v>49</v>
      </c>
      <c r="J20" s="25" t="s">
        <v>37</v>
      </c>
      <c r="K20" s="11"/>
      <c r="L20" s="24" t="s">
        <v>106</v>
      </c>
      <c r="M20" s="24" t="s">
        <v>80</v>
      </c>
      <c r="N20" s="24" t="s">
        <v>89</v>
      </c>
      <c r="O20" s="11"/>
      <c r="P20" s="11" t="str">
        <f>"262,5"</f>
        <v>262,5</v>
      </c>
      <c r="Q20" s="11" t="str">
        <f>"171,8063"</f>
        <v>171,8063</v>
      </c>
      <c r="R20" s="10" t="s">
        <v>349</v>
      </c>
    </row>
    <row r="21" spans="1:18">
      <c r="B21" s="6" t="s">
        <v>186</v>
      </c>
    </row>
    <row r="22" spans="1:18" ht="16">
      <c r="A22" s="91" t="s">
        <v>138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3" spans="1:18">
      <c r="A23" s="9" t="s">
        <v>185</v>
      </c>
      <c r="B23" s="8" t="s">
        <v>780</v>
      </c>
      <c r="C23" s="8" t="s">
        <v>781</v>
      </c>
      <c r="D23" s="8" t="s">
        <v>782</v>
      </c>
      <c r="E23" s="8" t="s">
        <v>890</v>
      </c>
      <c r="F23" s="8" t="s">
        <v>262</v>
      </c>
      <c r="G23" s="8" t="s">
        <v>26</v>
      </c>
      <c r="H23" s="22" t="s">
        <v>85</v>
      </c>
      <c r="I23" s="22" t="s">
        <v>535</v>
      </c>
      <c r="J23" s="23" t="s">
        <v>106</v>
      </c>
      <c r="K23" s="9"/>
      <c r="L23" s="22" t="s">
        <v>100</v>
      </c>
      <c r="M23" s="22" t="s">
        <v>150</v>
      </c>
      <c r="N23" s="22" t="s">
        <v>151</v>
      </c>
      <c r="O23" s="9"/>
      <c r="P23" s="9" t="str">
        <f>"342,5"</f>
        <v>342,5</v>
      </c>
      <c r="Q23" s="9" t="str">
        <f>"209,5415"</f>
        <v>209,5415</v>
      </c>
      <c r="R23" s="8" t="s">
        <v>297</v>
      </c>
    </row>
    <row r="24" spans="1:18">
      <c r="A24" s="11" t="s">
        <v>185</v>
      </c>
      <c r="B24" s="10" t="s">
        <v>783</v>
      </c>
      <c r="C24" s="10" t="s">
        <v>784</v>
      </c>
      <c r="D24" s="10" t="s">
        <v>785</v>
      </c>
      <c r="E24" s="10" t="s">
        <v>894</v>
      </c>
      <c r="F24" s="10" t="s">
        <v>786</v>
      </c>
      <c r="G24" s="10" t="s">
        <v>26</v>
      </c>
      <c r="H24" s="24" t="s">
        <v>98</v>
      </c>
      <c r="I24" s="24" t="s">
        <v>110</v>
      </c>
      <c r="J24" s="24" t="s">
        <v>121</v>
      </c>
      <c r="K24" s="11"/>
      <c r="L24" s="24" t="s">
        <v>128</v>
      </c>
      <c r="M24" s="24" t="s">
        <v>155</v>
      </c>
      <c r="N24" s="25" t="s">
        <v>370</v>
      </c>
      <c r="O24" s="11"/>
      <c r="P24" s="11" t="str">
        <f>"402,5"</f>
        <v>402,5</v>
      </c>
      <c r="Q24" s="11" t="str">
        <f>"284,2978"</f>
        <v>284,2978</v>
      </c>
      <c r="R24" s="10" t="s">
        <v>787</v>
      </c>
    </row>
    <row r="25" spans="1:18">
      <c r="B25" s="6" t="s">
        <v>186</v>
      </c>
    </row>
    <row r="26" spans="1:18" ht="16">
      <c r="A26" s="91" t="s">
        <v>145</v>
      </c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</row>
    <row r="27" spans="1:18">
      <c r="A27" s="13" t="s">
        <v>185</v>
      </c>
      <c r="B27" s="12" t="s">
        <v>788</v>
      </c>
      <c r="C27" s="12" t="s">
        <v>789</v>
      </c>
      <c r="D27" s="12" t="s">
        <v>790</v>
      </c>
      <c r="E27" s="12" t="s">
        <v>890</v>
      </c>
      <c r="F27" s="12" t="s">
        <v>61</v>
      </c>
      <c r="G27" s="12" t="s">
        <v>26</v>
      </c>
      <c r="H27" s="26" t="s">
        <v>133</v>
      </c>
      <c r="I27" s="26" t="s">
        <v>106</v>
      </c>
      <c r="J27" s="27" t="s">
        <v>80</v>
      </c>
      <c r="K27" s="13"/>
      <c r="L27" s="26" t="s">
        <v>150</v>
      </c>
      <c r="M27" s="26" t="s">
        <v>214</v>
      </c>
      <c r="N27" s="26" t="s">
        <v>155</v>
      </c>
      <c r="O27" s="13"/>
      <c r="P27" s="13" t="str">
        <f>"370,0"</f>
        <v>370,0</v>
      </c>
      <c r="Q27" s="13" t="str">
        <f>"219,5950"</f>
        <v>219,5950</v>
      </c>
      <c r="R27" s="12" t="s">
        <v>622</v>
      </c>
    </row>
    <row r="28" spans="1:18">
      <c r="B28" s="6" t="s">
        <v>186</v>
      </c>
    </row>
    <row r="29" spans="1:18" ht="16">
      <c r="B29" s="6" t="s">
        <v>186</v>
      </c>
      <c r="F29" s="16"/>
    </row>
    <row r="30" spans="1:18" ht="16">
      <c r="B30" s="6" t="s">
        <v>186</v>
      </c>
      <c r="F30" s="16"/>
    </row>
    <row r="31" spans="1:18" ht="16">
      <c r="B31" s="6" t="s">
        <v>186</v>
      </c>
      <c r="F31" s="16"/>
    </row>
    <row r="32" spans="1:18" ht="16">
      <c r="B32" s="6" t="s">
        <v>186</v>
      </c>
      <c r="F32" s="16"/>
    </row>
    <row r="33" spans="2:18" ht="16">
      <c r="B33" s="6" t="s">
        <v>186</v>
      </c>
      <c r="F33" s="16"/>
    </row>
    <row r="34" spans="2:18" ht="16">
      <c r="B34" s="6" t="s">
        <v>186</v>
      </c>
      <c r="F34" s="16"/>
    </row>
    <row r="35" spans="2:18" ht="16">
      <c r="B35" s="6" t="s">
        <v>186</v>
      </c>
      <c r="F35" s="16"/>
    </row>
    <row r="36" spans="2:18">
      <c r="B36" s="6" t="s">
        <v>186</v>
      </c>
      <c r="C36" s="7"/>
      <c r="D36" s="7"/>
      <c r="E36" s="7"/>
      <c r="F36" s="7"/>
      <c r="G36" s="7"/>
    </row>
    <row r="37" spans="2:18">
      <c r="B37" s="6" t="s">
        <v>186</v>
      </c>
      <c r="C37" s="7"/>
      <c r="D37" s="7"/>
      <c r="E37" s="7"/>
      <c r="F37" s="7"/>
      <c r="G37" s="7"/>
    </row>
    <row r="38" spans="2:18">
      <c r="B38" s="6" t="s">
        <v>186</v>
      </c>
      <c r="C38" s="7"/>
      <c r="D38" s="7"/>
      <c r="E38" s="7"/>
      <c r="F38" s="7"/>
      <c r="G38" s="7"/>
    </row>
    <row r="39" spans="2:18">
      <c r="B39" s="6" t="s">
        <v>186</v>
      </c>
    </row>
    <row r="40" spans="2:18">
      <c r="B40" s="6" t="s">
        <v>186</v>
      </c>
    </row>
    <row r="41" spans="2:18">
      <c r="B41" s="6" t="s">
        <v>186</v>
      </c>
    </row>
    <row r="42" spans="2:18">
      <c r="B42" s="6" t="s">
        <v>186</v>
      </c>
    </row>
    <row r="43" spans="2:18">
      <c r="B43" s="6" t="s">
        <v>186</v>
      </c>
    </row>
    <row r="44" spans="2:18">
      <c r="B44" s="6" t="s">
        <v>186</v>
      </c>
    </row>
    <row r="45" spans="2:18">
      <c r="B45" s="6" t="s">
        <v>186</v>
      </c>
    </row>
    <row r="46" spans="2:18">
      <c r="B46" s="6" t="s">
        <v>186</v>
      </c>
      <c r="K46" s="6"/>
      <c r="L46" s="3"/>
      <c r="M46" s="3"/>
      <c r="N46" s="3"/>
      <c r="O46" s="3"/>
      <c r="P46" s="3"/>
      <c r="Q46" s="3"/>
      <c r="R46" s="3"/>
    </row>
    <row r="47" spans="2:18">
      <c r="B47" s="6" t="s">
        <v>186</v>
      </c>
      <c r="K47" s="6"/>
      <c r="L47" s="3"/>
      <c r="M47" s="3"/>
      <c r="N47" s="3"/>
      <c r="O47" s="3"/>
      <c r="P47" s="3"/>
      <c r="Q47" s="3"/>
      <c r="R47" s="3"/>
    </row>
    <row r="48" spans="2:18">
      <c r="K48" s="6"/>
      <c r="L48" s="3"/>
      <c r="M48" s="3"/>
      <c r="N48" s="3"/>
      <c r="O48" s="3"/>
      <c r="P48" s="3"/>
      <c r="Q48" s="3"/>
      <c r="R48" s="3"/>
    </row>
    <row r="49" spans="11:18">
      <c r="K49" s="6"/>
      <c r="L49" s="3"/>
      <c r="M49" s="3"/>
      <c r="N49" s="3"/>
      <c r="O49" s="3"/>
      <c r="P49" s="3"/>
      <c r="Q49" s="3"/>
      <c r="R49" s="3"/>
    </row>
    <row r="50" spans="11:18">
      <c r="K50" s="6"/>
      <c r="L50" s="3"/>
      <c r="M50" s="3"/>
      <c r="N50" s="3"/>
      <c r="O50" s="3"/>
      <c r="P50" s="3"/>
      <c r="Q50" s="3"/>
      <c r="R50" s="3"/>
    </row>
  </sheetData>
  <mergeCells count="20"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Q3:Q4"/>
    <mergeCell ref="R3:R4"/>
    <mergeCell ref="A22:O22"/>
    <mergeCell ref="A26:O26"/>
    <mergeCell ref="P3:P4"/>
    <mergeCell ref="A5:O5"/>
    <mergeCell ref="A8:O8"/>
    <mergeCell ref="A11:O11"/>
    <mergeCell ref="A14:O14"/>
    <mergeCell ref="A18:O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2"/>
  <sheetViews>
    <sheetView workbookViewId="0">
      <selection activeCell="D3" sqref="D3:D4"/>
    </sheetView>
  </sheetViews>
  <sheetFormatPr baseColWidth="10" defaultColWidth="9.1640625" defaultRowHeight="13"/>
  <cols>
    <col min="1" max="1" width="7.5" style="6" bestFit="1" customWidth="1"/>
    <col min="2" max="2" width="19.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2.66406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5" width="5.5" style="7" customWidth="1"/>
    <col min="16" max="16" width="7.83203125" style="7" bestFit="1" customWidth="1"/>
    <col min="17" max="17" width="8.5" style="7" bestFit="1" customWidth="1"/>
    <col min="18" max="18" width="18.5" style="6" customWidth="1"/>
    <col min="19" max="16384" width="9.1640625" style="3"/>
  </cols>
  <sheetData>
    <row r="1" spans="1:18" s="2" customFormat="1" ht="29" customHeight="1">
      <c r="A1" s="78" t="s">
        <v>860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18" s="2" customFormat="1" ht="60.75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</row>
    <row r="3" spans="1:18" s="1" customFormat="1" ht="14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9</v>
      </c>
      <c r="M3" s="76"/>
      <c r="N3" s="76"/>
      <c r="O3" s="76"/>
      <c r="P3" s="76" t="s">
        <v>1</v>
      </c>
      <c r="Q3" s="76" t="s">
        <v>3</v>
      </c>
      <c r="R3" s="89" t="s">
        <v>2</v>
      </c>
    </row>
    <row r="4" spans="1:18" s="1" customFormat="1" ht="15" thickBot="1">
      <c r="A4" s="87"/>
      <c r="B4" s="94"/>
      <c r="C4" s="77"/>
      <c r="D4" s="77"/>
      <c r="E4" s="77"/>
      <c r="F4" s="77"/>
      <c r="G4" s="77"/>
      <c r="H4" s="47">
        <v>1</v>
      </c>
      <c r="I4" s="47">
        <v>2</v>
      </c>
      <c r="J4" s="47">
        <v>3</v>
      </c>
      <c r="K4" s="47" t="s">
        <v>4</v>
      </c>
      <c r="L4" s="47">
        <v>1</v>
      </c>
      <c r="M4" s="47">
        <v>2</v>
      </c>
      <c r="N4" s="47">
        <v>3</v>
      </c>
      <c r="O4" s="47" t="s">
        <v>4</v>
      </c>
      <c r="P4" s="77"/>
      <c r="Q4" s="77"/>
      <c r="R4" s="90"/>
    </row>
    <row r="5" spans="1:18" ht="16">
      <c r="A5" s="95" t="s">
        <v>32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8">
      <c r="A6" s="13" t="s">
        <v>185</v>
      </c>
      <c r="B6" s="12" t="s">
        <v>280</v>
      </c>
      <c r="C6" s="12" t="s">
        <v>281</v>
      </c>
      <c r="D6" s="12" t="s">
        <v>282</v>
      </c>
      <c r="E6" s="12" t="s">
        <v>890</v>
      </c>
      <c r="F6" s="12" t="s">
        <v>36</v>
      </c>
      <c r="G6" s="12" t="s">
        <v>26</v>
      </c>
      <c r="H6" s="26" t="s">
        <v>75</v>
      </c>
      <c r="I6" s="26" t="s">
        <v>70</v>
      </c>
      <c r="J6" s="27" t="s">
        <v>284</v>
      </c>
      <c r="K6" s="13"/>
      <c r="L6" s="26" t="s">
        <v>89</v>
      </c>
      <c r="M6" s="26" t="s">
        <v>110</v>
      </c>
      <c r="N6" s="26" t="s">
        <v>100</v>
      </c>
      <c r="O6" s="27" t="s">
        <v>285</v>
      </c>
      <c r="P6" s="13" t="str">
        <f>"290,0"</f>
        <v>290,0</v>
      </c>
      <c r="Q6" s="13" t="str">
        <f>"351,0740"</f>
        <v>351,0740</v>
      </c>
      <c r="R6" s="12" t="s">
        <v>129</v>
      </c>
    </row>
    <row r="7" spans="1:18">
      <c r="B7" s="6" t="s">
        <v>186</v>
      </c>
    </row>
    <row r="8" spans="1:18" ht="16">
      <c r="A8" s="91" t="s">
        <v>156</v>
      </c>
      <c r="B8" s="9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8">
      <c r="A9" s="13" t="s">
        <v>185</v>
      </c>
      <c r="B9" s="12" t="s">
        <v>292</v>
      </c>
      <c r="C9" s="12" t="s">
        <v>293</v>
      </c>
      <c r="D9" s="12" t="s">
        <v>294</v>
      </c>
      <c r="E9" s="12" t="s">
        <v>892</v>
      </c>
      <c r="F9" s="12" t="s">
        <v>262</v>
      </c>
      <c r="G9" s="12" t="s">
        <v>295</v>
      </c>
      <c r="H9" s="26" t="s">
        <v>150</v>
      </c>
      <c r="I9" s="27" t="s">
        <v>93</v>
      </c>
      <c r="J9" s="26" t="s">
        <v>93</v>
      </c>
      <c r="K9" s="13"/>
      <c r="L9" s="26" t="s">
        <v>253</v>
      </c>
      <c r="M9" s="26" t="s">
        <v>265</v>
      </c>
      <c r="N9" s="26" t="s">
        <v>239</v>
      </c>
      <c r="O9" s="13"/>
      <c r="P9" s="13" t="str">
        <f>"520,0"</f>
        <v>520,0</v>
      </c>
      <c r="Q9" s="13" t="str">
        <f>"298,9272"</f>
        <v>298,9272</v>
      </c>
      <c r="R9" s="12" t="s">
        <v>297</v>
      </c>
    </row>
    <row r="10" spans="1:18">
      <c r="B10" s="6" t="s">
        <v>186</v>
      </c>
    </row>
    <row r="11" spans="1:18" ht="16">
      <c r="B11" s="6" t="s">
        <v>186</v>
      </c>
      <c r="F11" s="16"/>
    </row>
    <row r="12" spans="1:18" ht="16">
      <c r="B12" s="6" t="s">
        <v>186</v>
      </c>
      <c r="F12" s="16"/>
    </row>
    <row r="13" spans="1:18" ht="16">
      <c r="B13" s="6" t="s">
        <v>186</v>
      </c>
      <c r="F13" s="16"/>
    </row>
    <row r="14" spans="1:18" ht="16">
      <c r="B14" s="6" t="s">
        <v>186</v>
      </c>
      <c r="F14" s="16"/>
    </row>
    <row r="15" spans="1:18" ht="16">
      <c r="B15" s="6" t="s">
        <v>186</v>
      </c>
      <c r="F15" s="16"/>
    </row>
    <row r="16" spans="1:18">
      <c r="B16" s="7"/>
      <c r="C16" s="7"/>
      <c r="D16" s="7"/>
      <c r="E16" s="7"/>
      <c r="F16" s="7"/>
      <c r="G16" s="7"/>
      <c r="L16" s="6"/>
      <c r="M16" s="3"/>
      <c r="N16" s="3"/>
      <c r="O16" s="3"/>
      <c r="P16" s="3"/>
      <c r="Q16" s="3"/>
      <c r="R16" s="3"/>
    </row>
    <row r="17" spans="2:18">
      <c r="B17" s="7"/>
      <c r="C17" s="7"/>
      <c r="D17" s="7"/>
      <c r="E17" s="7"/>
      <c r="F17" s="7"/>
      <c r="G17" s="7"/>
      <c r="L17" s="6"/>
      <c r="M17" s="3"/>
      <c r="N17" s="3"/>
      <c r="O17" s="3"/>
      <c r="P17" s="3"/>
      <c r="Q17" s="3"/>
      <c r="R17" s="3"/>
    </row>
    <row r="18" spans="2:18">
      <c r="B18" s="7"/>
      <c r="C18" s="7"/>
      <c r="D18" s="7"/>
      <c r="E18" s="7"/>
      <c r="F18" s="7"/>
      <c r="G18" s="7"/>
      <c r="L18" s="6"/>
      <c r="M18" s="3"/>
      <c r="N18" s="3"/>
      <c r="O18" s="3"/>
      <c r="P18" s="3"/>
      <c r="Q18" s="3"/>
      <c r="R18" s="3"/>
    </row>
    <row r="19" spans="2:18">
      <c r="B19" s="7"/>
      <c r="C19" s="7"/>
      <c r="D19" s="7"/>
      <c r="E19" s="7"/>
      <c r="F19" s="7"/>
      <c r="G19" s="7"/>
      <c r="L19" s="6"/>
      <c r="M19" s="3"/>
      <c r="N19" s="3"/>
      <c r="O19" s="3"/>
      <c r="P19" s="3"/>
      <c r="Q19" s="3"/>
      <c r="R19" s="3"/>
    </row>
    <row r="20" spans="2:18">
      <c r="B20" s="7"/>
      <c r="C20" s="7"/>
      <c r="D20" s="7"/>
      <c r="E20" s="7"/>
      <c r="F20" s="7"/>
      <c r="G20" s="7"/>
      <c r="L20" s="6"/>
      <c r="M20" s="3"/>
      <c r="N20" s="3"/>
      <c r="O20" s="3"/>
      <c r="P20" s="3"/>
      <c r="Q20" s="3"/>
      <c r="R20" s="3"/>
    </row>
    <row r="21" spans="2:18">
      <c r="B21" s="7"/>
      <c r="C21" s="7"/>
      <c r="D21" s="7"/>
      <c r="E21" s="7"/>
      <c r="F21" s="7"/>
      <c r="G21" s="7"/>
      <c r="L21" s="6"/>
      <c r="M21" s="3"/>
      <c r="N21" s="3"/>
      <c r="O21" s="3"/>
      <c r="P21" s="3"/>
      <c r="Q21" s="3"/>
      <c r="R21" s="3"/>
    </row>
    <row r="22" spans="2:18">
      <c r="B22" s="7"/>
      <c r="C22" s="7"/>
      <c r="D22" s="7"/>
      <c r="E22" s="7"/>
      <c r="F22" s="7"/>
      <c r="G22" s="7"/>
      <c r="L22" s="6"/>
      <c r="M22" s="3"/>
      <c r="N22" s="3"/>
      <c r="O22" s="3"/>
      <c r="P22" s="3"/>
      <c r="Q22" s="3"/>
      <c r="R22" s="3"/>
    </row>
    <row r="23" spans="2:18">
      <c r="B23" s="7"/>
      <c r="C23" s="7"/>
      <c r="D23" s="7"/>
      <c r="E23" s="7"/>
      <c r="F23" s="7"/>
      <c r="G23" s="7"/>
      <c r="L23" s="6"/>
      <c r="M23" s="3"/>
      <c r="N23" s="3"/>
      <c r="O23" s="3"/>
      <c r="P23" s="3"/>
      <c r="Q23" s="3"/>
      <c r="R23" s="3"/>
    </row>
    <row r="24" spans="2:18">
      <c r="B24" s="7"/>
      <c r="C24" s="7"/>
      <c r="D24" s="7"/>
      <c r="E24" s="7"/>
      <c r="F24" s="7"/>
      <c r="G24" s="7"/>
      <c r="L24" s="6"/>
      <c r="M24" s="3"/>
      <c r="N24" s="3"/>
      <c r="O24" s="3"/>
      <c r="P24" s="3"/>
      <c r="Q24" s="3"/>
      <c r="R24" s="3"/>
    </row>
    <row r="25" spans="2:18">
      <c r="B25" s="7"/>
      <c r="C25" s="7"/>
      <c r="D25" s="7"/>
      <c r="E25" s="7"/>
      <c r="F25" s="7"/>
      <c r="G25" s="7"/>
      <c r="L25" s="6"/>
      <c r="M25" s="3"/>
      <c r="N25" s="3"/>
      <c r="O25" s="3"/>
      <c r="P25" s="3"/>
      <c r="Q25" s="3"/>
      <c r="R25" s="3"/>
    </row>
    <row r="26" spans="2:18">
      <c r="B26" s="7"/>
      <c r="C26" s="7"/>
      <c r="D26" s="7"/>
      <c r="E26" s="7"/>
      <c r="F26" s="7"/>
      <c r="G26" s="7"/>
      <c r="L26" s="6"/>
      <c r="M26" s="3"/>
      <c r="N26" s="3"/>
      <c r="O26" s="3"/>
      <c r="P26" s="3"/>
      <c r="Q26" s="3"/>
      <c r="R26" s="3"/>
    </row>
    <row r="27" spans="2:18">
      <c r="B27" s="7"/>
      <c r="C27" s="7"/>
      <c r="D27" s="7"/>
      <c r="E27" s="7"/>
      <c r="F27" s="7"/>
      <c r="G27" s="7"/>
      <c r="L27" s="6"/>
      <c r="M27" s="3"/>
      <c r="N27" s="3"/>
      <c r="O27" s="3"/>
      <c r="P27" s="3"/>
      <c r="Q27" s="3"/>
      <c r="R27" s="3"/>
    </row>
    <row r="28" spans="2:18">
      <c r="B28" s="7"/>
      <c r="C28" s="7"/>
      <c r="D28" s="7"/>
      <c r="E28" s="7"/>
      <c r="F28" s="7"/>
      <c r="G28" s="7"/>
      <c r="L28" s="6"/>
      <c r="M28" s="3"/>
      <c r="N28" s="3"/>
      <c r="O28" s="3"/>
      <c r="P28" s="3"/>
      <c r="Q28" s="3"/>
      <c r="R28" s="3"/>
    </row>
    <row r="29" spans="2:18">
      <c r="B29" s="7"/>
      <c r="C29" s="7"/>
      <c r="D29" s="7"/>
      <c r="E29" s="7"/>
      <c r="F29" s="7"/>
      <c r="G29" s="7"/>
      <c r="L29" s="6"/>
      <c r="M29" s="3"/>
      <c r="N29" s="3"/>
      <c r="O29" s="3"/>
      <c r="P29" s="3"/>
      <c r="Q29" s="3"/>
      <c r="R29" s="3"/>
    </row>
    <row r="30" spans="2:18">
      <c r="B30" s="7"/>
      <c r="C30" s="7"/>
      <c r="D30" s="7"/>
      <c r="E30" s="7"/>
      <c r="F30" s="7"/>
      <c r="G30" s="7"/>
      <c r="L30" s="6"/>
      <c r="M30" s="3"/>
      <c r="N30" s="3"/>
      <c r="O30" s="3"/>
      <c r="P30" s="3"/>
      <c r="Q30" s="3"/>
      <c r="R30" s="3"/>
    </row>
    <row r="31" spans="2:18">
      <c r="B31" s="7"/>
      <c r="C31" s="7"/>
      <c r="D31" s="7"/>
      <c r="E31" s="7"/>
      <c r="F31" s="7"/>
      <c r="G31" s="7"/>
      <c r="L31" s="6"/>
      <c r="M31" s="3"/>
      <c r="N31" s="3"/>
      <c r="O31" s="3"/>
      <c r="P31" s="3"/>
      <c r="Q31" s="3"/>
      <c r="R31" s="3"/>
    </row>
    <row r="32" spans="2:18">
      <c r="B32" s="7"/>
      <c r="C32" s="7"/>
      <c r="D32" s="7"/>
      <c r="E32" s="7"/>
      <c r="F32" s="7"/>
      <c r="G32" s="7"/>
      <c r="L32" s="6"/>
      <c r="M32" s="3"/>
      <c r="N32" s="3"/>
      <c r="O32" s="3"/>
      <c r="P32" s="3"/>
      <c r="Q32" s="3"/>
      <c r="R32" s="3"/>
    </row>
  </sheetData>
  <mergeCells count="15">
    <mergeCell ref="A5:O5"/>
    <mergeCell ref="A8:O8"/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P4"/>
    <mergeCell ref="Q3:Q4"/>
    <mergeCell ref="R3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6"/>
  <sheetViews>
    <sheetView workbookViewId="0">
      <selection activeCell="E101" sqref="E101"/>
    </sheetView>
  </sheetViews>
  <sheetFormatPr baseColWidth="10" defaultColWidth="9.1640625" defaultRowHeight="13"/>
  <cols>
    <col min="1" max="1" width="7.5" style="6" bestFit="1" customWidth="1"/>
    <col min="2" max="2" width="21" style="6" bestFit="1" customWidth="1"/>
    <col min="3" max="3" width="27.83203125" style="6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65" bestFit="1" customWidth="1"/>
    <col min="13" max="13" width="8.5" style="7" bestFit="1" customWidth="1"/>
    <col min="14" max="14" width="22.83203125" style="6" customWidth="1"/>
    <col min="15" max="16384" width="9.1640625" style="3"/>
  </cols>
  <sheetData>
    <row r="1" spans="1:14" s="2" customFormat="1" ht="29" customHeight="1">
      <c r="A1" s="78" t="s">
        <v>861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 t="s">
        <v>5</v>
      </c>
      <c r="G3" s="76" t="s">
        <v>5</v>
      </c>
      <c r="H3" s="76" t="s">
        <v>8</v>
      </c>
      <c r="I3" s="76"/>
      <c r="J3" s="76"/>
      <c r="K3" s="76"/>
      <c r="L3" s="97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39">
        <v>1</v>
      </c>
      <c r="I4" s="39">
        <v>2</v>
      </c>
      <c r="J4" s="39">
        <v>3</v>
      </c>
      <c r="K4" s="39" t="s">
        <v>4</v>
      </c>
      <c r="L4" s="98"/>
      <c r="M4" s="77"/>
      <c r="N4" s="90"/>
    </row>
    <row r="5" spans="1:14" ht="16">
      <c r="A5" s="95" t="s">
        <v>358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359</v>
      </c>
      <c r="C6" s="12" t="s">
        <v>360</v>
      </c>
      <c r="D6" s="12" t="s">
        <v>361</v>
      </c>
      <c r="E6" s="12" t="s">
        <v>890</v>
      </c>
      <c r="F6" s="12" t="s">
        <v>213</v>
      </c>
      <c r="G6" s="12" t="s">
        <v>850</v>
      </c>
      <c r="H6" s="26" t="s">
        <v>20</v>
      </c>
      <c r="I6" s="26" t="s">
        <v>28</v>
      </c>
      <c r="J6" s="27" t="s">
        <v>76</v>
      </c>
      <c r="K6" s="13"/>
      <c r="L6" s="66" t="str">
        <f>"55,0"</f>
        <v>55,0</v>
      </c>
      <c r="M6" s="13" t="str">
        <f>"73,2930"</f>
        <v>73,2930</v>
      </c>
      <c r="N6" s="12" t="s">
        <v>609</v>
      </c>
    </row>
    <row r="7" spans="1:14">
      <c r="B7" s="6" t="s">
        <v>186</v>
      </c>
    </row>
    <row r="8" spans="1:14" ht="16">
      <c r="A8" s="91" t="s">
        <v>10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9" t="s">
        <v>185</v>
      </c>
      <c r="B9" s="8" t="s">
        <v>430</v>
      </c>
      <c r="C9" s="8" t="s">
        <v>431</v>
      </c>
      <c r="D9" s="8" t="s">
        <v>432</v>
      </c>
      <c r="E9" s="8" t="s">
        <v>893</v>
      </c>
      <c r="F9" s="8" t="s">
        <v>433</v>
      </c>
      <c r="G9" s="8" t="s">
        <v>434</v>
      </c>
      <c r="H9" s="22" t="s">
        <v>56</v>
      </c>
      <c r="I9" s="22" t="s">
        <v>47</v>
      </c>
      <c r="J9" s="23" t="s">
        <v>64</v>
      </c>
      <c r="K9" s="9"/>
      <c r="L9" s="67" t="str">
        <f>"40,0"</f>
        <v>40,0</v>
      </c>
      <c r="M9" s="9" t="str">
        <f>"50,8440"</f>
        <v>50,8440</v>
      </c>
      <c r="N9" s="8" t="s">
        <v>610</v>
      </c>
    </row>
    <row r="10" spans="1:14">
      <c r="A10" s="11" t="s">
        <v>185</v>
      </c>
      <c r="B10" s="10" t="s">
        <v>435</v>
      </c>
      <c r="C10" s="10" t="s">
        <v>436</v>
      </c>
      <c r="D10" s="10" t="s">
        <v>25</v>
      </c>
      <c r="E10" s="10" t="s">
        <v>890</v>
      </c>
      <c r="F10" s="10" t="s">
        <v>348</v>
      </c>
      <c r="G10" s="10" t="s">
        <v>26</v>
      </c>
      <c r="H10" s="24" t="s">
        <v>29</v>
      </c>
      <c r="I10" s="24" t="s">
        <v>76</v>
      </c>
      <c r="J10" s="11"/>
      <c r="K10" s="11"/>
      <c r="L10" s="68" t="str">
        <f>"60,0"</f>
        <v>60,0</v>
      </c>
      <c r="M10" s="11" t="str">
        <f>"74,9100"</f>
        <v>74,9100</v>
      </c>
      <c r="N10" s="10" t="s">
        <v>611</v>
      </c>
    </row>
    <row r="11" spans="1:14">
      <c r="B11" s="6" t="s">
        <v>186</v>
      </c>
    </row>
    <row r="12" spans="1:14" ht="16">
      <c r="A12" s="91" t="s">
        <v>32</v>
      </c>
      <c r="B12" s="91"/>
      <c r="C12" s="92"/>
      <c r="D12" s="92"/>
      <c r="E12" s="92"/>
      <c r="F12" s="92"/>
      <c r="G12" s="92"/>
      <c r="H12" s="92"/>
      <c r="I12" s="92"/>
      <c r="J12" s="92"/>
      <c r="K12" s="92"/>
    </row>
    <row r="13" spans="1:14">
      <c r="A13" s="9" t="s">
        <v>185</v>
      </c>
      <c r="B13" s="8" t="s">
        <v>437</v>
      </c>
      <c r="C13" s="8" t="s">
        <v>438</v>
      </c>
      <c r="D13" s="8" t="s">
        <v>439</v>
      </c>
      <c r="E13" s="8" t="s">
        <v>891</v>
      </c>
      <c r="F13" s="8" t="s">
        <v>61</v>
      </c>
      <c r="G13" s="8" t="s">
        <v>26</v>
      </c>
      <c r="H13" s="22" t="s">
        <v>56</v>
      </c>
      <c r="I13" s="22" t="s">
        <v>47</v>
      </c>
      <c r="J13" s="22" t="s">
        <v>64</v>
      </c>
      <c r="K13" s="9"/>
      <c r="L13" s="67" t="str">
        <f>"42,5"</f>
        <v>42,5</v>
      </c>
      <c r="M13" s="9" t="str">
        <f>"50,2180"</f>
        <v>50,2180</v>
      </c>
      <c r="N13" s="8" t="s">
        <v>612</v>
      </c>
    </row>
    <row r="14" spans="1:14">
      <c r="A14" s="15" t="s">
        <v>185</v>
      </c>
      <c r="B14" s="14" t="s">
        <v>33</v>
      </c>
      <c r="C14" s="14" t="s">
        <v>34</v>
      </c>
      <c r="D14" s="14" t="s">
        <v>35</v>
      </c>
      <c r="E14" s="14" t="s">
        <v>890</v>
      </c>
      <c r="F14" s="14" t="s">
        <v>36</v>
      </c>
      <c r="G14" s="14" t="s">
        <v>26</v>
      </c>
      <c r="H14" s="28" t="s">
        <v>40</v>
      </c>
      <c r="I14" s="29" t="s">
        <v>41</v>
      </c>
      <c r="J14" s="29" t="s">
        <v>41</v>
      </c>
      <c r="K14" s="15"/>
      <c r="L14" s="70" t="str">
        <f>"65,0"</f>
        <v>65,0</v>
      </c>
      <c r="M14" s="15" t="str">
        <f>"76,4790"</f>
        <v>76,4790</v>
      </c>
      <c r="N14" s="14" t="s">
        <v>129</v>
      </c>
    </row>
    <row r="15" spans="1:14">
      <c r="A15" s="11" t="s">
        <v>187</v>
      </c>
      <c r="B15" s="10" t="s">
        <v>381</v>
      </c>
      <c r="C15" s="10" t="s">
        <v>382</v>
      </c>
      <c r="D15" s="10" t="s">
        <v>383</v>
      </c>
      <c r="E15" s="10" t="s">
        <v>890</v>
      </c>
      <c r="F15" s="10" t="s">
        <v>348</v>
      </c>
      <c r="G15" s="10" t="s">
        <v>26</v>
      </c>
      <c r="H15" s="24" t="s">
        <v>76</v>
      </c>
      <c r="I15" s="25" t="s">
        <v>77</v>
      </c>
      <c r="J15" s="25" t="s">
        <v>77</v>
      </c>
      <c r="K15" s="11"/>
      <c r="L15" s="68" t="str">
        <f>"60,0"</f>
        <v>60,0</v>
      </c>
      <c r="M15" s="11" t="str">
        <f>"70,6980"</f>
        <v>70,6980</v>
      </c>
      <c r="N15" s="10" t="s">
        <v>418</v>
      </c>
    </row>
    <row r="16" spans="1:14">
      <c r="B16" s="6" t="s">
        <v>186</v>
      </c>
    </row>
    <row r="17" spans="1:14" ht="16">
      <c r="A17" s="91" t="s">
        <v>50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</row>
    <row r="18" spans="1:14">
      <c r="A18" s="9" t="s">
        <v>185</v>
      </c>
      <c r="B18" s="8" t="s">
        <v>440</v>
      </c>
      <c r="C18" s="8" t="s">
        <v>441</v>
      </c>
      <c r="D18" s="8" t="s">
        <v>442</v>
      </c>
      <c r="E18" s="8" t="s">
        <v>891</v>
      </c>
      <c r="F18" s="8" t="s">
        <v>61</v>
      </c>
      <c r="G18" s="8" t="s">
        <v>26</v>
      </c>
      <c r="H18" s="22" t="s">
        <v>48</v>
      </c>
      <c r="I18" s="22" t="s">
        <v>21</v>
      </c>
      <c r="J18" s="23" t="s">
        <v>29</v>
      </c>
      <c r="K18" s="9"/>
      <c r="L18" s="67" t="str">
        <f>"52,5"</f>
        <v>52,5</v>
      </c>
      <c r="M18" s="59" t="str">
        <f>"60,1807"</f>
        <v>60,1807</v>
      </c>
      <c r="N18" s="8" t="s">
        <v>612</v>
      </c>
    </row>
    <row r="19" spans="1:14">
      <c r="A19" s="15" t="s">
        <v>187</v>
      </c>
      <c r="B19" s="14" t="s">
        <v>443</v>
      </c>
      <c r="C19" s="14" t="s">
        <v>444</v>
      </c>
      <c r="D19" s="14" t="s">
        <v>445</v>
      </c>
      <c r="E19" s="14" t="s">
        <v>891</v>
      </c>
      <c r="F19" s="14" t="s">
        <v>54</v>
      </c>
      <c r="G19" s="14" t="s">
        <v>26</v>
      </c>
      <c r="H19" s="28" t="s">
        <v>446</v>
      </c>
      <c r="I19" s="28" t="s">
        <v>447</v>
      </c>
      <c r="J19" s="28" t="s">
        <v>448</v>
      </c>
      <c r="K19" s="15"/>
      <c r="L19" s="70" t="str">
        <f>"32,5"</f>
        <v>32,5</v>
      </c>
      <c r="M19" s="69" t="str">
        <f>"36,9037"</f>
        <v>36,9037</v>
      </c>
      <c r="N19" s="14" t="s">
        <v>196</v>
      </c>
    </row>
    <row r="20" spans="1:14">
      <c r="A20" s="15" t="s">
        <v>185</v>
      </c>
      <c r="B20" s="14" t="s">
        <v>449</v>
      </c>
      <c r="C20" s="14" t="s">
        <v>450</v>
      </c>
      <c r="D20" s="14" t="s">
        <v>451</v>
      </c>
      <c r="E20" s="14" t="s">
        <v>889</v>
      </c>
      <c r="F20" s="14" t="s">
        <v>61</v>
      </c>
      <c r="G20" s="14" t="s">
        <v>26</v>
      </c>
      <c r="H20" s="28" t="s">
        <v>447</v>
      </c>
      <c r="I20" s="28" t="s">
        <v>56</v>
      </c>
      <c r="J20" s="29" t="s">
        <v>47</v>
      </c>
      <c r="K20" s="15"/>
      <c r="L20" s="70" t="str">
        <f>"35,0"</f>
        <v>35,0</v>
      </c>
      <c r="M20" s="69" t="str">
        <f>"39,6375"</f>
        <v>39,6375</v>
      </c>
      <c r="N20" s="14" t="s">
        <v>612</v>
      </c>
    </row>
    <row r="21" spans="1:14">
      <c r="A21" s="15" t="s">
        <v>185</v>
      </c>
      <c r="B21" s="14" t="s">
        <v>452</v>
      </c>
      <c r="C21" s="14" t="s">
        <v>453</v>
      </c>
      <c r="D21" s="14" t="s">
        <v>454</v>
      </c>
      <c r="E21" s="14" t="s">
        <v>893</v>
      </c>
      <c r="F21" s="14" t="s">
        <v>61</v>
      </c>
      <c r="G21" s="14" t="s">
        <v>26</v>
      </c>
      <c r="H21" s="28" t="s">
        <v>41</v>
      </c>
      <c r="I21" s="28" t="s">
        <v>455</v>
      </c>
      <c r="J21" s="29" t="s">
        <v>456</v>
      </c>
      <c r="K21" s="15"/>
      <c r="L21" s="70" t="str">
        <f>"72,5"</f>
        <v>72,5</v>
      </c>
      <c r="M21" s="69" t="str">
        <f>"81,6785"</f>
        <v>81,6785</v>
      </c>
      <c r="N21" s="14" t="s">
        <v>422</v>
      </c>
    </row>
    <row r="22" spans="1:14">
      <c r="A22" s="15" t="s">
        <v>187</v>
      </c>
      <c r="B22" s="14" t="s">
        <v>457</v>
      </c>
      <c r="C22" s="14" t="s">
        <v>458</v>
      </c>
      <c r="D22" s="14" t="s">
        <v>459</v>
      </c>
      <c r="E22" s="14" t="s">
        <v>893</v>
      </c>
      <c r="F22" s="14" t="s">
        <v>14</v>
      </c>
      <c r="G22" s="14" t="s">
        <v>15</v>
      </c>
      <c r="H22" s="28" t="s">
        <v>20</v>
      </c>
      <c r="I22" s="28" t="s">
        <v>21</v>
      </c>
      <c r="J22" s="29" t="s">
        <v>28</v>
      </c>
      <c r="K22" s="15"/>
      <c r="L22" s="70" t="str">
        <f>"52,5"</f>
        <v>52,5</v>
      </c>
      <c r="M22" s="69" t="str">
        <f>"58,9102"</f>
        <v>58,9102</v>
      </c>
      <c r="N22" s="14" t="s">
        <v>613</v>
      </c>
    </row>
    <row r="23" spans="1:14">
      <c r="A23" s="15" t="s">
        <v>313</v>
      </c>
      <c r="B23" s="14" t="s">
        <v>460</v>
      </c>
      <c r="C23" s="14" t="s">
        <v>461</v>
      </c>
      <c r="D23" s="14" t="s">
        <v>462</v>
      </c>
      <c r="E23" s="14" t="s">
        <v>893</v>
      </c>
      <c r="F23" s="14" t="s">
        <v>61</v>
      </c>
      <c r="G23" s="14" t="s">
        <v>463</v>
      </c>
      <c r="H23" s="28" t="s">
        <v>64</v>
      </c>
      <c r="I23" s="29" t="s">
        <v>19</v>
      </c>
      <c r="J23" s="29" t="s">
        <v>19</v>
      </c>
      <c r="K23" s="15"/>
      <c r="L23" s="70" t="str">
        <f>"42,5"</f>
        <v>42,5</v>
      </c>
      <c r="M23" s="69" t="str">
        <f>"48,6498"</f>
        <v>48,6498</v>
      </c>
      <c r="N23" s="14" t="s">
        <v>422</v>
      </c>
    </row>
    <row r="24" spans="1:14">
      <c r="A24" s="11" t="s">
        <v>185</v>
      </c>
      <c r="B24" s="10" t="s">
        <v>452</v>
      </c>
      <c r="C24" s="10" t="s">
        <v>464</v>
      </c>
      <c r="D24" s="10" t="s">
        <v>454</v>
      </c>
      <c r="E24" s="10" t="s">
        <v>890</v>
      </c>
      <c r="F24" s="10" t="s">
        <v>61</v>
      </c>
      <c r="G24" s="10" t="s">
        <v>26</v>
      </c>
      <c r="H24" s="24" t="s">
        <v>41</v>
      </c>
      <c r="I24" s="24" t="s">
        <v>455</v>
      </c>
      <c r="J24" s="25" t="s">
        <v>456</v>
      </c>
      <c r="K24" s="11"/>
      <c r="L24" s="68" t="str">
        <f>"72,5"</f>
        <v>72,5</v>
      </c>
      <c r="M24" s="60" t="str">
        <f>"81,6785"</f>
        <v>81,6785</v>
      </c>
      <c r="N24" s="10" t="s">
        <v>422</v>
      </c>
    </row>
    <row r="25" spans="1:14">
      <c r="B25" s="6" t="s">
        <v>186</v>
      </c>
    </row>
    <row r="26" spans="1:14" ht="16">
      <c r="A26" s="91" t="s">
        <v>57</v>
      </c>
      <c r="B26" s="91"/>
      <c r="C26" s="92"/>
      <c r="D26" s="92"/>
      <c r="E26" s="92"/>
      <c r="F26" s="92"/>
      <c r="G26" s="92"/>
      <c r="H26" s="92"/>
      <c r="I26" s="92"/>
      <c r="J26" s="92"/>
      <c r="K26" s="92"/>
    </row>
    <row r="27" spans="1:14">
      <c r="A27" s="9" t="s">
        <v>185</v>
      </c>
      <c r="B27" s="8" t="s">
        <v>465</v>
      </c>
      <c r="C27" s="8" t="s">
        <v>466</v>
      </c>
      <c r="D27" s="8" t="s">
        <v>467</v>
      </c>
      <c r="E27" s="8" t="s">
        <v>889</v>
      </c>
      <c r="F27" s="8" t="s">
        <v>61</v>
      </c>
      <c r="G27" s="8" t="s">
        <v>26</v>
      </c>
      <c r="H27" s="22" t="s">
        <v>56</v>
      </c>
      <c r="I27" s="23" t="s">
        <v>47</v>
      </c>
      <c r="J27" s="22" t="s">
        <v>47</v>
      </c>
      <c r="K27" s="9"/>
      <c r="L27" s="67" t="str">
        <f>"40,0"</f>
        <v>40,0</v>
      </c>
      <c r="M27" s="9" t="str">
        <f>"41,6800"</f>
        <v>41,6800</v>
      </c>
      <c r="N27" s="8" t="s">
        <v>422</v>
      </c>
    </row>
    <row r="28" spans="1:14">
      <c r="A28" s="15" t="s">
        <v>185</v>
      </c>
      <c r="B28" s="14" t="s">
        <v>468</v>
      </c>
      <c r="C28" s="14" t="s">
        <v>469</v>
      </c>
      <c r="D28" s="14" t="s">
        <v>470</v>
      </c>
      <c r="E28" s="14" t="s">
        <v>890</v>
      </c>
      <c r="F28" s="14" t="s">
        <v>61</v>
      </c>
      <c r="G28" s="14" t="s">
        <v>26</v>
      </c>
      <c r="H28" s="29" t="s">
        <v>76</v>
      </c>
      <c r="I28" s="28" t="s">
        <v>76</v>
      </c>
      <c r="J28" s="28" t="s">
        <v>40</v>
      </c>
      <c r="K28" s="15"/>
      <c r="L28" s="70" t="str">
        <f>"65,0"</f>
        <v>65,0</v>
      </c>
      <c r="M28" s="15" t="str">
        <f>"68,5035"</f>
        <v>68,5035</v>
      </c>
      <c r="N28" s="14" t="s">
        <v>422</v>
      </c>
    </row>
    <row r="29" spans="1:14">
      <c r="A29" s="15" t="s">
        <v>187</v>
      </c>
      <c r="B29" s="14" t="s">
        <v>66</v>
      </c>
      <c r="C29" s="14" t="s">
        <v>67</v>
      </c>
      <c r="D29" s="14" t="s">
        <v>68</v>
      </c>
      <c r="E29" s="14" t="s">
        <v>890</v>
      </c>
      <c r="F29" s="14" t="s">
        <v>36</v>
      </c>
      <c r="G29" s="14" t="s">
        <v>26</v>
      </c>
      <c r="H29" s="28" t="s">
        <v>20</v>
      </c>
      <c r="I29" s="28" t="s">
        <v>21</v>
      </c>
      <c r="J29" s="29" t="s">
        <v>28</v>
      </c>
      <c r="K29" s="15"/>
      <c r="L29" s="70" t="str">
        <f>"52,5"</f>
        <v>52,5</v>
      </c>
      <c r="M29" s="15" t="str">
        <f>"53,5815"</f>
        <v>53,5815</v>
      </c>
      <c r="N29" s="14" t="s">
        <v>129</v>
      </c>
    </row>
    <row r="30" spans="1:14">
      <c r="A30" s="11" t="s">
        <v>185</v>
      </c>
      <c r="B30" s="10" t="s">
        <v>471</v>
      </c>
      <c r="C30" s="10" t="s">
        <v>472</v>
      </c>
      <c r="D30" s="10" t="s">
        <v>473</v>
      </c>
      <c r="E30" s="10" t="s">
        <v>894</v>
      </c>
      <c r="F30" s="10" t="s">
        <v>348</v>
      </c>
      <c r="G30" s="10" t="s">
        <v>26</v>
      </c>
      <c r="H30" s="25" t="s">
        <v>20</v>
      </c>
      <c r="I30" s="24" t="s">
        <v>21</v>
      </c>
      <c r="J30" s="24" t="s">
        <v>28</v>
      </c>
      <c r="K30" s="11"/>
      <c r="L30" s="68" t="str">
        <f>"55,0"</f>
        <v>55,0</v>
      </c>
      <c r="M30" s="11" t="str">
        <f>"66,6426"</f>
        <v>66,6426</v>
      </c>
      <c r="N30" s="10"/>
    </row>
    <row r="31" spans="1:14">
      <c r="B31" s="6" t="s">
        <v>186</v>
      </c>
    </row>
    <row r="32" spans="1:14" ht="16">
      <c r="A32" s="91" t="s">
        <v>71</v>
      </c>
      <c r="B32" s="91"/>
      <c r="C32" s="92"/>
      <c r="D32" s="92"/>
      <c r="E32" s="92"/>
      <c r="F32" s="92"/>
      <c r="G32" s="92"/>
      <c r="H32" s="92"/>
      <c r="I32" s="92"/>
      <c r="J32" s="92"/>
      <c r="K32" s="92"/>
    </row>
    <row r="33" spans="1:14">
      <c r="A33" s="13" t="s">
        <v>185</v>
      </c>
      <c r="B33" s="12" t="s">
        <v>474</v>
      </c>
      <c r="C33" s="12" t="s">
        <v>475</v>
      </c>
      <c r="D33" s="12" t="s">
        <v>476</v>
      </c>
      <c r="E33" s="12" t="s">
        <v>890</v>
      </c>
      <c r="F33" s="12" t="s">
        <v>14</v>
      </c>
      <c r="G33" s="12" t="s">
        <v>434</v>
      </c>
      <c r="H33" s="26" t="s">
        <v>27</v>
      </c>
      <c r="I33" s="27" t="s">
        <v>62</v>
      </c>
      <c r="J33" s="27" t="s">
        <v>62</v>
      </c>
      <c r="K33" s="13"/>
      <c r="L33" s="66" t="str">
        <f>"80,0"</f>
        <v>80,0</v>
      </c>
      <c r="M33" s="13" t="str">
        <f>"80,8800"</f>
        <v>80,8800</v>
      </c>
      <c r="N33" s="12" t="s">
        <v>610</v>
      </c>
    </row>
    <row r="34" spans="1:14">
      <c r="B34" s="6" t="s">
        <v>186</v>
      </c>
    </row>
    <row r="35" spans="1:14" ht="16">
      <c r="A35" s="91" t="s">
        <v>122</v>
      </c>
      <c r="B35" s="91"/>
      <c r="C35" s="92"/>
      <c r="D35" s="92"/>
      <c r="E35" s="92"/>
      <c r="F35" s="92"/>
      <c r="G35" s="92"/>
      <c r="H35" s="92"/>
      <c r="I35" s="92"/>
      <c r="J35" s="92"/>
      <c r="K35" s="92"/>
    </row>
    <row r="36" spans="1:14">
      <c r="A36" s="13" t="s">
        <v>185</v>
      </c>
      <c r="B36" s="12" t="s">
        <v>477</v>
      </c>
      <c r="C36" s="12" t="s">
        <v>478</v>
      </c>
      <c r="D36" s="12" t="s">
        <v>479</v>
      </c>
      <c r="E36" s="12" t="s">
        <v>890</v>
      </c>
      <c r="F36" s="12" t="s">
        <v>61</v>
      </c>
      <c r="G36" s="12" t="s">
        <v>26</v>
      </c>
      <c r="H36" s="26" t="s">
        <v>47</v>
      </c>
      <c r="I36" s="26" t="s">
        <v>19</v>
      </c>
      <c r="J36" s="27" t="s">
        <v>20</v>
      </c>
      <c r="K36" s="13"/>
      <c r="L36" s="66" t="str">
        <f>"45,0"</f>
        <v>45,0</v>
      </c>
      <c r="M36" s="13" t="str">
        <f>"41,7735"</f>
        <v>41,7735</v>
      </c>
      <c r="N36" s="12" t="s">
        <v>612</v>
      </c>
    </row>
    <row r="37" spans="1:14">
      <c r="B37" s="6" t="s">
        <v>186</v>
      </c>
    </row>
    <row r="38" spans="1:14" ht="16">
      <c r="A38" s="91" t="s">
        <v>10</v>
      </c>
      <c r="B38" s="91"/>
      <c r="C38" s="92"/>
      <c r="D38" s="92"/>
      <c r="E38" s="92"/>
      <c r="F38" s="92"/>
      <c r="G38" s="92"/>
      <c r="H38" s="92"/>
      <c r="I38" s="92"/>
      <c r="J38" s="92"/>
      <c r="K38" s="92"/>
    </row>
    <row r="39" spans="1:14">
      <c r="A39" s="9" t="s">
        <v>185</v>
      </c>
      <c r="B39" s="8" t="s">
        <v>480</v>
      </c>
      <c r="C39" s="8" t="s">
        <v>481</v>
      </c>
      <c r="D39" s="8" t="s">
        <v>482</v>
      </c>
      <c r="E39" s="8" t="s">
        <v>891</v>
      </c>
      <c r="F39" s="8" t="s">
        <v>61</v>
      </c>
      <c r="G39" s="8" t="s">
        <v>26</v>
      </c>
      <c r="H39" s="23" t="s">
        <v>447</v>
      </c>
      <c r="I39" s="22" t="s">
        <v>56</v>
      </c>
      <c r="J39" s="23" t="s">
        <v>47</v>
      </c>
      <c r="K39" s="9"/>
      <c r="L39" s="67" t="str">
        <f>"35,0"</f>
        <v>35,0</v>
      </c>
      <c r="M39" s="9" t="str">
        <f>"41,2335"</f>
        <v>41,2335</v>
      </c>
      <c r="N39" s="8" t="s">
        <v>355</v>
      </c>
    </row>
    <row r="40" spans="1:14">
      <c r="A40" s="11" t="s">
        <v>187</v>
      </c>
      <c r="B40" s="10" t="s">
        <v>483</v>
      </c>
      <c r="C40" s="10" t="s">
        <v>484</v>
      </c>
      <c r="D40" s="10" t="s">
        <v>485</v>
      </c>
      <c r="E40" s="10" t="s">
        <v>891</v>
      </c>
      <c r="F40" s="10" t="s">
        <v>54</v>
      </c>
      <c r="G40" s="10" t="s">
        <v>26</v>
      </c>
      <c r="H40" s="24" t="s">
        <v>447</v>
      </c>
      <c r="I40" s="24" t="s">
        <v>448</v>
      </c>
      <c r="J40" s="25" t="s">
        <v>56</v>
      </c>
      <c r="K40" s="11"/>
      <c r="L40" s="68" t="str">
        <f>"32,5"</f>
        <v>32,5</v>
      </c>
      <c r="M40" s="11" t="str">
        <f>"42,0355"</f>
        <v>42,0355</v>
      </c>
      <c r="N40" s="10" t="s">
        <v>196</v>
      </c>
    </row>
    <row r="41" spans="1:14">
      <c r="B41" s="6" t="s">
        <v>186</v>
      </c>
    </row>
    <row r="42" spans="1:14" ht="16">
      <c r="A42" s="91" t="s">
        <v>32</v>
      </c>
      <c r="B42" s="91"/>
      <c r="C42" s="92"/>
      <c r="D42" s="92"/>
      <c r="E42" s="92"/>
      <c r="F42" s="92"/>
      <c r="G42" s="92"/>
      <c r="H42" s="92"/>
      <c r="I42" s="92"/>
      <c r="J42" s="92"/>
      <c r="K42" s="92"/>
    </row>
    <row r="43" spans="1:14">
      <c r="A43" s="13" t="s">
        <v>185</v>
      </c>
      <c r="B43" s="12" t="s">
        <v>486</v>
      </c>
      <c r="C43" s="12" t="s">
        <v>487</v>
      </c>
      <c r="D43" s="12" t="s">
        <v>488</v>
      </c>
      <c r="E43" s="12" t="s">
        <v>891</v>
      </c>
      <c r="F43" s="12" t="s">
        <v>489</v>
      </c>
      <c r="G43" s="12" t="s">
        <v>490</v>
      </c>
      <c r="H43" s="26" t="s">
        <v>48</v>
      </c>
      <c r="I43" s="27" t="s">
        <v>20</v>
      </c>
      <c r="J43" s="26" t="s">
        <v>20</v>
      </c>
      <c r="K43" s="13"/>
      <c r="L43" s="66" t="str">
        <f>"50,0"</f>
        <v>50,0</v>
      </c>
      <c r="M43" s="13" t="str">
        <f>"47,0200"</f>
        <v>47,0200</v>
      </c>
      <c r="N43" s="12" t="s">
        <v>614</v>
      </c>
    </row>
    <row r="44" spans="1:14">
      <c r="B44" s="6" t="s">
        <v>186</v>
      </c>
    </row>
    <row r="45" spans="1:14" ht="16">
      <c r="A45" s="91" t="s">
        <v>50</v>
      </c>
      <c r="B45" s="91"/>
      <c r="C45" s="92"/>
      <c r="D45" s="92"/>
      <c r="E45" s="92"/>
      <c r="F45" s="92"/>
      <c r="G45" s="92"/>
      <c r="H45" s="92"/>
      <c r="I45" s="92"/>
      <c r="J45" s="92"/>
      <c r="K45" s="92"/>
    </row>
    <row r="46" spans="1:14">
      <c r="A46" s="13" t="s">
        <v>185</v>
      </c>
      <c r="B46" s="12" t="s">
        <v>491</v>
      </c>
      <c r="C46" s="12" t="s">
        <v>492</v>
      </c>
      <c r="D46" s="12" t="s">
        <v>493</v>
      </c>
      <c r="E46" s="12" t="s">
        <v>891</v>
      </c>
      <c r="F46" s="12" t="s">
        <v>489</v>
      </c>
      <c r="G46" s="12" t="s">
        <v>490</v>
      </c>
      <c r="H46" s="26" t="s">
        <v>55</v>
      </c>
      <c r="I46" s="27" t="s">
        <v>206</v>
      </c>
      <c r="J46" s="27" t="s">
        <v>206</v>
      </c>
      <c r="K46" s="13"/>
      <c r="L46" s="66" t="str">
        <f>"70,0"</f>
        <v>70,0</v>
      </c>
      <c r="M46" s="13" t="str">
        <f>"61,2150"</f>
        <v>61,2150</v>
      </c>
      <c r="N46" s="12" t="s">
        <v>614</v>
      </c>
    </row>
    <row r="47" spans="1:14">
      <c r="B47" s="6" t="s">
        <v>186</v>
      </c>
    </row>
    <row r="48" spans="1:14" ht="16">
      <c r="A48" s="91" t="s">
        <v>57</v>
      </c>
      <c r="B48" s="91"/>
      <c r="C48" s="92"/>
      <c r="D48" s="92"/>
      <c r="E48" s="92"/>
      <c r="F48" s="92"/>
      <c r="G48" s="92"/>
      <c r="H48" s="92"/>
      <c r="I48" s="92"/>
      <c r="J48" s="92"/>
      <c r="K48" s="92"/>
    </row>
    <row r="49" spans="1:14">
      <c r="A49" s="9" t="s">
        <v>185</v>
      </c>
      <c r="B49" s="8" t="s">
        <v>494</v>
      </c>
      <c r="C49" s="8" t="s">
        <v>495</v>
      </c>
      <c r="D49" s="8" t="s">
        <v>470</v>
      </c>
      <c r="E49" s="61" t="s">
        <v>891</v>
      </c>
      <c r="F49" s="8" t="s">
        <v>489</v>
      </c>
      <c r="G49" s="63" t="s">
        <v>490</v>
      </c>
      <c r="H49" s="22" t="s">
        <v>28</v>
      </c>
      <c r="I49" s="22" t="s">
        <v>76</v>
      </c>
      <c r="J49" s="22" t="s">
        <v>40</v>
      </c>
      <c r="K49" s="9"/>
      <c r="L49" s="67" t="str">
        <f>"65,0"</f>
        <v>65,0</v>
      </c>
      <c r="M49" s="9" t="str">
        <f>"51,9545"</f>
        <v>51,9545</v>
      </c>
      <c r="N49" s="8" t="s">
        <v>614</v>
      </c>
    </row>
    <row r="50" spans="1:14">
      <c r="A50" s="15" t="s">
        <v>187</v>
      </c>
      <c r="B50" s="14" t="s">
        <v>496</v>
      </c>
      <c r="C50" s="14" t="s">
        <v>497</v>
      </c>
      <c r="D50" s="14" t="s">
        <v>498</v>
      </c>
      <c r="E50" s="72" t="s">
        <v>891</v>
      </c>
      <c r="F50" s="14" t="s">
        <v>213</v>
      </c>
      <c r="G50" s="73" t="s">
        <v>850</v>
      </c>
      <c r="H50" s="28" t="s">
        <v>76</v>
      </c>
      <c r="I50" s="28" t="s">
        <v>40</v>
      </c>
      <c r="J50" s="29" t="s">
        <v>41</v>
      </c>
      <c r="K50" s="15"/>
      <c r="L50" s="70" t="str">
        <f>"65,0"</f>
        <v>65,0</v>
      </c>
      <c r="M50" s="15" t="str">
        <f>"51,6230"</f>
        <v>51,6230</v>
      </c>
      <c r="N50" s="14" t="s">
        <v>356</v>
      </c>
    </row>
    <row r="51" spans="1:14">
      <c r="A51" s="15" t="s">
        <v>313</v>
      </c>
      <c r="B51" s="14" t="s">
        <v>499</v>
      </c>
      <c r="C51" s="14" t="s">
        <v>500</v>
      </c>
      <c r="D51" s="14" t="s">
        <v>501</v>
      </c>
      <c r="E51" s="72" t="s">
        <v>891</v>
      </c>
      <c r="F51" s="14" t="s">
        <v>489</v>
      </c>
      <c r="G51" s="73" t="s">
        <v>490</v>
      </c>
      <c r="H51" s="71" t="s">
        <v>47</v>
      </c>
      <c r="I51" s="28" t="s">
        <v>64</v>
      </c>
      <c r="J51" s="29" t="s">
        <v>19</v>
      </c>
      <c r="K51" s="15"/>
      <c r="L51" s="70" t="str">
        <f>"42,5"</f>
        <v>42,5</v>
      </c>
      <c r="M51" s="15" t="str">
        <f>"33,7960"</f>
        <v>33,7960</v>
      </c>
      <c r="N51" s="14" t="s">
        <v>614</v>
      </c>
    </row>
    <row r="52" spans="1:14">
      <c r="A52" s="15" t="s">
        <v>228</v>
      </c>
      <c r="B52" s="14" t="s">
        <v>502</v>
      </c>
      <c r="C52" s="14" t="s">
        <v>503</v>
      </c>
      <c r="D52" s="14" t="s">
        <v>504</v>
      </c>
      <c r="E52" s="72" t="s">
        <v>891</v>
      </c>
      <c r="F52" s="14" t="s">
        <v>348</v>
      </c>
      <c r="G52" s="73" t="s">
        <v>26</v>
      </c>
      <c r="H52" s="29" t="s">
        <v>206</v>
      </c>
      <c r="I52" s="29" t="s">
        <v>206</v>
      </c>
      <c r="J52" s="29" t="s">
        <v>206</v>
      </c>
      <c r="K52" s="15"/>
      <c r="L52" s="70">
        <v>0</v>
      </c>
      <c r="M52" s="15" t="str">
        <f>"0,0000"</f>
        <v>0,0000</v>
      </c>
      <c r="N52" s="14" t="s">
        <v>615</v>
      </c>
    </row>
    <row r="53" spans="1:14">
      <c r="A53" s="15" t="s">
        <v>185</v>
      </c>
      <c r="B53" s="14" t="s">
        <v>505</v>
      </c>
      <c r="C53" s="14" t="s">
        <v>506</v>
      </c>
      <c r="D53" s="14" t="s">
        <v>507</v>
      </c>
      <c r="E53" s="72" t="s">
        <v>890</v>
      </c>
      <c r="F53" s="14" t="s">
        <v>36</v>
      </c>
      <c r="G53" s="73" t="s">
        <v>26</v>
      </c>
      <c r="H53" s="28" t="s">
        <v>31</v>
      </c>
      <c r="I53" s="28" t="s">
        <v>43</v>
      </c>
      <c r="J53" s="29" t="s">
        <v>133</v>
      </c>
      <c r="K53" s="15"/>
      <c r="L53" s="70" t="str">
        <f>"125,0"</f>
        <v>125,0</v>
      </c>
      <c r="M53" s="15" t="str">
        <f>"97,0750"</f>
        <v>97,0750</v>
      </c>
      <c r="N53" s="14" t="s">
        <v>616</v>
      </c>
    </row>
    <row r="54" spans="1:14">
      <c r="A54" s="11" t="s">
        <v>187</v>
      </c>
      <c r="B54" s="10" t="s">
        <v>95</v>
      </c>
      <c r="C54" s="10" t="s">
        <v>96</v>
      </c>
      <c r="D54" s="10" t="s">
        <v>97</v>
      </c>
      <c r="E54" s="62" t="s">
        <v>890</v>
      </c>
      <c r="F54" s="10" t="s">
        <v>348</v>
      </c>
      <c r="G54" s="64" t="s">
        <v>26</v>
      </c>
      <c r="H54" s="24" t="s">
        <v>18</v>
      </c>
      <c r="I54" s="24" t="s">
        <v>99</v>
      </c>
      <c r="J54" s="24" t="s">
        <v>49</v>
      </c>
      <c r="K54" s="11"/>
      <c r="L54" s="68" t="str">
        <f>"107,5"</f>
        <v>107,5</v>
      </c>
      <c r="M54" s="11" t="str">
        <f>"82,9792"</f>
        <v>82,9792</v>
      </c>
      <c r="N54" s="10" t="s">
        <v>129</v>
      </c>
    </row>
    <row r="55" spans="1:14">
      <c r="B55" s="6" t="s">
        <v>186</v>
      </c>
    </row>
    <row r="56" spans="1:14" ht="16">
      <c r="A56" s="91" t="s">
        <v>71</v>
      </c>
      <c r="B56" s="91"/>
      <c r="C56" s="92"/>
      <c r="D56" s="92"/>
      <c r="E56" s="92"/>
      <c r="F56" s="92"/>
      <c r="G56" s="92"/>
      <c r="H56" s="92"/>
      <c r="I56" s="92"/>
      <c r="J56" s="92"/>
      <c r="K56" s="92"/>
    </row>
    <row r="57" spans="1:14">
      <c r="A57" s="9" t="s">
        <v>185</v>
      </c>
      <c r="B57" s="8" t="s">
        <v>508</v>
      </c>
      <c r="C57" s="8" t="s">
        <v>509</v>
      </c>
      <c r="D57" s="8" t="s">
        <v>510</v>
      </c>
      <c r="E57" s="8" t="s">
        <v>893</v>
      </c>
      <c r="F57" s="8" t="s">
        <v>61</v>
      </c>
      <c r="G57" s="8" t="s">
        <v>26</v>
      </c>
      <c r="H57" s="23" t="s">
        <v>18</v>
      </c>
      <c r="I57" s="22" t="s">
        <v>22</v>
      </c>
      <c r="J57" s="23" t="s">
        <v>75</v>
      </c>
      <c r="K57" s="9"/>
      <c r="L57" s="67" t="str">
        <f>"100,0"</f>
        <v>100,0</v>
      </c>
      <c r="M57" s="9" t="str">
        <f>"72,5600"</f>
        <v>72,5600</v>
      </c>
      <c r="N57" s="8" t="s">
        <v>354</v>
      </c>
    </row>
    <row r="58" spans="1:14">
      <c r="A58" s="11" t="s">
        <v>185</v>
      </c>
      <c r="B58" s="10" t="s">
        <v>511</v>
      </c>
      <c r="C58" s="10" t="s">
        <v>512</v>
      </c>
      <c r="D58" s="10" t="s">
        <v>513</v>
      </c>
      <c r="E58" s="10" t="s">
        <v>890</v>
      </c>
      <c r="F58" s="10" t="s">
        <v>433</v>
      </c>
      <c r="G58" s="10" t="s">
        <v>434</v>
      </c>
      <c r="H58" s="24" t="s">
        <v>70</v>
      </c>
      <c r="I58" s="25" t="s">
        <v>42</v>
      </c>
      <c r="J58" s="25" t="s">
        <v>42</v>
      </c>
      <c r="K58" s="11"/>
      <c r="L58" s="68" t="str">
        <f>"110,0"</f>
        <v>110,0</v>
      </c>
      <c r="M58" s="11" t="str">
        <f>"83,4460"</f>
        <v>83,4460</v>
      </c>
      <c r="N58" s="10" t="s">
        <v>610</v>
      </c>
    </row>
    <row r="59" spans="1:14">
      <c r="B59" s="6" t="s">
        <v>186</v>
      </c>
    </row>
    <row r="60" spans="1:14" ht="16">
      <c r="A60" s="91" t="s">
        <v>122</v>
      </c>
      <c r="B60" s="91"/>
      <c r="C60" s="92"/>
      <c r="D60" s="92"/>
      <c r="E60" s="92"/>
      <c r="F60" s="92"/>
      <c r="G60" s="92"/>
      <c r="H60" s="92"/>
      <c r="I60" s="92"/>
      <c r="J60" s="92"/>
      <c r="K60" s="92"/>
    </row>
    <row r="61" spans="1:14">
      <c r="A61" s="9" t="s">
        <v>185</v>
      </c>
      <c r="B61" s="8" t="s">
        <v>514</v>
      </c>
      <c r="C61" s="8" t="s">
        <v>515</v>
      </c>
      <c r="D61" s="8" t="s">
        <v>516</v>
      </c>
      <c r="E61" s="61" t="s">
        <v>891</v>
      </c>
      <c r="F61" s="8" t="s">
        <v>105</v>
      </c>
      <c r="G61" s="63" t="s">
        <v>26</v>
      </c>
      <c r="H61" s="22" t="s">
        <v>55</v>
      </c>
      <c r="I61" s="22" t="s">
        <v>206</v>
      </c>
      <c r="J61" s="22" t="s">
        <v>27</v>
      </c>
      <c r="K61" s="9"/>
      <c r="L61" s="67" t="str">
        <f>"80,0"</f>
        <v>80,0</v>
      </c>
      <c r="M61" s="9" t="str">
        <f>"55,3760"</f>
        <v>55,3760</v>
      </c>
      <c r="N61" s="8" t="s">
        <v>517</v>
      </c>
    </row>
    <row r="62" spans="1:14">
      <c r="A62" s="15" t="s">
        <v>185</v>
      </c>
      <c r="B62" s="14" t="s">
        <v>518</v>
      </c>
      <c r="C62" s="14" t="s">
        <v>519</v>
      </c>
      <c r="D62" s="14" t="s">
        <v>520</v>
      </c>
      <c r="E62" s="72" t="s">
        <v>889</v>
      </c>
      <c r="F62" s="14" t="s">
        <v>489</v>
      </c>
      <c r="G62" s="73" t="s">
        <v>490</v>
      </c>
      <c r="H62" s="28" t="s">
        <v>55</v>
      </c>
      <c r="I62" s="28" t="s">
        <v>206</v>
      </c>
      <c r="J62" s="29" t="s">
        <v>27</v>
      </c>
      <c r="K62" s="15"/>
      <c r="L62" s="70" t="str">
        <f>"75,0"</f>
        <v>75,0</v>
      </c>
      <c r="M62" s="15" t="str">
        <f>"51,4875"</f>
        <v>51,4875</v>
      </c>
      <c r="N62" s="14" t="s">
        <v>614</v>
      </c>
    </row>
    <row r="63" spans="1:14">
      <c r="A63" s="15" t="s">
        <v>185</v>
      </c>
      <c r="B63" s="14" t="s">
        <v>521</v>
      </c>
      <c r="C63" s="14" t="s">
        <v>522</v>
      </c>
      <c r="D63" s="14" t="s">
        <v>523</v>
      </c>
      <c r="E63" s="72" t="s">
        <v>890</v>
      </c>
      <c r="F63" s="14" t="s">
        <v>348</v>
      </c>
      <c r="G63" s="73" t="s">
        <v>26</v>
      </c>
      <c r="H63" s="28" t="s">
        <v>98</v>
      </c>
      <c r="I63" s="29" t="s">
        <v>524</v>
      </c>
      <c r="J63" s="29" t="s">
        <v>524</v>
      </c>
      <c r="K63" s="15"/>
      <c r="L63" s="70" t="str">
        <f>"160,0"</f>
        <v>160,0</v>
      </c>
      <c r="M63" s="15" t="str">
        <f>"107,5840"</f>
        <v>107,5840</v>
      </c>
      <c r="N63" s="14" t="s">
        <v>617</v>
      </c>
    </row>
    <row r="64" spans="1:14">
      <c r="A64" s="15" t="s">
        <v>187</v>
      </c>
      <c r="B64" s="14" t="s">
        <v>525</v>
      </c>
      <c r="C64" s="14" t="s">
        <v>526</v>
      </c>
      <c r="D64" s="14" t="s">
        <v>527</v>
      </c>
      <c r="E64" s="72" t="s">
        <v>890</v>
      </c>
      <c r="F64" s="14" t="s">
        <v>36</v>
      </c>
      <c r="G64" s="73" t="s">
        <v>26</v>
      </c>
      <c r="H64" s="28" t="s">
        <v>79</v>
      </c>
      <c r="I64" s="28" t="s">
        <v>80</v>
      </c>
      <c r="J64" s="29" t="s">
        <v>89</v>
      </c>
      <c r="K64" s="15"/>
      <c r="L64" s="70" t="str">
        <f>"150,0"</f>
        <v>150,0</v>
      </c>
      <c r="M64" s="15" t="str">
        <f>"101,4600"</f>
        <v>101,4600</v>
      </c>
      <c r="N64" s="14" t="s">
        <v>129</v>
      </c>
    </row>
    <row r="65" spans="1:14">
      <c r="A65" s="15" t="s">
        <v>313</v>
      </c>
      <c r="B65" s="14" t="s">
        <v>528</v>
      </c>
      <c r="C65" s="14" t="s">
        <v>529</v>
      </c>
      <c r="D65" s="14" t="s">
        <v>530</v>
      </c>
      <c r="E65" s="72" t="s">
        <v>890</v>
      </c>
      <c r="F65" s="14" t="s">
        <v>14</v>
      </c>
      <c r="G65" s="73" t="s">
        <v>434</v>
      </c>
      <c r="H65" s="28" t="s">
        <v>106</v>
      </c>
      <c r="I65" s="28" t="s">
        <v>79</v>
      </c>
      <c r="J65" s="29" t="s">
        <v>290</v>
      </c>
      <c r="K65" s="15"/>
      <c r="L65" s="70" t="str">
        <f>"145,0"</f>
        <v>145,0</v>
      </c>
      <c r="M65" s="15" t="str">
        <f>"97,1355"</f>
        <v>97,1355</v>
      </c>
      <c r="N65" s="14"/>
    </row>
    <row r="66" spans="1:14">
      <c r="A66" s="15" t="s">
        <v>531</v>
      </c>
      <c r="B66" s="14" t="s">
        <v>532</v>
      </c>
      <c r="C66" s="14" t="s">
        <v>533</v>
      </c>
      <c r="D66" s="14" t="s">
        <v>534</v>
      </c>
      <c r="E66" s="72" t="s">
        <v>890</v>
      </c>
      <c r="F66" s="14" t="s">
        <v>61</v>
      </c>
      <c r="G66" s="73" t="s">
        <v>26</v>
      </c>
      <c r="H66" s="28" t="s">
        <v>535</v>
      </c>
      <c r="I66" s="29" t="s">
        <v>79</v>
      </c>
      <c r="J66" s="29" t="s">
        <v>79</v>
      </c>
      <c r="K66" s="15"/>
      <c r="L66" s="70" t="str">
        <f>"137,5"</f>
        <v>137,5</v>
      </c>
      <c r="M66" s="15" t="str">
        <f>"92,8675"</f>
        <v>92,8675</v>
      </c>
      <c r="N66" s="14" t="s">
        <v>612</v>
      </c>
    </row>
    <row r="67" spans="1:14">
      <c r="A67" s="15" t="s">
        <v>536</v>
      </c>
      <c r="B67" s="14" t="s">
        <v>537</v>
      </c>
      <c r="C67" s="14" t="s">
        <v>538</v>
      </c>
      <c r="D67" s="14" t="s">
        <v>539</v>
      </c>
      <c r="E67" s="72" t="s">
        <v>890</v>
      </c>
      <c r="F67" s="14" t="s">
        <v>348</v>
      </c>
      <c r="G67" s="73" t="s">
        <v>853</v>
      </c>
      <c r="H67" s="28" t="s">
        <v>78</v>
      </c>
      <c r="I67" s="29" t="s">
        <v>79</v>
      </c>
      <c r="J67" s="29" t="s">
        <v>79</v>
      </c>
      <c r="K67" s="15"/>
      <c r="L67" s="70" t="str">
        <f>"135,0"</f>
        <v>135,0</v>
      </c>
      <c r="M67" s="15" t="str">
        <f>"93,2175"</f>
        <v>93,2175</v>
      </c>
      <c r="N67" s="14"/>
    </row>
    <row r="68" spans="1:14">
      <c r="A68" s="15" t="s">
        <v>540</v>
      </c>
      <c r="B68" s="14" t="s">
        <v>541</v>
      </c>
      <c r="C68" s="14" t="s">
        <v>542</v>
      </c>
      <c r="D68" s="14" t="s">
        <v>543</v>
      </c>
      <c r="E68" s="72" t="s">
        <v>890</v>
      </c>
      <c r="F68" s="14" t="s">
        <v>61</v>
      </c>
      <c r="G68" s="73" t="s">
        <v>26</v>
      </c>
      <c r="H68" s="28" t="s">
        <v>39</v>
      </c>
      <c r="I68" s="28" t="s">
        <v>85</v>
      </c>
      <c r="J68" s="29" t="s">
        <v>535</v>
      </c>
      <c r="K68" s="15"/>
      <c r="L68" s="70" t="str">
        <f>"132,5"</f>
        <v>132,5</v>
      </c>
      <c r="M68" s="15" t="str">
        <f>"90,2458"</f>
        <v>90,2458</v>
      </c>
      <c r="N68" s="14" t="s">
        <v>618</v>
      </c>
    </row>
    <row r="69" spans="1:14">
      <c r="A69" s="15" t="s">
        <v>185</v>
      </c>
      <c r="B69" s="14" t="s">
        <v>521</v>
      </c>
      <c r="C69" s="14" t="s">
        <v>544</v>
      </c>
      <c r="D69" s="14" t="s">
        <v>523</v>
      </c>
      <c r="E69" s="72" t="s">
        <v>892</v>
      </c>
      <c r="F69" s="14" t="s">
        <v>348</v>
      </c>
      <c r="G69" s="73" t="s">
        <v>26</v>
      </c>
      <c r="H69" s="28" t="s">
        <v>98</v>
      </c>
      <c r="I69" s="29" t="s">
        <v>524</v>
      </c>
      <c r="J69" s="29" t="s">
        <v>524</v>
      </c>
      <c r="K69" s="15"/>
      <c r="L69" s="70" t="str">
        <f>"160,0"</f>
        <v>160,0</v>
      </c>
      <c r="M69" s="15" t="str">
        <f>"107,5840"</f>
        <v>107,5840</v>
      </c>
      <c r="N69" s="14" t="s">
        <v>617</v>
      </c>
    </row>
    <row r="70" spans="1:14">
      <c r="A70" s="15" t="s">
        <v>187</v>
      </c>
      <c r="B70" s="14" t="s">
        <v>545</v>
      </c>
      <c r="C70" s="14" t="s">
        <v>546</v>
      </c>
      <c r="D70" s="14" t="s">
        <v>547</v>
      </c>
      <c r="E70" s="72" t="s">
        <v>892</v>
      </c>
      <c r="F70" s="14" t="s">
        <v>348</v>
      </c>
      <c r="G70" s="73" t="s">
        <v>26</v>
      </c>
      <c r="H70" s="28" t="s">
        <v>43</v>
      </c>
      <c r="I70" s="28" t="s">
        <v>39</v>
      </c>
      <c r="J70" s="29" t="s">
        <v>133</v>
      </c>
      <c r="K70" s="15"/>
      <c r="L70" s="70" t="str">
        <f>"127,5"</f>
        <v>127,5</v>
      </c>
      <c r="M70" s="15" t="str">
        <f>"93,6825"</f>
        <v>93,6825</v>
      </c>
      <c r="N70" s="14"/>
    </row>
    <row r="71" spans="1:14">
      <c r="A71" s="15" t="s">
        <v>185</v>
      </c>
      <c r="B71" s="14" t="s">
        <v>548</v>
      </c>
      <c r="C71" s="14" t="s">
        <v>549</v>
      </c>
      <c r="D71" s="14" t="s">
        <v>479</v>
      </c>
      <c r="E71" s="72" t="s">
        <v>894</v>
      </c>
      <c r="F71" s="14" t="s">
        <v>348</v>
      </c>
      <c r="G71" s="73" t="s">
        <v>26</v>
      </c>
      <c r="H71" s="28" t="s">
        <v>75</v>
      </c>
      <c r="I71" s="29" t="s">
        <v>49</v>
      </c>
      <c r="J71" s="29" t="s">
        <v>49</v>
      </c>
      <c r="K71" s="15"/>
      <c r="L71" s="70" t="str">
        <f>"105,0"</f>
        <v>105,0</v>
      </c>
      <c r="M71" s="15" t="str">
        <f>"94,4988"</f>
        <v>94,4988</v>
      </c>
      <c r="N71" s="14"/>
    </row>
    <row r="72" spans="1:14">
      <c r="A72" s="11" t="s">
        <v>185</v>
      </c>
      <c r="B72" s="10" t="s">
        <v>550</v>
      </c>
      <c r="C72" s="10" t="s">
        <v>551</v>
      </c>
      <c r="D72" s="10" t="s">
        <v>552</v>
      </c>
      <c r="E72" s="62" t="s">
        <v>895</v>
      </c>
      <c r="F72" s="10" t="s">
        <v>489</v>
      </c>
      <c r="G72" s="64" t="s">
        <v>490</v>
      </c>
      <c r="H72" s="24" t="s">
        <v>76</v>
      </c>
      <c r="I72" s="24" t="s">
        <v>40</v>
      </c>
      <c r="J72" s="24" t="s">
        <v>55</v>
      </c>
      <c r="K72" s="11"/>
      <c r="L72" s="68" t="str">
        <f>"70,0"</f>
        <v>70,0</v>
      </c>
      <c r="M72" s="11" t="str">
        <f>"76,1150"</f>
        <v>76,1150</v>
      </c>
      <c r="N72" s="10" t="s">
        <v>614</v>
      </c>
    </row>
    <row r="73" spans="1:14">
      <c r="B73" s="6" t="s">
        <v>186</v>
      </c>
    </row>
    <row r="74" spans="1:14" ht="16">
      <c r="A74" s="91" t="s">
        <v>134</v>
      </c>
      <c r="B74" s="91"/>
      <c r="C74" s="92"/>
      <c r="D74" s="92"/>
      <c r="E74" s="92"/>
      <c r="F74" s="92"/>
      <c r="G74" s="92"/>
      <c r="H74" s="92"/>
      <c r="I74" s="92"/>
      <c r="J74" s="92"/>
      <c r="K74" s="92"/>
    </row>
    <row r="75" spans="1:14">
      <c r="A75" s="9" t="s">
        <v>185</v>
      </c>
      <c r="B75" s="8" t="s">
        <v>553</v>
      </c>
      <c r="C75" s="8" t="s">
        <v>554</v>
      </c>
      <c r="D75" s="8" t="s">
        <v>555</v>
      </c>
      <c r="E75" s="61" t="s">
        <v>891</v>
      </c>
      <c r="F75" s="8" t="s">
        <v>489</v>
      </c>
      <c r="G75" s="63" t="s">
        <v>490</v>
      </c>
      <c r="H75" s="22" t="s">
        <v>76</v>
      </c>
      <c r="I75" s="22" t="s">
        <v>40</v>
      </c>
      <c r="J75" s="22" t="s">
        <v>41</v>
      </c>
      <c r="K75" s="9"/>
      <c r="L75" s="67" t="str">
        <f>"67,5"</f>
        <v>67,5</v>
      </c>
      <c r="M75" s="9" t="str">
        <f>"44,6782"</f>
        <v>44,6782</v>
      </c>
      <c r="N75" s="8" t="s">
        <v>614</v>
      </c>
    </row>
    <row r="76" spans="1:14">
      <c r="A76" s="15" t="s">
        <v>185</v>
      </c>
      <c r="B76" s="14" t="s">
        <v>556</v>
      </c>
      <c r="C76" s="14" t="s">
        <v>557</v>
      </c>
      <c r="D76" s="14" t="s">
        <v>555</v>
      </c>
      <c r="E76" s="72" t="s">
        <v>889</v>
      </c>
      <c r="F76" s="14" t="s">
        <v>489</v>
      </c>
      <c r="G76" s="73" t="s">
        <v>490</v>
      </c>
      <c r="H76" s="28" t="s">
        <v>17</v>
      </c>
      <c r="I76" s="28" t="s">
        <v>18</v>
      </c>
      <c r="J76" s="28" t="s">
        <v>22</v>
      </c>
      <c r="K76" s="15"/>
      <c r="L76" s="70" t="str">
        <f>"100,0"</f>
        <v>100,0</v>
      </c>
      <c r="M76" s="15" t="str">
        <f>"66,1900"</f>
        <v>66,1900</v>
      </c>
      <c r="N76" s="14" t="s">
        <v>614</v>
      </c>
    </row>
    <row r="77" spans="1:14">
      <c r="A77" s="15" t="s">
        <v>185</v>
      </c>
      <c r="B77" s="14" t="s">
        <v>400</v>
      </c>
      <c r="C77" s="14" t="s">
        <v>401</v>
      </c>
      <c r="D77" s="14" t="s">
        <v>402</v>
      </c>
      <c r="E77" s="72" t="s">
        <v>890</v>
      </c>
      <c r="F77" s="14" t="s">
        <v>213</v>
      </c>
      <c r="G77" s="73" t="s">
        <v>850</v>
      </c>
      <c r="H77" s="28" t="s">
        <v>89</v>
      </c>
      <c r="I77" s="28" t="s">
        <v>98</v>
      </c>
      <c r="J77" s="28" t="s">
        <v>91</v>
      </c>
      <c r="K77" s="15"/>
      <c r="L77" s="70" t="str">
        <f>"165,0"</f>
        <v>165,0</v>
      </c>
      <c r="M77" s="15" t="str">
        <f>"107,4975"</f>
        <v>107,4975</v>
      </c>
      <c r="N77" s="14" t="s">
        <v>356</v>
      </c>
    </row>
    <row r="78" spans="1:14">
      <c r="A78" s="15" t="s">
        <v>187</v>
      </c>
      <c r="B78" s="14" t="s">
        <v>192</v>
      </c>
      <c r="C78" s="14" t="s">
        <v>193</v>
      </c>
      <c r="D78" s="14" t="s">
        <v>194</v>
      </c>
      <c r="E78" s="72" t="s">
        <v>890</v>
      </c>
      <c r="F78" s="14" t="s">
        <v>54</v>
      </c>
      <c r="G78" s="73" t="s">
        <v>26</v>
      </c>
      <c r="H78" s="28" t="s">
        <v>80</v>
      </c>
      <c r="I78" s="28" t="s">
        <v>195</v>
      </c>
      <c r="J78" s="28" t="s">
        <v>91</v>
      </c>
      <c r="K78" s="15"/>
      <c r="L78" s="70" t="str">
        <f>"165,0"</f>
        <v>165,0</v>
      </c>
      <c r="M78" s="15" t="str">
        <f>"107,2335"</f>
        <v>107,2335</v>
      </c>
      <c r="N78" s="14" t="s">
        <v>196</v>
      </c>
    </row>
    <row r="79" spans="1:14">
      <c r="A79" s="15" t="s">
        <v>313</v>
      </c>
      <c r="B79" s="14" t="s">
        <v>558</v>
      </c>
      <c r="C79" s="14" t="s">
        <v>559</v>
      </c>
      <c r="D79" s="14" t="s">
        <v>560</v>
      </c>
      <c r="E79" s="72" t="s">
        <v>890</v>
      </c>
      <c r="F79" s="14" t="s">
        <v>348</v>
      </c>
      <c r="G79" s="73" t="s">
        <v>26</v>
      </c>
      <c r="H79" s="28" t="s">
        <v>79</v>
      </c>
      <c r="I79" s="29" t="s">
        <v>291</v>
      </c>
      <c r="J79" s="29" t="s">
        <v>291</v>
      </c>
      <c r="K79" s="15"/>
      <c r="L79" s="70" t="str">
        <f>"145,0"</f>
        <v>145,0</v>
      </c>
      <c r="M79" s="15" t="str">
        <f>"93,4380"</f>
        <v>93,4380</v>
      </c>
      <c r="N79" s="14" t="s">
        <v>619</v>
      </c>
    </row>
    <row r="80" spans="1:14">
      <c r="A80" s="15" t="s">
        <v>531</v>
      </c>
      <c r="B80" s="14" t="s">
        <v>561</v>
      </c>
      <c r="C80" s="14" t="s">
        <v>562</v>
      </c>
      <c r="D80" s="14" t="s">
        <v>563</v>
      </c>
      <c r="E80" s="72" t="s">
        <v>890</v>
      </c>
      <c r="F80" s="14" t="s">
        <v>61</v>
      </c>
      <c r="G80" s="73" t="s">
        <v>26</v>
      </c>
      <c r="H80" s="28" t="s">
        <v>78</v>
      </c>
      <c r="I80" s="28" t="s">
        <v>106</v>
      </c>
      <c r="J80" s="29" t="s">
        <v>79</v>
      </c>
      <c r="K80" s="15"/>
      <c r="L80" s="70" t="str">
        <f>"140,0"</f>
        <v>140,0</v>
      </c>
      <c r="M80" s="15" t="str">
        <f>"90,4260"</f>
        <v>90,4260</v>
      </c>
      <c r="N80" s="14" t="s">
        <v>354</v>
      </c>
    </row>
    <row r="81" spans="1:14">
      <c r="A81" s="15" t="s">
        <v>536</v>
      </c>
      <c r="B81" s="14" t="s">
        <v>564</v>
      </c>
      <c r="C81" s="14" t="s">
        <v>565</v>
      </c>
      <c r="D81" s="14" t="s">
        <v>425</v>
      </c>
      <c r="E81" s="72" t="s">
        <v>890</v>
      </c>
      <c r="F81" s="14" t="s">
        <v>348</v>
      </c>
      <c r="G81" s="73" t="s">
        <v>26</v>
      </c>
      <c r="H81" s="28" t="s">
        <v>106</v>
      </c>
      <c r="I81" s="29" t="s">
        <v>291</v>
      </c>
      <c r="J81" s="29" t="s">
        <v>291</v>
      </c>
      <c r="K81" s="15"/>
      <c r="L81" s="70" t="str">
        <f>"140,0"</f>
        <v>140,0</v>
      </c>
      <c r="M81" s="15" t="str">
        <f>"89,7400"</f>
        <v>89,7400</v>
      </c>
      <c r="N81" s="14" t="s">
        <v>619</v>
      </c>
    </row>
    <row r="82" spans="1:14">
      <c r="A82" s="15" t="s">
        <v>540</v>
      </c>
      <c r="B82" s="14" t="s">
        <v>135</v>
      </c>
      <c r="C82" s="14" t="s">
        <v>136</v>
      </c>
      <c r="D82" s="14" t="s">
        <v>137</v>
      </c>
      <c r="E82" s="72" t="s">
        <v>890</v>
      </c>
      <c r="F82" s="14" t="s">
        <v>14</v>
      </c>
      <c r="G82" s="73" t="s">
        <v>15</v>
      </c>
      <c r="H82" s="28" t="s">
        <v>22</v>
      </c>
      <c r="I82" s="28" t="s">
        <v>49</v>
      </c>
      <c r="J82" s="29" t="s">
        <v>37</v>
      </c>
      <c r="K82" s="15"/>
      <c r="L82" s="70" t="str">
        <f>"107,5"</f>
        <v>107,5</v>
      </c>
      <c r="M82" s="15" t="str">
        <f>"70,3588"</f>
        <v>70,3588</v>
      </c>
      <c r="N82" s="14" t="s">
        <v>349</v>
      </c>
    </row>
    <row r="83" spans="1:14">
      <c r="A83" s="11" t="s">
        <v>228</v>
      </c>
      <c r="B83" s="10" t="s">
        <v>423</v>
      </c>
      <c r="C83" s="10" t="s">
        <v>424</v>
      </c>
      <c r="D83" s="10" t="s">
        <v>425</v>
      </c>
      <c r="E83" s="62" t="s">
        <v>890</v>
      </c>
      <c r="F83" s="10" t="s">
        <v>348</v>
      </c>
      <c r="G83" s="64" t="s">
        <v>26</v>
      </c>
      <c r="H83" s="25" t="s">
        <v>566</v>
      </c>
      <c r="I83" s="25" t="s">
        <v>566</v>
      </c>
      <c r="J83" s="25" t="s">
        <v>566</v>
      </c>
      <c r="K83" s="11"/>
      <c r="L83" s="68">
        <v>0</v>
      </c>
      <c r="M83" s="11" t="str">
        <f>"0,0000"</f>
        <v>0,0000</v>
      </c>
      <c r="N83" s="10"/>
    </row>
    <row r="84" spans="1:14">
      <c r="B84" s="6" t="s">
        <v>186</v>
      </c>
    </row>
    <row r="85" spans="1:14" ht="16">
      <c r="A85" s="91" t="s">
        <v>138</v>
      </c>
      <c r="B85" s="91"/>
      <c r="C85" s="92"/>
      <c r="D85" s="92"/>
      <c r="E85" s="92"/>
      <c r="F85" s="92"/>
      <c r="G85" s="92"/>
      <c r="H85" s="92"/>
      <c r="I85" s="92"/>
      <c r="J85" s="92"/>
      <c r="K85" s="92"/>
    </row>
    <row r="86" spans="1:14">
      <c r="A86" s="9" t="s">
        <v>185</v>
      </c>
      <c r="B86" s="8" t="s">
        <v>567</v>
      </c>
      <c r="C86" s="8" t="s">
        <v>568</v>
      </c>
      <c r="D86" s="8" t="s">
        <v>569</v>
      </c>
      <c r="E86" s="61" t="s">
        <v>890</v>
      </c>
      <c r="F86" s="8" t="s">
        <v>348</v>
      </c>
      <c r="G86" s="63" t="s">
        <v>854</v>
      </c>
      <c r="H86" s="22" t="s">
        <v>98</v>
      </c>
      <c r="I86" s="23" t="s">
        <v>110</v>
      </c>
      <c r="J86" s="23" t="s">
        <v>110</v>
      </c>
      <c r="K86" s="9"/>
      <c r="L86" s="67" t="str">
        <f>"160,0"</f>
        <v>160,0</v>
      </c>
      <c r="M86" s="9" t="str">
        <f>"99,2960"</f>
        <v>99,2960</v>
      </c>
      <c r="N86" s="8" t="s">
        <v>620</v>
      </c>
    </row>
    <row r="87" spans="1:14">
      <c r="A87" s="15" t="s">
        <v>187</v>
      </c>
      <c r="B87" s="14" t="s">
        <v>570</v>
      </c>
      <c r="C87" s="14" t="s">
        <v>571</v>
      </c>
      <c r="D87" s="14" t="s">
        <v>572</v>
      </c>
      <c r="E87" s="72" t="s">
        <v>890</v>
      </c>
      <c r="F87" s="14" t="s">
        <v>36</v>
      </c>
      <c r="G87" s="73" t="s">
        <v>26</v>
      </c>
      <c r="H87" s="28" t="s">
        <v>106</v>
      </c>
      <c r="I87" s="28" t="s">
        <v>79</v>
      </c>
      <c r="J87" s="29" t="s">
        <v>80</v>
      </c>
      <c r="K87" s="15"/>
      <c r="L87" s="70" t="str">
        <f>"145,0"</f>
        <v>145,0</v>
      </c>
      <c r="M87" s="15" t="str">
        <f>"89,6970"</f>
        <v>89,6970</v>
      </c>
      <c r="N87" s="14" t="s">
        <v>621</v>
      </c>
    </row>
    <row r="88" spans="1:14">
      <c r="A88" s="15" t="s">
        <v>313</v>
      </c>
      <c r="B88" s="14" t="s">
        <v>573</v>
      </c>
      <c r="C88" s="14" t="s">
        <v>574</v>
      </c>
      <c r="D88" s="14" t="s">
        <v>572</v>
      </c>
      <c r="E88" s="72" t="s">
        <v>890</v>
      </c>
      <c r="F88" s="14" t="s">
        <v>54</v>
      </c>
      <c r="G88" s="73" t="s">
        <v>26</v>
      </c>
      <c r="H88" s="28" t="s">
        <v>22</v>
      </c>
      <c r="I88" s="29" t="s">
        <v>75</v>
      </c>
      <c r="J88" s="28" t="s">
        <v>75</v>
      </c>
      <c r="K88" s="15"/>
      <c r="L88" s="70" t="str">
        <f>"105,0"</f>
        <v>105,0</v>
      </c>
      <c r="M88" s="15" t="str">
        <f>"64,9530"</f>
        <v>64,9530</v>
      </c>
      <c r="N88" s="14" t="s">
        <v>196</v>
      </c>
    </row>
    <row r="89" spans="1:14">
      <c r="A89" s="15" t="s">
        <v>185</v>
      </c>
      <c r="B89" s="14" t="s">
        <v>575</v>
      </c>
      <c r="C89" s="14" t="s">
        <v>576</v>
      </c>
      <c r="D89" s="14" t="s">
        <v>569</v>
      </c>
      <c r="E89" s="72" t="s">
        <v>892</v>
      </c>
      <c r="F89" s="14" t="s">
        <v>36</v>
      </c>
      <c r="G89" s="73" t="s">
        <v>26</v>
      </c>
      <c r="H89" s="28" t="s">
        <v>70</v>
      </c>
      <c r="I89" s="28" t="s">
        <v>31</v>
      </c>
      <c r="J89" s="29" t="s">
        <v>39</v>
      </c>
      <c r="K89" s="15"/>
      <c r="L89" s="70" t="str">
        <f>"120,0"</f>
        <v>120,0</v>
      </c>
      <c r="M89" s="15" t="str">
        <f>"74,8444"</f>
        <v>74,8444</v>
      </c>
      <c r="N89" s="14"/>
    </row>
    <row r="90" spans="1:14">
      <c r="A90" s="11" t="s">
        <v>185</v>
      </c>
      <c r="B90" s="10" t="s">
        <v>573</v>
      </c>
      <c r="C90" s="10" t="s">
        <v>577</v>
      </c>
      <c r="D90" s="10" t="s">
        <v>572</v>
      </c>
      <c r="E90" s="62" t="s">
        <v>895</v>
      </c>
      <c r="F90" s="10" t="s">
        <v>54</v>
      </c>
      <c r="G90" s="64" t="s">
        <v>26</v>
      </c>
      <c r="H90" s="24" t="s">
        <v>22</v>
      </c>
      <c r="I90" s="25" t="s">
        <v>75</v>
      </c>
      <c r="J90" s="24" t="s">
        <v>75</v>
      </c>
      <c r="K90" s="11"/>
      <c r="L90" s="68" t="str">
        <f>"105,0"</f>
        <v>105,0</v>
      </c>
      <c r="M90" s="11" t="str">
        <f>"91,5837"</f>
        <v>91,5837</v>
      </c>
      <c r="N90" s="10" t="s">
        <v>196</v>
      </c>
    </row>
    <row r="91" spans="1:14">
      <c r="B91" s="6" t="s">
        <v>186</v>
      </c>
    </row>
    <row r="92" spans="1:14" ht="16">
      <c r="A92" s="91" t="s">
        <v>145</v>
      </c>
      <c r="B92" s="91"/>
      <c r="C92" s="92"/>
      <c r="D92" s="92"/>
      <c r="E92" s="92"/>
      <c r="F92" s="92"/>
      <c r="G92" s="92"/>
      <c r="H92" s="92"/>
      <c r="I92" s="92"/>
      <c r="J92" s="92"/>
      <c r="K92" s="92"/>
    </row>
    <row r="93" spans="1:14">
      <c r="A93" s="9" t="s">
        <v>185</v>
      </c>
      <c r="B93" s="8" t="s">
        <v>578</v>
      </c>
      <c r="C93" s="8" t="s">
        <v>579</v>
      </c>
      <c r="D93" s="8" t="s">
        <v>580</v>
      </c>
      <c r="E93" s="8" t="s">
        <v>890</v>
      </c>
      <c r="F93" s="8" t="s">
        <v>61</v>
      </c>
      <c r="G93" s="8" t="s">
        <v>26</v>
      </c>
      <c r="H93" s="22" t="s">
        <v>98</v>
      </c>
      <c r="I93" s="22" t="s">
        <v>524</v>
      </c>
      <c r="J93" s="23" t="s">
        <v>121</v>
      </c>
      <c r="K93" s="9"/>
      <c r="L93" s="67" t="str">
        <f>"167,5"</f>
        <v>167,5</v>
      </c>
      <c r="M93" s="9" t="str">
        <f>"100,1315"</f>
        <v>100,1315</v>
      </c>
      <c r="N93" s="8" t="s">
        <v>622</v>
      </c>
    </row>
    <row r="94" spans="1:14">
      <c r="A94" s="15" t="s">
        <v>187</v>
      </c>
      <c r="B94" s="14" t="s">
        <v>581</v>
      </c>
      <c r="C94" s="14" t="s">
        <v>582</v>
      </c>
      <c r="D94" s="14" t="s">
        <v>583</v>
      </c>
      <c r="E94" s="14" t="s">
        <v>890</v>
      </c>
      <c r="F94" s="14" t="s">
        <v>61</v>
      </c>
      <c r="G94" s="14" t="s">
        <v>26</v>
      </c>
      <c r="H94" s="28" t="s">
        <v>106</v>
      </c>
      <c r="I94" s="28" t="s">
        <v>290</v>
      </c>
      <c r="J94" s="29" t="s">
        <v>291</v>
      </c>
      <c r="K94" s="15"/>
      <c r="L94" s="70" t="str">
        <f>"147,5"</f>
        <v>147,5</v>
      </c>
      <c r="M94" s="15" t="str">
        <f>"87,6592"</f>
        <v>87,6592</v>
      </c>
      <c r="N94" s="14" t="s">
        <v>618</v>
      </c>
    </row>
    <row r="95" spans="1:14">
      <c r="A95" s="11" t="s">
        <v>313</v>
      </c>
      <c r="B95" s="10" t="s">
        <v>584</v>
      </c>
      <c r="C95" s="10" t="s">
        <v>585</v>
      </c>
      <c r="D95" s="10" t="s">
        <v>586</v>
      </c>
      <c r="E95" s="10" t="s">
        <v>890</v>
      </c>
      <c r="F95" s="10" t="s">
        <v>61</v>
      </c>
      <c r="G95" s="10" t="s">
        <v>26</v>
      </c>
      <c r="H95" s="25" t="s">
        <v>106</v>
      </c>
      <c r="I95" s="24" t="s">
        <v>106</v>
      </c>
      <c r="J95" s="25" t="s">
        <v>290</v>
      </c>
      <c r="K95" s="11"/>
      <c r="L95" s="68" t="str">
        <f>"140,0"</f>
        <v>140,0</v>
      </c>
      <c r="M95" s="11" t="str">
        <f>"82,7680"</f>
        <v>82,7680</v>
      </c>
      <c r="N95" s="10" t="s">
        <v>618</v>
      </c>
    </row>
    <row r="96" spans="1:14">
      <c r="B96" s="6" t="s">
        <v>186</v>
      </c>
    </row>
    <row r="97" spans="1:14" ht="16">
      <c r="A97" s="91" t="s">
        <v>156</v>
      </c>
      <c r="B97" s="91"/>
      <c r="C97" s="92"/>
      <c r="D97" s="92"/>
      <c r="E97" s="92"/>
      <c r="F97" s="92"/>
      <c r="G97" s="92"/>
      <c r="H97" s="92"/>
      <c r="I97" s="92"/>
      <c r="J97" s="92"/>
      <c r="K97" s="92"/>
    </row>
    <row r="98" spans="1:14">
      <c r="A98" s="9" t="s">
        <v>185</v>
      </c>
      <c r="B98" s="8" t="s">
        <v>587</v>
      </c>
      <c r="C98" s="8" t="s">
        <v>588</v>
      </c>
      <c r="D98" s="8" t="s">
        <v>589</v>
      </c>
      <c r="E98" s="8" t="s">
        <v>891</v>
      </c>
      <c r="F98" s="8" t="s">
        <v>489</v>
      </c>
      <c r="G98" s="8" t="s">
        <v>490</v>
      </c>
      <c r="H98" s="22" t="s">
        <v>55</v>
      </c>
      <c r="I98" s="22" t="s">
        <v>27</v>
      </c>
      <c r="J98" s="23" t="s">
        <v>16</v>
      </c>
      <c r="K98" s="9"/>
      <c r="L98" s="67" t="str">
        <f>"80,0"</f>
        <v>80,0</v>
      </c>
      <c r="M98" s="9" t="str">
        <f>"46,4320"</f>
        <v>46,4320</v>
      </c>
      <c r="N98" s="8" t="s">
        <v>614</v>
      </c>
    </row>
    <row r="99" spans="1:14">
      <c r="A99" s="15" t="s">
        <v>185</v>
      </c>
      <c r="B99" s="14" t="s">
        <v>590</v>
      </c>
      <c r="C99" s="14" t="s">
        <v>591</v>
      </c>
      <c r="D99" s="14" t="s">
        <v>592</v>
      </c>
      <c r="E99" s="14" t="s">
        <v>890</v>
      </c>
      <c r="F99" s="14" t="s">
        <v>36</v>
      </c>
      <c r="G99" s="14" t="s">
        <v>26</v>
      </c>
      <c r="H99" s="28" t="s">
        <v>110</v>
      </c>
      <c r="I99" s="29" t="s">
        <v>126</v>
      </c>
      <c r="J99" s="28" t="s">
        <v>126</v>
      </c>
      <c r="K99" s="15"/>
      <c r="L99" s="70" t="str">
        <f>"175,0"</f>
        <v>175,0</v>
      </c>
      <c r="M99" s="15" t="str">
        <f>"101,0975"</f>
        <v>101,0975</v>
      </c>
      <c r="N99" s="14" t="s">
        <v>129</v>
      </c>
    </row>
    <row r="100" spans="1:14">
      <c r="A100" s="11" t="s">
        <v>187</v>
      </c>
      <c r="B100" s="10" t="s">
        <v>593</v>
      </c>
      <c r="C100" s="10" t="s">
        <v>594</v>
      </c>
      <c r="D100" s="10" t="s">
        <v>595</v>
      </c>
      <c r="E100" s="10" t="s">
        <v>890</v>
      </c>
      <c r="F100" s="10" t="s">
        <v>348</v>
      </c>
      <c r="G100" s="10" t="s">
        <v>26</v>
      </c>
      <c r="H100" s="24" t="s">
        <v>89</v>
      </c>
      <c r="I100" s="24" t="s">
        <v>98</v>
      </c>
      <c r="J100" s="25" t="s">
        <v>91</v>
      </c>
      <c r="K100" s="11"/>
      <c r="L100" s="68" t="str">
        <f>"160,0"</f>
        <v>160,0</v>
      </c>
      <c r="M100" s="11" t="str">
        <f>"92,2400"</f>
        <v>92,2400</v>
      </c>
      <c r="N100" s="10" t="s">
        <v>623</v>
      </c>
    </row>
    <row r="101" spans="1:14">
      <c r="B101" s="6" t="s">
        <v>186</v>
      </c>
    </row>
    <row r="102" spans="1:14" ht="16">
      <c r="B102" s="6" t="s">
        <v>186</v>
      </c>
      <c r="F102" s="16"/>
    </row>
    <row r="103" spans="1:14" ht="16">
      <c r="B103" s="6" t="s">
        <v>186</v>
      </c>
      <c r="F103" s="16"/>
    </row>
    <row r="104" spans="1:14" ht="18">
      <c r="B104" s="17" t="s">
        <v>160</v>
      </c>
      <c r="C104" s="17"/>
    </row>
    <row r="105" spans="1:14" ht="16">
      <c r="B105" s="57" t="s">
        <v>412</v>
      </c>
      <c r="C105" s="57"/>
    </row>
    <row r="106" spans="1:14" ht="14">
      <c r="B106" s="19"/>
      <c r="C106" s="20" t="s">
        <v>844</v>
      </c>
    </row>
    <row r="107" spans="1:14" ht="14">
      <c r="B107" s="21" t="s">
        <v>161</v>
      </c>
      <c r="C107" s="21" t="s">
        <v>162</v>
      </c>
      <c r="D107" s="21" t="s">
        <v>849</v>
      </c>
      <c r="E107" s="21" t="s">
        <v>339</v>
      </c>
      <c r="F107" s="21" t="s">
        <v>165</v>
      </c>
    </row>
    <row r="108" spans="1:14">
      <c r="B108" s="6" t="s">
        <v>452</v>
      </c>
      <c r="C108" s="6" t="s">
        <v>845</v>
      </c>
      <c r="D108" s="7" t="s">
        <v>597</v>
      </c>
      <c r="E108" s="7" t="s">
        <v>455</v>
      </c>
      <c r="F108" s="7" t="s">
        <v>599</v>
      </c>
    </row>
    <row r="109" spans="1:14">
      <c r="B109" s="6" t="s">
        <v>457</v>
      </c>
      <c r="C109" s="6" t="s">
        <v>845</v>
      </c>
      <c r="D109" s="7" t="s">
        <v>597</v>
      </c>
      <c r="E109" s="7" t="s">
        <v>21</v>
      </c>
      <c r="F109" s="7" t="s">
        <v>846</v>
      </c>
    </row>
    <row r="110" spans="1:14">
      <c r="B110" s="6" t="s">
        <v>430</v>
      </c>
      <c r="C110" s="6" t="s">
        <v>845</v>
      </c>
      <c r="D110" s="7" t="s">
        <v>166</v>
      </c>
      <c r="E110" s="7" t="s">
        <v>47</v>
      </c>
      <c r="F110" s="7" t="s">
        <v>847</v>
      </c>
    </row>
    <row r="112" spans="1:14" ht="14">
      <c r="B112" s="19"/>
      <c r="C112" s="20" t="s">
        <v>169</v>
      </c>
    </row>
    <row r="113" spans="2:6" ht="14">
      <c r="B113" s="21" t="s">
        <v>161</v>
      </c>
      <c r="C113" s="21" t="s">
        <v>162</v>
      </c>
      <c r="D113" s="21" t="s">
        <v>849</v>
      </c>
      <c r="E113" s="21" t="s">
        <v>339</v>
      </c>
      <c r="F113" s="21" t="s">
        <v>165</v>
      </c>
    </row>
    <row r="114" spans="2:6">
      <c r="B114" s="6" t="s">
        <v>452</v>
      </c>
      <c r="C114" s="6" t="s">
        <v>169</v>
      </c>
      <c r="D114" s="7" t="s">
        <v>597</v>
      </c>
      <c r="E114" s="7" t="s">
        <v>455</v>
      </c>
      <c r="F114" s="7" t="s">
        <v>599</v>
      </c>
    </row>
    <row r="115" spans="2:6">
      <c r="B115" s="6" t="s">
        <v>474</v>
      </c>
      <c r="C115" s="6" t="s">
        <v>169</v>
      </c>
      <c r="D115" s="7" t="s">
        <v>175</v>
      </c>
      <c r="E115" s="7" t="s">
        <v>27</v>
      </c>
      <c r="F115" s="7" t="s">
        <v>600</v>
      </c>
    </row>
    <row r="116" spans="2:6">
      <c r="B116" s="6" t="s">
        <v>33</v>
      </c>
      <c r="C116" s="6" t="s">
        <v>169</v>
      </c>
      <c r="D116" s="7" t="s">
        <v>170</v>
      </c>
      <c r="E116" s="7" t="s">
        <v>40</v>
      </c>
      <c r="F116" s="7" t="s">
        <v>601</v>
      </c>
    </row>
    <row r="118" spans="2:6" ht="16">
      <c r="B118" s="57" t="s">
        <v>178</v>
      </c>
      <c r="C118" s="57"/>
    </row>
    <row r="119" spans="2:6" ht="14">
      <c r="B119" s="19"/>
      <c r="C119" s="20" t="s">
        <v>602</v>
      </c>
    </row>
    <row r="120" spans="2:6" ht="14">
      <c r="B120" s="21" t="s">
        <v>161</v>
      </c>
      <c r="C120" s="21" t="s">
        <v>162</v>
      </c>
      <c r="D120" s="21" t="s">
        <v>849</v>
      </c>
      <c r="E120" s="21" t="s">
        <v>339</v>
      </c>
      <c r="F120" s="21" t="s">
        <v>165</v>
      </c>
    </row>
    <row r="121" spans="2:6">
      <c r="B121" s="6" t="s">
        <v>556</v>
      </c>
      <c r="C121" s="6" t="s">
        <v>598</v>
      </c>
      <c r="D121" s="7" t="s">
        <v>343</v>
      </c>
      <c r="E121" s="7" t="s">
        <v>22</v>
      </c>
      <c r="F121" s="7" t="s">
        <v>603</v>
      </c>
    </row>
    <row r="122" spans="2:6">
      <c r="B122" s="6" t="s">
        <v>491</v>
      </c>
      <c r="C122" s="6" t="s">
        <v>596</v>
      </c>
      <c r="D122" s="7" t="s">
        <v>597</v>
      </c>
      <c r="E122" s="7" t="s">
        <v>55</v>
      </c>
      <c r="F122" s="7" t="s">
        <v>604</v>
      </c>
    </row>
    <row r="123" spans="2:6">
      <c r="B123" s="6" t="s">
        <v>514</v>
      </c>
      <c r="C123" s="6" t="s">
        <v>596</v>
      </c>
      <c r="D123" s="7" t="s">
        <v>341</v>
      </c>
      <c r="E123" s="7" t="s">
        <v>27</v>
      </c>
      <c r="F123" s="7" t="s">
        <v>605</v>
      </c>
    </row>
    <row r="125" spans="2:6" ht="14">
      <c r="B125" s="19"/>
      <c r="C125" s="20" t="s">
        <v>169</v>
      </c>
    </row>
    <row r="126" spans="2:6" ht="14">
      <c r="B126" s="21" t="s">
        <v>161</v>
      </c>
      <c r="C126" s="21" t="s">
        <v>162</v>
      </c>
      <c r="D126" s="21" t="s">
        <v>849</v>
      </c>
      <c r="E126" s="21" t="s">
        <v>339</v>
      </c>
      <c r="F126" s="21" t="s">
        <v>165</v>
      </c>
    </row>
    <row r="127" spans="2:6">
      <c r="B127" s="6" t="s">
        <v>521</v>
      </c>
      <c r="C127" s="6" t="s">
        <v>169</v>
      </c>
      <c r="D127" s="7" t="s">
        <v>341</v>
      </c>
      <c r="E127" s="7" t="s">
        <v>98</v>
      </c>
      <c r="F127" s="7" t="s">
        <v>606</v>
      </c>
    </row>
    <row r="128" spans="2:6">
      <c r="B128" s="6" t="s">
        <v>400</v>
      </c>
      <c r="C128" s="6" t="s">
        <v>169</v>
      </c>
      <c r="D128" s="7" t="s">
        <v>343</v>
      </c>
      <c r="E128" s="7" t="s">
        <v>91</v>
      </c>
      <c r="F128" s="7" t="s">
        <v>607</v>
      </c>
    </row>
    <row r="129" spans="2:6">
      <c r="B129" s="6" t="s">
        <v>192</v>
      </c>
      <c r="C129" s="6" t="s">
        <v>169</v>
      </c>
      <c r="D129" s="7" t="s">
        <v>343</v>
      </c>
      <c r="E129" s="7" t="s">
        <v>91</v>
      </c>
      <c r="F129" s="7" t="s">
        <v>608</v>
      </c>
    </row>
    <row r="130" spans="2:6">
      <c r="B130" s="6" t="s">
        <v>186</v>
      </c>
    </row>
    <row r="131" spans="2:6">
      <c r="B131" s="6" t="s">
        <v>186</v>
      </c>
    </row>
    <row r="132" spans="2:6">
      <c r="B132" s="6" t="s">
        <v>186</v>
      </c>
    </row>
    <row r="133" spans="2:6">
      <c r="B133" s="6" t="s">
        <v>186</v>
      </c>
    </row>
    <row r="134" spans="2:6">
      <c r="B134" s="6" t="s">
        <v>186</v>
      </c>
    </row>
    <row r="135" spans="2:6">
      <c r="B135" s="6" t="s">
        <v>186</v>
      </c>
    </row>
    <row r="136" spans="2:6">
      <c r="B136" s="6" t="s">
        <v>186</v>
      </c>
    </row>
  </sheetData>
  <mergeCells count="29"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A45:K45"/>
    <mergeCell ref="M3:M4"/>
    <mergeCell ref="N3:N4"/>
    <mergeCell ref="A5:K5"/>
    <mergeCell ref="A8:K8"/>
    <mergeCell ref="A12:K12"/>
    <mergeCell ref="A17:K17"/>
    <mergeCell ref="A26:K26"/>
    <mergeCell ref="A32:K32"/>
    <mergeCell ref="A35:K35"/>
    <mergeCell ref="A38:K38"/>
    <mergeCell ref="A42:K42"/>
    <mergeCell ref="A97:K97"/>
    <mergeCell ref="A48:K48"/>
    <mergeCell ref="A56:K56"/>
    <mergeCell ref="A60:K60"/>
    <mergeCell ref="A74:K74"/>
    <mergeCell ref="A85:K85"/>
    <mergeCell ref="A92:K9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7"/>
  <sheetViews>
    <sheetView topLeftCell="A18" workbookViewId="0">
      <selection activeCell="E50" sqref="E50"/>
    </sheetView>
  </sheetViews>
  <sheetFormatPr baseColWidth="10" defaultColWidth="9.1640625" defaultRowHeight="13"/>
  <cols>
    <col min="1" max="1" width="7.5" style="6" bestFit="1" customWidth="1"/>
    <col min="2" max="2" width="22.33203125" style="6" bestFit="1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65" bestFit="1" customWidth="1"/>
    <col min="13" max="13" width="8.5" style="7" bestFit="1" customWidth="1"/>
    <col min="14" max="14" width="26.83203125" style="6" bestFit="1" customWidth="1"/>
    <col min="15" max="16384" width="9.1640625" style="3"/>
  </cols>
  <sheetData>
    <row r="1" spans="1:14" s="2" customFormat="1" ht="29" customHeight="1">
      <c r="A1" s="78" t="s">
        <v>862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97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41">
        <v>1</v>
      </c>
      <c r="I4" s="41">
        <v>2</v>
      </c>
      <c r="J4" s="41">
        <v>3</v>
      </c>
      <c r="K4" s="41" t="s">
        <v>4</v>
      </c>
      <c r="L4" s="98"/>
      <c r="M4" s="77"/>
      <c r="N4" s="90"/>
    </row>
    <row r="5" spans="1:14" ht="16">
      <c r="A5" s="95" t="s">
        <v>32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280</v>
      </c>
      <c r="C6" s="12" t="s">
        <v>281</v>
      </c>
      <c r="D6" s="12" t="s">
        <v>282</v>
      </c>
      <c r="E6" s="12" t="s">
        <v>890</v>
      </c>
      <c r="F6" s="12" t="s">
        <v>36</v>
      </c>
      <c r="G6" s="12" t="s">
        <v>26</v>
      </c>
      <c r="H6" s="26" t="s">
        <v>75</v>
      </c>
      <c r="I6" s="26" t="s">
        <v>70</v>
      </c>
      <c r="J6" s="27" t="s">
        <v>284</v>
      </c>
      <c r="K6" s="13"/>
      <c r="L6" s="66" t="str">
        <f>"110,0"</f>
        <v>110,0</v>
      </c>
      <c r="M6" s="13" t="str">
        <f>"133,1660"</f>
        <v>133,1660</v>
      </c>
      <c r="N6" s="12" t="s">
        <v>129</v>
      </c>
    </row>
    <row r="7" spans="1:14">
      <c r="B7" s="6" t="s">
        <v>186</v>
      </c>
    </row>
    <row r="8" spans="1:14" ht="16">
      <c r="A8" s="91" t="s">
        <v>50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624</v>
      </c>
      <c r="C9" s="12" t="s">
        <v>625</v>
      </c>
      <c r="D9" s="12" t="s">
        <v>626</v>
      </c>
      <c r="E9" s="12" t="s">
        <v>890</v>
      </c>
      <c r="F9" s="12" t="s">
        <v>489</v>
      </c>
      <c r="G9" s="12" t="s">
        <v>490</v>
      </c>
      <c r="H9" s="26" t="s">
        <v>63</v>
      </c>
      <c r="I9" s="26" t="s">
        <v>47</v>
      </c>
      <c r="J9" s="26" t="s">
        <v>64</v>
      </c>
      <c r="K9" s="13"/>
      <c r="L9" s="66" t="str">
        <f>"42,5"</f>
        <v>42,5</v>
      </c>
      <c r="M9" s="13" t="str">
        <f>"48,0675"</f>
        <v>48,0675</v>
      </c>
      <c r="N9" s="12" t="s">
        <v>685</v>
      </c>
    </row>
    <row r="10" spans="1:14">
      <c r="B10" s="6" t="s">
        <v>186</v>
      </c>
    </row>
    <row r="11" spans="1:14" ht="16">
      <c r="A11" s="91" t="s">
        <v>57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</row>
    <row r="12" spans="1:14">
      <c r="A12" s="13" t="s">
        <v>185</v>
      </c>
      <c r="B12" s="12" t="s">
        <v>627</v>
      </c>
      <c r="C12" s="12" t="s">
        <v>628</v>
      </c>
      <c r="D12" s="12" t="s">
        <v>68</v>
      </c>
      <c r="E12" s="12" t="s">
        <v>893</v>
      </c>
      <c r="F12" s="12" t="s">
        <v>36</v>
      </c>
      <c r="G12" s="12" t="s">
        <v>26</v>
      </c>
      <c r="H12" s="26" t="s">
        <v>55</v>
      </c>
      <c r="I12" s="26" t="s">
        <v>206</v>
      </c>
      <c r="J12" s="26" t="s">
        <v>27</v>
      </c>
      <c r="K12" s="13"/>
      <c r="L12" s="66" t="str">
        <f>"80,0"</f>
        <v>80,0</v>
      </c>
      <c r="M12" s="13" t="str">
        <f>"81,6480"</f>
        <v>81,6480</v>
      </c>
      <c r="N12" s="12" t="s">
        <v>684</v>
      </c>
    </row>
    <row r="13" spans="1:14">
      <c r="B13" s="6" t="s">
        <v>186</v>
      </c>
    </row>
    <row r="14" spans="1:14" ht="16">
      <c r="A14" s="91" t="s">
        <v>57</v>
      </c>
      <c r="B14" s="91"/>
      <c r="C14" s="92"/>
      <c r="D14" s="92"/>
      <c r="E14" s="92"/>
      <c r="F14" s="92"/>
      <c r="G14" s="92"/>
      <c r="H14" s="92"/>
      <c r="I14" s="92"/>
      <c r="J14" s="92"/>
      <c r="K14" s="92"/>
    </row>
    <row r="15" spans="1:14">
      <c r="A15" s="13" t="s">
        <v>185</v>
      </c>
      <c r="B15" s="12" t="s">
        <v>629</v>
      </c>
      <c r="C15" s="12" t="s">
        <v>630</v>
      </c>
      <c r="D15" s="12" t="s">
        <v>631</v>
      </c>
      <c r="E15" s="12" t="s">
        <v>892</v>
      </c>
      <c r="F15" s="12" t="s">
        <v>36</v>
      </c>
      <c r="G15" s="12" t="s">
        <v>325</v>
      </c>
      <c r="H15" s="27" t="s">
        <v>27</v>
      </c>
      <c r="I15" s="26" t="s">
        <v>27</v>
      </c>
      <c r="J15" s="27" t="s">
        <v>632</v>
      </c>
      <c r="K15" s="13"/>
      <c r="L15" s="66" t="str">
        <f>"80,0"</f>
        <v>80,0</v>
      </c>
      <c r="M15" s="13" t="str">
        <f>"62,8437"</f>
        <v>62,8437</v>
      </c>
      <c r="N15" s="12" t="s">
        <v>129</v>
      </c>
    </row>
    <row r="16" spans="1:14">
      <c r="B16" s="6" t="s">
        <v>186</v>
      </c>
    </row>
    <row r="17" spans="1:14" ht="16">
      <c r="A17" s="91" t="s">
        <v>71</v>
      </c>
      <c r="B17" s="91"/>
      <c r="C17" s="92"/>
      <c r="D17" s="92"/>
      <c r="E17" s="92"/>
      <c r="F17" s="92"/>
      <c r="G17" s="92"/>
      <c r="H17" s="92"/>
      <c r="I17" s="92"/>
      <c r="J17" s="92"/>
      <c r="K17" s="92"/>
    </row>
    <row r="18" spans="1:14">
      <c r="A18" s="9" t="s">
        <v>185</v>
      </c>
      <c r="B18" s="8" t="s">
        <v>299</v>
      </c>
      <c r="C18" s="8" t="s">
        <v>300</v>
      </c>
      <c r="D18" s="8" t="s">
        <v>301</v>
      </c>
      <c r="E18" s="8" t="s">
        <v>890</v>
      </c>
      <c r="F18" s="8" t="s">
        <v>348</v>
      </c>
      <c r="G18" s="8" t="s">
        <v>26</v>
      </c>
      <c r="H18" s="22" t="s">
        <v>98</v>
      </c>
      <c r="I18" s="22" t="s">
        <v>110</v>
      </c>
      <c r="J18" s="23" t="s">
        <v>126</v>
      </c>
      <c r="K18" s="9"/>
      <c r="L18" s="67" t="str">
        <f>"170,0"</f>
        <v>170,0</v>
      </c>
      <c r="M18" s="9" t="str">
        <f>"121,1420"</f>
        <v>121,1420</v>
      </c>
      <c r="N18" s="8" t="s">
        <v>346</v>
      </c>
    </row>
    <row r="19" spans="1:14">
      <c r="A19" s="11" t="s">
        <v>185</v>
      </c>
      <c r="B19" s="10" t="s">
        <v>633</v>
      </c>
      <c r="C19" s="10" t="s">
        <v>634</v>
      </c>
      <c r="D19" s="10" t="s">
        <v>635</v>
      </c>
      <c r="E19" s="10" t="s">
        <v>892</v>
      </c>
      <c r="F19" s="10" t="s">
        <v>489</v>
      </c>
      <c r="G19" s="10" t="s">
        <v>26</v>
      </c>
      <c r="H19" s="25" t="s">
        <v>78</v>
      </c>
      <c r="I19" s="24" t="s">
        <v>78</v>
      </c>
      <c r="J19" s="25" t="s">
        <v>79</v>
      </c>
      <c r="K19" s="11"/>
      <c r="L19" s="68" t="str">
        <f>"135,0"</f>
        <v>135,0</v>
      </c>
      <c r="M19" s="11" t="str">
        <f>"96,8355"</f>
        <v>96,8355</v>
      </c>
      <c r="N19" s="10"/>
    </row>
    <row r="20" spans="1:14">
      <c r="B20" s="6" t="s">
        <v>186</v>
      </c>
    </row>
    <row r="21" spans="1:14" ht="16">
      <c r="A21" s="91" t="s">
        <v>122</v>
      </c>
      <c r="B21" s="91"/>
      <c r="C21" s="92"/>
      <c r="D21" s="92"/>
      <c r="E21" s="92"/>
      <c r="F21" s="92"/>
      <c r="G21" s="92"/>
      <c r="H21" s="92"/>
      <c r="I21" s="92"/>
      <c r="J21" s="92"/>
      <c r="K21" s="92"/>
    </row>
    <row r="22" spans="1:14">
      <c r="A22" s="9" t="s">
        <v>185</v>
      </c>
      <c r="B22" s="8" t="s">
        <v>216</v>
      </c>
      <c r="C22" s="8" t="s">
        <v>217</v>
      </c>
      <c r="D22" s="8" t="s">
        <v>218</v>
      </c>
      <c r="E22" s="61" t="s">
        <v>890</v>
      </c>
      <c r="F22" s="8" t="s">
        <v>105</v>
      </c>
      <c r="G22" s="63" t="s">
        <v>26</v>
      </c>
      <c r="H22" s="22" t="s">
        <v>91</v>
      </c>
      <c r="I22" s="22" t="s">
        <v>121</v>
      </c>
      <c r="J22" s="22" t="s">
        <v>100</v>
      </c>
      <c r="K22" s="9"/>
      <c r="L22" s="67" t="str">
        <f>"180,0"</f>
        <v>180,0</v>
      </c>
      <c r="M22" s="59" t="str">
        <f>"120,7620"</f>
        <v>120,7620</v>
      </c>
      <c r="N22" s="8"/>
    </row>
    <row r="23" spans="1:14">
      <c r="A23" s="11" t="s">
        <v>187</v>
      </c>
      <c r="B23" s="10" t="s">
        <v>220</v>
      </c>
      <c r="C23" s="10" t="s">
        <v>221</v>
      </c>
      <c r="D23" s="10" t="s">
        <v>222</v>
      </c>
      <c r="E23" s="62" t="s">
        <v>890</v>
      </c>
      <c r="F23" s="10" t="s">
        <v>348</v>
      </c>
      <c r="G23" s="64" t="s">
        <v>223</v>
      </c>
      <c r="H23" s="24" t="s">
        <v>106</v>
      </c>
      <c r="I23" s="24" t="s">
        <v>80</v>
      </c>
      <c r="J23" s="24" t="s">
        <v>91</v>
      </c>
      <c r="K23" s="11"/>
      <c r="L23" s="68" t="str">
        <f>"165,0"</f>
        <v>165,0</v>
      </c>
      <c r="M23" s="60" t="str">
        <f>"110,7810"</f>
        <v>110,7810</v>
      </c>
      <c r="N23" s="10"/>
    </row>
    <row r="24" spans="1:14">
      <c r="B24" s="6" t="s">
        <v>186</v>
      </c>
    </row>
    <row r="25" spans="1:14" ht="16">
      <c r="A25" s="91" t="s">
        <v>134</v>
      </c>
      <c r="B25" s="91"/>
      <c r="C25" s="92"/>
      <c r="D25" s="92"/>
      <c r="E25" s="92"/>
      <c r="F25" s="92"/>
      <c r="G25" s="92"/>
      <c r="H25" s="92"/>
      <c r="I25" s="92"/>
      <c r="J25" s="92"/>
      <c r="K25" s="92"/>
    </row>
    <row r="26" spans="1:14">
      <c r="A26" s="9" t="s">
        <v>228</v>
      </c>
      <c r="B26" s="8" t="s">
        <v>636</v>
      </c>
      <c r="C26" s="8" t="s">
        <v>637</v>
      </c>
      <c r="D26" s="8" t="s">
        <v>638</v>
      </c>
      <c r="E26" s="61" t="s">
        <v>893</v>
      </c>
      <c r="F26" s="8" t="s">
        <v>61</v>
      </c>
      <c r="G26" s="63" t="s">
        <v>26</v>
      </c>
      <c r="H26" s="23" t="s">
        <v>79</v>
      </c>
      <c r="I26" s="23" t="s">
        <v>79</v>
      </c>
      <c r="J26" s="23" t="s">
        <v>80</v>
      </c>
      <c r="K26" s="9"/>
      <c r="L26" s="67">
        <v>0</v>
      </c>
      <c r="M26" s="59" t="str">
        <f>"0,0000"</f>
        <v>0,0000</v>
      </c>
      <c r="N26" s="8" t="s">
        <v>422</v>
      </c>
    </row>
    <row r="27" spans="1:14">
      <c r="A27" s="15" t="s">
        <v>185</v>
      </c>
      <c r="B27" s="14" t="s">
        <v>419</v>
      </c>
      <c r="C27" s="14" t="s">
        <v>420</v>
      </c>
      <c r="D27" s="14" t="s">
        <v>421</v>
      </c>
      <c r="E27" s="72" t="s">
        <v>890</v>
      </c>
      <c r="F27" s="14" t="s">
        <v>61</v>
      </c>
      <c r="G27" s="73" t="s">
        <v>26</v>
      </c>
      <c r="H27" s="28" t="s">
        <v>126</v>
      </c>
      <c r="I27" s="28" t="s">
        <v>100</v>
      </c>
      <c r="J27" s="15"/>
      <c r="K27" s="15"/>
      <c r="L27" s="70" t="str">
        <f>"180,0"</f>
        <v>180,0</v>
      </c>
      <c r="M27" s="69" t="str">
        <f>"115,6320"</f>
        <v>115,6320</v>
      </c>
      <c r="N27" s="14" t="s">
        <v>422</v>
      </c>
    </row>
    <row r="28" spans="1:14">
      <c r="A28" s="15" t="s">
        <v>187</v>
      </c>
      <c r="B28" s="14" t="s">
        <v>639</v>
      </c>
      <c r="C28" s="14" t="s">
        <v>640</v>
      </c>
      <c r="D28" s="14" t="s">
        <v>641</v>
      </c>
      <c r="E28" s="72" t="s">
        <v>890</v>
      </c>
      <c r="F28" s="14" t="s">
        <v>348</v>
      </c>
      <c r="G28" s="73" t="s">
        <v>26</v>
      </c>
      <c r="H28" s="28" t="s">
        <v>39</v>
      </c>
      <c r="I28" s="28" t="s">
        <v>85</v>
      </c>
      <c r="J28" s="28" t="s">
        <v>78</v>
      </c>
      <c r="K28" s="15"/>
      <c r="L28" s="70" t="str">
        <f>"135,0"</f>
        <v>135,0</v>
      </c>
      <c r="M28" s="69" t="str">
        <f>"88,4115"</f>
        <v>88,4115</v>
      </c>
      <c r="N28" s="14"/>
    </row>
    <row r="29" spans="1:14">
      <c r="A29" s="15" t="s">
        <v>313</v>
      </c>
      <c r="B29" s="14" t="s">
        <v>642</v>
      </c>
      <c r="C29" s="14" t="s">
        <v>643</v>
      </c>
      <c r="D29" s="14" t="s">
        <v>644</v>
      </c>
      <c r="E29" s="72" t="s">
        <v>890</v>
      </c>
      <c r="F29" s="14" t="s">
        <v>105</v>
      </c>
      <c r="G29" s="73" t="s">
        <v>26</v>
      </c>
      <c r="H29" s="28" t="s">
        <v>22</v>
      </c>
      <c r="I29" s="28" t="s">
        <v>49</v>
      </c>
      <c r="J29" s="29" t="s">
        <v>30</v>
      </c>
      <c r="K29" s="15"/>
      <c r="L29" s="70" t="str">
        <f>"107,5"</f>
        <v>107,5</v>
      </c>
      <c r="M29" s="69" t="str">
        <f>"69,6062"</f>
        <v>69,6062</v>
      </c>
      <c r="N29" s="14" t="s">
        <v>353</v>
      </c>
    </row>
    <row r="30" spans="1:14">
      <c r="A30" s="15" t="s">
        <v>185</v>
      </c>
      <c r="B30" s="14" t="s">
        <v>645</v>
      </c>
      <c r="C30" s="14" t="s">
        <v>646</v>
      </c>
      <c r="D30" s="14" t="s">
        <v>647</v>
      </c>
      <c r="E30" s="72" t="s">
        <v>892</v>
      </c>
      <c r="F30" s="14" t="s">
        <v>237</v>
      </c>
      <c r="G30" s="73" t="s">
        <v>26</v>
      </c>
      <c r="H30" s="28" t="s">
        <v>89</v>
      </c>
      <c r="I30" s="28" t="s">
        <v>91</v>
      </c>
      <c r="J30" s="29" t="s">
        <v>121</v>
      </c>
      <c r="K30" s="15"/>
      <c r="L30" s="70" t="str">
        <f>"165,0"</f>
        <v>165,0</v>
      </c>
      <c r="M30" s="69" t="str">
        <f>"113,0379"</f>
        <v>113,0379</v>
      </c>
      <c r="N30" s="14" t="s">
        <v>686</v>
      </c>
    </row>
    <row r="31" spans="1:14">
      <c r="A31" s="11" t="s">
        <v>185</v>
      </c>
      <c r="B31" s="10" t="s">
        <v>648</v>
      </c>
      <c r="C31" s="10" t="s">
        <v>649</v>
      </c>
      <c r="D31" s="10" t="s">
        <v>425</v>
      </c>
      <c r="E31" s="62" t="s">
        <v>894</v>
      </c>
      <c r="F31" s="10" t="s">
        <v>650</v>
      </c>
      <c r="G31" s="64" t="s">
        <v>651</v>
      </c>
      <c r="H31" s="24" t="s">
        <v>78</v>
      </c>
      <c r="I31" s="24" t="s">
        <v>106</v>
      </c>
      <c r="J31" s="25" t="s">
        <v>149</v>
      </c>
      <c r="K31" s="11"/>
      <c r="L31" s="68" t="str">
        <f>"140,0"</f>
        <v>140,0</v>
      </c>
      <c r="M31" s="60" t="str">
        <f>"103,2010"</f>
        <v>103,2010</v>
      </c>
      <c r="N31" s="10"/>
    </row>
    <row r="32" spans="1:14">
      <c r="B32" s="6" t="s">
        <v>186</v>
      </c>
    </row>
    <row r="33" spans="1:14" ht="16">
      <c r="A33" s="91" t="s">
        <v>138</v>
      </c>
      <c r="B33" s="91"/>
      <c r="C33" s="92"/>
      <c r="D33" s="92"/>
      <c r="E33" s="92"/>
      <c r="F33" s="92"/>
      <c r="G33" s="92"/>
      <c r="H33" s="92"/>
      <c r="I33" s="92"/>
      <c r="J33" s="92"/>
      <c r="K33" s="92"/>
    </row>
    <row r="34" spans="1:14">
      <c r="A34" s="9" t="s">
        <v>185</v>
      </c>
      <c r="B34" s="8" t="s">
        <v>652</v>
      </c>
      <c r="C34" s="8" t="s">
        <v>653</v>
      </c>
      <c r="D34" s="8" t="s">
        <v>654</v>
      </c>
      <c r="E34" s="61" t="s">
        <v>890</v>
      </c>
      <c r="F34" s="8" t="s">
        <v>348</v>
      </c>
      <c r="G34" s="63" t="s">
        <v>223</v>
      </c>
      <c r="H34" s="22" t="s">
        <v>150</v>
      </c>
      <c r="I34" s="23" t="s">
        <v>255</v>
      </c>
      <c r="J34" s="23" t="s">
        <v>255</v>
      </c>
      <c r="K34" s="9"/>
      <c r="L34" s="67" t="str">
        <f>"190,0"</f>
        <v>190,0</v>
      </c>
      <c r="M34" s="9" t="str">
        <f>"117,3060"</f>
        <v>117,3060</v>
      </c>
      <c r="N34" s="8"/>
    </row>
    <row r="35" spans="1:14">
      <c r="A35" s="15" t="s">
        <v>187</v>
      </c>
      <c r="B35" s="14" t="s">
        <v>655</v>
      </c>
      <c r="C35" s="14" t="s">
        <v>656</v>
      </c>
      <c r="D35" s="14" t="s">
        <v>657</v>
      </c>
      <c r="E35" s="72" t="s">
        <v>890</v>
      </c>
      <c r="F35" s="14" t="s">
        <v>262</v>
      </c>
      <c r="G35" s="73" t="s">
        <v>26</v>
      </c>
      <c r="H35" s="28" t="s">
        <v>110</v>
      </c>
      <c r="I35" s="28" t="s">
        <v>100</v>
      </c>
      <c r="J35" s="28" t="s">
        <v>92</v>
      </c>
      <c r="K35" s="15"/>
      <c r="L35" s="70" t="str">
        <f>"185,0"</f>
        <v>185,0</v>
      </c>
      <c r="M35" s="15" t="str">
        <f>"113,5715"</f>
        <v>113,5715</v>
      </c>
      <c r="N35" s="14" t="s">
        <v>297</v>
      </c>
    </row>
    <row r="36" spans="1:14">
      <c r="A36" s="15" t="s">
        <v>313</v>
      </c>
      <c r="B36" s="14" t="s">
        <v>658</v>
      </c>
      <c r="C36" s="14" t="s">
        <v>659</v>
      </c>
      <c r="D36" s="14" t="s">
        <v>660</v>
      </c>
      <c r="E36" s="72" t="s">
        <v>890</v>
      </c>
      <c r="F36" s="14" t="s">
        <v>348</v>
      </c>
      <c r="G36" s="73" t="s">
        <v>661</v>
      </c>
      <c r="H36" s="28" t="s">
        <v>75</v>
      </c>
      <c r="I36" s="29" t="s">
        <v>30</v>
      </c>
      <c r="J36" s="29" t="s">
        <v>30</v>
      </c>
      <c r="K36" s="15"/>
      <c r="L36" s="70" t="str">
        <f>"105,0"</f>
        <v>105,0</v>
      </c>
      <c r="M36" s="15" t="str">
        <f>"65,6250"</f>
        <v>65,6250</v>
      </c>
      <c r="N36" s="14" t="s">
        <v>687</v>
      </c>
    </row>
    <row r="37" spans="1:14">
      <c r="A37" s="15" t="s">
        <v>228</v>
      </c>
      <c r="B37" s="14" t="s">
        <v>662</v>
      </c>
      <c r="C37" s="14" t="s">
        <v>663</v>
      </c>
      <c r="D37" s="14" t="s">
        <v>246</v>
      </c>
      <c r="E37" s="72" t="s">
        <v>890</v>
      </c>
      <c r="F37" s="14" t="s">
        <v>348</v>
      </c>
      <c r="G37" s="73" t="s">
        <v>26</v>
      </c>
      <c r="H37" s="29" t="s">
        <v>100</v>
      </c>
      <c r="I37" s="29" t="s">
        <v>100</v>
      </c>
      <c r="J37" s="29" t="s">
        <v>150</v>
      </c>
      <c r="K37" s="15"/>
      <c r="L37" s="70" t="str">
        <f>"0.00"</f>
        <v>0.00</v>
      </c>
      <c r="M37" s="15" t="str">
        <f>"0,0000"</f>
        <v>0,0000</v>
      </c>
      <c r="N37" s="14" t="s">
        <v>611</v>
      </c>
    </row>
    <row r="38" spans="1:14">
      <c r="A38" s="15" t="s">
        <v>228</v>
      </c>
      <c r="B38" s="14" t="s">
        <v>664</v>
      </c>
      <c r="C38" s="14" t="s">
        <v>665</v>
      </c>
      <c r="D38" s="14" t="s">
        <v>246</v>
      </c>
      <c r="E38" s="72" t="s">
        <v>890</v>
      </c>
      <c r="F38" s="14" t="s">
        <v>262</v>
      </c>
      <c r="G38" s="73" t="s">
        <v>26</v>
      </c>
      <c r="H38" s="29" t="s">
        <v>117</v>
      </c>
      <c r="I38" s="29" t="s">
        <v>117</v>
      </c>
      <c r="J38" s="15"/>
      <c r="K38" s="15"/>
      <c r="L38" s="70" t="str">
        <f>"0.00"</f>
        <v>0.00</v>
      </c>
      <c r="M38" s="15" t="str">
        <f>"0,0000"</f>
        <v>0,0000</v>
      </c>
      <c r="N38" s="14" t="s">
        <v>297</v>
      </c>
    </row>
    <row r="39" spans="1:14">
      <c r="A39" s="15" t="s">
        <v>185</v>
      </c>
      <c r="B39" s="14" t="s">
        <v>372</v>
      </c>
      <c r="C39" s="14" t="s">
        <v>373</v>
      </c>
      <c r="D39" s="14" t="s">
        <v>374</v>
      </c>
      <c r="E39" s="72" t="s">
        <v>892</v>
      </c>
      <c r="F39" s="14" t="s">
        <v>213</v>
      </c>
      <c r="G39" s="73" t="s">
        <v>850</v>
      </c>
      <c r="H39" s="29" t="s">
        <v>106</v>
      </c>
      <c r="I39" s="28" t="s">
        <v>195</v>
      </c>
      <c r="J39" s="28" t="s">
        <v>90</v>
      </c>
      <c r="K39" s="15"/>
      <c r="L39" s="70" t="str">
        <f>"162,5"</f>
        <v>162,5</v>
      </c>
      <c r="M39" s="15" t="str">
        <f>"113,1293"</f>
        <v>113,1293</v>
      </c>
      <c r="N39" s="14" t="s">
        <v>609</v>
      </c>
    </row>
    <row r="40" spans="1:14">
      <c r="A40" s="15" t="s">
        <v>187</v>
      </c>
      <c r="B40" s="14" t="s">
        <v>666</v>
      </c>
      <c r="C40" s="14" t="s">
        <v>667</v>
      </c>
      <c r="D40" s="14" t="s">
        <v>668</v>
      </c>
      <c r="E40" s="72" t="s">
        <v>892</v>
      </c>
      <c r="F40" s="14" t="s">
        <v>237</v>
      </c>
      <c r="G40" s="73" t="s">
        <v>26</v>
      </c>
      <c r="H40" s="28" t="s">
        <v>79</v>
      </c>
      <c r="I40" s="28" t="s">
        <v>89</v>
      </c>
      <c r="J40" s="28" t="s">
        <v>195</v>
      </c>
      <c r="K40" s="15"/>
      <c r="L40" s="70" t="str">
        <f>"157,5"</f>
        <v>157,5</v>
      </c>
      <c r="M40" s="15" t="str">
        <f>"106,1134"</f>
        <v>106,1134</v>
      </c>
      <c r="N40" s="14" t="s">
        <v>688</v>
      </c>
    </row>
    <row r="41" spans="1:14">
      <c r="A41" s="11" t="s">
        <v>185</v>
      </c>
      <c r="B41" s="10" t="s">
        <v>669</v>
      </c>
      <c r="C41" s="10" t="s">
        <v>670</v>
      </c>
      <c r="D41" s="10" t="s">
        <v>671</v>
      </c>
      <c r="E41" s="62" t="s">
        <v>894</v>
      </c>
      <c r="F41" s="10" t="s">
        <v>54</v>
      </c>
      <c r="G41" s="64" t="s">
        <v>26</v>
      </c>
      <c r="H41" s="24" t="s">
        <v>39</v>
      </c>
      <c r="I41" s="24" t="s">
        <v>78</v>
      </c>
      <c r="J41" s="24" t="s">
        <v>106</v>
      </c>
      <c r="K41" s="11"/>
      <c r="L41" s="68" t="str">
        <f>"140,0"</f>
        <v>140,0</v>
      </c>
      <c r="M41" s="11" t="str">
        <f>"101,8517"</f>
        <v>101,8517</v>
      </c>
      <c r="N41" s="10" t="s">
        <v>351</v>
      </c>
    </row>
    <row r="42" spans="1:14">
      <c r="B42" s="6" t="s">
        <v>186</v>
      </c>
    </row>
    <row r="43" spans="1:14" ht="16">
      <c r="A43" s="91" t="s">
        <v>145</v>
      </c>
      <c r="B43" s="91"/>
      <c r="C43" s="92"/>
      <c r="D43" s="92"/>
      <c r="E43" s="92"/>
      <c r="F43" s="92"/>
      <c r="G43" s="92"/>
      <c r="H43" s="92"/>
      <c r="I43" s="92"/>
      <c r="J43" s="92"/>
      <c r="K43" s="92"/>
    </row>
    <row r="44" spans="1:14">
      <c r="A44" s="9" t="s">
        <v>185</v>
      </c>
      <c r="B44" s="8" t="s">
        <v>672</v>
      </c>
      <c r="C44" s="8" t="s">
        <v>673</v>
      </c>
      <c r="D44" s="8" t="s">
        <v>674</v>
      </c>
      <c r="E44" s="8" t="s">
        <v>890</v>
      </c>
      <c r="F44" s="8" t="s">
        <v>237</v>
      </c>
      <c r="G44" s="8" t="s">
        <v>26</v>
      </c>
      <c r="H44" s="22" t="s">
        <v>115</v>
      </c>
      <c r="I44" s="23" t="s">
        <v>215</v>
      </c>
      <c r="J44" s="23" t="s">
        <v>215</v>
      </c>
      <c r="K44" s="9"/>
      <c r="L44" s="67" t="str">
        <f>"215,0"</f>
        <v>215,0</v>
      </c>
      <c r="M44" s="9" t="str">
        <f>"126,7855"</f>
        <v>126,7855</v>
      </c>
      <c r="N44" s="8" t="s">
        <v>689</v>
      </c>
    </row>
    <row r="45" spans="1:14">
      <c r="A45" s="15" t="s">
        <v>187</v>
      </c>
      <c r="B45" s="14" t="s">
        <v>675</v>
      </c>
      <c r="C45" s="14" t="s">
        <v>676</v>
      </c>
      <c r="D45" s="14" t="s">
        <v>677</v>
      </c>
      <c r="E45" s="14" t="s">
        <v>890</v>
      </c>
      <c r="F45" s="14" t="s">
        <v>209</v>
      </c>
      <c r="G45" s="14" t="s">
        <v>289</v>
      </c>
      <c r="H45" s="28" t="s">
        <v>93</v>
      </c>
      <c r="I45" s="28" t="s">
        <v>214</v>
      </c>
      <c r="J45" s="29" t="s">
        <v>115</v>
      </c>
      <c r="K45" s="15"/>
      <c r="L45" s="70" t="str">
        <f>"210,0"</f>
        <v>210,0</v>
      </c>
      <c r="M45" s="15" t="str">
        <f>"125,7060"</f>
        <v>125,7060</v>
      </c>
      <c r="N45" s="14"/>
    </row>
    <row r="46" spans="1:14">
      <c r="A46" s="11" t="s">
        <v>313</v>
      </c>
      <c r="B46" s="10" t="s">
        <v>678</v>
      </c>
      <c r="C46" s="10" t="s">
        <v>679</v>
      </c>
      <c r="D46" s="10" t="s">
        <v>680</v>
      </c>
      <c r="E46" s="10" t="s">
        <v>890</v>
      </c>
      <c r="F46" s="10" t="s">
        <v>36</v>
      </c>
      <c r="G46" s="10" t="s">
        <v>26</v>
      </c>
      <c r="H46" s="24" t="s">
        <v>101</v>
      </c>
      <c r="I46" s="25" t="s">
        <v>255</v>
      </c>
      <c r="J46" s="11"/>
      <c r="K46" s="11"/>
      <c r="L46" s="68" t="str">
        <f>"195,0"</f>
        <v>195,0</v>
      </c>
      <c r="M46" s="11" t="str">
        <f>"117,8580"</f>
        <v>117,8580</v>
      </c>
      <c r="N46" s="10"/>
    </row>
    <row r="47" spans="1:14">
      <c r="B47" s="6" t="s">
        <v>186</v>
      </c>
    </row>
    <row r="48" spans="1:14" ht="16">
      <c r="A48" s="91" t="s">
        <v>156</v>
      </c>
      <c r="B48" s="91"/>
      <c r="C48" s="92"/>
      <c r="D48" s="92"/>
      <c r="E48" s="92"/>
      <c r="F48" s="92"/>
      <c r="G48" s="92"/>
      <c r="H48" s="92"/>
      <c r="I48" s="92"/>
      <c r="J48" s="92"/>
      <c r="K48" s="92"/>
    </row>
    <row r="49" spans="1:14">
      <c r="A49" s="13" t="s">
        <v>185</v>
      </c>
      <c r="B49" s="12" t="s">
        <v>292</v>
      </c>
      <c r="C49" s="12" t="s">
        <v>293</v>
      </c>
      <c r="D49" s="12" t="s">
        <v>294</v>
      </c>
      <c r="E49" s="12" t="s">
        <v>892</v>
      </c>
      <c r="F49" s="12" t="s">
        <v>262</v>
      </c>
      <c r="G49" s="12" t="s">
        <v>295</v>
      </c>
      <c r="H49" s="26" t="s">
        <v>150</v>
      </c>
      <c r="I49" s="27" t="s">
        <v>93</v>
      </c>
      <c r="J49" s="26" t="s">
        <v>93</v>
      </c>
      <c r="K49" s="13"/>
      <c r="L49" s="66" t="str">
        <f>"200,0"</f>
        <v>200,0</v>
      </c>
      <c r="M49" s="13" t="str">
        <f>"114,9720"</f>
        <v>114,9720</v>
      </c>
      <c r="N49" s="12" t="s">
        <v>297</v>
      </c>
    </row>
    <row r="50" spans="1:14">
      <c r="B50" s="6" t="s">
        <v>186</v>
      </c>
    </row>
    <row r="51" spans="1:14" ht="16">
      <c r="B51" s="6" t="s">
        <v>186</v>
      </c>
      <c r="F51" s="16"/>
    </row>
    <row r="52" spans="1:14">
      <c r="B52" s="6" t="s">
        <v>186</v>
      </c>
    </row>
    <row r="53" spans="1:14" ht="18">
      <c r="B53" s="17" t="s">
        <v>160</v>
      </c>
      <c r="C53" s="17"/>
    </row>
    <row r="54" spans="1:14" ht="16">
      <c r="B54" s="40" t="s">
        <v>178</v>
      </c>
      <c r="C54" s="40"/>
    </row>
    <row r="55" spans="1:14" ht="14">
      <c r="B55" s="19"/>
      <c r="C55" s="20" t="s">
        <v>169</v>
      </c>
    </row>
    <row r="56" spans="1:14" ht="14">
      <c r="B56" s="21" t="s">
        <v>161</v>
      </c>
      <c r="C56" s="21" t="s">
        <v>162</v>
      </c>
      <c r="D56" s="21" t="s">
        <v>849</v>
      </c>
      <c r="E56" s="21" t="s">
        <v>339</v>
      </c>
      <c r="F56" s="21" t="s">
        <v>165</v>
      </c>
    </row>
    <row r="57" spans="1:14">
      <c r="B57" s="6" t="s">
        <v>672</v>
      </c>
      <c r="C57" s="6" t="s">
        <v>169</v>
      </c>
      <c r="D57" s="7" t="s">
        <v>277</v>
      </c>
      <c r="E57" s="7" t="s">
        <v>115</v>
      </c>
      <c r="F57" s="7" t="s">
        <v>681</v>
      </c>
    </row>
    <row r="58" spans="1:14">
      <c r="B58" s="6" t="s">
        <v>675</v>
      </c>
      <c r="C58" s="6" t="s">
        <v>169</v>
      </c>
      <c r="D58" s="7" t="s">
        <v>277</v>
      </c>
      <c r="E58" s="7" t="s">
        <v>214</v>
      </c>
      <c r="F58" s="7" t="s">
        <v>682</v>
      </c>
    </row>
    <row r="59" spans="1:14">
      <c r="B59" s="6" t="s">
        <v>299</v>
      </c>
      <c r="C59" s="6" t="s">
        <v>169</v>
      </c>
      <c r="D59" s="7" t="s">
        <v>175</v>
      </c>
      <c r="E59" s="7" t="s">
        <v>110</v>
      </c>
      <c r="F59" s="7" t="s">
        <v>683</v>
      </c>
    </row>
    <row r="60" spans="1:14">
      <c r="B60" s="6" t="s">
        <v>186</v>
      </c>
    </row>
    <row r="61" spans="1:14">
      <c r="B61" s="6" t="s">
        <v>186</v>
      </c>
      <c r="C61" s="7"/>
      <c r="D61" s="7"/>
      <c r="E61" s="7"/>
      <c r="F61" s="7"/>
      <c r="G61" s="7"/>
      <c r="I61" s="6"/>
      <c r="J61" s="3"/>
      <c r="K61" s="3"/>
      <c r="L61" s="74"/>
      <c r="M61" s="3"/>
      <c r="N61" s="3"/>
    </row>
    <row r="62" spans="1:14">
      <c r="B62" s="6" t="s">
        <v>186</v>
      </c>
      <c r="C62" s="7"/>
      <c r="D62" s="7"/>
      <c r="E62" s="7"/>
      <c r="F62" s="7"/>
      <c r="G62" s="7"/>
      <c r="I62" s="6"/>
      <c r="J62" s="3"/>
      <c r="K62" s="3"/>
      <c r="L62" s="74"/>
      <c r="M62" s="3"/>
      <c r="N62" s="3"/>
    </row>
    <row r="63" spans="1:14">
      <c r="B63" s="6" t="s">
        <v>186</v>
      </c>
      <c r="C63" s="7"/>
      <c r="D63" s="7"/>
      <c r="E63" s="7"/>
      <c r="F63" s="7"/>
      <c r="G63" s="7"/>
      <c r="I63" s="6"/>
      <c r="J63" s="3"/>
      <c r="K63" s="3"/>
      <c r="L63" s="74"/>
      <c r="M63" s="3"/>
      <c r="N63" s="3"/>
    </row>
    <row r="64" spans="1:14">
      <c r="B64" s="6" t="s">
        <v>186</v>
      </c>
      <c r="C64" s="7"/>
      <c r="D64" s="7"/>
      <c r="E64" s="7"/>
      <c r="F64" s="7"/>
      <c r="G64" s="7"/>
      <c r="I64" s="6"/>
      <c r="J64" s="3"/>
      <c r="K64" s="3"/>
      <c r="L64" s="74"/>
      <c r="M64" s="3"/>
      <c r="N64" s="3"/>
    </row>
    <row r="65" spans="2:14">
      <c r="B65" s="6" t="s">
        <v>186</v>
      </c>
      <c r="C65" s="7"/>
      <c r="D65" s="7"/>
      <c r="E65" s="7"/>
      <c r="F65" s="7"/>
      <c r="G65" s="7"/>
      <c r="I65" s="6"/>
      <c r="J65" s="3"/>
      <c r="K65" s="3"/>
      <c r="L65" s="74"/>
      <c r="M65" s="3"/>
      <c r="N65" s="3"/>
    </row>
    <row r="66" spans="2:14">
      <c r="B66" s="6" t="s">
        <v>186</v>
      </c>
    </row>
    <row r="67" spans="2:14">
      <c r="B67" s="6" t="s">
        <v>186</v>
      </c>
    </row>
    <row r="68" spans="2:14">
      <c r="B68" s="6" t="s">
        <v>186</v>
      </c>
    </row>
    <row r="69" spans="2:14">
      <c r="B69" s="6" t="s">
        <v>186</v>
      </c>
    </row>
    <row r="70" spans="2:14">
      <c r="B70" s="6" t="s">
        <v>186</v>
      </c>
    </row>
    <row r="71" spans="2:14">
      <c r="B71" s="6" t="s">
        <v>186</v>
      </c>
    </row>
    <row r="72" spans="2:14">
      <c r="B72" s="6" t="s">
        <v>186</v>
      </c>
    </row>
    <row r="73" spans="2:14">
      <c r="B73" s="6" t="s">
        <v>186</v>
      </c>
    </row>
    <row r="74" spans="2:14">
      <c r="B74" s="6" t="s">
        <v>186</v>
      </c>
    </row>
    <row r="75" spans="2:14">
      <c r="B75" s="6" t="s">
        <v>186</v>
      </c>
    </row>
    <row r="76" spans="2:14">
      <c r="B76" s="6" t="s">
        <v>186</v>
      </c>
    </row>
    <row r="77" spans="2:14">
      <c r="B77" s="6" t="s">
        <v>186</v>
      </c>
    </row>
  </sheetData>
  <mergeCells count="22">
    <mergeCell ref="A48:K48"/>
    <mergeCell ref="M3:M4"/>
    <mergeCell ref="N3:N4"/>
    <mergeCell ref="A5:K5"/>
    <mergeCell ref="A8:K8"/>
    <mergeCell ref="A11:K11"/>
    <mergeCell ref="A14:K14"/>
    <mergeCell ref="A17:K17"/>
    <mergeCell ref="A21:K21"/>
    <mergeCell ref="A25:K25"/>
    <mergeCell ref="A33:K33"/>
    <mergeCell ref="A43:K43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"/>
  <sheetViews>
    <sheetView workbookViewId="0">
      <selection sqref="A1:N2"/>
    </sheetView>
  </sheetViews>
  <sheetFormatPr baseColWidth="10" defaultColWidth="9.1640625" defaultRowHeight="13"/>
  <cols>
    <col min="1" max="1" width="7.5" style="6" bestFit="1" customWidth="1"/>
    <col min="2" max="2" width="19.33203125" style="6" customWidth="1"/>
    <col min="3" max="3" width="27.5" style="6" bestFit="1" customWidth="1"/>
    <col min="4" max="4" width="21.5" style="6" bestFit="1" customWidth="1"/>
    <col min="5" max="5" width="10.5" style="6" bestFit="1" customWidth="1"/>
    <col min="6" max="6" width="23.33203125" style="6" bestFit="1" customWidth="1"/>
    <col min="7" max="7" width="34.5" style="6" bestFit="1" customWidth="1"/>
    <col min="8" max="10" width="5.5" style="7" customWidth="1"/>
    <col min="11" max="11" width="4.83203125" style="7" customWidth="1"/>
    <col min="12" max="12" width="10.5" style="7" bestFit="1" customWidth="1"/>
    <col min="13" max="13" width="8.5" style="7" bestFit="1" customWidth="1"/>
    <col min="14" max="14" width="19.33203125" style="6" customWidth="1"/>
    <col min="15" max="16384" width="9.1640625" style="3"/>
  </cols>
  <sheetData>
    <row r="1" spans="1:14" s="2" customFormat="1" ht="29" customHeight="1">
      <c r="A1" s="78" t="s">
        <v>863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s="2" customFormat="1" ht="62" customHeight="1" thickBot="1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1" customFormat="1" ht="12.75" customHeight="1">
      <c r="A3" s="86" t="s">
        <v>886</v>
      </c>
      <c r="B3" s="93" t="s">
        <v>0</v>
      </c>
      <c r="C3" s="88" t="s">
        <v>887</v>
      </c>
      <c r="D3" s="88" t="s">
        <v>6</v>
      </c>
      <c r="E3" s="76" t="s">
        <v>888</v>
      </c>
      <c r="F3" s="76"/>
      <c r="G3" s="76" t="s">
        <v>5</v>
      </c>
      <c r="H3" s="76" t="s">
        <v>8</v>
      </c>
      <c r="I3" s="76"/>
      <c r="J3" s="76"/>
      <c r="K3" s="76"/>
      <c r="L3" s="76" t="s">
        <v>298</v>
      </c>
      <c r="M3" s="76" t="s">
        <v>3</v>
      </c>
      <c r="N3" s="89" t="s">
        <v>2</v>
      </c>
    </row>
    <row r="4" spans="1:14" s="1" customFormat="1" ht="21" customHeight="1" thickBot="1">
      <c r="A4" s="87"/>
      <c r="B4" s="94"/>
      <c r="C4" s="77"/>
      <c r="D4" s="77"/>
      <c r="E4" s="77"/>
      <c r="F4" s="77"/>
      <c r="G4" s="77"/>
      <c r="H4" s="34">
        <v>1</v>
      </c>
      <c r="I4" s="34">
        <v>2</v>
      </c>
      <c r="J4" s="34">
        <v>3</v>
      </c>
      <c r="K4" s="34" t="s">
        <v>4</v>
      </c>
      <c r="L4" s="77"/>
      <c r="M4" s="77"/>
      <c r="N4" s="90"/>
    </row>
    <row r="5" spans="1:14" ht="16">
      <c r="A5" s="95" t="s">
        <v>358</v>
      </c>
      <c r="B5" s="95"/>
      <c r="C5" s="96"/>
      <c r="D5" s="96"/>
      <c r="E5" s="96"/>
      <c r="F5" s="96"/>
      <c r="G5" s="96"/>
      <c r="H5" s="96"/>
      <c r="I5" s="96"/>
      <c r="J5" s="96"/>
      <c r="K5" s="96"/>
    </row>
    <row r="6" spans="1:14">
      <c r="A6" s="13" t="s">
        <v>185</v>
      </c>
      <c r="B6" s="12" t="s">
        <v>359</v>
      </c>
      <c r="C6" s="12" t="s">
        <v>360</v>
      </c>
      <c r="D6" s="12" t="s">
        <v>361</v>
      </c>
      <c r="E6" s="12" t="s">
        <v>890</v>
      </c>
      <c r="F6" s="12" t="s">
        <v>213</v>
      </c>
      <c r="G6" s="12" t="s">
        <v>850</v>
      </c>
      <c r="H6" s="26" t="s">
        <v>40</v>
      </c>
      <c r="I6" s="27" t="s">
        <v>206</v>
      </c>
      <c r="J6" s="27" t="s">
        <v>206</v>
      </c>
      <c r="K6" s="13"/>
      <c r="L6" s="13" t="str">
        <f>"65,0"</f>
        <v>65,0</v>
      </c>
      <c r="M6" s="13" t="str">
        <f>"77,1225"</f>
        <v>77,1225</v>
      </c>
      <c r="N6" s="12" t="s">
        <v>609</v>
      </c>
    </row>
    <row r="7" spans="1:14">
      <c r="B7" s="6" t="s">
        <v>186</v>
      </c>
    </row>
    <row r="8" spans="1:14" ht="16">
      <c r="A8" s="91" t="s">
        <v>122</v>
      </c>
      <c r="B8" s="91"/>
      <c r="C8" s="92"/>
      <c r="D8" s="92"/>
      <c r="E8" s="92"/>
      <c r="F8" s="92"/>
      <c r="G8" s="92"/>
      <c r="H8" s="92"/>
      <c r="I8" s="92"/>
      <c r="J8" s="92"/>
      <c r="K8" s="92"/>
    </row>
    <row r="9" spans="1:14">
      <c r="A9" s="13" t="s">
        <v>185</v>
      </c>
      <c r="B9" s="12" t="s">
        <v>362</v>
      </c>
      <c r="C9" s="12" t="s">
        <v>363</v>
      </c>
      <c r="D9" s="12" t="s">
        <v>364</v>
      </c>
      <c r="E9" s="12" t="s">
        <v>890</v>
      </c>
      <c r="F9" s="12" t="s">
        <v>36</v>
      </c>
      <c r="G9" s="12" t="s">
        <v>26</v>
      </c>
      <c r="H9" s="26" t="s">
        <v>214</v>
      </c>
      <c r="I9" s="26" t="s">
        <v>128</v>
      </c>
      <c r="J9" s="27" t="s">
        <v>155</v>
      </c>
      <c r="K9" s="13"/>
      <c r="L9" s="13" t="str">
        <f>"220,0"</f>
        <v>220,0</v>
      </c>
      <c r="M9" s="13" t="str">
        <f>"142,2080"</f>
        <v>142,2080</v>
      </c>
      <c r="N9" s="12" t="s">
        <v>129</v>
      </c>
    </row>
    <row r="10" spans="1:14">
      <c r="B10" s="6" t="s">
        <v>186</v>
      </c>
    </row>
    <row r="11" spans="1:14" ht="16">
      <c r="A11" s="91" t="s">
        <v>156</v>
      </c>
      <c r="B11" s="91"/>
      <c r="C11" s="92"/>
      <c r="D11" s="92"/>
      <c r="E11" s="92"/>
      <c r="F11" s="92"/>
      <c r="G11" s="92"/>
      <c r="H11" s="92"/>
      <c r="I11" s="92"/>
      <c r="J11" s="92"/>
      <c r="K11" s="92"/>
    </row>
    <row r="12" spans="1:14">
      <c r="A12" s="9" t="s">
        <v>185</v>
      </c>
      <c r="B12" s="8" t="s">
        <v>365</v>
      </c>
      <c r="C12" s="8" t="s">
        <v>366</v>
      </c>
      <c r="D12" s="8" t="s">
        <v>367</v>
      </c>
      <c r="E12" s="8" t="s">
        <v>890</v>
      </c>
      <c r="F12" s="8" t="s">
        <v>36</v>
      </c>
      <c r="G12" s="8" t="s">
        <v>26</v>
      </c>
      <c r="H12" s="22" t="s">
        <v>101</v>
      </c>
      <c r="I12" s="23" t="s">
        <v>151</v>
      </c>
      <c r="J12" s="22" t="s">
        <v>214</v>
      </c>
      <c r="K12" s="9"/>
      <c r="L12" s="9" t="str">
        <f>"210,0"</f>
        <v>210,0</v>
      </c>
      <c r="M12" s="9" t="str">
        <f>"116,4660"</f>
        <v>116,4660</v>
      </c>
      <c r="N12" s="8" t="s">
        <v>129</v>
      </c>
    </row>
    <row r="13" spans="1:14">
      <c r="A13" s="11" t="s">
        <v>185</v>
      </c>
      <c r="B13" s="10" t="s">
        <v>365</v>
      </c>
      <c r="C13" s="10" t="s">
        <v>368</v>
      </c>
      <c r="D13" s="10" t="s">
        <v>367</v>
      </c>
      <c r="E13" s="10" t="s">
        <v>895</v>
      </c>
      <c r="F13" s="10" t="s">
        <v>36</v>
      </c>
      <c r="G13" s="10" t="s">
        <v>26</v>
      </c>
      <c r="H13" s="24" t="s">
        <v>101</v>
      </c>
      <c r="I13" s="25" t="s">
        <v>151</v>
      </c>
      <c r="J13" s="24" t="s">
        <v>214</v>
      </c>
      <c r="K13" s="11"/>
      <c r="L13" s="11" t="str">
        <f>"210,0"</f>
        <v>210,0</v>
      </c>
      <c r="M13" s="11" t="str">
        <f>"162,2371"</f>
        <v>162,2371</v>
      </c>
      <c r="N13" s="10" t="s">
        <v>129</v>
      </c>
    </row>
    <row r="14" spans="1:14">
      <c r="B14" s="6" t="s">
        <v>186</v>
      </c>
    </row>
    <row r="15" spans="1:14" ht="16">
      <c r="B15" s="6" t="s">
        <v>186</v>
      </c>
      <c r="F15" s="16"/>
    </row>
    <row r="16" spans="1:14" ht="16">
      <c r="B16" s="6" t="s">
        <v>186</v>
      </c>
      <c r="F16" s="16"/>
    </row>
    <row r="17" spans="2:14" ht="16">
      <c r="B17" s="6" t="s">
        <v>186</v>
      </c>
      <c r="F17" s="16"/>
    </row>
    <row r="18" spans="2:14" ht="16">
      <c r="B18" s="6" t="s">
        <v>186</v>
      </c>
      <c r="F18" s="16"/>
    </row>
    <row r="19" spans="2:14" ht="16">
      <c r="B19" s="6" t="s">
        <v>186</v>
      </c>
      <c r="F19" s="16"/>
    </row>
    <row r="20" spans="2:14" ht="16">
      <c r="B20" s="6" t="s">
        <v>186</v>
      </c>
      <c r="F20" s="16"/>
    </row>
    <row r="21" spans="2:14" ht="16">
      <c r="B21" s="6" t="s">
        <v>186</v>
      </c>
      <c r="F21" s="16"/>
    </row>
    <row r="22" spans="2:14">
      <c r="B22" s="6" t="s">
        <v>186</v>
      </c>
      <c r="C22" s="7"/>
      <c r="D22" s="7"/>
      <c r="E22" s="7"/>
      <c r="F22" s="7"/>
      <c r="G22" s="7"/>
      <c r="I22" s="6"/>
      <c r="J22" s="3"/>
      <c r="K22" s="3"/>
      <c r="L22" s="3"/>
      <c r="M22" s="3"/>
      <c r="N22" s="3"/>
    </row>
    <row r="23" spans="2:14">
      <c r="B23" s="6" t="s">
        <v>186</v>
      </c>
      <c r="C23" s="7"/>
      <c r="D23" s="7"/>
      <c r="E23" s="7"/>
      <c r="F23" s="7"/>
      <c r="G23" s="7"/>
      <c r="I23" s="6"/>
      <c r="J23" s="3"/>
      <c r="K23" s="3"/>
      <c r="L23" s="3"/>
      <c r="M23" s="3"/>
      <c r="N23" s="3"/>
    </row>
    <row r="24" spans="2:14">
      <c r="B24" s="6" t="s">
        <v>186</v>
      </c>
      <c r="C24" s="7"/>
      <c r="D24" s="7"/>
      <c r="E24" s="7"/>
      <c r="F24" s="7"/>
      <c r="G24" s="7"/>
      <c r="I24" s="6"/>
      <c r="J24" s="3"/>
      <c r="K24" s="3"/>
      <c r="L24" s="3"/>
      <c r="M24" s="3"/>
      <c r="N24" s="3"/>
    </row>
    <row r="25" spans="2:14">
      <c r="B25" s="6" t="s">
        <v>186</v>
      </c>
      <c r="C25" s="7"/>
      <c r="D25" s="7"/>
      <c r="E25" s="7"/>
      <c r="F25" s="7"/>
      <c r="G25" s="7"/>
      <c r="I25" s="6"/>
      <c r="J25" s="3"/>
      <c r="K25" s="3"/>
      <c r="L25" s="3"/>
      <c r="M25" s="3"/>
      <c r="N25" s="3"/>
    </row>
    <row r="26" spans="2:14">
      <c r="B26" s="6" t="s">
        <v>186</v>
      </c>
      <c r="C26" s="7"/>
      <c r="D26" s="7"/>
      <c r="E26" s="7"/>
      <c r="F26" s="7"/>
      <c r="G26" s="7"/>
      <c r="I26" s="6"/>
      <c r="J26" s="3"/>
      <c r="K26" s="3"/>
      <c r="L26" s="3"/>
      <c r="M26" s="3"/>
      <c r="N26" s="3"/>
    </row>
    <row r="27" spans="2:14">
      <c r="B27" s="6" t="s">
        <v>186</v>
      </c>
      <c r="C27" s="7"/>
      <c r="D27" s="7"/>
      <c r="E27" s="7"/>
      <c r="F27" s="7"/>
      <c r="G27" s="7"/>
      <c r="I27" s="6"/>
      <c r="J27" s="3"/>
      <c r="K27" s="3"/>
      <c r="L27" s="3"/>
      <c r="M27" s="3"/>
      <c r="N27" s="3"/>
    </row>
    <row r="28" spans="2:14">
      <c r="B28" s="6" t="s">
        <v>186</v>
      </c>
      <c r="C28" s="7"/>
      <c r="D28" s="7"/>
      <c r="E28" s="7"/>
      <c r="F28" s="7"/>
      <c r="G28" s="7"/>
      <c r="I28" s="6"/>
      <c r="J28" s="3"/>
      <c r="K28" s="3"/>
      <c r="L28" s="3"/>
      <c r="M28" s="3"/>
      <c r="N28" s="3"/>
    </row>
    <row r="29" spans="2:14">
      <c r="B29" s="6" t="s">
        <v>186</v>
      </c>
      <c r="C29" s="7"/>
      <c r="D29" s="7"/>
      <c r="E29" s="7"/>
      <c r="F29" s="7"/>
      <c r="G29" s="7"/>
      <c r="I29" s="6"/>
      <c r="J29" s="3"/>
      <c r="K29" s="3"/>
      <c r="L29" s="3"/>
      <c r="M29" s="3"/>
      <c r="N29" s="3"/>
    </row>
    <row r="30" spans="2:14">
      <c r="B30" s="6" t="s">
        <v>186</v>
      </c>
      <c r="C30" s="7"/>
      <c r="D30" s="7"/>
      <c r="E30" s="7"/>
      <c r="F30" s="7"/>
      <c r="G30" s="7"/>
      <c r="I30" s="6"/>
      <c r="J30" s="3"/>
      <c r="K30" s="3"/>
      <c r="L30" s="3"/>
      <c r="M30" s="3"/>
      <c r="N30" s="3"/>
    </row>
    <row r="31" spans="2:14">
      <c r="B31" s="6" t="s">
        <v>186</v>
      </c>
      <c r="C31" s="7"/>
      <c r="D31" s="7"/>
      <c r="E31" s="7"/>
      <c r="F31" s="7"/>
      <c r="G31" s="7"/>
      <c r="I31" s="6"/>
      <c r="J31" s="3"/>
      <c r="K31" s="3"/>
      <c r="L31" s="3"/>
      <c r="M31" s="3"/>
      <c r="N31" s="3"/>
    </row>
    <row r="32" spans="2:14">
      <c r="B32" s="6" t="s">
        <v>186</v>
      </c>
      <c r="C32" s="7"/>
      <c r="D32" s="7"/>
      <c r="E32" s="7"/>
      <c r="F32" s="7"/>
      <c r="G32" s="7"/>
      <c r="I32" s="6"/>
      <c r="J32" s="3"/>
      <c r="K32" s="3"/>
      <c r="L32" s="3"/>
      <c r="M32" s="3"/>
      <c r="N32" s="3"/>
    </row>
    <row r="33" spans="2:14">
      <c r="B33" s="6" t="s">
        <v>186</v>
      </c>
      <c r="C33" s="7"/>
      <c r="D33" s="7"/>
      <c r="E33" s="7"/>
      <c r="F33" s="7"/>
      <c r="G33" s="7"/>
      <c r="I33" s="6"/>
      <c r="J33" s="3"/>
      <c r="K33" s="3"/>
      <c r="L33" s="3"/>
      <c r="M33" s="3"/>
      <c r="N33" s="3"/>
    </row>
    <row r="34" spans="2:14">
      <c r="B34" s="6" t="s">
        <v>186</v>
      </c>
      <c r="C34" s="7"/>
      <c r="D34" s="7"/>
      <c r="E34" s="7"/>
      <c r="F34" s="7"/>
      <c r="G34" s="7"/>
      <c r="I34" s="6"/>
      <c r="J34" s="3"/>
      <c r="K34" s="3"/>
      <c r="L34" s="3"/>
      <c r="M34" s="3"/>
      <c r="N34" s="3"/>
    </row>
    <row r="35" spans="2:14">
      <c r="B35" s="6" t="s">
        <v>186</v>
      </c>
      <c r="C35" s="7"/>
      <c r="D35" s="7"/>
      <c r="E35" s="7"/>
      <c r="F35" s="7"/>
      <c r="G35" s="7"/>
      <c r="I35" s="6"/>
      <c r="J35" s="3"/>
      <c r="K35" s="3"/>
      <c r="L35" s="3"/>
      <c r="M35" s="3"/>
      <c r="N35" s="3"/>
    </row>
    <row r="36" spans="2:14">
      <c r="B36" s="6" t="s">
        <v>186</v>
      </c>
      <c r="C36" s="7"/>
      <c r="D36" s="7"/>
      <c r="E36" s="7"/>
      <c r="F36" s="7"/>
      <c r="G36" s="7"/>
      <c r="I36" s="6"/>
      <c r="J36" s="3"/>
      <c r="K36" s="3"/>
      <c r="L36" s="3"/>
      <c r="M36" s="3"/>
      <c r="N36" s="3"/>
    </row>
    <row r="37" spans="2:14">
      <c r="B37" s="6" t="s">
        <v>186</v>
      </c>
      <c r="C37" s="7"/>
      <c r="D37" s="7"/>
      <c r="E37" s="7"/>
      <c r="F37" s="7"/>
      <c r="G37" s="7"/>
      <c r="I37" s="6"/>
      <c r="J37" s="3"/>
      <c r="K37" s="3"/>
      <c r="L37" s="3"/>
      <c r="M37" s="3"/>
      <c r="N37" s="3"/>
    </row>
    <row r="38" spans="2:14">
      <c r="B38" s="6" t="s">
        <v>186</v>
      </c>
      <c r="C38" s="7"/>
      <c r="D38" s="7"/>
      <c r="E38" s="7"/>
      <c r="F38" s="7"/>
      <c r="G38" s="7"/>
      <c r="I38" s="6"/>
      <c r="J38" s="3"/>
      <c r="K38" s="3"/>
      <c r="L38" s="3"/>
      <c r="M38" s="3"/>
      <c r="N38" s="3"/>
    </row>
    <row r="39" spans="2:14">
      <c r="B39" s="6" t="s">
        <v>186</v>
      </c>
      <c r="C39" s="7"/>
      <c r="D39" s="7"/>
      <c r="E39" s="7"/>
      <c r="F39" s="7"/>
      <c r="G39" s="7"/>
      <c r="I39" s="6"/>
      <c r="J39" s="3"/>
      <c r="K39" s="3"/>
      <c r="L39" s="3"/>
      <c r="M39" s="3"/>
      <c r="N39" s="3"/>
    </row>
    <row r="40" spans="2:14">
      <c r="C40" s="7"/>
      <c r="D40" s="7"/>
      <c r="E40" s="7"/>
      <c r="F40" s="7"/>
      <c r="G40" s="7"/>
      <c r="I40" s="6"/>
      <c r="J40" s="3"/>
      <c r="K40" s="3"/>
      <c r="L40" s="3"/>
      <c r="M40" s="3"/>
      <c r="N40" s="3"/>
    </row>
  </sheetData>
  <mergeCells count="15">
    <mergeCell ref="A5:K5"/>
    <mergeCell ref="A8:K8"/>
    <mergeCell ref="A11:K11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экипировки ДК</vt:lpstr>
      <vt:lpstr>WRPF Жим лежа без экипировки</vt:lpstr>
      <vt:lpstr>WEPF Жим софт однопетельная ДК</vt:lpstr>
      <vt:lpstr>WEPF Жим софт однопетельная</vt:lpstr>
      <vt:lpstr>WEPF Жим софт многопетельная</vt:lpstr>
      <vt:lpstr>WRPF Военный жим лежа с ДК</vt:lpstr>
      <vt:lpstr>WRPF Военный жим лежа</vt:lpstr>
      <vt:lpstr>WRPF Жим лежа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</vt:lpstr>
      <vt:lpstr>СПР Пауэрспорт ДК</vt:lpstr>
      <vt:lpstr>СПР Жим штанги стоя ДК</vt:lpstr>
      <vt:lpstr>СПР Жим штанги стоя</vt:lpstr>
      <vt:lpstr>СПР Подъем на бицепс ДК</vt:lpstr>
      <vt:lpstr>СПР Подъем на бицепс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2022-05-03T07:57:42Z</dcterms:modified>
</cp:coreProperties>
</file>