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Апрель/"/>
    </mc:Choice>
  </mc:AlternateContent>
  <xr:revisionPtr revIDLastSave="0" documentId="13_ncr:1_{5960A2E6-E931-2343-88F6-671324EFAF9D}" xr6:coauthVersionLast="45" xr6:coauthVersionMax="45" xr10:uidLastSave="{00000000-0000-0000-0000-000000000000}"/>
  <bookViews>
    <workbookView xWindow="480" yWindow="460" windowWidth="28120" windowHeight="16060" firstSheet="12" activeTab="12" xr2:uid="{00000000-000D-0000-FFFF-FFFF00000000}"/>
  </bookViews>
  <sheets>
    <sheet name="IPL Жим без экипировки ДК" sheetId="41" r:id="rId1"/>
    <sheet name="IPL Жим без экипировки" sheetId="40" r:id="rId2"/>
    <sheet name="IPL Жим многослой ДК" sheetId="43" r:id="rId3"/>
    <sheet name="IPL Жим многослой" sheetId="42" r:id="rId4"/>
    <sheet name="СПР Жим софт однопетельная ДК" sheetId="47" r:id="rId5"/>
    <sheet name="СПР Жим софт однопетельная" sheetId="46" r:id="rId6"/>
    <sheet name="IPL Тяга без экипировки ДК" sheetId="45" r:id="rId7"/>
    <sheet name="IPL Тяга без экипировки" sheetId="44" r:id="rId8"/>
    <sheet name="СПР Пауэрспорт ДК" sheetId="55" r:id="rId9"/>
    <sheet name="СПР Жим стоя ДК" sheetId="51" r:id="rId10"/>
    <sheet name="СПР Жим стоя" sheetId="50" r:id="rId11"/>
    <sheet name="СПР Подъем на бицепс ДК" sheetId="53" r:id="rId12"/>
    <sheet name="СПР Подъем на бицепс" sheetId="5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5" i="55" l="1"/>
  <c r="O15" i="55"/>
  <c r="P12" i="55"/>
  <c r="O12" i="55"/>
  <c r="P9" i="55"/>
  <c r="O9" i="55"/>
  <c r="P6" i="55"/>
  <c r="O6" i="55"/>
  <c r="L18" i="53"/>
  <c r="K18" i="53"/>
  <c r="L15" i="53"/>
  <c r="K15" i="53"/>
  <c r="L12" i="53"/>
  <c r="K12" i="53"/>
  <c r="L11" i="53"/>
  <c r="K11" i="53"/>
  <c r="L10" i="53"/>
  <c r="K10" i="53"/>
  <c r="L9" i="53"/>
  <c r="K9" i="53"/>
  <c r="L6" i="53"/>
  <c r="K6" i="53"/>
  <c r="L9" i="52"/>
  <c r="K9" i="52"/>
  <c r="L6" i="52"/>
  <c r="K6" i="52"/>
  <c r="L6" i="51"/>
  <c r="K6" i="51"/>
  <c r="L6" i="50"/>
  <c r="K6" i="50"/>
  <c r="L16" i="47"/>
  <c r="K16" i="47"/>
  <c r="L13" i="47"/>
  <c r="K13" i="47"/>
  <c r="L12" i="47"/>
  <c r="K12" i="47"/>
  <c r="L9" i="47"/>
  <c r="K9" i="47"/>
  <c r="L6" i="47"/>
  <c r="K6" i="47"/>
  <c r="L6" i="46"/>
  <c r="K6" i="46"/>
  <c r="L25" i="45"/>
  <c r="K25" i="45"/>
  <c r="L22" i="45"/>
  <c r="K22" i="45"/>
  <c r="L19" i="45"/>
  <c r="K19" i="45"/>
  <c r="L18" i="45"/>
  <c r="K18" i="45"/>
  <c r="L17" i="45"/>
  <c r="K17" i="45"/>
  <c r="L14" i="45"/>
  <c r="K14" i="45"/>
  <c r="L11" i="45"/>
  <c r="K11" i="45"/>
  <c r="L8" i="45"/>
  <c r="K8" i="45"/>
  <c r="L7" i="45"/>
  <c r="K7" i="45"/>
  <c r="L6" i="45"/>
  <c r="K6" i="45"/>
  <c r="L9" i="44"/>
  <c r="K9" i="44"/>
  <c r="L6" i="44"/>
  <c r="K6" i="44"/>
  <c r="L6" i="43"/>
  <c r="K6" i="43"/>
  <c r="L6" i="42"/>
  <c r="K6" i="42"/>
  <c r="L42" i="41"/>
  <c r="K42" i="41"/>
  <c r="L39" i="41"/>
  <c r="K39" i="41"/>
  <c r="L38" i="41"/>
  <c r="K38" i="41"/>
  <c r="L37" i="41"/>
  <c r="K37" i="41"/>
  <c r="L36" i="41"/>
  <c r="K36" i="41"/>
  <c r="L33" i="41"/>
  <c r="K33" i="41"/>
  <c r="L32" i="41"/>
  <c r="K32" i="41"/>
  <c r="L31" i="41"/>
  <c r="K31" i="41"/>
  <c r="L30" i="41"/>
  <c r="K30" i="41"/>
  <c r="L27" i="41"/>
  <c r="K27" i="41"/>
  <c r="L26" i="41"/>
  <c r="K26" i="41"/>
  <c r="L25" i="41"/>
  <c r="K25" i="41"/>
  <c r="L22" i="41"/>
  <c r="K22" i="41"/>
  <c r="L21" i="41"/>
  <c r="K21" i="41"/>
  <c r="L18" i="41"/>
  <c r="K18" i="41"/>
  <c r="L15" i="41"/>
  <c r="K15" i="41"/>
  <c r="L12" i="41"/>
  <c r="K12" i="41"/>
  <c r="L9" i="41"/>
  <c r="K9" i="41"/>
  <c r="L6" i="41"/>
  <c r="L32" i="40"/>
  <c r="K32" i="40"/>
  <c r="L31" i="40"/>
  <c r="K31" i="40"/>
  <c r="L30" i="40"/>
  <c r="K30" i="40"/>
  <c r="L27" i="40"/>
  <c r="K27" i="40"/>
  <c r="L26" i="40"/>
  <c r="K26" i="40"/>
  <c r="L25" i="40"/>
  <c r="K25" i="40"/>
  <c r="L22" i="40"/>
  <c r="K22" i="40"/>
  <c r="L21" i="40"/>
  <c r="K21" i="40"/>
  <c r="L20" i="40"/>
  <c r="K20" i="40"/>
  <c r="L19" i="40"/>
  <c r="K19" i="40"/>
  <c r="L16" i="40"/>
  <c r="K16" i="40"/>
  <c r="L15" i="40"/>
  <c r="K15" i="40"/>
  <c r="L14" i="40"/>
  <c r="K14" i="40"/>
  <c r="L11" i="40"/>
  <c r="L10" i="40"/>
  <c r="K10" i="40"/>
  <c r="L9" i="40"/>
  <c r="L6" i="40"/>
  <c r="K6" i="40"/>
</calcChain>
</file>

<file path=xl/sharedStrings.xml><?xml version="1.0" encoding="utf-8"?>
<sst xmlns="http://schemas.openxmlformats.org/spreadsheetml/2006/main" count="977" uniqueCount="374">
  <si>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</si>
  <si>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</si>
  <si>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</si>
  <si>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</si>
  <si>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</si>
  <si>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</si>
  <si>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</si>
  <si>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 xml:space="preserve">Абсолютный зачёт </t>
  </si>
  <si>
    <t>Результат</t>
  </si>
  <si>
    <t/>
  </si>
  <si>
    <t>Жим лёжа</t>
  </si>
  <si>
    <t>120,0</t>
  </si>
  <si>
    <t>80,0</t>
  </si>
  <si>
    <t>-</t>
  </si>
  <si>
    <t>ВЕСОВАЯ КАТЕГОРИЯ   90</t>
  </si>
  <si>
    <t xml:space="preserve">Раменское/Московская область </t>
  </si>
  <si>
    <t>97,5</t>
  </si>
  <si>
    <t>ВЕСОВАЯ КАТЕГОРИЯ   100</t>
  </si>
  <si>
    <t>99,30</t>
  </si>
  <si>
    <t>130,0</t>
  </si>
  <si>
    <t>140,0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</si>
  <si>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</si>
  <si>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</si>
  <si>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</si>
  <si>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</si>
  <si>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Результат </t>
  </si>
  <si>
    <t xml:space="preserve">Wilks </t>
  </si>
  <si>
    <t>90</t>
  </si>
  <si>
    <t>1</t>
  </si>
  <si>
    <t>135,0</t>
  </si>
  <si>
    <t>147,5</t>
  </si>
  <si>
    <t>155,0</t>
  </si>
  <si>
    <t>50,0</t>
  </si>
  <si>
    <t>78,50</t>
  </si>
  <si>
    <t xml:space="preserve">Москва </t>
  </si>
  <si>
    <t>40,0</t>
  </si>
  <si>
    <t>ВЕСОВАЯ КАТЕГОРИЯ   110</t>
  </si>
  <si>
    <t>55,0</t>
  </si>
  <si>
    <t>110</t>
  </si>
  <si>
    <t>Задков Сергей</t>
  </si>
  <si>
    <t>Открытая (19.11.1987)/34</t>
  </si>
  <si>
    <t>84,90</t>
  </si>
  <si>
    <t xml:space="preserve">Чехов/Московская область </t>
  </si>
  <si>
    <t>160,0</t>
  </si>
  <si>
    <t>167,5</t>
  </si>
  <si>
    <t>90,0</t>
  </si>
  <si>
    <t>25,0</t>
  </si>
  <si>
    <t>185,0</t>
  </si>
  <si>
    <t>125,0</t>
  </si>
  <si>
    <t xml:space="preserve">Жуковский/Московская область </t>
  </si>
  <si>
    <t>122,5</t>
  </si>
  <si>
    <t>132,5</t>
  </si>
  <si>
    <t>127,5</t>
  </si>
  <si>
    <t>45,0</t>
  </si>
  <si>
    <t>205,0</t>
  </si>
  <si>
    <t>210,0</t>
  </si>
  <si>
    <t>235,0</t>
  </si>
  <si>
    <t xml:space="preserve">Вербилки/Московская область </t>
  </si>
  <si>
    <t>270,0</t>
  </si>
  <si>
    <t>300,0</t>
  </si>
  <si>
    <t>Жим стоя</t>
  </si>
  <si>
    <t>85,0</t>
  </si>
  <si>
    <t>107,5</t>
  </si>
  <si>
    <t>115,0</t>
  </si>
  <si>
    <t>ВЕСОВАЯ КАТЕГОРИЯ   67.5</t>
  </si>
  <si>
    <t>37,5</t>
  </si>
  <si>
    <t>42,5</t>
  </si>
  <si>
    <t>ВЕСОВАЯ КАТЕГОРИЯ   75</t>
  </si>
  <si>
    <t>20,0</t>
  </si>
  <si>
    <t>ВЕСОВАЯ КАТЕГОРИЯ   82.5</t>
  </si>
  <si>
    <t>82.5</t>
  </si>
  <si>
    <t>35,0</t>
  </si>
  <si>
    <t>ВЕСОВАЯ КАТЕГОРИЯ   48</t>
  </si>
  <si>
    <t xml:space="preserve">Кравченко Е. </t>
  </si>
  <si>
    <t>30,0</t>
  </si>
  <si>
    <t>67,5</t>
  </si>
  <si>
    <t>72,5</t>
  </si>
  <si>
    <t>82,5</t>
  </si>
  <si>
    <t>152,5</t>
  </si>
  <si>
    <t>150,0</t>
  </si>
  <si>
    <t>Тяга</t>
  </si>
  <si>
    <t>ВЕСОВАЯ КАТЕГОРИЯ   60</t>
  </si>
  <si>
    <t>Щукина Ирина</t>
  </si>
  <si>
    <t>Открытая (14.11.1985)/36</t>
  </si>
  <si>
    <t>72,90</t>
  </si>
  <si>
    <t xml:space="preserve">Лыткарино/Московская область </t>
  </si>
  <si>
    <t>65,0</t>
  </si>
  <si>
    <t xml:space="preserve">Беляев Р. </t>
  </si>
  <si>
    <t>Финохин Алексей</t>
  </si>
  <si>
    <t>92,20</t>
  </si>
  <si>
    <t>100,0</t>
  </si>
  <si>
    <t>110,0</t>
  </si>
  <si>
    <t>69,90</t>
  </si>
  <si>
    <t>77,5</t>
  </si>
  <si>
    <t>ВЕСОВАЯ КАТЕГОРИЯ   52</t>
  </si>
  <si>
    <t>Балясина Евгения</t>
  </si>
  <si>
    <t>Открытая (21.05.1989)/32</t>
  </si>
  <si>
    <t>50,00</t>
  </si>
  <si>
    <t>Дубинин Никита</t>
  </si>
  <si>
    <t>Юноши 15-19 (05.04.2003)/19</t>
  </si>
  <si>
    <t xml:space="preserve">Зарайск/Московская область </t>
  </si>
  <si>
    <t>145,0</t>
  </si>
  <si>
    <t>Числов Виктор</t>
  </si>
  <si>
    <t>Открытая (16.09.1992)/29</t>
  </si>
  <si>
    <t>74,20</t>
  </si>
  <si>
    <t>Открытая (05.04.2003)/19</t>
  </si>
  <si>
    <t>Антонов Сергей</t>
  </si>
  <si>
    <t>Открытая (27.07.1989)/32</t>
  </si>
  <si>
    <t>82,30</t>
  </si>
  <si>
    <t>170,0</t>
  </si>
  <si>
    <t>180,0</t>
  </si>
  <si>
    <t>Козырев Сергей</t>
  </si>
  <si>
    <t>Открытая (07.02.1983)/39</t>
  </si>
  <si>
    <t>82,40</t>
  </si>
  <si>
    <t>Гансовский Владислав</t>
  </si>
  <si>
    <t xml:space="preserve">Люберцы/Московская область </t>
  </si>
  <si>
    <t>Васильев Дмитрий</t>
  </si>
  <si>
    <t>Открытая (09.06.1997)/24</t>
  </si>
  <si>
    <t>84,30</t>
  </si>
  <si>
    <t xml:space="preserve">Подольск/Московская область </t>
  </si>
  <si>
    <t>Фомин Евгений</t>
  </si>
  <si>
    <t>Открытая (17.10.1986)/35</t>
  </si>
  <si>
    <t>86,00</t>
  </si>
  <si>
    <t xml:space="preserve">Дубовая роща/Московская </t>
  </si>
  <si>
    <t>Айриян Артуш</t>
  </si>
  <si>
    <t>86,50</t>
  </si>
  <si>
    <t>Марков Анатолий</t>
  </si>
  <si>
    <t>88,60</t>
  </si>
  <si>
    <t>142,5</t>
  </si>
  <si>
    <t>Поздняков Александр</t>
  </si>
  <si>
    <t>Открытая (22.04.1982)/40</t>
  </si>
  <si>
    <t>99,00</t>
  </si>
  <si>
    <t>192,5</t>
  </si>
  <si>
    <t>Покотыло Дмитрий</t>
  </si>
  <si>
    <t>Открытая (21.08.1985)/36</t>
  </si>
  <si>
    <t>97,50</t>
  </si>
  <si>
    <t xml:space="preserve">Ивантеевка/Московская область </t>
  </si>
  <si>
    <t>Данилов Владимир</t>
  </si>
  <si>
    <t>94,10</t>
  </si>
  <si>
    <t>175,0</t>
  </si>
  <si>
    <t>Солохин Денис</t>
  </si>
  <si>
    <t>Открытая (25.02.1981)/41</t>
  </si>
  <si>
    <t>103,20</t>
  </si>
  <si>
    <t>217,5</t>
  </si>
  <si>
    <t>225,0</t>
  </si>
  <si>
    <t>Мурашов Максим</t>
  </si>
  <si>
    <t>Открытая (19.09.1979)/42</t>
  </si>
  <si>
    <t>108,30</t>
  </si>
  <si>
    <t>200,0</t>
  </si>
  <si>
    <t>212,5</t>
  </si>
  <si>
    <t>130,7828</t>
  </si>
  <si>
    <t>125,6725</t>
  </si>
  <si>
    <t>120,7620</t>
  </si>
  <si>
    <t>2</t>
  </si>
  <si>
    <t>Харитонова Дарья</t>
  </si>
  <si>
    <t>Открытая (20.12.1988)/33</t>
  </si>
  <si>
    <t>46,50</t>
  </si>
  <si>
    <t>52,5</t>
  </si>
  <si>
    <t>ВЕСОВАЯ КАТЕГОРИЯ   56</t>
  </si>
  <si>
    <t>Пацкова Екатерина</t>
  </si>
  <si>
    <t>Открытая (01.08.1998)/23</t>
  </si>
  <si>
    <t>54,40</t>
  </si>
  <si>
    <t>Кохан Надежда</t>
  </si>
  <si>
    <t>Открытая (12.01.1983)/39</t>
  </si>
  <si>
    <t>57,50</t>
  </si>
  <si>
    <t>Селивёрстова Виктория</t>
  </si>
  <si>
    <t>62,30</t>
  </si>
  <si>
    <t>Боровков Вадим</t>
  </si>
  <si>
    <t>Открытая (11.09.1986)/35</t>
  </si>
  <si>
    <t>67,10</t>
  </si>
  <si>
    <t>Щетинин Павел</t>
  </si>
  <si>
    <t>Открытая (02.03.1988)/34</t>
  </si>
  <si>
    <t>74,90</t>
  </si>
  <si>
    <t>Григорьев Андрей</t>
  </si>
  <si>
    <t>Открытая (27.07.1999)/22</t>
  </si>
  <si>
    <t>73,20</t>
  </si>
  <si>
    <t>117,5</t>
  </si>
  <si>
    <t>Юрк Даниил</t>
  </si>
  <si>
    <t>81,40</t>
  </si>
  <si>
    <t>Букшан Алексей</t>
  </si>
  <si>
    <t>Открытая (16.10.1992)/29</t>
  </si>
  <si>
    <t>80,50</t>
  </si>
  <si>
    <t>137,5</t>
  </si>
  <si>
    <t>Захаров Илья</t>
  </si>
  <si>
    <t>Открытая (28.02.1981)/41</t>
  </si>
  <si>
    <t>81,90</t>
  </si>
  <si>
    <t>Рудаков Максим</t>
  </si>
  <si>
    <t>Открытая (12.03.1991)/31</t>
  </si>
  <si>
    <t>83,40</t>
  </si>
  <si>
    <t xml:space="preserve">Воскресенск/Московская область </t>
  </si>
  <si>
    <t>157,5</t>
  </si>
  <si>
    <t>165,0</t>
  </si>
  <si>
    <t>Иванов Александр</t>
  </si>
  <si>
    <t>Открытая (30.11.1986)/35</t>
  </si>
  <si>
    <t>Дворкин Дмитрий</t>
  </si>
  <si>
    <t>88,80</t>
  </si>
  <si>
    <t xml:space="preserve">Мытищи/Московская область </t>
  </si>
  <si>
    <t>Вагин Алексей</t>
  </si>
  <si>
    <t>Юноши 15-19 (21.04.2006)/16</t>
  </si>
  <si>
    <t>94,50</t>
  </si>
  <si>
    <t>Мудрый Владимир</t>
  </si>
  <si>
    <t>Открытая (03.06.1992)/29</t>
  </si>
  <si>
    <t>95,20</t>
  </si>
  <si>
    <t>162,5</t>
  </si>
  <si>
    <t>Шагеев Сергей</t>
  </si>
  <si>
    <t>Открытая (06.03.1986)/36</t>
  </si>
  <si>
    <t>92,00</t>
  </si>
  <si>
    <t>Черкасов Андрей</t>
  </si>
  <si>
    <t>99,20</t>
  </si>
  <si>
    <t>Музыкин Александр</t>
  </si>
  <si>
    <t>Открытая (06.04.1998)/24</t>
  </si>
  <si>
    <t>103,80</t>
  </si>
  <si>
    <t>105,4080</t>
  </si>
  <si>
    <t>104,8320</t>
  </si>
  <si>
    <t>102,0000</t>
  </si>
  <si>
    <t>3</t>
  </si>
  <si>
    <t>4</t>
  </si>
  <si>
    <t>Кровиков Александр</t>
  </si>
  <si>
    <t>93,30</t>
  </si>
  <si>
    <t>Краснобаев Даниил</t>
  </si>
  <si>
    <t>75,00</t>
  </si>
  <si>
    <t>Становая тяга</t>
  </si>
  <si>
    <t>Слепышева Карина</t>
  </si>
  <si>
    <t>Открытая (07.08.1991)/30</t>
  </si>
  <si>
    <t>85,10</t>
  </si>
  <si>
    <t>70,0</t>
  </si>
  <si>
    <t>Зозулинский Олег</t>
  </si>
  <si>
    <t>Открытая (03.07.1986)/35</t>
  </si>
  <si>
    <t>105,50</t>
  </si>
  <si>
    <t>275,0</t>
  </si>
  <si>
    <t>290,0</t>
  </si>
  <si>
    <t>Киселева Янина</t>
  </si>
  <si>
    <t>Открытая (28.01.1988)/34</t>
  </si>
  <si>
    <t>49,80</t>
  </si>
  <si>
    <t>Кравченко Екатерина</t>
  </si>
  <si>
    <t>Открытая (07.11.1987)/34</t>
  </si>
  <si>
    <t>48,50</t>
  </si>
  <si>
    <t>Варданян Раиса</t>
  </si>
  <si>
    <t>Открытая (10.07.1993)/28</t>
  </si>
  <si>
    <t>50,90</t>
  </si>
  <si>
    <t>102,5</t>
  </si>
  <si>
    <t>Харламова Елизавета</t>
  </si>
  <si>
    <t>Открытая (09.07.1990)/31</t>
  </si>
  <si>
    <t>55,00</t>
  </si>
  <si>
    <t xml:space="preserve">Солохин Д. </t>
  </si>
  <si>
    <t>Ракушин Сергей</t>
  </si>
  <si>
    <t>172,5</t>
  </si>
  <si>
    <t>182,5</t>
  </si>
  <si>
    <t>Дременков Константин</t>
  </si>
  <si>
    <t>Открытая (21.07.1966)/55</t>
  </si>
  <si>
    <t>82,20</t>
  </si>
  <si>
    <t>265,0</t>
  </si>
  <si>
    <t>282,5</t>
  </si>
  <si>
    <t>Мхитарян Лендруш</t>
  </si>
  <si>
    <t>Открытая (10.02.1986)/36</t>
  </si>
  <si>
    <t>190,0</t>
  </si>
  <si>
    <t>220,0</t>
  </si>
  <si>
    <t>Усанкин Анатолий</t>
  </si>
  <si>
    <t>Юноши 15-19 (09.01.2003)/19</t>
  </si>
  <si>
    <t>Кандала Сергей</t>
  </si>
  <si>
    <t>Открытая (29.08.1987)/34</t>
  </si>
  <si>
    <t>107,60</t>
  </si>
  <si>
    <t xml:space="preserve">Красково/Московская область </t>
  </si>
  <si>
    <t>247,5</t>
  </si>
  <si>
    <t>252,5</t>
  </si>
  <si>
    <t>ВЕСОВАЯ КАТЕГОРИЯ   125</t>
  </si>
  <si>
    <t>Черствов Алексей</t>
  </si>
  <si>
    <t>117,30</t>
  </si>
  <si>
    <t>Зализецкий Степан</t>
  </si>
  <si>
    <t>Открытая (01.04.1997)/25</t>
  </si>
  <si>
    <t>67,40</t>
  </si>
  <si>
    <t>Сапегин Дмитрий</t>
  </si>
  <si>
    <t>Открытая (19.07.1993)/28</t>
  </si>
  <si>
    <t>76,30</t>
  </si>
  <si>
    <t>Шевченко Юрий</t>
  </si>
  <si>
    <t>Открытая (18.04.1985)/37</t>
  </si>
  <si>
    <t>94,60</t>
  </si>
  <si>
    <t>105,5</t>
  </si>
  <si>
    <t>Пенько Константин</t>
  </si>
  <si>
    <t xml:space="preserve">Зеленоград/Московская область </t>
  </si>
  <si>
    <t>57,5</t>
  </si>
  <si>
    <t>47,5</t>
  </si>
  <si>
    <t>53,0</t>
  </si>
  <si>
    <t>Копаев Виктор</t>
  </si>
  <si>
    <t>Открытая (02.02.1990)/32</t>
  </si>
  <si>
    <t>65,50</t>
  </si>
  <si>
    <t xml:space="preserve">Дедовск/Московская область </t>
  </si>
  <si>
    <t>Шкалев Сергей</t>
  </si>
  <si>
    <t>Открытая (25.09.1976)/45</t>
  </si>
  <si>
    <t>64,60</t>
  </si>
  <si>
    <t xml:space="preserve">Рязань/Рязанская область </t>
  </si>
  <si>
    <t>Бегинин Андрей</t>
  </si>
  <si>
    <t>Открытая (10.11.1995)/26</t>
  </si>
  <si>
    <t>65,60</t>
  </si>
  <si>
    <t>75,0</t>
  </si>
  <si>
    <t>Комиссаров Дмитрий</t>
  </si>
  <si>
    <t>Кашбуллин Денис</t>
  </si>
  <si>
    <t>58,10</t>
  </si>
  <si>
    <t>27,5</t>
  </si>
  <si>
    <t>Прусов Валентин</t>
  </si>
  <si>
    <t>Открытая (08.05.1990)/31</t>
  </si>
  <si>
    <t>112,80</t>
  </si>
  <si>
    <t>Юноши 13-19 (08.09.2006)/15</t>
  </si>
  <si>
    <t>Юноши 13-19 (01.10.2007)/14</t>
  </si>
  <si>
    <t>Мастера 40-49 (25.09.1976)/45</t>
  </si>
  <si>
    <t>Мастера 50-59 (10.05.1962)/59</t>
  </si>
  <si>
    <t>Мастера 40-49 (20.02.1977)/45</t>
  </si>
  <si>
    <t>Мастера 50-59 (21.07.1966)/55</t>
  </si>
  <si>
    <t>Мастера 40-49 (16.04.1981)/41</t>
  </si>
  <si>
    <t>Юниоры 20-23 (16.09.2001)/20</t>
  </si>
  <si>
    <t>Мастера 55-59 (21.07.1966)/55</t>
  </si>
  <si>
    <t>Мастера 40-44 (18.05.1981)/40</t>
  </si>
  <si>
    <t>Мастера 60-64 (26.09.1961)/60</t>
  </si>
  <si>
    <t>Юниорки 20-23 (26.08.2001)/20</t>
  </si>
  <si>
    <t>Юниоры 20-23 (05.11.2001)/20</t>
  </si>
  <si>
    <t>Мастера 40-44 (06.08.1981)/40</t>
  </si>
  <si>
    <t>Мастера 40-44 (29.11.1977)/44</t>
  </si>
  <si>
    <t>Мастера 60-64 (31.08.1957)/64</t>
  </si>
  <si>
    <t>Мастера 70-74 (13.01.1951)/71</t>
  </si>
  <si>
    <t>Мастера 40-44 (10.08.1980)/41</t>
  </si>
  <si>
    <t>Мастера 40-44 (19.09.1979)/42</t>
  </si>
  <si>
    <t>Жуковский/Московская область</t>
  </si>
  <si>
    <t xml:space="preserve">Уфа/Республика Башкортостан </t>
  </si>
  <si>
    <t xml:space="preserve">Сапегин Д. </t>
  </si>
  <si>
    <t xml:space="preserve">Деникаев К. </t>
  </si>
  <si>
    <t xml:space="preserve">Пенько К. </t>
  </si>
  <si>
    <t xml:space="preserve">Залуцкий Р. </t>
  </si>
  <si>
    <t xml:space="preserve">Истрафилов Р. </t>
  </si>
  <si>
    <t xml:space="preserve">Береза/Республика Беларусь </t>
  </si>
  <si>
    <t xml:space="preserve">Тукаев А. </t>
  </si>
  <si>
    <t xml:space="preserve">Поздняков А. </t>
  </si>
  <si>
    <t xml:space="preserve">Жуков Е. </t>
  </si>
  <si>
    <t xml:space="preserve">Ейбог А. </t>
  </si>
  <si>
    <t xml:space="preserve">Мынка Э. </t>
  </si>
  <si>
    <t xml:space="preserve">Кровиков А. </t>
  </si>
  <si>
    <t>Ташкент/Республика Узбекистан</t>
  </si>
  <si>
    <t>Весовая категория</t>
  </si>
  <si>
    <t xml:space="preserve">Электросталь/Московская область </t>
  </si>
  <si>
    <t xml:space="preserve">Красная Горбатка/Владимирская область </t>
  </si>
  <si>
    <t xml:space="preserve">Разумов И. </t>
  </si>
  <si>
    <t xml:space="preserve">Пацков А. </t>
  </si>
  <si>
    <t xml:space="preserve">Саночкин М. </t>
  </si>
  <si>
    <t xml:space="preserve">Мурашов М. </t>
  </si>
  <si>
    <t xml:space="preserve">Чиликин А. </t>
  </si>
  <si>
    <t xml:space="preserve">Сенькин В. </t>
  </si>
  <si>
    <t xml:space="preserve">Кочерыгин Д. </t>
  </si>
  <si>
    <t xml:space="preserve">Клюшев А. </t>
  </si>
  <si>
    <t xml:space="preserve">Рузаевка/Республика Мордовия </t>
  </si>
  <si>
    <t xml:space="preserve">СергиевПосад/Московская область </t>
  </si>
  <si>
    <t>Всероссийский турнир «Созвездие силы»
IPL Жим лежа без экипировки ДК
Жуковский/Московская область, 30 апреля 2022 года</t>
  </si>
  <si>
    <t>Всероссийский турнир «Созвездие силы»
IPL Жим лежа без экипировки
Жуковский/Московская область, 30 апреля 2022 года</t>
  </si>
  <si>
    <t>Всероссийский турнир «Созвездие силы»
IPL Жим лежа в многослойной экипировке ДК
Жуковский/Московская область, 30 апреля 2022 года</t>
  </si>
  <si>
    <t>Всероссийский турнир «Созвездие силы»
IPL Жим лежа в многослойной экипировке
Жуковский/Московская область, 30 апреля 2022 года</t>
  </si>
  <si>
    <t>Всероссийский турнир «Созвездие силы»
СПР Жим лежа в однопетельной софт экипировке ДК
Жуковский/Московская область, 30 апреля 2022 года</t>
  </si>
  <si>
    <t>Всероссийский турнир «Созвездие силы» по жиму лежа в софт экипировке
СПР Жим лежа в однопетельной софт экипировке
Жуковский/Московская область, 30 апреля 2022 года</t>
  </si>
  <si>
    <t>Всероссийский турнир «Созвездие силы»
IPL Становая тяга без экипировки ДК
Жуковский/Московская область, 30 апреля 2022 года</t>
  </si>
  <si>
    <t>Всероссийский турнир «Созвездие силы»
IPL Становая тяга без экипировки
Жуковский/Московская область, 30 апреля 2022 года</t>
  </si>
  <si>
    <t>Всероссийский турнир «Созвездие силы»
СПР Пауэрспорт ДК
Жуковский/Московская область, 30 апреля 2022 года</t>
  </si>
  <si>
    <t>Всероссийский турнир «Созвездие силы»
СПР Жим штанги стоя ДК
Жуковский/Московская область, 30 апреля 2022 года</t>
  </si>
  <si>
    <t>Всероссийский турнир «Созвездие силы»
СПР Жим штанги стоя
Жуковский/Московская область, 30 апреля 2022 года</t>
  </si>
  <si>
    <t>Всероссийский турнир «Созвездие силы»
СПР Строгий подъем штанги на бицепс ДК
Жуковский/Московская область, 30 апреля 2022 года</t>
  </si>
  <si>
    <t>Всероссийский турнир «Созвездие силы»
СПР Строгий подъем штанги на бицепс
Жуковский/Московская область, 30 апреля 2022 года</t>
  </si>
  <si>
    <t>№</t>
  </si>
  <si>
    <t>Жим</t>
  </si>
  <si>
    <t xml:space="preserve">
Дата рождения/Возраст</t>
  </si>
  <si>
    <t>Возрастная группа</t>
  </si>
  <si>
    <t>O</t>
  </si>
  <si>
    <t>J</t>
  </si>
  <si>
    <t>T</t>
  </si>
  <si>
    <t>M1</t>
  </si>
  <si>
    <t>M5</t>
  </si>
  <si>
    <t>M7</t>
  </si>
  <si>
    <t>M2</t>
  </si>
  <si>
    <t>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</si>
</sst>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  <font>
      <i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52"/>
  <sheetViews>
    <sheetView topLeftCell="A19" workbookViewId="0">
      <selection activeCell="E43" sqref="E43"/>
    </sheetView>
  </sheetViews>
  <sheetFormatPr baseColWidth="10" defaultColWidth="9.1640625" defaultRowHeight="13"/>
  <cols>
    <col min="1" max="1" width="6.6640625" style="5" bestFit="1" customWidth="1"/>
    <col min="2" max="2" width="23" style="5" customWidth="1"/>
    <col min="3" max="3" width="28.33203125" style="5" bestFit="1" customWidth="1"/>
    <col min="4" max="4" width="20" style="5" bestFit="1" customWidth="1"/>
    <col min="5" max="5" width="13.6640625" style="5" customWidth="1"/>
    <col min="6" max="6" width="35.33203125" style="5" customWidth="1"/>
    <col min="7" max="9" width="5.33203125" style="6" customWidth="1"/>
    <col min="10" max="10" width="4.33203125" style="6" customWidth="1"/>
    <col min="11" max="11" width="10.5" style="28" bestFit="1" customWidth="1"/>
    <col min="12" max="12" width="8.33203125" style="6" bestFit="1" customWidth="1"/>
    <col min="13" max="13" width="25.1640625" style="5" bestFit="1" customWidth="1"/>
    <col min="14" max="16384" width="9.1640625" style="3"/>
  </cols>
  <sheetData>
    <row r="1" spans="1:13" s="2" customFormat="1" ht="29" customHeight="1">
      <c r="A1" s="41" t="s">
        <v>349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362</v>
      </c>
      <c r="B3" s="53" t="s">
        <v>0</v>
      </c>
      <c r="C3" s="51" t="s">
        <v>364</v>
      </c>
      <c r="D3" s="51" t="s">
        <v>6</v>
      </c>
      <c r="E3" s="35" t="s">
        <v>365</v>
      </c>
      <c r="F3" s="35" t="s">
        <v>5</v>
      </c>
      <c r="G3" s="35" t="s">
        <v>10</v>
      </c>
      <c r="H3" s="35"/>
      <c r="I3" s="35"/>
      <c r="J3" s="35"/>
      <c r="K3" s="33" t="s">
        <v>8</v>
      </c>
      <c r="L3" s="35" t="s">
        <v>3</v>
      </c>
      <c r="M3" s="37" t="s">
        <v>2</v>
      </c>
    </row>
    <row r="4" spans="1:13" s="1" customFormat="1" ht="21" customHeight="1" thickBot="1">
      <c r="A4" s="50"/>
      <c r="B4" s="54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34"/>
      <c r="L4" s="36"/>
      <c r="M4" s="38"/>
    </row>
    <row r="5" spans="1:13" ht="16">
      <c r="A5" s="39" t="s">
        <v>72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9" t="s">
        <v>13</v>
      </c>
      <c r="B6" s="8" t="s">
        <v>154</v>
      </c>
      <c r="C6" s="8" t="s">
        <v>155</v>
      </c>
      <c r="D6" s="8" t="s">
        <v>156</v>
      </c>
      <c r="E6" s="8" t="s">
        <v>366</v>
      </c>
      <c r="F6" s="8" t="s">
        <v>337</v>
      </c>
      <c r="G6" s="10" t="s">
        <v>157</v>
      </c>
      <c r="H6" s="10" t="s">
        <v>157</v>
      </c>
      <c r="I6" s="10" t="s">
        <v>157</v>
      </c>
      <c r="J6" s="9"/>
      <c r="K6" s="29">
        <v>0</v>
      </c>
      <c r="L6" s="9" t="str">
        <f>"0,0000"</f>
        <v>0,0000</v>
      </c>
      <c r="M6" s="8" t="s">
        <v>339</v>
      </c>
    </row>
    <row r="7" spans="1:13">
      <c r="B7" s="5" t="s">
        <v>9</v>
      </c>
    </row>
    <row r="8" spans="1:13" ht="16">
      <c r="A8" s="52" t="s">
        <v>158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9" t="s">
        <v>28</v>
      </c>
      <c r="B9" s="8" t="s">
        <v>159</v>
      </c>
      <c r="C9" s="8" t="s">
        <v>160</v>
      </c>
      <c r="D9" s="8" t="s">
        <v>161</v>
      </c>
      <c r="E9" s="8" t="s">
        <v>366</v>
      </c>
      <c r="F9" s="8" t="s">
        <v>34</v>
      </c>
      <c r="G9" s="19" t="s">
        <v>76</v>
      </c>
      <c r="H9" s="10" t="s">
        <v>77</v>
      </c>
      <c r="I9" s="19" t="s">
        <v>77</v>
      </c>
      <c r="J9" s="9"/>
      <c r="K9" s="29" t="str">
        <f>"82,5"</f>
        <v>82,5</v>
      </c>
      <c r="L9" s="9" t="str">
        <f>"99,2970"</f>
        <v>99,2970</v>
      </c>
      <c r="M9" s="8" t="s">
        <v>340</v>
      </c>
    </row>
    <row r="10" spans="1:13">
      <c r="B10" s="5" t="s">
        <v>9</v>
      </c>
    </row>
    <row r="11" spans="1:13" ht="16">
      <c r="A11" s="52" t="s">
        <v>81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3">
      <c r="A12" s="9" t="s">
        <v>28</v>
      </c>
      <c r="B12" s="8" t="s">
        <v>162</v>
      </c>
      <c r="C12" s="8" t="s">
        <v>163</v>
      </c>
      <c r="D12" s="8" t="s">
        <v>164</v>
      </c>
      <c r="E12" s="8" t="s">
        <v>366</v>
      </c>
      <c r="F12" s="8" t="s">
        <v>15</v>
      </c>
      <c r="G12" s="19" t="s">
        <v>53</v>
      </c>
      <c r="H12" s="19" t="s">
        <v>32</v>
      </c>
      <c r="I12" s="10" t="s">
        <v>157</v>
      </c>
      <c r="J12" s="9"/>
      <c r="K12" s="29" t="str">
        <f>"50,0"</f>
        <v>50,0</v>
      </c>
      <c r="L12" s="9" t="str">
        <f>"57,6250"</f>
        <v>57,6250</v>
      </c>
      <c r="M12" s="8" t="s">
        <v>326</v>
      </c>
    </row>
    <row r="13" spans="1:13">
      <c r="B13" s="5" t="s">
        <v>9</v>
      </c>
    </row>
    <row r="14" spans="1:13" ht="16">
      <c r="A14" s="52" t="s">
        <v>64</v>
      </c>
      <c r="B14" s="52"/>
      <c r="C14" s="52"/>
      <c r="D14" s="52"/>
      <c r="E14" s="52"/>
      <c r="F14" s="52"/>
      <c r="G14" s="52"/>
      <c r="H14" s="52"/>
      <c r="I14" s="52"/>
      <c r="J14" s="52"/>
    </row>
    <row r="15" spans="1:13">
      <c r="A15" s="9" t="s">
        <v>28</v>
      </c>
      <c r="B15" s="8" t="s">
        <v>165</v>
      </c>
      <c r="C15" s="8" t="s">
        <v>313</v>
      </c>
      <c r="D15" s="8" t="s">
        <v>166</v>
      </c>
      <c r="E15" s="8" t="s">
        <v>367</v>
      </c>
      <c r="F15" s="8" t="s">
        <v>119</v>
      </c>
      <c r="G15" s="19" t="s">
        <v>32</v>
      </c>
      <c r="H15" s="19" t="s">
        <v>157</v>
      </c>
      <c r="I15" s="10" t="s">
        <v>37</v>
      </c>
      <c r="J15" s="9"/>
      <c r="K15" s="29" t="str">
        <f>"52,5"</f>
        <v>52,5</v>
      </c>
      <c r="L15" s="9" t="str">
        <f>"56,8627"</f>
        <v>56,8627</v>
      </c>
      <c r="M15" s="8" t="s">
        <v>341</v>
      </c>
    </row>
    <row r="16" spans="1:13">
      <c r="B16" s="5" t="s">
        <v>9</v>
      </c>
    </row>
    <row r="17" spans="1:13" ht="16">
      <c r="A17" s="52" t="s">
        <v>64</v>
      </c>
      <c r="B17" s="52"/>
      <c r="C17" s="52"/>
      <c r="D17" s="52"/>
      <c r="E17" s="52"/>
      <c r="F17" s="52"/>
      <c r="G17" s="52"/>
      <c r="H17" s="52"/>
      <c r="I17" s="52"/>
      <c r="J17" s="52"/>
    </row>
    <row r="18" spans="1:13">
      <c r="A18" s="9" t="s">
        <v>28</v>
      </c>
      <c r="B18" s="8" t="s">
        <v>167</v>
      </c>
      <c r="C18" s="8" t="s">
        <v>168</v>
      </c>
      <c r="D18" s="8" t="s">
        <v>169</v>
      </c>
      <c r="E18" s="8" t="s">
        <v>366</v>
      </c>
      <c r="F18" s="8" t="s">
        <v>34</v>
      </c>
      <c r="G18" s="19" t="s">
        <v>90</v>
      </c>
      <c r="H18" s="10" t="s">
        <v>91</v>
      </c>
      <c r="I18" s="10" t="s">
        <v>91</v>
      </c>
      <c r="J18" s="9"/>
      <c r="K18" s="29" t="str">
        <f>"100,0"</f>
        <v>100,0</v>
      </c>
      <c r="L18" s="9" t="str">
        <f>"77,4700"</f>
        <v>77,4700</v>
      </c>
      <c r="M18" s="8" t="s">
        <v>244</v>
      </c>
    </row>
    <row r="19" spans="1:13">
      <c r="B19" s="5" t="s">
        <v>9</v>
      </c>
    </row>
    <row r="20" spans="1:13" ht="16">
      <c r="A20" s="52" t="s">
        <v>67</v>
      </c>
      <c r="B20" s="52"/>
      <c r="C20" s="52"/>
      <c r="D20" s="52"/>
      <c r="E20" s="52"/>
      <c r="F20" s="52"/>
      <c r="G20" s="52"/>
      <c r="H20" s="52"/>
      <c r="I20" s="52"/>
      <c r="J20" s="52"/>
    </row>
    <row r="21" spans="1:13">
      <c r="A21" s="12" t="s">
        <v>28</v>
      </c>
      <c r="B21" s="11" t="s">
        <v>170</v>
      </c>
      <c r="C21" s="11" t="s">
        <v>171</v>
      </c>
      <c r="D21" s="11" t="s">
        <v>172</v>
      </c>
      <c r="E21" s="11" t="s">
        <v>366</v>
      </c>
      <c r="F21" s="11" t="s">
        <v>15</v>
      </c>
      <c r="G21" s="22" t="s">
        <v>48</v>
      </c>
      <c r="H21" s="20" t="s">
        <v>48</v>
      </c>
      <c r="I21" s="20" t="s">
        <v>52</v>
      </c>
      <c r="J21" s="12"/>
      <c r="K21" s="30" t="str">
        <f>"127,5"</f>
        <v>127,5</v>
      </c>
      <c r="L21" s="12" t="str">
        <f>"90,9330"</f>
        <v>90,9330</v>
      </c>
      <c r="M21" s="11" t="s">
        <v>326</v>
      </c>
    </row>
    <row r="22" spans="1:13">
      <c r="A22" s="14" t="s">
        <v>153</v>
      </c>
      <c r="B22" s="13" t="s">
        <v>173</v>
      </c>
      <c r="C22" s="13" t="s">
        <v>174</v>
      </c>
      <c r="D22" s="13" t="s">
        <v>175</v>
      </c>
      <c r="E22" s="13" t="s">
        <v>366</v>
      </c>
      <c r="F22" s="13" t="s">
        <v>49</v>
      </c>
      <c r="G22" s="21" t="s">
        <v>90</v>
      </c>
      <c r="H22" s="21" t="s">
        <v>91</v>
      </c>
      <c r="I22" s="23" t="s">
        <v>176</v>
      </c>
      <c r="J22" s="14"/>
      <c r="K22" s="31" t="str">
        <f>"110,0"</f>
        <v>110,0</v>
      </c>
      <c r="L22" s="14" t="str">
        <f>"79,7390"</f>
        <v>79,7390</v>
      </c>
      <c r="M22" s="13"/>
    </row>
    <row r="23" spans="1:13">
      <c r="B23" s="5" t="s">
        <v>9</v>
      </c>
    </row>
    <row r="24" spans="1:13" ht="16">
      <c r="A24" s="52" t="s">
        <v>69</v>
      </c>
      <c r="B24" s="52"/>
      <c r="C24" s="52"/>
      <c r="D24" s="52"/>
      <c r="E24" s="52"/>
      <c r="F24" s="52"/>
      <c r="G24" s="52"/>
      <c r="H24" s="52"/>
      <c r="I24" s="52"/>
      <c r="J24" s="52"/>
    </row>
    <row r="25" spans="1:13">
      <c r="A25" s="12" t="s">
        <v>28</v>
      </c>
      <c r="B25" s="11" t="s">
        <v>177</v>
      </c>
      <c r="C25" s="11" t="s">
        <v>314</v>
      </c>
      <c r="D25" s="11" t="s">
        <v>178</v>
      </c>
      <c r="E25" s="11" t="s">
        <v>367</v>
      </c>
      <c r="F25" s="11" t="s">
        <v>34</v>
      </c>
      <c r="G25" s="20" t="s">
        <v>19</v>
      </c>
      <c r="H25" s="20" t="s">
        <v>29</v>
      </c>
      <c r="I25" s="20" t="s">
        <v>20</v>
      </c>
      <c r="J25" s="12"/>
      <c r="K25" s="30" t="str">
        <f>"140,0"</f>
        <v>140,0</v>
      </c>
      <c r="L25" s="12" t="str">
        <f>"94,5560"</f>
        <v>94,5560</v>
      </c>
      <c r="M25" s="11" t="s">
        <v>342</v>
      </c>
    </row>
    <row r="26" spans="1:13">
      <c r="A26" s="25" t="s">
        <v>28</v>
      </c>
      <c r="B26" s="24" t="s">
        <v>179</v>
      </c>
      <c r="C26" s="24" t="s">
        <v>180</v>
      </c>
      <c r="D26" s="24" t="s">
        <v>181</v>
      </c>
      <c r="E26" s="24" t="s">
        <v>366</v>
      </c>
      <c r="F26" s="24" t="s">
        <v>115</v>
      </c>
      <c r="G26" s="27" t="s">
        <v>182</v>
      </c>
      <c r="H26" s="26" t="s">
        <v>101</v>
      </c>
      <c r="I26" s="27" t="s">
        <v>79</v>
      </c>
      <c r="J26" s="25"/>
      <c r="K26" s="32" t="str">
        <f>"145,0"</f>
        <v>145,0</v>
      </c>
      <c r="L26" s="25" t="str">
        <f>"98,6000"</f>
        <v>98,6000</v>
      </c>
      <c r="M26" s="24" t="s">
        <v>343</v>
      </c>
    </row>
    <row r="27" spans="1:13">
      <c r="A27" s="14" t="s">
        <v>13</v>
      </c>
      <c r="B27" s="13" t="s">
        <v>183</v>
      </c>
      <c r="C27" s="13" t="s">
        <v>184</v>
      </c>
      <c r="D27" s="13" t="s">
        <v>185</v>
      </c>
      <c r="E27" s="13" t="s">
        <v>366</v>
      </c>
      <c r="F27" s="13" t="s">
        <v>49</v>
      </c>
      <c r="G27" s="23" t="s">
        <v>51</v>
      </c>
      <c r="H27" s="23" t="s">
        <v>51</v>
      </c>
      <c r="I27" s="23" t="s">
        <v>51</v>
      </c>
      <c r="J27" s="14"/>
      <c r="K27" s="31" t="str">
        <f>"0.00"</f>
        <v>0.00</v>
      </c>
      <c r="L27" s="14" t="str">
        <f>"0,0000"</f>
        <v>0,0000</v>
      </c>
      <c r="M27" s="13"/>
    </row>
    <row r="28" spans="1:13">
      <c r="B28" s="5" t="s">
        <v>9</v>
      </c>
    </row>
    <row r="29" spans="1:13" ht="16">
      <c r="A29" s="52" t="s">
        <v>14</v>
      </c>
      <c r="B29" s="52"/>
      <c r="C29" s="52"/>
      <c r="D29" s="52"/>
      <c r="E29" s="52"/>
      <c r="F29" s="52"/>
      <c r="G29" s="52"/>
      <c r="H29" s="52"/>
      <c r="I29" s="52"/>
      <c r="J29" s="52"/>
    </row>
    <row r="30" spans="1:13">
      <c r="A30" s="12" t="s">
        <v>28</v>
      </c>
      <c r="B30" s="11" t="s">
        <v>39</v>
      </c>
      <c r="C30" s="11" t="s">
        <v>40</v>
      </c>
      <c r="D30" s="11" t="s">
        <v>41</v>
      </c>
      <c r="E30" s="11" t="s">
        <v>366</v>
      </c>
      <c r="F30" s="11" t="s">
        <v>42</v>
      </c>
      <c r="G30" s="20" t="s">
        <v>43</v>
      </c>
      <c r="H30" s="22" t="s">
        <v>44</v>
      </c>
      <c r="I30" s="12"/>
      <c r="J30" s="12"/>
      <c r="K30" s="30" t="str">
        <f>"160,0"</f>
        <v>160,0</v>
      </c>
      <c r="L30" s="12" t="str">
        <f>"105,4080"</f>
        <v>105,4080</v>
      </c>
      <c r="M30" s="11"/>
    </row>
    <row r="31" spans="1:13">
      <c r="A31" s="25" t="s">
        <v>153</v>
      </c>
      <c r="B31" s="24" t="s">
        <v>186</v>
      </c>
      <c r="C31" s="24" t="s">
        <v>187</v>
      </c>
      <c r="D31" s="24" t="s">
        <v>188</v>
      </c>
      <c r="E31" s="24" t="s">
        <v>366</v>
      </c>
      <c r="F31" s="24" t="s">
        <v>189</v>
      </c>
      <c r="G31" s="26" t="s">
        <v>79</v>
      </c>
      <c r="H31" s="26" t="s">
        <v>190</v>
      </c>
      <c r="I31" s="27" t="s">
        <v>191</v>
      </c>
      <c r="J31" s="25"/>
      <c r="K31" s="32" t="str">
        <f>"157,5"</f>
        <v>157,5</v>
      </c>
      <c r="L31" s="25" t="str">
        <f>"104,8320"</f>
        <v>104,8320</v>
      </c>
      <c r="M31" s="24" t="s">
        <v>344</v>
      </c>
    </row>
    <row r="32" spans="1:13">
      <c r="A32" s="25" t="s">
        <v>215</v>
      </c>
      <c r="B32" s="24" t="s">
        <v>192</v>
      </c>
      <c r="C32" s="24" t="s">
        <v>193</v>
      </c>
      <c r="D32" s="24" t="s">
        <v>127</v>
      </c>
      <c r="E32" s="24" t="s">
        <v>366</v>
      </c>
      <c r="F32" s="24" t="s">
        <v>15</v>
      </c>
      <c r="G32" s="26" t="s">
        <v>30</v>
      </c>
      <c r="H32" s="26" t="s">
        <v>79</v>
      </c>
      <c r="I32" s="26" t="s">
        <v>78</v>
      </c>
      <c r="J32" s="25"/>
      <c r="K32" s="32" t="str">
        <f>"152,5"</f>
        <v>152,5</v>
      </c>
      <c r="L32" s="25" t="str">
        <f>"98,1490"</f>
        <v>98,1490</v>
      </c>
      <c r="M32" s="24" t="s">
        <v>326</v>
      </c>
    </row>
    <row r="33" spans="1:13">
      <c r="A33" s="14" t="s">
        <v>216</v>
      </c>
      <c r="B33" s="13" t="s">
        <v>194</v>
      </c>
      <c r="C33" s="13" t="s">
        <v>180</v>
      </c>
      <c r="D33" s="13" t="s">
        <v>195</v>
      </c>
      <c r="E33" s="13" t="s">
        <v>366</v>
      </c>
      <c r="F33" s="13" t="s">
        <v>196</v>
      </c>
      <c r="G33" s="21" t="s">
        <v>19</v>
      </c>
      <c r="H33" s="21" t="s">
        <v>51</v>
      </c>
      <c r="I33" s="23" t="s">
        <v>29</v>
      </c>
      <c r="J33" s="14"/>
      <c r="K33" s="31" t="str">
        <f>"132,5"</f>
        <v>132,5</v>
      </c>
      <c r="L33" s="14" t="str">
        <f>"85,1710"</f>
        <v>85,1710</v>
      </c>
      <c r="M33" s="13" t="s">
        <v>345</v>
      </c>
    </row>
    <row r="34" spans="1:13">
      <c r="B34" s="5" t="s">
        <v>9</v>
      </c>
    </row>
    <row r="35" spans="1:13" ht="16">
      <c r="A35" s="52" t="s">
        <v>17</v>
      </c>
      <c r="B35" s="52"/>
      <c r="C35" s="52"/>
      <c r="D35" s="52"/>
      <c r="E35" s="52"/>
      <c r="F35" s="52"/>
      <c r="G35" s="52"/>
      <c r="H35" s="52"/>
      <c r="I35" s="52"/>
      <c r="J35" s="52"/>
    </row>
    <row r="36" spans="1:13">
      <c r="A36" s="12" t="s">
        <v>28</v>
      </c>
      <c r="B36" s="11" t="s">
        <v>197</v>
      </c>
      <c r="C36" s="11" t="s">
        <v>198</v>
      </c>
      <c r="D36" s="11" t="s">
        <v>199</v>
      </c>
      <c r="E36" s="11" t="s">
        <v>368</v>
      </c>
      <c r="F36" s="11" t="s">
        <v>34</v>
      </c>
      <c r="G36" s="22" t="s">
        <v>63</v>
      </c>
      <c r="H36" s="20" t="s">
        <v>48</v>
      </c>
      <c r="I36" s="22" t="s">
        <v>19</v>
      </c>
      <c r="J36" s="12"/>
      <c r="K36" s="30" t="str">
        <f>"125,0"</f>
        <v>125,0</v>
      </c>
      <c r="L36" s="12" t="str">
        <f>"77,9375"</f>
        <v>77,9375</v>
      </c>
      <c r="M36" s="11"/>
    </row>
    <row r="37" spans="1:13">
      <c r="A37" s="25" t="s">
        <v>28</v>
      </c>
      <c r="B37" s="24" t="s">
        <v>200</v>
      </c>
      <c r="C37" s="24" t="s">
        <v>201</v>
      </c>
      <c r="D37" s="24" t="s">
        <v>202</v>
      </c>
      <c r="E37" s="24" t="s">
        <v>366</v>
      </c>
      <c r="F37" s="24" t="s">
        <v>34</v>
      </c>
      <c r="G37" s="26" t="s">
        <v>31</v>
      </c>
      <c r="H37" s="26" t="s">
        <v>43</v>
      </c>
      <c r="I37" s="27" t="s">
        <v>203</v>
      </c>
      <c r="J37" s="25"/>
      <c r="K37" s="32" t="str">
        <f>"160,0"</f>
        <v>160,0</v>
      </c>
      <c r="L37" s="25" t="str">
        <f>"99,4240"</f>
        <v>99,4240</v>
      </c>
      <c r="M37" s="24"/>
    </row>
    <row r="38" spans="1:13">
      <c r="A38" s="25" t="s">
        <v>153</v>
      </c>
      <c r="B38" s="24" t="s">
        <v>204</v>
      </c>
      <c r="C38" s="24" t="s">
        <v>205</v>
      </c>
      <c r="D38" s="24" t="s">
        <v>206</v>
      </c>
      <c r="E38" s="24" t="s">
        <v>366</v>
      </c>
      <c r="F38" s="24" t="s">
        <v>136</v>
      </c>
      <c r="G38" s="27" t="s">
        <v>90</v>
      </c>
      <c r="H38" s="26" t="s">
        <v>63</v>
      </c>
      <c r="I38" s="27" t="s">
        <v>48</v>
      </c>
      <c r="J38" s="25"/>
      <c r="K38" s="32" t="str">
        <f>"115,0"</f>
        <v>115,0</v>
      </c>
      <c r="L38" s="25" t="str">
        <f>"72,6225"</f>
        <v>72,6225</v>
      </c>
      <c r="M38" s="24"/>
    </row>
    <row r="39" spans="1:13">
      <c r="A39" s="14" t="s">
        <v>28</v>
      </c>
      <c r="B39" s="13" t="s">
        <v>207</v>
      </c>
      <c r="C39" s="13" t="s">
        <v>315</v>
      </c>
      <c r="D39" s="13" t="s">
        <v>208</v>
      </c>
      <c r="E39" s="13" t="s">
        <v>369</v>
      </c>
      <c r="F39" s="13" t="s">
        <v>15</v>
      </c>
      <c r="G39" s="21" t="s">
        <v>31</v>
      </c>
      <c r="H39" s="21" t="s">
        <v>43</v>
      </c>
      <c r="I39" s="23" t="s">
        <v>191</v>
      </c>
      <c r="J39" s="14"/>
      <c r="K39" s="31" t="str">
        <f>"160,0"</f>
        <v>160,0</v>
      </c>
      <c r="L39" s="14" t="str">
        <f>"97,6960"</f>
        <v>97,6960</v>
      </c>
      <c r="M39" s="13"/>
    </row>
    <row r="40" spans="1:13">
      <c r="B40" s="5" t="s">
        <v>9</v>
      </c>
    </row>
    <row r="41" spans="1:13" ht="16">
      <c r="A41" s="52" t="s">
        <v>36</v>
      </c>
      <c r="B41" s="52"/>
      <c r="C41" s="52"/>
      <c r="D41" s="52"/>
      <c r="E41" s="52"/>
      <c r="F41" s="52"/>
      <c r="G41" s="52"/>
      <c r="H41" s="52"/>
      <c r="I41" s="52"/>
      <c r="J41" s="52"/>
    </row>
    <row r="42" spans="1:13">
      <c r="A42" s="9" t="s">
        <v>28</v>
      </c>
      <c r="B42" s="8" t="s">
        <v>209</v>
      </c>
      <c r="C42" s="8" t="s">
        <v>210</v>
      </c>
      <c r="D42" s="8" t="s">
        <v>211</v>
      </c>
      <c r="E42" s="8" t="s">
        <v>366</v>
      </c>
      <c r="F42" s="8" t="s">
        <v>338</v>
      </c>
      <c r="G42" s="19" t="s">
        <v>109</v>
      </c>
      <c r="H42" s="10" t="s">
        <v>110</v>
      </c>
      <c r="I42" s="10" t="s">
        <v>110</v>
      </c>
      <c r="J42" s="9"/>
      <c r="K42" s="29" t="str">
        <f>"170,0"</f>
        <v>170,0</v>
      </c>
      <c r="L42" s="9" t="str">
        <f>"102,0000"</f>
        <v>102,0000</v>
      </c>
      <c r="M42" s="8" t="s">
        <v>346</v>
      </c>
    </row>
    <row r="43" spans="1:13">
      <c r="B43" s="5" t="s">
        <v>9</v>
      </c>
    </row>
    <row r="44" spans="1:13">
      <c r="B44" s="5" t="s">
        <v>9</v>
      </c>
    </row>
    <row r="45" spans="1:13">
      <c r="B45" s="5" t="s">
        <v>9</v>
      </c>
    </row>
    <row r="46" spans="1:13" ht="18">
      <c r="B46" s="7" t="s">
        <v>7</v>
      </c>
      <c r="C46" s="7"/>
      <c r="F46" s="3"/>
    </row>
    <row r="47" spans="1:13" ht="16">
      <c r="B47" s="15" t="s">
        <v>21</v>
      </c>
      <c r="C47" s="15"/>
      <c r="F47" s="3"/>
    </row>
    <row r="48" spans="1:13" ht="14">
      <c r="B48" s="16"/>
      <c r="C48" s="17" t="s">
        <v>22</v>
      </c>
      <c r="F48" s="3"/>
    </row>
    <row r="49" spans="2:6" ht="14">
      <c r="B49" s="18" t="s">
        <v>23</v>
      </c>
      <c r="C49" s="18" t="s">
        <v>24</v>
      </c>
      <c r="D49" s="18" t="s">
        <v>336</v>
      </c>
      <c r="E49" s="18" t="s">
        <v>25</v>
      </c>
      <c r="F49" s="18" t="s">
        <v>26</v>
      </c>
    </row>
    <row r="50" spans="2:6">
      <c r="B50" s="5" t="s">
        <v>39</v>
      </c>
      <c r="C50" s="5" t="s">
        <v>22</v>
      </c>
      <c r="D50" s="6" t="s">
        <v>27</v>
      </c>
      <c r="E50" s="6" t="s">
        <v>43</v>
      </c>
      <c r="F50" s="6" t="s">
        <v>212</v>
      </c>
    </row>
    <row r="51" spans="2:6">
      <c r="B51" s="5" t="s">
        <v>186</v>
      </c>
      <c r="C51" s="5" t="s">
        <v>22</v>
      </c>
      <c r="D51" s="6" t="s">
        <v>27</v>
      </c>
      <c r="E51" s="6" t="s">
        <v>190</v>
      </c>
      <c r="F51" s="6" t="s">
        <v>213</v>
      </c>
    </row>
    <row r="52" spans="2:6">
      <c r="B52" s="5" t="s">
        <v>209</v>
      </c>
      <c r="C52" s="5" t="s">
        <v>22</v>
      </c>
      <c r="D52" s="6" t="s">
        <v>38</v>
      </c>
      <c r="E52" s="6" t="s">
        <v>109</v>
      </c>
      <c r="F52" s="6" t="s">
        <v>214</v>
      </c>
    </row>
  </sheetData>
  <mergeCells count="21">
    <mergeCell ref="A29:J29"/>
    <mergeCell ref="A35:J35"/>
    <mergeCell ref="A41:J41"/>
    <mergeCell ref="B3:B4"/>
    <mergeCell ref="A8:J8"/>
    <mergeCell ref="A11:J11"/>
    <mergeCell ref="A14:J14"/>
    <mergeCell ref="A17:J17"/>
    <mergeCell ref="A20:J20"/>
    <mergeCell ref="A24:J2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42"/>
  <sheetViews>
    <sheetView workbookViewId="0">
      <selection activeCell="E33" sqref="E33"/>
    </sheetView>
  </sheetViews>
  <sheetFormatPr baseColWidth="10" defaultColWidth="9.1640625" defaultRowHeight="13"/>
  <cols>
    <col min="1" max="1" width="6.6640625" style="5" bestFit="1" customWidth="1"/>
    <col min="2" max="2" width="25.83203125" style="5" customWidth="1"/>
    <col min="3" max="3" width="28.1640625" style="5" bestFit="1" customWidth="1"/>
    <col min="4" max="4" width="20" style="5" bestFit="1" customWidth="1"/>
    <col min="5" max="5" width="9.6640625" style="5" bestFit="1" customWidth="1"/>
    <col min="6" max="6" width="29.6640625" style="5" bestFit="1" customWidth="1"/>
    <col min="7" max="9" width="5.33203125" style="6" customWidth="1"/>
    <col min="10" max="10" width="4.33203125" style="6" customWidth="1"/>
    <col min="11" max="11" width="10.5" style="28" bestFit="1" customWidth="1"/>
    <col min="12" max="12" width="8.33203125" style="6" bestFit="1" customWidth="1"/>
    <col min="13" max="13" width="22.33203125" style="5" customWidth="1"/>
    <col min="14" max="16384" width="9.1640625" style="3"/>
  </cols>
  <sheetData>
    <row r="1" spans="1:13" s="2" customFormat="1" ht="29" customHeight="1">
      <c r="A1" s="41" t="s">
        <v>350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362</v>
      </c>
      <c r="B3" s="53" t="s">
        <v>0</v>
      </c>
      <c r="C3" s="51" t="s">
        <v>364</v>
      </c>
      <c r="D3" s="51" t="s">
        <v>6</v>
      </c>
      <c r="E3" s="35" t="s">
        <v>365</v>
      </c>
      <c r="F3" s="35" t="s">
        <v>5</v>
      </c>
      <c r="G3" s="35" t="s">
        <v>10</v>
      </c>
      <c r="H3" s="35"/>
      <c r="I3" s="35"/>
      <c r="J3" s="35"/>
      <c r="K3" s="33" t="s">
        <v>8</v>
      </c>
      <c r="L3" s="35" t="s">
        <v>3</v>
      </c>
      <c r="M3" s="37" t="s">
        <v>2</v>
      </c>
    </row>
    <row r="4" spans="1:13" s="1" customFormat="1" ht="21" customHeight="1" thickBot="1">
      <c r="A4" s="50"/>
      <c r="B4" s="54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34"/>
      <c r="L4" s="36"/>
      <c r="M4" s="38"/>
    </row>
    <row r="5" spans="1:13" ht="16">
      <c r="A5" s="39" t="s">
        <v>94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9" t="s">
        <v>28</v>
      </c>
      <c r="B6" s="8" t="s">
        <v>95</v>
      </c>
      <c r="C6" s="8" t="s">
        <v>96</v>
      </c>
      <c r="D6" s="8" t="s">
        <v>97</v>
      </c>
      <c r="E6" s="8" t="s">
        <v>366</v>
      </c>
      <c r="F6" s="8" t="s">
        <v>34</v>
      </c>
      <c r="G6" s="19" t="s">
        <v>12</v>
      </c>
      <c r="H6" s="19" t="s">
        <v>61</v>
      </c>
      <c r="I6" s="10" t="s">
        <v>45</v>
      </c>
      <c r="J6" s="9"/>
      <c r="K6" s="29" t="str">
        <f>"85,0"</f>
        <v>85,0</v>
      </c>
      <c r="L6" s="9" t="str">
        <f>"109,1910"</f>
        <v>109,1910</v>
      </c>
      <c r="M6" s="8" t="s">
        <v>87</v>
      </c>
    </row>
    <row r="7" spans="1:13">
      <c r="B7" s="5" t="s">
        <v>9</v>
      </c>
    </row>
    <row r="8" spans="1:13" ht="16">
      <c r="A8" s="52" t="s">
        <v>67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12" t="s">
        <v>13</v>
      </c>
      <c r="B9" s="11" t="s">
        <v>98</v>
      </c>
      <c r="C9" s="11" t="s">
        <v>99</v>
      </c>
      <c r="D9" s="11" t="s">
        <v>92</v>
      </c>
      <c r="E9" s="11" t="s">
        <v>368</v>
      </c>
      <c r="F9" s="11" t="s">
        <v>100</v>
      </c>
      <c r="G9" s="22" t="s">
        <v>101</v>
      </c>
      <c r="H9" s="22" t="s">
        <v>101</v>
      </c>
      <c r="I9" s="22" t="s">
        <v>101</v>
      </c>
      <c r="J9" s="12"/>
      <c r="K9" s="30">
        <v>0</v>
      </c>
      <c r="L9" s="12" t="str">
        <f>"0,0000"</f>
        <v>0,0000</v>
      </c>
      <c r="M9" s="11"/>
    </row>
    <row r="10" spans="1:13">
      <c r="A10" s="25" t="s">
        <v>28</v>
      </c>
      <c r="B10" s="24" t="s">
        <v>102</v>
      </c>
      <c r="C10" s="24" t="s">
        <v>103</v>
      </c>
      <c r="D10" s="24" t="s">
        <v>104</v>
      </c>
      <c r="E10" s="24" t="s">
        <v>366</v>
      </c>
      <c r="F10" s="24" t="s">
        <v>49</v>
      </c>
      <c r="G10" s="26" t="s">
        <v>20</v>
      </c>
      <c r="H10" s="26" t="s">
        <v>30</v>
      </c>
      <c r="I10" s="27" t="s">
        <v>31</v>
      </c>
      <c r="J10" s="25"/>
      <c r="K10" s="32" t="str">
        <f>"147,5"</f>
        <v>147,5</v>
      </c>
      <c r="L10" s="25" t="str">
        <f>"105,8902"</f>
        <v>105,8902</v>
      </c>
      <c r="M10" s="24"/>
    </row>
    <row r="11" spans="1:13">
      <c r="A11" s="14" t="s">
        <v>13</v>
      </c>
      <c r="B11" s="13" t="s">
        <v>98</v>
      </c>
      <c r="C11" s="13" t="s">
        <v>105</v>
      </c>
      <c r="D11" s="13" t="s">
        <v>92</v>
      </c>
      <c r="E11" s="13" t="s">
        <v>366</v>
      </c>
      <c r="F11" s="13" t="s">
        <v>100</v>
      </c>
      <c r="G11" s="23" t="s">
        <v>101</v>
      </c>
      <c r="H11" s="23" t="s">
        <v>101</v>
      </c>
      <c r="I11" s="23" t="s">
        <v>101</v>
      </c>
      <c r="J11" s="14"/>
      <c r="K11" s="31">
        <v>0</v>
      </c>
      <c r="L11" s="14" t="str">
        <f>"0,0000"</f>
        <v>0,0000</v>
      </c>
      <c r="M11" s="13"/>
    </row>
    <row r="12" spans="1:13">
      <c r="B12" s="5" t="s">
        <v>9</v>
      </c>
    </row>
    <row r="13" spans="1:13" ht="16">
      <c r="A13" s="52" t="s">
        <v>69</v>
      </c>
      <c r="B13" s="52"/>
      <c r="C13" s="52"/>
      <c r="D13" s="52"/>
      <c r="E13" s="52"/>
      <c r="F13" s="52"/>
      <c r="G13" s="52"/>
      <c r="H13" s="52"/>
      <c r="I13" s="52"/>
      <c r="J13" s="52"/>
    </row>
    <row r="14" spans="1:13">
      <c r="A14" s="12" t="s">
        <v>28</v>
      </c>
      <c r="B14" s="11" t="s">
        <v>106</v>
      </c>
      <c r="C14" s="11" t="s">
        <v>107</v>
      </c>
      <c r="D14" s="11" t="s">
        <v>108</v>
      </c>
      <c r="E14" s="11" t="s">
        <v>366</v>
      </c>
      <c r="F14" s="11" t="s">
        <v>347</v>
      </c>
      <c r="G14" s="20" t="s">
        <v>43</v>
      </c>
      <c r="H14" s="20" t="s">
        <v>109</v>
      </c>
      <c r="I14" s="20" t="s">
        <v>110</v>
      </c>
      <c r="J14" s="12"/>
      <c r="K14" s="30" t="str">
        <f>"180,0"</f>
        <v>180,0</v>
      </c>
      <c r="L14" s="12" t="str">
        <f>"120,7620"</f>
        <v>120,7620</v>
      </c>
      <c r="M14" s="11"/>
    </row>
    <row r="15" spans="1:13">
      <c r="A15" s="25" t="s">
        <v>153</v>
      </c>
      <c r="B15" s="24" t="s">
        <v>111</v>
      </c>
      <c r="C15" s="24" t="s">
        <v>112</v>
      </c>
      <c r="D15" s="24" t="s">
        <v>113</v>
      </c>
      <c r="E15" s="24" t="s">
        <v>366</v>
      </c>
      <c r="F15" s="24" t="s">
        <v>348</v>
      </c>
      <c r="G15" s="26" t="s">
        <v>20</v>
      </c>
      <c r="H15" s="27" t="s">
        <v>101</v>
      </c>
      <c r="I15" s="26" t="s">
        <v>101</v>
      </c>
      <c r="J15" s="25"/>
      <c r="K15" s="32" t="str">
        <f>"145,0"</f>
        <v>145,0</v>
      </c>
      <c r="L15" s="25" t="str">
        <f>"97,2080"</f>
        <v>97,2080</v>
      </c>
      <c r="M15" s="24"/>
    </row>
    <row r="16" spans="1:13">
      <c r="A16" s="14" t="s">
        <v>28</v>
      </c>
      <c r="B16" s="13" t="s">
        <v>114</v>
      </c>
      <c r="C16" s="13" t="s">
        <v>316</v>
      </c>
      <c r="D16" s="13" t="s">
        <v>33</v>
      </c>
      <c r="E16" s="13" t="s">
        <v>369</v>
      </c>
      <c r="F16" s="13" t="s">
        <v>115</v>
      </c>
      <c r="G16" s="21" t="s">
        <v>19</v>
      </c>
      <c r="H16" s="23" t="s">
        <v>20</v>
      </c>
      <c r="I16" s="23" t="s">
        <v>20</v>
      </c>
      <c r="J16" s="14"/>
      <c r="K16" s="31" t="str">
        <f>"130,0"</f>
        <v>130,0</v>
      </c>
      <c r="L16" s="14" t="str">
        <f>"93,7825"</f>
        <v>93,7825</v>
      </c>
      <c r="M16" s="13" t="s">
        <v>334</v>
      </c>
    </row>
    <row r="17" spans="1:13">
      <c r="B17" s="5" t="s">
        <v>9</v>
      </c>
    </row>
    <row r="18" spans="1:13" ht="16">
      <c r="A18" s="52" t="s">
        <v>14</v>
      </c>
      <c r="B18" s="52"/>
      <c r="C18" s="52"/>
      <c r="D18" s="52"/>
      <c r="E18" s="52"/>
      <c r="F18" s="52"/>
      <c r="G18" s="52"/>
      <c r="H18" s="52"/>
      <c r="I18" s="52"/>
      <c r="J18" s="52"/>
    </row>
    <row r="19" spans="1:13">
      <c r="A19" s="12" t="s">
        <v>28</v>
      </c>
      <c r="B19" s="11" t="s">
        <v>116</v>
      </c>
      <c r="C19" s="11" t="s">
        <v>117</v>
      </c>
      <c r="D19" s="11" t="s">
        <v>118</v>
      </c>
      <c r="E19" s="11" t="s">
        <v>366</v>
      </c>
      <c r="F19" s="11" t="s">
        <v>119</v>
      </c>
      <c r="G19" s="20" t="s">
        <v>20</v>
      </c>
      <c r="H19" s="22" t="s">
        <v>78</v>
      </c>
      <c r="I19" s="22" t="s">
        <v>78</v>
      </c>
      <c r="J19" s="12"/>
      <c r="K19" s="30" t="str">
        <f>"140,0"</f>
        <v>140,0</v>
      </c>
      <c r="L19" s="12" t="str">
        <f>"92,6100"</f>
        <v>92,6100</v>
      </c>
      <c r="M19" s="11"/>
    </row>
    <row r="20" spans="1:13">
      <c r="A20" s="25" t="s">
        <v>153</v>
      </c>
      <c r="B20" s="24" t="s">
        <v>120</v>
      </c>
      <c r="C20" s="24" t="s">
        <v>121</v>
      </c>
      <c r="D20" s="24" t="s">
        <v>122</v>
      </c>
      <c r="E20" s="24" t="s">
        <v>366</v>
      </c>
      <c r="F20" s="24" t="s">
        <v>123</v>
      </c>
      <c r="G20" s="27" t="s">
        <v>90</v>
      </c>
      <c r="H20" s="26" t="s">
        <v>62</v>
      </c>
      <c r="I20" s="27" t="s">
        <v>91</v>
      </c>
      <c r="J20" s="25"/>
      <c r="K20" s="32" t="str">
        <f>"107,5"</f>
        <v>107,5</v>
      </c>
      <c r="L20" s="25" t="str">
        <f>"70,3050"</f>
        <v>70,3050</v>
      </c>
      <c r="M20" s="24"/>
    </row>
    <row r="21" spans="1:13">
      <c r="A21" s="25" t="s">
        <v>28</v>
      </c>
      <c r="B21" s="24" t="s">
        <v>124</v>
      </c>
      <c r="C21" s="24" t="s">
        <v>317</v>
      </c>
      <c r="D21" s="24" t="s">
        <v>125</v>
      </c>
      <c r="E21" s="24" t="s">
        <v>370</v>
      </c>
      <c r="F21" s="24" t="s">
        <v>34</v>
      </c>
      <c r="G21" s="26" t="s">
        <v>91</v>
      </c>
      <c r="H21" s="27" t="s">
        <v>11</v>
      </c>
      <c r="I21" s="27" t="s">
        <v>11</v>
      </c>
      <c r="J21" s="25"/>
      <c r="K21" s="32" t="str">
        <f>"110,0"</f>
        <v>110,0</v>
      </c>
      <c r="L21" s="25" t="str">
        <f>"107,6352"</f>
        <v>107,6352</v>
      </c>
      <c r="M21" s="24"/>
    </row>
    <row r="22" spans="1:13">
      <c r="A22" s="14" t="s">
        <v>28</v>
      </c>
      <c r="B22" s="13" t="s">
        <v>126</v>
      </c>
      <c r="C22" s="13" t="s">
        <v>318</v>
      </c>
      <c r="D22" s="13" t="s">
        <v>127</v>
      </c>
      <c r="E22" s="13" t="s">
        <v>371</v>
      </c>
      <c r="F22" s="13" t="s">
        <v>34</v>
      </c>
      <c r="G22" s="21" t="s">
        <v>29</v>
      </c>
      <c r="H22" s="23" t="s">
        <v>128</v>
      </c>
      <c r="I22" s="23" t="s">
        <v>128</v>
      </c>
      <c r="J22" s="14"/>
      <c r="K22" s="31" t="str">
        <f>"135,0"</f>
        <v>135,0</v>
      </c>
      <c r="L22" s="14" t="str">
        <f>"151,1816"</f>
        <v>151,1816</v>
      </c>
      <c r="M22" s="13"/>
    </row>
    <row r="23" spans="1:13">
      <c r="B23" s="5" t="s">
        <v>9</v>
      </c>
    </row>
    <row r="24" spans="1:13" ht="16">
      <c r="A24" s="52" t="s">
        <v>17</v>
      </c>
      <c r="B24" s="52"/>
      <c r="C24" s="52"/>
      <c r="D24" s="52"/>
      <c r="E24" s="52"/>
      <c r="F24" s="52"/>
      <c r="G24" s="52"/>
      <c r="H24" s="52"/>
      <c r="I24" s="52"/>
      <c r="J24" s="52"/>
    </row>
    <row r="25" spans="1:13">
      <c r="A25" s="12" t="s">
        <v>28</v>
      </c>
      <c r="B25" s="11" t="s">
        <v>129</v>
      </c>
      <c r="C25" s="11" t="s">
        <v>130</v>
      </c>
      <c r="D25" s="11" t="s">
        <v>131</v>
      </c>
      <c r="E25" s="11" t="s">
        <v>366</v>
      </c>
      <c r="F25" s="11" t="s">
        <v>15</v>
      </c>
      <c r="G25" s="20" t="s">
        <v>110</v>
      </c>
      <c r="H25" s="20" t="s">
        <v>47</v>
      </c>
      <c r="I25" s="22" t="s">
        <v>132</v>
      </c>
      <c r="J25" s="12"/>
      <c r="K25" s="30" t="str">
        <f>"185,0"</f>
        <v>185,0</v>
      </c>
      <c r="L25" s="12" t="str">
        <f>"113,0535"</f>
        <v>113,0535</v>
      </c>
      <c r="M25" s="11"/>
    </row>
    <row r="26" spans="1:13">
      <c r="A26" s="25" t="s">
        <v>153</v>
      </c>
      <c r="B26" s="24" t="s">
        <v>133</v>
      </c>
      <c r="C26" s="24" t="s">
        <v>134</v>
      </c>
      <c r="D26" s="24" t="s">
        <v>135</v>
      </c>
      <c r="E26" s="24" t="s">
        <v>366</v>
      </c>
      <c r="F26" s="24" t="s">
        <v>136</v>
      </c>
      <c r="G26" s="27" t="s">
        <v>101</v>
      </c>
      <c r="H26" s="26" t="s">
        <v>101</v>
      </c>
      <c r="I26" s="27" t="s">
        <v>43</v>
      </c>
      <c r="J26" s="25"/>
      <c r="K26" s="32" t="str">
        <f>"145,0"</f>
        <v>145,0</v>
      </c>
      <c r="L26" s="25" t="str">
        <f>"89,1750"</f>
        <v>89,1750</v>
      </c>
      <c r="M26" s="24"/>
    </row>
    <row r="27" spans="1:13">
      <c r="A27" s="14" t="s">
        <v>28</v>
      </c>
      <c r="B27" s="13" t="s">
        <v>137</v>
      </c>
      <c r="C27" s="13" t="s">
        <v>319</v>
      </c>
      <c r="D27" s="13" t="s">
        <v>138</v>
      </c>
      <c r="E27" s="13" t="s">
        <v>369</v>
      </c>
      <c r="F27" s="13" t="s">
        <v>15</v>
      </c>
      <c r="G27" s="21" t="s">
        <v>139</v>
      </c>
      <c r="H27" s="21" t="s">
        <v>110</v>
      </c>
      <c r="I27" s="23" t="s">
        <v>47</v>
      </c>
      <c r="J27" s="14"/>
      <c r="K27" s="31" t="str">
        <f>"180,0"</f>
        <v>180,0</v>
      </c>
      <c r="L27" s="14" t="str">
        <f>"113,0082"</f>
        <v>113,0082</v>
      </c>
      <c r="M27" s="13" t="s">
        <v>326</v>
      </c>
    </row>
    <row r="28" spans="1:13">
      <c r="B28" s="5" t="s">
        <v>9</v>
      </c>
    </row>
    <row r="29" spans="1:13" ht="16">
      <c r="A29" s="52" t="s">
        <v>36</v>
      </c>
      <c r="B29" s="52"/>
      <c r="C29" s="52"/>
      <c r="D29" s="52"/>
      <c r="E29" s="52"/>
      <c r="F29" s="52"/>
      <c r="G29" s="52"/>
      <c r="H29" s="52"/>
      <c r="I29" s="52"/>
      <c r="J29" s="52"/>
    </row>
    <row r="30" spans="1:13">
      <c r="A30" s="12" t="s">
        <v>28</v>
      </c>
      <c r="B30" s="11" t="s">
        <v>140</v>
      </c>
      <c r="C30" s="11" t="s">
        <v>141</v>
      </c>
      <c r="D30" s="11" t="s">
        <v>142</v>
      </c>
      <c r="E30" s="11" t="s">
        <v>366</v>
      </c>
      <c r="F30" s="11" t="s">
        <v>34</v>
      </c>
      <c r="G30" s="20" t="s">
        <v>55</v>
      </c>
      <c r="H30" s="20" t="s">
        <v>143</v>
      </c>
      <c r="I30" s="22" t="s">
        <v>144</v>
      </c>
      <c r="J30" s="12"/>
      <c r="K30" s="30" t="str">
        <f>"217,5"</f>
        <v>217,5</v>
      </c>
      <c r="L30" s="12" t="str">
        <f>"130,7828"</f>
        <v>130,7828</v>
      </c>
      <c r="M30" s="11"/>
    </row>
    <row r="31" spans="1:13">
      <c r="A31" s="25" t="s">
        <v>153</v>
      </c>
      <c r="B31" s="24" t="s">
        <v>145</v>
      </c>
      <c r="C31" s="24" t="s">
        <v>146</v>
      </c>
      <c r="D31" s="24" t="s">
        <v>147</v>
      </c>
      <c r="E31" s="24" t="s">
        <v>366</v>
      </c>
      <c r="F31" s="24" t="s">
        <v>34</v>
      </c>
      <c r="G31" s="26" t="s">
        <v>148</v>
      </c>
      <c r="H31" s="26" t="s">
        <v>55</v>
      </c>
      <c r="I31" s="26" t="s">
        <v>149</v>
      </c>
      <c r="J31" s="25"/>
      <c r="K31" s="32" t="str">
        <f>"212,5"</f>
        <v>212,5</v>
      </c>
      <c r="L31" s="25" t="str">
        <f>"125,6725"</f>
        <v>125,6725</v>
      </c>
      <c r="M31" s="24"/>
    </row>
    <row r="32" spans="1:13">
      <c r="A32" s="14" t="s">
        <v>28</v>
      </c>
      <c r="B32" s="13" t="s">
        <v>145</v>
      </c>
      <c r="C32" s="13" t="s">
        <v>320</v>
      </c>
      <c r="D32" s="13" t="s">
        <v>147</v>
      </c>
      <c r="E32" s="13" t="s">
        <v>369</v>
      </c>
      <c r="F32" s="13" t="s">
        <v>34</v>
      </c>
      <c r="G32" s="21" t="s">
        <v>148</v>
      </c>
      <c r="H32" s="21" t="s">
        <v>55</v>
      </c>
      <c r="I32" s="21" t="s">
        <v>149</v>
      </c>
      <c r="J32" s="14"/>
      <c r="K32" s="31" t="str">
        <f>"212,5"</f>
        <v>212,5</v>
      </c>
      <c r="L32" s="14" t="str">
        <f>"127,4319"</f>
        <v>127,4319</v>
      </c>
      <c r="M32" s="13"/>
    </row>
    <row r="33" spans="2:6">
      <c r="B33" s="5" t="s">
        <v>9</v>
      </c>
    </row>
    <row r="34" spans="2:6">
      <c r="B34" s="5" t="s">
        <v>9</v>
      </c>
    </row>
    <row r="35" spans="2:6">
      <c r="B35" s="5" t="s">
        <v>9</v>
      </c>
    </row>
    <row r="36" spans="2:6" ht="18">
      <c r="B36" s="7" t="s">
        <v>7</v>
      </c>
      <c r="C36" s="7"/>
      <c r="F36" s="3"/>
    </row>
    <row r="37" spans="2:6" ht="16">
      <c r="B37" s="15" t="s">
        <v>21</v>
      </c>
      <c r="C37" s="15"/>
      <c r="F37" s="3"/>
    </row>
    <row r="38" spans="2:6" ht="14">
      <c r="B38" s="16"/>
      <c r="C38" s="17" t="s">
        <v>22</v>
      </c>
      <c r="F38" s="3"/>
    </row>
    <row r="39" spans="2:6" ht="14">
      <c r="B39" s="18" t="s">
        <v>23</v>
      </c>
      <c r="C39" s="18" t="s">
        <v>24</v>
      </c>
      <c r="D39" s="18" t="s">
        <v>336</v>
      </c>
      <c r="E39" s="18" t="s">
        <v>25</v>
      </c>
      <c r="F39" s="18" t="s">
        <v>26</v>
      </c>
    </row>
    <row r="40" spans="2:6">
      <c r="B40" s="5" t="s">
        <v>140</v>
      </c>
      <c r="C40" s="5" t="s">
        <v>22</v>
      </c>
      <c r="D40" s="6" t="s">
        <v>38</v>
      </c>
      <c r="E40" s="6" t="s">
        <v>143</v>
      </c>
      <c r="F40" s="6" t="s">
        <v>150</v>
      </c>
    </row>
    <row r="41" spans="2:6">
      <c r="B41" s="5" t="s">
        <v>145</v>
      </c>
      <c r="C41" s="5" t="s">
        <v>22</v>
      </c>
      <c r="D41" s="6" t="s">
        <v>38</v>
      </c>
      <c r="E41" s="6" t="s">
        <v>149</v>
      </c>
      <c r="F41" s="6" t="s">
        <v>151</v>
      </c>
    </row>
    <row r="42" spans="2:6">
      <c r="B42" s="5" t="s">
        <v>106</v>
      </c>
      <c r="C42" s="5" t="s">
        <v>22</v>
      </c>
      <c r="D42" s="6" t="s">
        <v>70</v>
      </c>
      <c r="E42" s="6" t="s">
        <v>110</v>
      </c>
      <c r="F42" s="6" t="s">
        <v>152</v>
      </c>
    </row>
  </sheetData>
  <mergeCells count="17">
    <mergeCell ref="A29:J29"/>
    <mergeCell ref="A5:J5"/>
    <mergeCell ref="A8:J8"/>
    <mergeCell ref="A13:J13"/>
    <mergeCell ref="A18:J18"/>
    <mergeCell ref="A24:J24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7"/>
  <sheetViews>
    <sheetView workbookViewId="0">
      <selection activeCell="E8" sqref="E8"/>
    </sheetView>
  </sheetViews>
  <sheetFormatPr baseColWidth="10" defaultColWidth="9.1640625" defaultRowHeight="13"/>
  <cols>
    <col min="1" max="1" width="6.6640625" style="5" bestFit="1" customWidth="1"/>
    <col min="2" max="2" width="26" style="5" customWidth="1"/>
    <col min="3" max="3" width="28.1640625" style="5" bestFit="1" customWidth="1"/>
    <col min="4" max="4" width="20" style="5" bestFit="1" customWidth="1"/>
    <col min="5" max="5" width="14.1640625" style="5" customWidth="1"/>
    <col min="6" max="6" width="22.1640625" style="5" customWidth="1"/>
    <col min="7" max="9" width="5.33203125" style="6" customWidth="1"/>
    <col min="10" max="10" width="4.33203125" style="6" customWidth="1"/>
    <col min="11" max="11" width="10.5" style="6" bestFit="1" customWidth="1"/>
    <col min="12" max="12" width="8.33203125" style="6" bestFit="1" customWidth="1"/>
    <col min="13" max="13" width="18.83203125" style="5" bestFit="1" customWidth="1"/>
    <col min="14" max="16384" width="9.1640625" style="3"/>
  </cols>
  <sheetData>
    <row r="1" spans="1:13" s="2" customFormat="1" ht="29" customHeight="1">
      <c r="A1" s="41" t="s">
        <v>351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362</v>
      </c>
      <c r="B3" s="53" t="s">
        <v>0</v>
      </c>
      <c r="C3" s="51" t="s">
        <v>364</v>
      </c>
      <c r="D3" s="51" t="s">
        <v>6</v>
      </c>
      <c r="E3" s="35" t="s">
        <v>365</v>
      </c>
      <c r="F3" s="35" t="s">
        <v>5</v>
      </c>
      <c r="G3" s="35" t="s">
        <v>10</v>
      </c>
      <c r="H3" s="35"/>
      <c r="I3" s="35"/>
      <c r="J3" s="35"/>
      <c r="K3" s="35" t="s">
        <v>8</v>
      </c>
      <c r="L3" s="35" t="s">
        <v>3</v>
      </c>
      <c r="M3" s="37" t="s">
        <v>2</v>
      </c>
    </row>
    <row r="4" spans="1:13" s="1" customFormat="1" ht="21" customHeight="1" thickBot="1">
      <c r="A4" s="50"/>
      <c r="B4" s="54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67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9" t="s">
        <v>28</v>
      </c>
      <c r="B6" s="8" t="s">
        <v>219</v>
      </c>
      <c r="C6" s="8" t="s">
        <v>311</v>
      </c>
      <c r="D6" s="8" t="s">
        <v>220</v>
      </c>
      <c r="E6" s="8" t="s">
        <v>369</v>
      </c>
      <c r="F6" s="8" t="s">
        <v>34</v>
      </c>
      <c r="G6" s="19" t="s">
        <v>43</v>
      </c>
      <c r="H6" s="10" t="s">
        <v>109</v>
      </c>
      <c r="I6" s="10" t="s">
        <v>110</v>
      </c>
      <c r="J6" s="9"/>
      <c r="K6" s="9" t="str">
        <f>"160,0"</f>
        <v>160,0</v>
      </c>
      <c r="L6" s="9" t="str">
        <f>"114,0160"</f>
        <v>114,0160</v>
      </c>
      <c r="M6" s="8" t="s">
        <v>334</v>
      </c>
    </row>
    <row r="7" spans="1:13">
      <c r="B7" s="5" t="s">
        <v>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6.6640625" style="5" bestFit="1" customWidth="1"/>
    <col min="2" max="2" width="21.1640625" style="5" customWidth="1"/>
    <col min="3" max="3" width="28.1640625" style="5" bestFit="1" customWidth="1"/>
    <col min="4" max="4" width="20" style="5" bestFit="1" customWidth="1"/>
    <col min="5" max="5" width="9.6640625" style="5" bestFit="1" customWidth="1"/>
    <col min="6" max="6" width="29.6640625" style="5" customWidth="1"/>
    <col min="7" max="9" width="5.33203125" style="6" customWidth="1"/>
    <col min="10" max="10" width="4.33203125" style="6" customWidth="1"/>
    <col min="11" max="11" width="10.5" style="6" bestFit="1" customWidth="1"/>
    <col min="12" max="12" width="9.5" style="6" customWidth="1"/>
    <col min="13" max="13" width="21.83203125" style="5" customWidth="1"/>
    <col min="14" max="16384" width="9.1640625" style="3"/>
  </cols>
  <sheetData>
    <row r="1" spans="1:13" s="2" customFormat="1" ht="29" customHeight="1">
      <c r="A1" s="41" t="s">
        <v>352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362</v>
      </c>
      <c r="B3" s="53" t="s">
        <v>0</v>
      </c>
      <c r="C3" s="51" t="s">
        <v>364</v>
      </c>
      <c r="D3" s="51" t="s">
        <v>6</v>
      </c>
      <c r="E3" s="35" t="s">
        <v>365</v>
      </c>
      <c r="F3" s="35" t="s">
        <v>5</v>
      </c>
      <c r="G3" s="35" t="s">
        <v>10</v>
      </c>
      <c r="H3" s="35"/>
      <c r="I3" s="35"/>
      <c r="J3" s="35"/>
      <c r="K3" s="35" t="s">
        <v>8</v>
      </c>
      <c r="L3" s="35" t="s">
        <v>3</v>
      </c>
      <c r="M3" s="37" t="s">
        <v>2</v>
      </c>
    </row>
    <row r="4" spans="1:13" s="1" customFormat="1" ht="21" customHeight="1" thickBot="1">
      <c r="A4" s="50"/>
      <c r="B4" s="54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17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9" t="s">
        <v>28</v>
      </c>
      <c r="B6" s="8" t="s">
        <v>217</v>
      </c>
      <c r="C6" s="8" t="s">
        <v>312</v>
      </c>
      <c r="D6" s="8" t="s">
        <v>218</v>
      </c>
      <c r="E6" s="8" t="s">
        <v>370</v>
      </c>
      <c r="F6" s="8" t="s">
        <v>335</v>
      </c>
      <c r="G6" s="19" t="s">
        <v>79</v>
      </c>
      <c r="H6" s="10" t="s">
        <v>43</v>
      </c>
      <c r="I6" s="10" t="s">
        <v>43</v>
      </c>
      <c r="J6" s="9"/>
      <c r="K6" s="9" t="str">
        <f>"150,0"</f>
        <v>150,0</v>
      </c>
      <c r="L6" s="9" t="str">
        <f>"129,8304"</f>
        <v>129,8304</v>
      </c>
      <c r="M6" s="8"/>
    </row>
    <row r="7" spans="1:13">
      <c r="B7" s="5" t="s">
        <v>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7"/>
  <sheetViews>
    <sheetView workbookViewId="0">
      <selection activeCell="E17" sqref="E17"/>
    </sheetView>
  </sheetViews>
  <sheetFormatPr baseColWidth="10" defaultColWidth="9.1640625" defaultRowHeight="13"/>
  <cols>
    <col min="1" max="1" width="6.6640625" style="5" bestFit="1" customWidth="1"/>
    <col min="2" max="2" width="25" style="5" customWidth="1"/>
    <col min="3" max="3" width="28.1640625" style="5" bestFit="1" customWidth="1"/>
    <col min="4" max="4" width="20" style="5" bestFit="1" customWidth="1"/>
    <col min="5" max="5" width="9.6640625" style="5" bestFit="1" customWidth="1"/>
    <col min="6" max="6" width="28.5" style="5" bestFit="1" customWidth="1"/>
    <col min="7" max="9" width="5.33203125" style="6" customWidth="1"/>
    <col min="10" max="10" width="4.33203125" style="6" customWidth="1"/>
    <col min="11" max="11" width="10.5" style="6" bestFit="1" customWidth="1"/>
    <col min="12" max="12" width="8.33203125" style="6" bestFit="1" customWidth="1"/>
    <col min="13" max="13" width="18.83203125" style="5" customWidth="1"/>
    <col min="14" max="16384" width="9.1640625" style="3"/>
  </cols>
  <sheetData>
    <row r="1" spans="1:13" s="2" customFormat="1" ht="29" customHeight="1">
      <c r="A1" s="41" t="s">
        <v>353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362</v>
      </c>
      <c r="B3" s="53" t="s">
        <v>0</v>
      </c>
      <c r="C3" s="51" t="s">
        <v>364</v>
      </c>
      <c r="D3" s="51" t="s">
        <v>6</v>
      </c>
      <c r="E3" s="35" t="s">
        <v>365</v>
      </c>
      <c r="F3" s="35" t="s">
        <v>5</v>
      </c>
      <c r="G3" s="35" t="s">
        <v>10</v>
      </c>
      <c r="H3" s="35"/>
      <c r="I3" s="35"/>
      <c r="J3" s="35"/>
      <c r="K3" s="35" t="s">
        <v>8</v>
      </c>
      <c r="L3" s="35" t="s">
        <v>3</v>
      </c>
      <c r="M3" s="37" t="s">
        <v>2</v>
      </c>
    </row>
    <row r="4" spans="1:13" s="1" customFormat="1" ht="21" customHeight="1" thickBot="1">
      <c r="A4" s="50"/>
      <c r="B4" s="54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67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9" t="s">
        <v>28</v>
      </c>
      <c r="B6" s="8" t="s">
        <v>82</v>
      </c>
      <c r="C6" s="8" t="s">
        <v>83</v>
      </c>
      <c r="D6" s="8" t="s">
        <v>84</v>
      </c>
      <c r="E6" s="8" t="s">
        <v>366</v>
      </c>
      <c r="F6" s="8" t="s">
        <v>85</v>
      </c>
      <c r="G6" s="10" t="s">
        <v>48</v>
      </c>
      <c r="H6" s="19" t="s">
        <v>48</v>
      </c>
      <c r="I6" s="10" t="s">
        <v>51</v>
      </c>
      <c r="J6" s="9"/>
      <c r="K6" s="9" t="str">
        <f>"125,0"</f>
        <v>125,0</v>
      </c>
      <c r="L6" s="9" t="str">
        <f>"106,5379"</f>
        <v>106,5379</v>
      </c>
      <c r="M6" s="8" t="s">
        <v>87</v>
      </c>
    </row>
    <row r="7" spans="1:13">
      <c r="B7" s="5" t="s">
        <v>9</v>
      </c>
    </row>
    <row r="8" spans="1:13" ht="16">
      <c r="A8" s="52" t="s">
        <v>64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9" t="s">
        <v>28</v>
      </c>
      <c r="B9" s="8" t="s">
        <v>268</v>
      </c>
      <c r="C9" s="8" t="s">
        <v>269</v>
      </c>
      <c r="D9" s="8" t="s">
        <v>270</v>
      </c>
      <c r="E9" s="8" t="s">
        <v>366</v>
      </c>
      <c r="F9" s="8" t="s">
        <v>34</v>
      </c>
      <c r="G9" s="19" t="s">
        <v>255</v>
      </c>
      <c r="H9" s="10" t="s">
        <v>148</v>
      </c>
      <c r="I9" s="9"/>
      <c r="J9" s="9"/>
      <c r="K9" s="9" t="str">
        <f>"190,0"</f>
        <v>190,0</v>
      </c>
      <c r="L9" s="9" t="str">
        <f>"142,3765"</f>
        <v>142,3765</v>
      </c>
      <c r="M9" s="8" t="s">
        <v>329</v>
      </c>
    </row>
    <row r="10" spans="1:13">
      <c r="B10" s="5" t="s">
        <v>9</v>
      </c>
    </row>
    <row r="11" spans="1:13" ht="16">
      <c r="A11" s="52" t="s">
        <v>69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3">
      <c r="A12" s="12" t="s">
        <v>28</v>
      </c>
      <c r="B12" s="11" t="s">
        <v>248</v>
      </c>
      <c r="C12" s="11" t="s">
        <v>249</v>
      </c>
      <c r="D12" s="11" t="s">
        <v>250</v>
      </c>
      <c r="E12" s="11" t="s">
        <v>366</v>
      </c>
      <c r="F12" s="11" t="s">
        <v>328</v>
      </c>
      <c r="G12" s="20" t="s">
        <v>109</v>
      </c>
      <c r="H12" s="20" t="s">
        <v>110</v>
      </c>
      <c r="I12" s="20" t="s">
        <v>255</v>
      </c>
      <c r="J12" s="12"/>
      <c r="K12" s="12" t="str">
        <f>"190,0"</f>
        <v>190,0</v>
      </c>
      <c r="L12" s="12" t="str">
        <f>"122,7685"</f>
        <v>122,7685</v>
      </c>
      <c r="M12" s="11"/>
    </row>
    <row r="13" spans="1:13">
      <c r="A13" s="14" t="s">
        <v>28</v>
      </c>
      <c r="B13" s="13" t="s">
        <v>248</v>
      </c>
      <c r="C13" s="13" t="s">
        <v>307</v>
      </c>
      <c r="D13" s="13" t="s">
        <v>250</v>
      </c>
      <c r="E13" s="13" t="s">
        <v>372</v>
      </c>
      <c r="F13" s="13" t="s">
        <v>328</v>
      </c>
      <c r="G13" s="21" t="s">
        <v>109</v>
      </c>
      <c r="H13" s="21" t="s">
        <v>110</v>
      </c>
      <c r="I13" s="21" t="s">
        <v>255</v>
      </c>
      <c r="J13" s="14"/>
      <c r="K13" s="14" t="str">
        <f>"190,0"</f>
        <v>190,0</v>
      </c>
      <c r="L13" s="14" t="str">
        <f>"150,3914"</f>
        <v>150,3914</v>
      </c>
      <c r="M13" s="13"/>
    </row>
    <row r="14" spans="1:13">
      <c r="B14" s="5" t="s">
        <v>9</v>
      </c>
    </row>
    <row r="15" spans="1:13" ht="16">
      <c r="A15" s="52" t="s">
        <v>14</v>
      </c>
      <c r="B15" s="52"/>
      <c r="C15" s="52"/>
      <c r="D15" s="52"/>
      <c r="E15" s="52"/>
      <c r="F15" s="52"/>
      <c r="G15" s="52"/>
      <c r="H15" s="52"/>
      <c r="I15" s="52"/>
      <c r="J15" s="52"/>
    </row>
    <row r="16" spans="1:13">
      <c r="A16" s="9" t="s">
        <v>28</v>
      </c>
      <c r="B16" s="8" t="s">
        <v>39</v>
      </c>
      <c r="C16" s="8" t="s">
        <v>40</v>
      </c>
      <c r="D16" s="8" t="s">
        <v>41</v>
      </c>
      <c r="E16" s="8" t="s">
        <v>366</v>
      </c>
      <c r="F16" s="8" t="s">
        <v>42</v>
      </c>
      <c r="G16" s="19" t="s">
        <v>55</v>
      </c>
      <c r="H16" s="19" t="s">
        <v>143</v>
      </c>
      <c r="I16" s="19" t="s">
        <v>144</v>
      </c>
      <c r="J16" s="9"/>
      <c r="K16" s="9" t="str">
        <f>"225,0"</f>
        <v>225,0</v>
      </c>
      <c r="L16" s="9" t="str">
        <f>"142,4475"</f>
        <v>142,4475</v>
      </c>
      <c r="M16" s="8"/>
    </row>
    <row r="17" spans="2:2">
      <c r="B17" s="5" t="s">
        <v>9</v>
      </c>
    </row>
  </sheetData>
  <mergeCells count="15">
    <mergeCell ref="A8:J8"/>
    <mergeCell ref="A11:J11"/>
    <mergeCell ref="A15:J15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6.6640625" style="5" bestFit="1" customWidth="1"/>
    <col min="2" max="2" width="20.1640625" style="5" customWidth="1"/>
    <col min="3" max="3" width="28.1640625" style="5" bestFit="1" customWidth="1"/>
    <col min="4" max="4" width="20" style="5" bestFit="1" customWidth="1"/>
    <col min="5" max="5" width="9.6640625" style="5" bestFit="1" customWidth="1"/>
    <col min="6" max="6" width="29.83203125" style="5" customWidth="1"/>
    <col min="7" max="9" width="5.33203125" style="6" customWidth="1"/>
    <col min="10" max="10" width="4.33203125" style="6" customWidth="1"/>
    <col min="11" max="11" width="10.5" style="6" bestFit="1" customWidth="1"/>
    <col min="12" max="12" width="8.33203125" style="6" bestFit="1" customWidth="1"/>
    <col min="13" max="13" width="15" style="5" bestFit="1" customWidth="1"/>
    <col min="14" max="16384" width="9.1640625" style="3"/>
  </cols>
  <sheetData>
    <row r="1" spans="1:13" s="2" customFormat="1" ht="29" customHeight="1">
      <c r="A1" s="41" t="s">
        <v>354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362</v>
      </c>
      <c r="B3" s="53" t="s">
        <v>0</v>
      </c>
      <c r="C3" s="51" t="s">
        <v>364</v>
      </c>
      <c r="D3" s="51" t="s">
        <v>6</v>
      </c>
      <c r="E3" s="35" t="s">
        <v>365</v>
      </c>
      <c r="F3" s="35" t="s">
        <v>5</v>
      </c>
      <c r="G3" s="35" t="s">
        <v>10</v>
      </c>
      <c r="H3" s="35"/>
      <c r="I3" s="35"/>
      <c r="J3" s="35"/>
      <c r="K3" s="35" t="s">
        <v>8</v>
      </c>
      <c r="L3" s="35" t="s">
        <v>3</v>
      </c>
      <c r="M3" s="37" t="s">
        <v>2</v>
      </c>
    </row>
    <row r="4" spans="1:13" s="1" customFormat="1" ht="21" customHeight="1" thickBot="1">
      <c r="A4" s="50"/>
      <c r="B4" s="54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265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9" t="s">
        <v>28</v>
      </c>
      <c r="B6" s="8" t="s">
        <v>266</v>
      </c>
      <c r="C6" s="8" t="s">
        <v>308</v>
      </c>
      <c r="D6" s="8" t="s">
        <v>267</v>
      </c>
      <c r="E6" s="8" t="s">
        <v>369</v>
      </c>
      <c r="F6" s="8" t="s">
        <v>57</v>
      </c>
      <c r="G6" s="19" t="s">
        <v>58</v>
      </c>
      <c r="H6" s="19" t="s">
        <v>252</v>
      </c>
      <c r="I6" s="10" t="s">
        <v>59</v>
      </c>
      <c r="J6" s="9"/>
      <c r="K6" s="9" t="str">
        <f>"282,5"</f>
        <v>282,5</v>
      </c>
      <c r="L6" s="9" t="str">
        <f>"157,9987"</f>
        <v>157,9987</v>
      </c>
      <c r="M6" s="8"/>
    </row>
    <row r="7" spans="1:13">
      <c r="B7" s="5" t="s">
        <v>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6"/>
  <sheetViews>
    <sheetView workbookViewId="0">
      <selection activeCell="E26" sqref="E26"/>
    </sheetView>
  </sheetViews>
  <sheetFormatPr baseColWidth="10" defaultColWidth="9.1640625" defaultRowHeight="13"/>
  <cols>
    <col min="1" max="1" width="6.6640625" style="5" bestFit="1" customWidth="1"/>
    <col min="2" max="2" width="22.5" style="5" customWidth="1"/>
    <col min="3" max="3" width="28.1640625" style="5" bestFit="1" customWidth="1"/>
    <col min="4" max="4" width="20" style="5" bestFit="1" customWidth="1"/>
    <col min="5" max="5" width="9.6640625" style="5" bestFit="1" customWidth="1"/>
    <col min="6" max="6" width="32.83203125" style="5" customWidth="1"/>
    <col min="7" max="9" width="5.33203125" style="6" customWidth="1"/>
    <col min="10" max="10" width="4.33203125" style="6" customWidth="1"/>
    <col min="11" max="11" width="10.5" style="6" bestFit="1" customWidth="1"/>
    <col min="12" max="12" width="8.33203125" style="6" bestFit="1" customWidth="1"/>
    <col min="13" max="13" width="29" style="5" bestFit="1" customWidth="1"/>
    <col min="14" max="16384" width="9.1640625" style="3"/>
  </cols>
  <sheetData>
    <row r="1" spans="1:13" s="2" customFormat="1" ht="29" customHeight="1">
      <c r="A1" s="41" t="s">
        <v>355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362</v>
      </c>
      <c r="B3" s="53" t="s">
        <v>0</v>
      </c>
      <c r="C3" s="51" t="s">
        <v>364</v>
      </c>
      <c r="D3" s="51" t="s">
        <v>6</v>
      </c>
      <c r="E3" s="35" t="s">
        <v>365</v>
      </c>
      <c r="F3" s="35" t="s">
        <v>5</v>
      </c>
      <c r="G3" s="35" t="s">
        <v>221</v>
      </c>
      <c r="H3" s="35"/>
      <c r="I3" s="35"/>
      <c r="J3" s="35"/>
      <c r="K3" s="35" t="s">
        <v>8</v>
      </c>
      <c r="L3" s="35" t="s">
        <v>3</v>
      </c>
      <c r="M3" s="37" t="s">
        <v>2</v>
      </c>
    </row>
    <row r="4" spans="1:13" s="1" customFormat="1" ht="21" customHeight="1" thickBot="1">
      <c r="A4" s="50"/>
      <c r="B4" s="54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94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12" t="s">
        <v>28</v>
      </c>
      <c r="B6" s="11" t="s">
        <v>231</v>
      </c>
      <c r="C6" s="11" t="s">
        <v>232</v>
      </c>
      <c r="D6" s="11" t="s">
        <v>233</v>
      </c>
      <c r="E6" s="11" t="s">
        <v>366</v>
      </c>
      <c r="F6" s="11" t="s">
        <v>15</v>
      </c>
      <c r="G6" s="20" t="s">
        <v>63</v>
      </c>
      <c r="H6" s="20" t="s">
        <v>176</v>
      </c>
      <c r="I6" s="22" t="s">
        <v>50</v>
      </c>
      <c r="J6" s="12"/>
      <c r="K6" s="12" t="str">
        <f>"117,5"</f>
        <v>117,5</v>
      </c>
      <c r="L6" s="12" t="str">
        <f>"151,3987"</f>
        <v>151,3987</v>
      </c>
      <c r="M6" s="11" t="s">
        <v>330</v>
      </c>
    </row>
    <row r="7" spans="1:13">
      <c r="A7" s="25" t="s">
        <v>153</v>
      </c>
      <c r="B7" s="24" t="s">
        <v>234</v>
      </c>
      <c r="C7" s="24" t="s">
        <v>235</v>
      </c>
      <c r="D7" s="24" t="s">
        <v>236</v>
      </c>
      <c r="E7" s="24" t="s">
        <v>366</v>
      </c>
      <c r="F7" s="24" t="s">
        <v>34</v>
      </c>
      <c r="G7" s="26" t="s">
        <v>63</v>
      </c>
      <c r="H7" s="27" t="s">
        <v>48</v>
      </c>
      <c r="I7" s="27" t="s">
        <v>19</v>
      </c>
      <c r="J7" s="25"/>
      <c r="K7" s="25" t="str">
        <f>"115,0"</f>
        <v>115,0</v>
      </c>
      <c r="L7" s="25" t="str">
        <f>"151,1445"</f>
        <v>151,1445</v>
      </c>
      <c r="M7" s="24" t="s">
        <v>73</v>
      </c>
    </row>
    <row r="8" spans="1:13">
      <c r="A8" s="14" t="s">
        <v>215</v>
      </c>
      <c r="B8" s="13" t="s">
        <v>237</v>
      </c>
      <c r="C8" s="13" t="s">
        <v>238</v>
      </c>
      <c r="D8" s="13" t="s">
        <v>239</v>
      </c>
      <c r="E8" s="13" t="s">
        <v>366</v>
      </c>
      <c r="F8" s="13" t="s">
        <v>15</v>
      </c>
      <c r="G8" s="21" t="s">
        <v>16</v>
      </c>
      <c r="H8" s="21" t="s">
        <v>240</v>
      </c>
      <c r="I8" s="23" t="s">
        <v>62</v>
      </c>
      <c r="J8" s="14"/>
      <c r="K8" s="14" t="str">
        <f>"102,5"</f>
        <v>102,5</v>
      </c>
      <c r="L8" s="14" t="str">
        <f>"129,8983"</f>
        <v>129,8983</v>
      </c>
      <c r="M8" s="13" t="s">
        <v>331</v>
      </c>
    </row>
    <row r="9" spans="1:13">
      <c r="B9" s="5" t="s">
        <v>9</v>
      </c>
    </row>
    <row r="10" spans="1:13" ht="16">
      <c r="A10" s="52" t="s">
        <v>158</v>
      </c>
      <c r="B10" s="52"/>
      <c r="C10" s="52"/>
      <c r="D10" s="52"/>
      <c r="E10" s="52"/>
      <c r="F10" s="52"/>
      <c r="G10" s="52"/>
      <c r="H10" s="52"/>
      <c r="I10" s="52"/>
      <c r="J10" s="52"/>
    </row>
    <row r="11" spans="1:13">
      <c r="A11" s="9" t="s">
        <v>28</v>
      </c>
      <c r="B11" s="8" t="s">
        <v>241</v>
      </c>
      <c r="C11" s="8" t="s">
        <v>242</v>
      </c>
      <c r="D11" s="8" t="s">
        <v>243</v>
      </c>
      <c r="E11" s="8" t="s">
        <v>366</v>
      </c>
      <c r="F11" s="8" t="s">
        <v>34</v>
      </c>
      <c r="G11" s="19" t="s">
        <v>52</v>
      </c>
      <c r="H11" s="19" t="s">
        <v>51</v>
      </c>
      <c r="I11" s="10" t="s">
        <v>182</v>
      </c>
      <c r="J11" s="9"/>
      <c r="K11" s="9" t="str">
        <f>"132,5"</f>
        <v>132,5</v>
      </c>
      <c r="L11" s="9" t="str">
        <f>"158,1123"</f>
        <v>158,1123</v>
      </c>
      <c r="M11" s="8" t="s">
        <v>244</v>
      </c>
    </row>
    <row r="12" spans="1:13">
      <c r="B12" s="5" t="s">
        <v>9</v>
      </c>
    </row>
    <row r="13" spans="1:13" ht="16">
      <c r="A13" s="52" t="s">
        <v>67</v>
      </c>
      <c r="B13" s="52"/>
      <c r="C13" s="52"/>
      <c r="D13" s="52"/>
      <c r="E13" s="52"/>
      <c r="F13" s="52"/>
      <c r="G13" s="52"/>
      <c r="H13" s="52"/>
      <c r="I13" s="52"/>
      <c r="J13" s="52"/>
    </row>
    <row r="14" spans="1:13">
      <c r="A14" s="9" t="s">
        <v>28</v>
      </c>
      <c r="B14" s="8" t="s">
        <v>245</v>
      </c>
      <c r="C14" s="8" t="s">
        <v>309</v>
      </c>
      <c r="D14" s="8" t="s">
        <v>175</v>
      </c>
      <c r="E14" s="8" t="s">
        <v>367</v>
      </c>
      <c r="F14" s="8" t="s">
        <v>34</v>
      </c>
      <c r="G14" s="19" t="s">
        <v>43</v>
      </c>
      <c r="H14" s="19" t="s">
        <v>246</v>
      </c>
      <c r="I14" s="10" t="s">
        <v>247</v>
      </c>
      <c r="J14" s="9"/>
      <c r="K14" s="9" t="str">
        <f>"172,5"</f>
        <v>172,5</v>
      </c>
      <c r="L14" s="9" t="str">
        <f>"125,0453"</f>
        <v>125,0453</v>
      </c>
      <c r="M14" s="8" t="s">
        <v>332</v>
      </c>
    </row>
    <row r="15" spans="1:13">
      <c r="B15" s="5" t="s">
        <v>9</v>
      </c>
    </row>
    <row r="16" spans="1:13" ht="16">
      <c r="A16" s="52" t="s">
        <v>69</v>
      </c>
      <c r="B16" s="52"/>
      <c r="C16" s="52"/>
      <c r="D16" s="52"/>
      <c r="E16" s="52"/>
      <c r="F16" s="52"/>
      <c r="G16" s="52"/>
      <c r="H16" s="52"/>
      <c r="I16" s="52"/>
      <c r="J16" s="52"/>
    </row>
    <row r="17" spans="1:13">
      <c r="A17" s="12" t="s">
        <v>28</v>
      </c>
      <c r="B17" s="11" t="s">
        <v>248</v>
      </c>
      <c r="C17" s="11" t="s">
        <v>249</v>
      </c>
      <c r="D17" s="11" t="s">
        <v>250</v>
      </c>
      <c r="E17" s="11" t="s">
        <v>366</v>
      </c>
      <c r="F17" s="11" t="s">
        <v>328</v>
      </c>
      <c r="G17" s="20" t="s">
        <v>251</v>
      </c>
      <c r="H17" s="22" t="s">
        <v>252</v>
      </c>
      <c r="I17" s="22" t="s">
        <v>252</v>
      </c>
      <c r="J17" s="12"/>
      <c r="K17" s="12" t="str">
        <f>"265,0"</f>
        <v>265,0</v>
      </c>
      <c r="L17" s="12" t="str">
        <f>"177,9210"</f>
        <v>177,9210</v>
      </c>
      <c r="M17" s="11"/>
    </row>
    <row r="18" spans="1:13">
      <c r="A18" s="25" t="s">
        <v>153</v>
      </c>
      <c r="B18" s="24" t="s">
        <v>253</v>
      </c>
      <c r="C18" s="24" t="s">
        <v>254</v>
      </c>
      <c r="D18" s="24" t="s">
        <v>113</v>
      </c>
      <c r="E18" s="24" t="s">
        <v>366</v>
      </c>
      <c r="F18" s="24" t="s">
        <v>34</v>
      </c>
      <c r="G18" s="26" t="s">
        <v>255</v>
      </c>
      <c r="H18" s="27" t="s">
        <v>54</v>
      </c>
      <c r="I18" s="27" t="s">
        <v>256</v>
      </c>
      <c r="J18" s="25"/>
      <c r="K18" s="25" t="str">
        <f>"190,0"</f>
        <v>190,0</v>
      </c>
      <c r="L18" s="25" t="str">
        <f>"127,3760"</f>
        <v>127,3760</v>
      </c>
      <c r="M18" s="24" t="s">
        <v>332</v>
      </c>
    </row>
    <row r="19" spans="1:13">
      <c r="A19" s="14" t="s">
        <v>28</v>
      </c>
      <c r="B19" s="13" t="s">
        <v>248</v>
      </c>
      <c r="C19" s="13" t="s">
        <v>310</v>
      </c>
      <c r="D19" s="13" t="s">
        <v>250</v>
      </c>
      <c r="E19" s="13" t="s">
        <v>373</v>
      </c>
      <c r="F19" s="13" t="s">
        <v>328</v>
      </c>
      <c r="G19" s="21" t="s">
        <v>251</v>
      </c>
      <c r="H19" s="23" t="s">
        <v>252</v>
      </c>
      <c r="I19" s="23" t="s">
        <v>252</v>
      </c>
      <c r="J19" s="14"/>
      <c r="K19" s="14" t="str">
        <f>"265,0"</f>
        <v>265,0</v>
      </c>
      <c r="L19" s="14" t="str">
        <f>"222,4013"</f>
        <v>222,4013</v>
      </c>
      <c r="M19" s="13"/>
    </row>
    <row r="20" spans="1:13">
      <c r="B20" s="5" t="s">
        <v>9</v>
      </c>
    </row>
    <row r="21" spans="1:13" ht="16">
      <c r="A21" s="52" t="s">
        <v>17</v>
      </c>
      <c r="B21" s="52"/>
      <c r="C21" s="52"/>
      <c r="D21" s="52"/>
      <c r="E21" s="52"/>
      <c r="F21" s="52"/>
      <c r="G21" s="52"/>
      <c r="H21" s="52"/>
      <c r="I21" s="52"/>
      <c r="J21" s="52"/>
    </row>
    <row r="22" spans="1:13">
      <c r="A22" s="9" t="s">
        <v>28</v>
      </c>
      <c r="B22" s="8" t="s">
        <v>257</v>
      </c>
      <c r="C22" s="8" t="s">
        <v>258</v>
      </c>
      <c r="D22" s="8" t="s">
        <v>18</v>
      </c>
      <c r="E22" s="8" t="s">
        <v>368</v>
      </c>
      <c r="F22" s="8" t="s">
        <v>34</v>
      </c>
      <c r="G22" s="10" t="s">
        <v>110</v>
      </c>
      <c r="H22" s="19" t="s">
        <v>110</v>
      </c>
      <c r="I22" s="19" t="s">
        <v>55</v>
      </c>
      <c r="J22" s="9"/>
      <c r="K22" s="9" t="str">
        <f>"210,0"</f>
        <v>210,0</v>
      </c>
      <c r="L22" s="9" t="str">
        <f>"128,1630"</f>
        <v>128,1630</v>
      </c>
      <c r="M22" s="8" t="s">
        <v>332</v>
      </c>
    </row>
    <row r="23" spans="1:13">
      <c r="B23" s="5" t="s">
        <v>9</v>
      </c>
    </row>
    <row r="24" spans="1:13" ht="16">
      <c r="A24" s="52" t="s">
        <v>36</v>
      </c>
      <c r="B24" s="52"/>
      <c r="C24" s="52"/>
      <c r="D24" s="52"/>
      <c r="E24" s="52"/>
      <c r="F24" s="52"/>
      <c r="G24" s="52"/>
      <c r="H24" s="52"/>
      <c r="I24" s="52"/>
      <c r="J24" s="52"/>
    </row>
    <row r="25" spans="1:13">
      <c r="A25" s="9" t="s">
        <v>28</v>
      </c>
      <c r="B25" s="8" t="s">
        <v>259</v>
      </c>
      <c r="C25" s="8" t="s">
        <v>260</v>
      </c>
      <c r="D25" s="8" t="s">
        <v>261</v>
      </c>
      <c r="E25" s="8" t="s">
        <v>366</v>
      </c>
      <c r="F25" s="8" t="s">
        <v>262</v>
      </c>
      <c r="G25" s="19" t="s">
        <v>56</v>
      </c>
      <c r="H25" s="19" t="s">
        <v>263</v>
      </c>
      <c r="I25" s="19" t="s">
        <v>264</v>
      </c>
      <c r="J25" s="9"/>
      <c r="K25" s="9" t="str">
        <f>"252,5"</f>
        <v>252,5</v>
      </c>
      <c r="L25" s="9" t="str">
        <f>"149,6315"</f>
        <v>149,6315</v>
      </c>
      <c r="M25" s="8" t="s">
        <v>333</v>
      </c>
    </row>
    <row r="26" spans="1:13">
      <c r="B26" s="5" t="s">
        <v>9</v>
      </c>
    </row>
  </sheetData>
  <mergeCells count="17">
    <mergeCell ref="A24:J24"/>
    <mergeCell ref="A5:J5"/>
    <mergeCell ref="A10:J10"/>
    <mergeCell ref="A13:J13"/>
    <mergeCell ref="A16:J16"/>
    <mergeCell ref="A21:J21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0"/>
  <sheetViews>
    <sheetView workbookViewId="0">
      <selection activeCell="E10" sqref="E10"/>
    </sheetView>
  </sheetViews>
  <sheetFormatPr baseColWidth="10" defaultColWidth="9.1640625" defaultRowHeight="13"/>
  <cols>
    <col min="1" max="1" width="6.6640625" style="5" bestFit="1" customWidth="1"/>
    <col min="2" max="2" width="23" style="5" customWidth="1"/>
    <col min="3" max="3" width="24.5" style="5" bestFit="1" customWidth="1"/>
    <col min="4" max="4" width="20" style="5" bestFit="1" customWidth="1"/>
    <col min="5" max="5" width="9.6640625" style="5" bestFit="1" customWidth="1"/>
    <col min="6" max="6" width="28.5" style="5" bestFit="1" customWidth="1"/>
    <col min="7" max="9" width="5.33203125" style="6" customWidth="1"/>
    <col min="10" max="10" width="4.33203125" style="6" customWidth="1"/>
    <col min="11" max="11" width="10.5" style="6" bestFit="1" customWidth="1"/>
    <col min="12" max="12" width="8.33203125" style="6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41" t="s">
        <v>356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362</v>
      </c>
      <c r="B3" s="53" t="s">
        <v>0</v>
      </c>
      <c r="C3" s="51" t="s">
        <v>364</v>
      </c>
      <c r="D3" s="51" t="s">
        <v>6</v>
      </c>
      <c r="E3" s="35" t="s">
        <v>365</v>
      </c>
      <c r="F3" s="35" t="s">
        <v>5</v>
      </c>
      <c r="G3" s="35" t="s">
        <v>221</v>
      </c>
      <c r="H3" s="35"/>
      <c r="I3" s="35"/>
      <c r="J3" s="35"/>
      <c r="K3" s="35" t="s">
        <v>8</v>
      </c>
      <c r="L3" s="35" t="s">
        <v>3</v>
      </c>
      <c r="M3" s="37" t="s">
        <v>2</v>
      </c>
    </row>
    <row r="4" spans="1:13" s="1" customFormat="1" ht="21" customHeight="1" thickBot="1">
      <c r="A4" s="50"/>
      <c r="B4" s="54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14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9" t="s">
        <v>28</v>
      </c>
      <c r="B6" s="8" t="s">
        <v>222</v>
      </c>
      <c r="C6" s="8" t="s">
        <v>223</v>
      </c>
      <c r="D6" s="8" t="s">
        <v>224</v>
      </c>
      <c r="E6" s="8" t="s">
        <v>366</v>
      </c>
      <c r="F6" s="8" t="s">
        <v>34</v>
      </c>
      <c r="G6" s="10" t="s">
        <v>225</v>
      </c>
      <c r="H6" s="10" t="s">
        <v>225</v>
      </c>
      <c r="I6" s="19" t="s">
        <v>225</v>
      </c>
      <c r="J6" s="9"/>
      <c r="K6" s="9" t="str">
        <f>"70,0"</f>
        <v>70,0</v>
      </c>
      <c r="L6" s="9" t="str">
        <f>"62,0270"</f>
        <v>62,0270</v>
      </c>
      <c r="M6" s="8" t="s">
        <v>334</v>
      </c>
    </row>
    <row r="7" spans="1:13">
      <c r="B7" s="5" t="s">
        <v>9</v>
      </c>
    </row>
    <row r="8" spans="1:13" ht="16">
      <c r="A8" s="52" t="s">
        <v>36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9" t="s">
        <v>28</v>
      </c>
      <c r="B9" s="8" t="s">
        <v>226</v>
      </c>
      <c r="C9" s="8" t="s">
        <v>227</v>
      </c>
      <c r="D9" s="8" t="s">
        <v>228</v>
      </c>
      <c r="E9" s="8" t="s">
        <v>366</v>
      </c>
      <c r="F9" s="8" t="s">
        <v>49</v>
      </c>
      <c r="G9" s="19" t="s">
        <v>229</v>
      </c>
      <c r="H9" s="10" t="s">
        <v>230</v>
      </c>
      <c r="I9" s="10" t="s">
        <v>59</v>
      </c>
      <c r="J9" s="9"/>
      <c r="K9" s="9" t="str">
        <f>"275,0"</f>
        <v>275,0</v>
      </c>
      <c r="L9" s="9" t="str">
        <f>"164,0650"</f>
        <v>164,0650</v>
      </c>
      <c r="M9" s="8"/>
    </row>
    <row r="10" spans="1:13">
      <c r="B10" s="5" t="s">
        <v>9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6"/>
  <sheetViews>
    <sheetView workbookViewId="0">
      <selection activeCell="E16" sqref="E16"/>
    </sheetView>
  </sheetViews>
  <sheetFormatPr baseColWidth="10" defaultColWidth="9.1640625" defaultRowHeight="13"/>
  <cols>
    <col min="1" max="1" width="6.6640625" style="5" bestFit="1" customWidth="1"/>
    <col min="2" max="2" width="21" style="5" customWidth="1"/>
    <col min="3" max="3" width="27" style="5" bestFit="1" customWidth="1"/>
    <col min="4" max="4" width="20" style="5" bestFit="1" customWidth="1"/>
    <col min="5" max="5" width="12.83203125" style="5" customWidth="1"/>
    <col min="6" max="6" width="29" style="5" customWidth="1"/>
    <col min="7" max="9" width="5.33203125" style="6" customWidth="1"/>
    <col min="10" max="10" width="4.33203125" style="6" customWidth="1"/>
    <col min="11" max="13" width="5.5" style="6" customWidth="1"/>
    <col min="14" max="14" width="4.33203125" style="6" customWidth="1"/>
    <col min="15" max="15" width="7.1640625" style="6" bestFit="1" customWidth="1"/>
    <col min="16" max="16" width="8.33203125" style="6" bestFit="1" customWidth="1"/>
    <col min="17" max="17" width="19.1640625" style="5" customWidth="1"/>
    <col min="18" max="16384" width="9.1640625" style="3"/>
  </cols>
  <sheetData>
    <row r="1" spans="1:17" s="2" customFormat="1" ht="29" customHeight="1">
      <c r="A1" s="41" t="s">
        <v>357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</row>
    <row r="2" spans="1:17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8"/>
    </row>
    <row r="3" spans="1:17" s="1" customFormat="1" ht="12.75" customHeight="1">
      <c r="A3" s="49" t="s">
        <v>362</v>
      </c>
      <c r="B3" s="53" t="s">
        <v>0</v>
      </c>
      <c r="C3" s="51" t="s">
        <v>364</v>
      </c>
      <c r="D3" s="51" t="s">
        <v>6</v>
      </c>
      <c r="E3" s="35" t="s">
        <v>365</v>
      </c>
      <c r="F3" s="35" t="s">
        <v>5</v>
      </c>
      <c r="G3" s="35" t="s">
        <v>363</v>
      </c>
      <c r="H3" s="35"/>
      <c r="I3" s="35"/>
      <c r="J3" s="35"/>
      <c r="K3" s="35" t="s">
        <v>80</v>
      </c>
      <c r="L3" s="35"/>
      <c r="M3" s="35"/>
      <c r="N3" s="35"/>
      <c r="O3" s="35" t="s">
        <v>1</v>
      </c>
      <c r="P3" s="35" t="s">
        <v>3</v>
      </c>
      <c r="Q3" s="37" t="s">
        <v>2</v>
      </c>
    </row>
    <row r="4" spans="1:17" s="1" customFormat="1" ht="21" customHeight="1" thickBot="1">
      <c r="A4" s="50"/>
      <c r="B4" s="54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6"/>
      <c r="P4" s="36"/>
      <c r="Q4" s="38"/>
    </row>
    <row r="5" spans="1:17" ht="16">
      <c r="A5" s="39" t="s">
        <v>158</v>
      </c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7">
      <c r="A6" s="9" t="s">
        <v>28</v>
      </c>
      <c r="B6" s="8" t="s">
        <v>295</v>
      </c>
      <c r="C6" s="8" t="s">
        <v>302</v>
      </c>
      <c r="D6" s="8" t="s">
        <v>243</v>
      </c>
      <c r="E6" s="8" t="s">
        <v>368</v>
      </c>
      <c r="F6" s="8" t="s">
        <v>322</v>
      </c>
      <c r="G6" s="19" t="s">
        <v>35</v>
      </c>
      <c r="H6" s="10" t="s">
        <v>53</v>
      </c>
      <c r="I6" s="19" t="s">
        <v>53</v>
      </c>
      <c r="J6" s="9"/>
      <c r="K6" s="19" t="s">
        <v>71</v>
      </c>
      <c r="L6" s="19" t="s">
        <v>65</v>
      </c>
      <c r="M6" s="19" t="s">
        <v>35</v>
      </c>
      <c r="N6" s="9"/>
      <c r="O6" s="9" t="str">
        <f>"85,0"</f>
        <v>85,0</v>
      </c>
      <c r="P6" s="9" t="str">
        <f>"77,3118"</f>
        <v>77,3118</v>
      </c>
      <c r="Q6" s="8" t="s">
        <v>323</v>
      </c>
    </row>
    <row r="7" spans="1:17">
      <c r="B7" s="5" t="s">
        <v>9</v>
      </c>
    </row>
    <row r="8" spans="1:17" ht="16">
      <c r="A8" s="52" t="s">
        <v>81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7">
      <c r="A9" s="9" t="s">
        <v>28</v>
      </c>
      <c r="B9" s="8" t="s">
        <v>296</v>
      </c>
      <c r="C9" s="8" t="s">
        <v>303</v>
      </c>
      <c r="D9" s="8" t="s">
        <v>297</v>
      </c>
      <c r="E9" s="8" t="s">
        <v>368</v>
      </c>
      <c r="F9" s="8" t="s">
        <v>322</v>
      </c>
      <c r="G9" s="19" t="s">
        <v>68</v>
      </c>
      <c r="H9" s="19" t="s">
        <v>46</v>
      </c>
      <c r="I9" s="19" t="s">
        <v>298</v>
      </c>
      <c r="J9" s="9"/>
      <c r="K9" s="19" t="s">
        <v>68</v>
      </c>
      <c r="L9" s="19" t="s">
        <v>46</v>
      </c>
      <c r="M9" s="19" t="s">
        <v>74</v>
      </c>
      <c r="N9" s="9"/>
      <c r="O9" s="9" t="str">
        <f>"57,5"</f>
        <v>57,5</v>
      </c>
      <c r="P9" s="9" t="str">
        <f>"49,4299"</f>
        <v>49,4299</v>
      </c>
      <c r="Q9" s="8" t="s">
        <v>323</v>
      </c>
    </row>
    <row r="10" spans="1:17">
      <c r="B10" s="5" t="s">
        <v>9</v>
      </c>
    </row>
    <row r="11" spans="1:17" ht="16">
      <c r="A11" s="52" t="s">
        <v>17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7">
      <c r="A12" s="9" t="s">
        <v>28</v>
      </c>
      <c r="B12" s="8" t="s">
        <v>274</v>
      </c>
      <c r="C12" s="8" t="s">
        <v>275</v>
      </c>
      <c r="D12" s="8" t="s">
        <v>276</v>
      </c>
      <c r="E12" s="8" t="s">
        <v>366</v>
      </c>
      <c r="F12" s="8" t="s">
        <v>34</v>
      </c>
      <c r="G12" s="10" t="s">
        <v>240</v>
      </c>
      <c r="H12" s="19" t="s">
        <v>277</v>
      </c>
      <c r="I12" s="10" t="s">
        <v>91</v>
      </c>
      <c r="J12" s="9"/>
      <c r="K12" s="19" t="s">
        <v>294</v>
      </c>
      <c r="L12" s="19" t="s">
        <v>93</v>
      </c>
      <c r="M12" s="19" t="s">
        <v>12</v>
      </c>
      <c r="N12" s="9"/>
      <c r="O12" s="9" t="str">
        <f>"185,5"</f>
        <v>185,5</v>
      </c>
      <c r="P12" s="9" t="str">
        <f>"110,5858"</f>
        <v>110,5858</v>
      </c>
      <c r="Q12" s="8"/>
    </row>
    <row r="13" spans="1:17">
      <c r="B13" s="5" t="s">
        <v>9</v>
      </c>
    </row>
    <row r="14" spans="1:17" ht="16">
      <c r="A14" s="52" t="s">
        <v>265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7">
      <c r="A15" s="9" t="s">
        <v>28</v>
      </c>
      <c r="B15" s="8" t="s">
        <v>299</v>
      </c>
      <c r="C15" s="8" t="s">
        <v>300</v>
      </c>
      <c r="D15" s="8" t="s">
        <v>301</v>
      </c>
      <c r="E15" s="8" t="s">
        <v>366</v>
      </c>
      <c r="F15" s="8" t="s">
        <v>321</v>
      </c>
      <c r="G15" s="10" t="s">
        <v>45</v>
      </c>
      <c r="H15" s="19" t="s">
        <v>45</v>
      </c>
      <c r="I15" s="10" t="s">
        <v>90</v>
      </c>
      <c r="J15" s="9"/>
      <c r="K15" s="19" t="s">
        <v>225</v>
      </c>
      <c r="L15" s="19" t="s">
        <v>93</v>
      </c>
      <c r="M15" s="10" t="s">
        <v>77</v>
      </c>
      <c r="N15" s="9"/>
      <c r="O15" s="9" t="str">
        <f>"167,5"</f>
        <v>167,5</v>
      </c>
      <c r="P15" s="9" t="str">
        <f>"93,5906"</f>
        <v>93,5906</v>
      </c>
      <c r="Q15" s="8"/>
    </row>
    <row r="16" spans="1:17">
      <c r="B16" s="5" t="s">
        <v>9</v>
      </c>
    </row>
  </sheetData>
  <mergeCells count="16">
    <mergeCell ref="A8:N8"/>
    <mergeCell ref="A11:N11"/>
    <mergeCell ref="A14:N14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6.6640625" style="5" bestFit="1" customWidth="1"/>
    <col min="2" max="2" width="20" style="5" customWidth="1"/>
    <col min="3" max="3" width="24.5" style="5" bestFit="1" customWidth="1"/>
    <col min="4" max="4" width="20" style="5" bestFit="1" customWidth="1"/>
    <col min="5" max="5" width="9.6640625" style="5" bestFit="1" customWidth="1"/>
    <col min="6" max="6" width="15.83203125" style="5" bestFit="1" customWidth="1"/>
    <col min="7" max="9" width="5.33203125" style="6" customWidth="1"/>
    <col min="10" max="10" width="4.33203125" style="6" customWidth="1"/>
    <col min="11" max="11" width="10.5" style="6" bestFit="1" customWidth="1"/>
    <col min="12" max="12" width="9.33203125" style="6" customWidth="1"/>
    <col min="13" max="13" width="19.6640625" style="5" customWidth="1"/>
    <col min="14" max="16384" width="9.1640625" style="3"/>
  </cols>
  <sheetData>
    <row r="1" spans="1:13" s="2" customFormat="1" ht="29" customHeight="1">
      <c r="A1" s="41" t="s">
        <v>358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362</v>
      </c>
      <c r="B3" s="53" t="s">
        <v>0</v>
      </c>
      <c r="C3" s="51" t="s">
        <v>364</v>
      </c>
      <c r="D3" s="51" t="s">
        <v>6</v>
      </c>
      <c r="E3" s="35" t="s">
        <v>365</v>
      </c>
      <c r="F3" s="35" t="s">
        <v>5</v>
      </c>
      <c r="G3" s="35" t="s">
        <v>60</v>
      </c>
      <c r="H3" s="35"/>
      <c r="I3" s="35"/>
      <c r="J3" s="35"/>
      <c r="K3" s="35" t="s">
        <v>8</v>
      </c>
      <c r="L3" s="35" t="s">
        <v>3</v>
      </c>
      <c r="M3" s="37" t="s">
        <v>2</v>
      </c>
    </row>
    <row r="4" spans="1:13" s="1" customFormat="1" ht="21" customHeight="1" thickBot="1">
      <c r="A4" s="50"/>
      <c r="B4" s="54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17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9" t="s">
        <v>28</v>
      </c>
      <c r="B6" s="8" t="s">
        <v>274</v>
      </c>
      <c r="C6" s="8" t="s">
        <v>275</v>
      </c>
      <c r="D6" s="8" t="s">
        <v>276</v>
      </c>
      <c r="E6" s="8" t="s">
        <v>366</v>
      </c>
      <c r="F6" s="8" t="s">
        <v>34</v>
      </c>
      <c r="G6" s="19" t="s">
        <v>240</v>
      </c>
      <c r="H6" s="19" t="s">
        <v>277</v>
      </c>
      <c r="I6" s="10" t="s">
        <v>91</v>
      </c>
      <c r="J6" s="9"/>
      <c r="K6" s="9" t="str">
        <f>"105,5"</f>
        <v>105,5</v>
      </c>
      <c r="L6" s="9" t="str">
        <f>"62,8938"</f>
        <v>62,8938</v>
      </c>
      <c r="M6" s="8"/>
    </row>
    <row r="7" spans="1:13">
      <c r="B7" s="5" t="s">
        <v>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6.6640625" style="5" bestFit="1" customWidth="1"/>
    <col min="2" max="2" width="22" style="5" customWidth="1"/>
    <col min="3" max="3" width="24.5" style="5" bestFit="1" customWidth="1"/>
    <col min="4" max="4" width="20" style="5" bestFit="1" customWidth="1"/>
    <col min="5" max="5" width="9.6640625" style="5" bestFit="1" customWidth="1"/>
    <col min="6" max="6" width="28.5" style="5" customWidth="1"/>
    <col min="7" max="9" width="5.5" style="6" customWidth="1"/>
    <col min="10" max="10" width="4.33203125" style="6" customWidth="1"/>
    <col min="11" max="11" width="10.5" style="6" bestFit="1" customWidth="1"/>
    <col min="12" max="12" width="9.1640625" style="6" customWidth="1"/>
    <col min="13" max="13" width="19.6640625" style="5" customWidth="1"/>
    <col min="14" max="16384" width="9.1640625" style="3"/>
  </cols>
  <sheetData>
    <row r="1" spans="1:13" s="2" customFormat="1" ht="29" customHeight="1">
      <c r="A1" s="41" t="s">
        <v>359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362</v>
      </c>
      <c r="B3" s="53" t="s">
        <v>0</v>
      </c>
      <c r="C3" s="51" t="s">
        <v>364</v>
      </c>
      <c r="D3" s="51" t="s">
        <v>6</v>
      </c>
      <c r="E3" s="35" t="s">
        <v>365</v>
      </c>
      <c r="F3" s="35" t="s">
        <v>5</v>
      </c>
      <c r="G3" s="35" t="s">
        <v>60</v>
      </c>
      <c r="H3" s="35"/>
      <c r="I3" s="35"/>
      <c r="J3" s="35"/>
      <c r="K3" s="35" t="s">
        <v>8</v>
      </c>
      <c r="L3" s="35" t="s">
        <v>3</v>
      </c>
      <c r="M3" s="37" t="s">
        <v>2</v>
      </c>
    </row>
    <row r="4" spans="1:13" s="1" customFormat="1" ht="21" customHeight="1" thickBot="1">
      <c r="A4" s="50"/>
      <c r="B4" s="54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69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9" t="s">
        <v>28</v>
      </c>
      <c r="B6" s="8" t="s">
        <v>271</v>
      </c>
      <c r="C6" s="8" t="s">
        <v>272</v>
      </c>
      <c r="D6" s="8" t="s">
        <v>273</v>
      </c>
      <c r="E6" s="8" t="s">
        <v>366</v>
      </c>
      <c r="F6" s="8" t="s">
        <v>322</v>
      </c>
      <c r="G6" s="19" t="s">
        <v>12</v>
      </c>
      <c r="H6" s="10" t="s">
        <v>45</v>
      </c>
      <c r="I6" s="19" t="s">
        <v>45</v>
      </c>
      <c r="J6" s="9"/>
      <c r="K6" s="9" t="str">
        <f>"90,0"</f>
        <v>90,0</v>
      </c>
      <c r="L6" s="9" t="str">
        <f>"61,1955"</f>
        <v>61,1955</v>
      </c>
      <c r="M6" s="8" t="s">
        <v>327</v>
      </c>
    </row>
    <row r="7" spans="1:13">
      <c r="B7" s="5" t="s">
        <v>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9"/>
  <sheetViews>
    <sheetView workbookViewId="0">
      <selection activeCell="E19" sqref="E19"/>
    </sheetView>
  </sheetViews>
  <sheetFormatPr baseColWidth="10" defaultColWidth="9.1640625" defaultRowHeight="13"/>
  <cols>
    <col min="1" max="1" width="6.6640625" style="5" bestFit="1" customWidth="1"/>
    <col min="2" max="2" width="23.33203125" style="5" customWidth="1"/>
    <col min="3" max="3" width="28.1640625" style="5" bestFit="1" customWidth="1"/>
    <col min="4" max="4" width="20" style="5" bestFit="1" customWidth="1"/>
    <col min="5" max="5" width="9.6640625" style="5" bestFit="1" customWidth="1"/>
    <col min="6" max="6" width="29.33203125" style="5" bestFit="1" customWidth="1"/>
    <col min="7" max="9" width="5.5" style="6" customWidth="1"/>
    <col min="10" max="10" width="4.33203125" style="6" customWidth="1"/>
    <col min="11" max="11" width="10.5" style="6" bestFit="1" customWidth="1"/>
    <col min="12" max="12" width="10" style="6" customWidth="1"/>
    <col min="13" max="13" width="19.33203125" style="5" bestFit="1" customWidth="1"/>
    <col min="14" max="16384" width="9.1640625" style="3"/>
  </cols>
  <sheetData>
    <row r="1" spans="1:13" s="2" customFormat="1" ht="29" customHeight="1">
      <c r="A1" s="41" t="s">
        <v>360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362</v>
      </c>
      <c r="B3" s="53" t="s">
        <v>0</v>
      </c>
      <c r="C3" s="51" t="s">
        <v>364</v>
      </c>
      <c r="D3" s="51" t="s">
        <v>6</v>
      </c>
      <c r="E3" s="35" t="s">
        <v>365</v>
      </c>
      <c r="F3" s="35" t="s">
        <v>5</v>
      </c>
      <c r="G3" s="35" t="s">
        <v>363</v>
      </c>
      <c r="H3" s="35"/>
      <c r="I3" s="35"/>
      <c r="J3" s="35"/>
      <c r="K3" s="35" t="s">
        <v>8</v>
      </c>
      <c r="L3" s="35" t="s">
        <v>3</v>
      </c>
      <c r="M3" s="37" t="s">
        <v>2</v>
      </c>
    </row>
    <row r="4" spans="1:13" s="1" customFormat="1" ht="21" customHeight="1" thickBot="1">
      <c r="A4" s="50"/>
      <c r="B4" s="54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67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9" t="s">
        <v>28</v>
      </c>
      <c r="B6" s="8" t="s">
        <v>82</v>
      </c>
      <c r="C6" s="8" t="s">
        <v>83</v>
      </c>
      <c r="D6" s="8" t="s">
        <v>84</v>
      </c>
      <c r="E6" s="8" t="s">
        <v>366</v>
      </c>
      <c r="F6" s="8" t="s">
        <v>85</v>
      </c>
      <c r="G6" s="19" t="s">
        <v>32</v>
      </c>
      <c r="H6" s="19" t="s">
        <v>157</v>
      </c>
      <c r="I6" s="19" t="s">
        <v>282</v>
      </c>
      <c r="J6" s="9"/>
      <c r="K6" s="9" t="str">
        <f>"53,0"</f>
        <v>53,0</v>
      </c>
      <c r="L6" s="9" t="str">
        <f>"45,1721"</f>
        <v>45,1721</v>
      </c>
      <c r="M6" s="8" t="s">
        <v>87</v>
      </c>
    </row>
    <row r="7" spans="1:13">
      <c r="B7" s="5" t="s">
        <v>9</v>
      </c>
    </row>
    <row r="8" spans="1:13" ht="16">
      <c r="A8" s="52" t="s">
        <v>64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12" t="s">
        <v>28</v>
      </c>
      <c r="B9" s="11" t="s">
        <v>283</v>
      </c>
      <c r="C9" s="11" t="s">
        <v>284</v>
      </c>
      <c r="D9" s="11" t="s">
        <v>285</v>
      </c>
      <c r="E9" s="11" t="s">
        <v>366</v>
      </c>
      <c r="F9" s="11" t="s">
        <v>286</v>
      </c>
      <c r="G9" s="20" t="s">
        <v>75</v>
      </c>
      <c r="H9" s="20" t="s">
        <v>225</v>
      </c>
      <c r="I9" s="22" t="s">
        <v>76</v>
      </c>
      <c r="J9" s="12"/>
      <c r="K9" s="12" t="str">
        <f>"70,0"</f>
        <v>70,0</v>
      </c>
      <c r="L9" s="12" t="str">
        <f>"53,7635"</f>
        <v>53,7635</v>
      </c>
      <c r="M9" s="11" t="s">
        <v>324</v>
      </c>
    </row>
    <row r="10" spans="1:13">
      <c r="A10" s="25" t="s">
        <v>153</v>
      </c>
      <c r="B10" s="24" t="s">
        <v>287</v>
      </c>
      <c r="C10" s="24" t="s">
        <v>288</v>
      </c>
      <c r="D10" s="24" t="s">
        <v>289</v>
      </c>
      <c r="E10" s="24" t="s">
        <v>366</v>
      </c>
      <c r="F10" s="24" t="s">
        <v>290</v>
      </c>
      <c r="G10" s="27" t="s">
        <v>32</v>
      </c>
      <c r="H10" s="26" t="s">
        <v>32</v>
      </c>
      <c r="I10" s="27" t="s">
        <v>157</v>
      </c>
      <c r="J10" s="25"/>
      <c r="K10" s="25" t="str">
        <f>"50,0"</f>
        <v>50,0</v>
      </c>
      <c r="L10" s="25" t="str">
        <f>"38,8750"</f>
        <v>38,8750</v>
      </c>
      <c r="M10" s="24"/>
    </row>
    <row r="11" spans="1:13">
      <c r="A11" s="25" t="s">
        <v>215</v>
      </c>
      <c r="B11" s="24" t="s">
        <v>291</v>
      </c>
      <c r="C11" s="24" t="s">
        <v>292</v>
      </c>
      <c r="D11" s="24" t="s">
        <v>293</v>
      </c>
      <c r="E11" s="24" t="s">
        <v>366</v>
      </c>
      <c r="F11" s="24" t="s">
        <v>279</v>
      </c>
      <c r="G11" s="27" t="s">
        <v>66</v>
      </c>
      <c r="H11" s="26" t="s">
        <v>66</v>
      </c>
      <c r="I11" s="27" t="s">
        <v>281</v>
      </c>
      <c r="J11" s="25"/>
      <c r="K11" s="25" t="str">
        <f>"42,5"</f>
        <v>42,5</v>
      </c>
      <c r="L11" s="25" t="str">
        <f>"32,5996"</f>
        <v>32,5996</v>
      </c>
      <c r="M11" s="24" t="s">
        <v>325</v>
      </c>
    </row>
    <row r="12" spans="1:13">
      <c r="A12" s="14" t="s">
        <v>28</v>
      </c>
      <c r="B12" s="13" t="s">
        <v>287</v>
      </c>
      <c r="C12" s="13" t="s">
        <v>304</v>
      </c>
      <c r="D12" s="13" t="s">
        <v>289</v>
      </c>
      <c r="E12" s="13" t="s">
        <v>369</v>
      </c>
      <c r="F12" s="13" t="s">
        <v>290</v>
      </c>
      <c r="G12" s="23" t="s">
        <v>32</v>
      </c>
      <c r="H12" s="21" t="s">
        <v>32</v>
      </c>
      <c r="I12" s="23" t="s">
        <v>157</v>
      </c>
      <c r="J12" s="14"/>
      <c r="K12" s="14" t="str">
        <f>"50,0"</f>
        <v>50,0</v>
      </c>
      <c r="L12" s="14" t="str">
        <f>"41,0131"</f>
        <v>41,0131</v>
      </c>
      <c r="M12" s="13"/>
    </row>
    <row r="13" spans="1:13">
      <c r="B13" s="5" t="s">
        <v>9</v>
      </c>
    </row>
    <row r="14" spans="1:13" ht="16">
      <c r="A14" s="52" t="s">
        <v>67</v>
      </c>
      <c r="B14" s="52"/>
      <c r="C14" s="52"/>
      <c r="D14" s="52"/>
      <c r="E14" s="52"/>
      <c r="F14" s="52"/>
      <c r="G14" s="52"/>
      <c r="H14" s="52"/>
      <c r="I14" s="52"/>
      <c r="J14" s="52"/>
    </row>
    <row r="15" spans="1:13">
      <c r="A15" s="9" t="s">
        <v>28</v>
      </c>
      <c r="B15" s="8" t="s">
        <v>173</v>
      </c>
      <c r="C15" s="8" t="s">
        <v>174</v>
      </c>
      <c r="D15" s="8" t="s">
        <v>175</v>
      </c>
      <c r="E15" s="8" t="s">
        <v>366</v>
      </c>
      <c r="F15" s="8" t="s">
        <v>49</v>
      </c>
      <c r="G15" s="19" t="s">
        <v>71</v>
      </c>
      <c r="H15" s="19" t="s">
        <v>53</v>
      </c>
      <c r="I15" s="19" t="s">
        <v>281</v>
      </c>
      <c r="J15" s="9"/>
      <c r="K15" s="9" t="str">
        <f>"47,5"</f>
        <v>47,5</v>
      </c>
      <c r="L15" s="9" t="str">
        <f>"33,3046"</f>
        <v>33,3046</v>
      </c>
      <c r="M15" s="8"/>
    </row>
    <row r="16" spans="1:13">
      <c r="B16" s="5" t="s">
        <v>9</v>
      </c>
    </row>
    <row r="17" spans="1:13" ht="16">
      <c r="A17" s="52" t="s">
        <v>14</v>
      </c>
      <c r="B17" s="52"/>
      <c r="C17" s="52"/>
      <c r="D17" s="52"/>
      <c r="E17" s="52"/>
      <c r="F17" s="52"/>
      <c r="G17" s="52"/>
      <c r="H17" s="52"/>
      <c r="I17" s="52"/>
      <c r="J17" s="52"/>
    </row>
    <row r="18" spans="1:13">
      <c r="A18" s="9" t="s">
        <v>28</v>
      </c>
      <c r="B18" s="8" t="s">
        <v>192</v>
      </c>
      <c r="C18" s="8" t="s">
        <v>193</v>
      </c>
      <c r="D18" s="8" t="s">
        <v>127</v>
      </c>
      <c r="E18" s="8" t="s">
        <v>366</v>
      </c>
      <c r="F18" s="8" t="s">
        <v>15</v>
      </c>
      <c r="G18" s="19" t="s">
        <v>86</v>
      </c>
      <c r="H18" s="19" t="s">
        <v>225</v>
      </c>
      <c r="I18" s="19" t="s">
        <v>294</v>
      </c>
      <c r="J18" s="9"/>
      <c r="K18" s="9" t="str">
        <f>"75,0"</f>
        <v>75,0</v>
      </c>
      <c r="L18" s="9" t="str">
        <f>"46,2975"</f>
        <v>46,2975</v>
      </c>
      <c r="M18" s="8" t="s">
        <v>326</v>
      </c>
    </row>
    <row r="19" spans="1:13">
      <c r="B19" s="5" t="s">
        <v>9</v>
      </c>
    </row>
  </sheetData>
  <mergeCells count="15">
    <mergeCell ref="A8:J8"/>
    <mergeCell ref="A14:J14"/>
    <mergeCell ref="A17:J17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0"/>
  <sheetViews>
    <sheetView tabSelected="1" workbookViewId="0">
      <selection activeCell="E10" sqref="E10"/>
    </sheetView>
  </sheetViews>
  <sheetFormatPr baseColWidth="10" defaultColWidth="9.1640625" defaultRowHeight="13"/>
  <cols>
    <col min="1" max="1" width="6.6640625" style="5" bestFit="1" customWidth="1"/>
    <col min="2" max="2" width="24.1640625" style="5" customWidth="1"/>
    <col min="3" max="3" width="28.1640625" style="5" bestFit="1" customWidth="1"/>
    <col min="4" max="4" width="20" style="5" bestFit="1" customWidth="1"/>
    <col min="5" max="5" width="9.6640625" style="5" bestFit="1" customWidth="1"/>
    <col min="6" max="6" width="29.33203125" style="5" bestFit="1" customWidth="1"/>
    <col min="7" max="9" width="5.5" style="6" customWidth="1"/>
    <col min="10" max="10" width="4.33203125" style="6" customWidth="1"/>
    <col min="11" max="11" width="10.5" style="6" bestFit="1" customWidth="1"/>
    <col min="12" max="12" width="10.33203125" style="6" customWidth="1"/>
    <col min="13" max="13" width="19.6640625" style="5" customWidth="1"/>
    <col min="14" max="16384" width="9.1640625" style="3"/>
  </cols>
  <sheetData>
    <row r="1" spans="1:13" s="2" customFormat="1" ht="29" customHeight="1">
      <c r="A1" s="41" t="s">
        <v>361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362</v>
      </c>
      <c r="B3" s="53" t="s">
        <v>0</v>
      </c>
      <c r="C3" s="51" t="s">
        <v>364</v>
      </c>
      <c r="D3" s="51" t="s">
        <v>6</v>
      </c>
      <c r="E3" s="35" t="s">
        <v>365</v>
      </c>
      <c r="F3" s="35" t="s">
        <v>5</v>
      </c>
      <c r="G3" s="35" t="s">
        <v>363</v>
      </c>
      <c r="H3" s="35"/>
      <c r="I3" s="35"/>
      <c r="J3" s="35"/>
      <c r="K3" s="35" t="s">
        <v>8</v>
      </c>
      <c r="L3" s="35" t="s">
        <v>3</v>
      </c>
      <c r="M3" s="37" t="s">
        <v>2</v>
      </c>
    </row>
    <row r="4" spans="1:13" s="1" customFormat="1" ht="21" customHeight="1" thickBot="1">
      <c r="A4" s="50"/>
      <c r="B4" s="54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69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9" t="s">
        <v>28</v>
      </c>
      <c r="B6" s="8" t="s">
        <v>278</v>
      </c>
      <c r="C6" s="8" t="s">
        <v>305</v>
      </c>
      <c r="D6" s="8" t="s">
        <v>181</v>
      </c>
      <c r="E6" s="8" t="s">
        <v>372</v>
      </c>
      <c r="F6" s="8" t="s">
        <v>279</v>
      </c>
      <c r="G6" s="19" t="s">
        <v>32</v>
      </c>
      <c r="H6" s="19" t="s">
        <v>37</v>
      </c>
      <c r="I6" s="19" t="s">
        <v>280</v>
      </c>
      <c r="J6" s="9"/>
      <c r="K6" s="9" t="str">
        <f>"57,5"</f>
        <v>57,5</v>
      </c>
      <c r="L6" s="9" t="str">
        <f>"49,5300"</f>
        <v>49,5300</v>
      </c>
      <c r="M6" s="8"/>
    </row>
    <row r="7" spans="1:13">
      <c r="B7" s="5" t="s">
        <v>9</v>
      </c>
    </row>
    <row r="8" spans="1:13" ht="16">
      <c r="A8" s="52" t="s">
        <v>17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9" t="s">
        <v>28</v>
      </c>
      <c r="B9" s="8" t="s">
        <v>88</v>
      </c>
      <c r="C9" s="8" t="s">
        <v>306</v>
      </c>
      <c r="D9" s="8" t="s">
        <v>89</v>
      </c>
      <c r="E9" s="8" t="s">
        <v>369</v>
      </c>
      <c r="F9" s="8" t="s">
        <v>34</v>
      </c>
      <c r="G9" s="19" t="s">
        <v>53</v>
      </c>
      <c r="H9" s="10" t="s">
        <v>281</v>
      </c>
      <c r="I9" s="19" t="s">
        <v>281</v>
      </c>
      <c r="J9" s="9"/>
      <c r="K9" s="9" t="str">
        <f>"47,5"</f>
        <v>47,5</v>
      </c>
      <c r="L9" s="9" t="str">
        <f>"30,2679"</f>
        <v>30,2679</v>
      </c>
      <c r="M9" s="8"/>
    </row>
    <row r="10" spans="1:13">
      <c r="B10" s="5" t="s">
        <v>9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IPL Жим без экипировки ДК</vt:lpstr>
      <vt:lpstr>IPL Жим без экипировки</vt:lpstr>
      <vt:lpstr>IPL Жим многослой ДК</vt:lpstr>
      <vt:lpstr>IPL Жим многослой</vt:lpstr>
      <vt:lpstr>СПР Жим софт однопетельная ДК</vt:lpstr>
      <vt:lpstr>СПР Жим софт однопетельная</vt:lpstr>
      <vt:lpstr>IPL Тяга без экипировки ДК</vt:lpstr>
      <vt:lpstr>IPL Тяга без экипировки</vt:lpstr>
      <vt:lpstr>СПР Пауэрспорт ДК</vt:lpstr>
      <vt:lpstr>СПР Жим стоя ДК</vt:lpstr>
      <vt:lpstr>СПР Жим стоя</vt:lpstr>
      <vt:lpstr>СПР Подъем на бицепс ДК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2022-05-03T10:05:41Z</dcterms:modified>
</cp:coreProperties>
</file>