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Апрель/"/>
    </mc:Choice>
  </mc:AlternateContent>
  <xr:revisionPtr revIDLastSave="0" documentId="13_ncr:1_{1AA9A091-4DE1-054F-9128-13F9FA2B857F}" xr6:coauthVersionLast="45" xr6:coauthVersionMax="45" xr10:uidLastSave="{00000000-0000-0000-0000-000000000000}"/>
  <bookViews>
    <workbookView xWindow="0" yWindow="460" windowWidth="28800" windowHeight="16120" firstSheet="8" activeTab="13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 ДК" sheetId="6" r:id="rId3"/>
    <sheet name="WRPF ПЛ в бинтах" sheetId="5" r:id="rId4"/>
    <sheet name="WEPF ПЛ однослой ДК" sheetId="8" r:id="rId5"/>
    <sheet name="WRPF Двоеборье без экип ДК" sheetId="28" r:id="rId6"/>
    <sheet name="WRPF Двоеборье без экип" sheetId="27" r:id="rId7"/>
    <sheet name="WRPF Жим лежа без экип ДК" sheetId="15" r:id="rId8"/>
    <sheet name="WRPF Жим лежа без экип" sheetId="14" r:id="rId9"/>
    <sheet name="WEPF Жим софт однопетельная" sheetId="13" r:id="rId10"/>
    <sheet name="WEPF Жим софт многопетельная" sheetId="19" r:id="rId11"/>
    <sheet name="WRPF Тяга без экипировки ДК" sheetId="24" r:id="rId12"/>
    <sheet name="WRPF Тяга без экипировки" sheetId="23" r:id="rId13"/>
    <sheet name="WEPF Тяга экип" sheetId="25" r:id="rId14"/>
  </sheets>
  <definedNames>
    <definedName name="_FilterDatabase" localSheetId="3" hidden="1">'WRPF ПЛ в бинтах'!$A$1:$S$3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28" l="1"/>
  <c r="O9" i="28"/>
  <c r="P6" i="28"/>
  <c r="O6" i="28"/>
  <c r="P21" i="27"/>
  <c r="O21" i="27"/>
  <c r="P20" i="27"/>
  <c r="O20" i="27"/>
  <c r="P17" i="27"/>
  <c r="P14" i="27"/>
  <c r="O14" i="27"/>
  <c r="P13" i="27"/>
  <c r="O13" i="27"/>
  <c r="P10" i="27"/>
  <c r="O10" i="27"/>
  <c r="P9" i="27"/>
  <c r="O9" i="27"/>
  <c r="P6" i="27"/>
  <c r="O6" i="27"/>
  <c r="L6" i="25"/>
  <c r="K6" i="25"/>
  <c r="L27" i="24"/>
  <c r="K27" i="24"/>
  <c r="L26" i="24"/>
  <c r="K26" i="24"/>
  <c r="L23" i="24"/>
  <c r="K23" i="24"/>
  <c r="L20" i="24"/>
  <c r="K20" i="24"/>
  <c r="L17" i="24"/>
  <c r="K17" i="24"/>
  <c r="L14" i="24"/>
  <c r="K14" i="24"/>
  <c r="L11" i="24"/>
  <c r="K11" i="24"/>
  <c r="L8" i="24"/>
  <c r="K8" i="24"/>
  <c r="L7" i="24"/>
  <c r="K7" i="24"/>
  <c r="L6" i="24"/>
  <c r="K6" i="24"/>
  <c r="L22" i="23"/>
  <c r="K22" i="23"/>
  <c r="L19" i="23"/>
  <c r="K19" i="23"/>
  <c r="L18" i="23"/>
  <c r="K18" i="23"/>
  <c r="L15" i="23"/>
  <c r="K15" i="23"/>
  <c r="L12" i="23"/>
  <c r="K12" i="23"/>
  <c r="L9" i="23"/>
  <c r="K9" i="23"/>
  <c r="L6" i="23"/>
  <c r="K6" i="23"/>
  <c r="L6" i="19"/>
  <c r="L56" i="15"/>
  <c r="K56" i="15"/>
  <c r="L53" i="15"/>
  <c r="K53" i="15"/>
  <c r="L52" i="15"/>
  <c r="K52" i="15"/>
  <c r="L49" i="15"/>
  <c r="L48" i="15"/>
  <c r="K48" i="15"/>
  <c r="L47" i="15"/>
  <c r="K47" i="15"/>
  <c r="L46" i="15"/>
  <c r="K46" i="15"/>
  <c r="L43" i="15"/>
  <c r="L42" i="15"/>
  <c r="L41" i="15"/>
  <c r="K41" i="15"/>
  <c r="L40" i="15"/>
  <c r="K40" i="15"/>
  <c r="L39" i="15"/>
  <c r="K39" i="15"/>
  <c r="L38" i="15"/>
  <c r="K38" i="15"/>
  <c r="L37" i="15"/>
  <c r="K37" i="15"/>
  <c r="L34" i="15"/>
  <c r="K34" i="15"/>
  <c r="L33" i="15"/>
  <c r="K33" i="15"/>
  <c r="L32" i="15"/>
  <c r="K32" i="15"/>
  <c r="L31" i="15"/>
  <c r="K31" i="15"/>
  <c r="L30" i="15"/>
  <c r="K30" i="15"/>
  <c r="L29" i="15"/>
  <c r="K29" i="15"/>
  <c r="L26" i="15"/>
  <c r="K26" i="15"/>
  <c r="L25" i="15"/>
  <c r="K25" i="15"/>
  <c r="L24" i="15"/>
  <c r="K24" i="15"/>
  <c r="L23" i="15"/>
  <c r="K23" i="15"/>
  <c r="L20" i="15"/>
  <c r="K20" i="15"/>
  <c r="L17" i="15"/>
  <c r="K17" i="15"/>
  <c r="L14" i="15"/>
  <c r="K14" i="15"/>
  <c r="L11" i="15"/>
  <c r="K11" i="15"/>
  <c r="L10" i="15"/>
  <c r="K10" i="15"/>
  <c r="L9" i="15"/>
  <c r="K9" i="15"/>
  <c r="L6" i="15"/>
  <c r="L48" i="14"/>
  <c r="K48" i="14"/>
  <c r="L47" i="14"/>
  <c r="K47" i="14"/>
  <c r="L44" i="14"/>
  <c r="K44" i="14"/>
  <c r="L43" i="14"/>
  <c r="K43" i="14"/>
  <c r="L42" i="14"/>
  <c r="K42" i="14"/>
  <c r="L41" i="14"/>
  <c r="K41" i="14"/>
  <c r="L38" i="14"/>
  <c r="K38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5" i="14"/>
  <c r="K25" i="14"/>
  <c r="L24" i="14"/>
  <c r="K24" i="14"/>
  <c r="L23" i="14"/>
  <c r="K23" i="14"/>
  <c r="L22" i="14"/>
  <c r="K22" i="14"/>
  <c r="L19" i="14"/>
  <c r="L18" i="14"/>
  <c r="K18" i="14"/>
  <c r="L17" i="14"/>
  <c r="K17" i="14"/>
  <c r="L16" i="14"/>
  <c r="K16" i="14"/>
  <c r="L13" i="14"/>
  <c r="K13" i="14"/>
  <c r="L12" i="14"/>
  <c r="K12" i="14"/>
  <c r="L9" i="14"/>
  <c r="K9" i="14"/>
  <c r="L6" i="14"/>
  <c r="K6" i="14"/>
  <c r="L9" i="13"/>
  <c r="K9" i="13"/>
  <c r="L6" i="13"/>
  <c r="K6" i="13"/>
  <c r="T47" i="10"/>
  <c r="S47" i="10"/>
  <c r="T44" i="10"/>
  <c r="S44" i="10"/>
  <c r="T41" i="10"/>
  <c r="S41" i="10"/>
  <c r="T40" i="10"/>
  <c r="S40" i="10"/>
  <c r="T39" i="10"/>
  <c r="S39" i="10"/>
  <c r="T36" i="10"/>
  <c r="S36" i="10"/>
  <c r="T35" i="10"/>
  <c r="S35" i="10"/>
  <c r="T34" i="10"/>
  <c r="S34" i="10"/>
  <c r="T33" i="10"/>
  <c r="S33" i="10"/>
  <c r="T30" i="10"/>
  <c r="S30" i="10"/>
  <c r="T29" i="10"/>
  <c r="S29" i="10"/>
  <c r="T26" i="10"/>
  <c r="S26" i="10"/>
  <c r="T23" i="10"/>
  <c r="S23" i="10"/>
  <c r="T20" i="10"/>
  <c r="S20" i="10"/>
  <c r="T19" i="10"/>
  <c r="S19" i="10"/>
  <c r="T18" i="10"/>
  <c r="S18" i="10"/>
  <c r="T15" i="10"/>
  <c r="S15" i="10"/>
  <c r="T14" i="10"/>
  <c r="S14" i="10"/>
  <c r="T13" i="10"/>
  <c r="S13" i="10"/>
  <c r="T12" i="10"/>
  <c r="S12" i="10"/>
  <c r="T11" i="10"/>
  <c r="S11" i="10"/>
  <c r="T8" i="10"/>
  <c r="S8" i="10"/>
  <c r="T7" i="10"/>
  <c r="S7" i="10"/>
  <c r="T6" i="10"/>
  <c r="S6" i="10"/>
  <c r="T17" i="9"/>
  <c r="S17" i="9"/>
  <c r="T16" i="9"/>
  <c r="S16" i="9"/>
  <c r="T15" i="9"/>
  <c r="S15" i="9"/>
  <c r="T12" i="9"/>
  <c r="S12" i="9"/>
  <c r="T9" i="9"/>
  <c r="S9" i="9"/>
  <c r="T6" i="9"/>
  <c r="S6" i="9"/>
  <c r="T6" i="8"/>
  <c r="S6" i="8"/>
  <c r="T22" i="6"/>
  <c r="S22" i="6"/>
  <c r="T19" i="6"/>
  <c r="S19" i="6"/>
  <c r="T16" i="6"/>
  <c r="S16" i="6"/>
  <c r="T15" i="6"/>
  <c r="S15" i="6"/>
  <c r="T12" i="6"/>
  <c r="T9" i="6"/>
  <c r="S9" i="6"/>
  <c r="T6" i="6"/>
  <c r="S6" i="6"/>
  <c r="T27" i="5"/>
  <c r="S27" i="5"/>
  <c r="T24" i="5"/>
  <c r="S24" i="5"/>
  <c r="T23" i="5"/>
  <c r="S23" i="5"/>
  <c r="T20" i="5"/>
  <c r="S20" i="5"/>
  <c r="T19" i="5"/>
  <c r="S19" i="5"/>
  <c r="T16" i="5"/>
  <c r="S16" i="5"/>
  <c r="T15" i="5"/>
  <c r="S15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<sst xmlns="http://schemas.openxmlformats.org/spreadsheetml/2006/main" count="2083" uniqueCount="538">
  <si>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</si>
  <si>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</si>
  <si>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</si>
  <si>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</si>
  <si>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</si>
  <si>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</si>
  <si>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</si>
  <si>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</si>
  <si>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</si>
  <si>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</si>
  <si>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75</t>
  </si>
  <si>
    <t>Тюлькина Анастасия</t>
  </si>
  <si>
    <t>Открытая (21.07.1988)/33</t>
  </si>
  <si>
    <t>72,90</t>
  </si>
  <si>
    <t xml:space="preserve">Киров/Кировская область </t>
  </si>
  <si>
    <t>140,0</t>
  </si>
  <si>
    <t>150,0</t>
  </si>
  <si>
    <t>65,0</t>
  </si>
  <si>
    <t>67,5</t>
  </si>
  <si>
    <t>70,0</t>
  </si>
  <si>
    <t>160,0</t>
  </si>
  <si>
    <t>170,0</t>
  </si>
  <si>
    <t>180,0</t>
  </si>
  <si>
    <t>ВЕСОВАЯ КАТЕГОРИЯ   82.5</t>
  </si>
  <si>
    <t>Захлестин Никита</t>
  </si>
  <si>
    <t>Открытая (08.09.1998)/23</t>
  </si>
  <si>
    <t>81,70</t>
  </si>
  <si>
    <t>260,0</t>
  </si>
  <si>
    <t>280,0</t>
  </si>
  <si>
    <t>120,0</t>
  </si>
  <si>
    <t>132,5</t>
  </si>
  <si>
    <t>142,5</t>
  </si>
  <si>
    <t>300,0</t>
  </si>
  <si>
    <t>ВЕСОВАЯ КАТЕГОРИЯ   90</t>
  </si>
  <si>
    <t>Гущин Александр</t>
  </si>
  <si>
    <t>Открытая (03.07.1990)/31</t>
  </si>
  <si>
    <t>86,50</t>
  </si>
  <si>
    <t>230,0</t>
  </si>
  <si>
    <t>240,0</t>
  </si>
  <si>
    <t>155,0</t>
  </si>
  <si>
    <t>220,0</t>
  </si>
  <si>
    <t>232,5</t>
  </si>
  <si>
    <t>ВЕСОВАЯ КАТЕГОРИЯ   100</t>
  </si>
  <si>
    <t>Караваев Артём</t>
  </si>
  <si>
    <t>Открытая (07.09.1995)/26</t>
  </si>
  <si>
    <t>98,90</t>
  </si>
  <si>
    <t>250,0</t>
  </si>
  <si>
    <t>167,5</t>
  </si>
  <si>
    <t>235,0</t>
  </si>
  <si>
    <t>Борняков Дмитрий</t>
  </si>
  <si>
    <t>Мастера 40-49 (12.08.1981)/40</t>
  </si>
  <si>
    <t>98,70</t>
  </si>
  <si>
    <t>200,0</t>
  </si>
  <si>
    <t>175,0</t>
  </si>
  <si>
    <t>ВЕСОВАЯ КАТЕГОРИЯ   110</t>
  </si>
  <si>
    <t>Новоселов Дмитрий</t>
  </si>
  <si>
    <t>Открытая (03.04.1994)/28</t>
  </si>
  <si>
    <t>106,80</t>
  </si>
  <si>
    <t>320,0</t>
  </si>
  <si>
    <t>210,0</t>
  </si>
  <si>
    <t>212,5</t>
  </si>
  <si>
    <t>340,0</t>
  </si>
  <si>
    <t>360,0</t>
  </si>
  <si>
    <t>Чакин Сергей</t>
  </si>
  <si>
    <t>Открытая (24.03.1974)/48</t>
  </si>
  <si>
    <t>109,70</t>
  </si>
  <si>
    <t>330,0</t>
  </si>
  <si>
    <t>185,0</t>
  </si>
  <si>
    <t>190,0</t>
  </si>
  <si>
    <t>ВЕСОВАЯ КАТЕГОРИЯ   140</t>
  </si>
  <si>
    <t>Пахтусов Семен</t>
  </si>
  <si>
    <t>Открытая (31.05.1996)/25</t>
  </si>
  <si>
    <t>136,00</t>
  </si>
  <si>
    <t>380,0</t>
  </si>
  <si>
    <t>400,0</t>
  </si>
  <si>
    <t>415,0</t>
  </si>
  <si>
    <t>215,0</t>
  </si>
  <si>
    <t>225,0</t>
  </si>
  <si>
    <t>345,0</t>
  </si>
  <si>
    <t>Шепелин Кирилл</t>
  </si>
  <si>
    <t>Открытая (23.04.1993)/29</t>
  </si>
  <si>
    <t>127,70</t>
  </si>
  <si>
    <t xml:space="preserve">Слободской/Кировская область </t>
  </si>
  <si>
    <t>310,0</t>
  </si>
  <si>
    <t>ВЕСОВАЯ КАТЕГОРИЯ   140+</t>
  </si>
  <si>
    <t>Ходырев Илья</t>
  </si>
  <si>
    <t>Открытая (04.01.1996)/26</t>
  </si>
  <si>
    <t>143,20</t>
  </si>
  <si>
    <t>145,0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</si>
  <si>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</si>
  <si>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</si>
  <si>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</si>
  <si>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</si>
  <si>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</si>
  <si>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</si>
  <si>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</si>
  <si>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75</t>
  </si>
  <si>
    <t xml:space="preserve">Мужчины </t>
  </si>
  <si>
    <t>140</t>
  </si>
  <si>
    <t>970,0</t>
  </si>
  <si>
    <t>544,4610</t>
  </si>
  <si>
    <t>110</t>
  </si>
  <si>
    <t>850,0</t>
  </si>
  <si>
    <t>504,9850</t>
  </si>
  <si>
    <t>82.5</t>
  </si>
  <si>
    <t>682,5</t>
  </si>
  <si>
    <t>459,9368</t>
  </si>
  <si>
    <t>100</t>
  </si>
  <si>
    <t>1</t>
  </si>
  <si>
    <t/>
  </si>
  <si>
    <t>2</t>
  </si>
  <si>
    <t>ВЕСОВАЯ КАТЕГОРИЯ   67.5</t>
  </si>
  <si>
    <t>Перминов Макар</t>
  </si>
  <si>
    <t>Юноши 17-19 (08.08.2002)/19</t>
  </si>
  <si>
    <t>66,80</t>
  </si>
  <si>
    <t>115,0</t>
  </si>
  <si>
    <t>Савин Андрей</t>
  </si>
  <si>
    <t>Открытая (04.03.1989)/33</t>
  </si>
  <si>
    <t>73,90</t>
  </si>
  <si>
    <t>135,0</t>
  </si>
  <si>
    <t>147,5</t>
  </si>
  <si>
    <t>165,0</t>
  </si>
  <si>
    <t>Чирков Алексей</t>
  </si>
  <si>
    <t>Юноши 17-19 (07.01.2003)/19</t>
  </si>
  <si>
    <t>82,50</t>
  </si>
  <si>
    <t>130,0</t>
  </si>
  <si>
    <t>90,0</t>
  </si>
  <si>
    <t>Шевнин Никита</t>
  </si>
  <si>
    <t>Открытая (02.02.2000)/22</t>
  </si>
  <si>
    <t>88,60</t>
  </si>
  <si>
    <t>127,5</t>
  </si>
  <si>
    <t>Воронов Дмитрий</t>
  </si>
  <si>
    <t>Открытая (17.12.1989)/32</t>
  </si>
  <si>
    <t>89,20</t>
  </si>
  <si>
    <t xml:space="preserve">Омутнинск/Кировская область </t>
  </si>
  <si>
    <t>205,0</t>
  </si>
  <si>
    <t>125,0</t>
  </si>
  <si>
    <t>Ельцов Сергей</t>
  </si>
  <si>
    <t>Открытая (07.12.1991)/30</t>
  </si>
  <si>
    <t>98,10</t>
  </si>
  <si>
    <t>ВЕСОВАЯ КАТЕГОРИЯ   125</t>
  </si>
  <si>
    <t>Эсаулов Евгений</t>
  </si>
  <si>
    <t>Открытая (09.05.1994)/27</t>
  </si>
  <si>
    <t>122,20</t>
  </si>
  <si>
    <t>67.5</t>
  </si>
  <si>
    <t>-</t>
  </si>
  <si>
    <t>Левковская Полина</t>
  </si>
  <si>
    <t>Юниорки (15.05.1998)/23</t>
  </si>
  <si>
    <t>71,30</t>
  </si>
  <si>
    <t>60,0</t>
  </si>
  <si>
    <t>ВЕСОВАЯ КАТЕГОРИЯ   56</t>
  </si>
  <si>
    <t>Прохорова Ксения</t>
  </si>
  <si>
    <t>Открытая (10.12.1992)/29</t>
  </si>
  <si>
    <t>55,60</t>
  </si>
  <si>
    <t>100,0</t>
  </si>
  <si>
    <t>110,0</t>
  </si>
  <si>
    <t>50,0</t>
  </si>
  <si>
    <t>55,0</t>
  </si>
  <si>
    <t>117,5</t>
  </si>
  <si>
    <t>ВЕСОВАЯ КАТЕГОРИЯ   60</t>
  </si>
  <si>
    <t>Мальцева Марина</t>
  </si>
  <si>
    <t>Открытая (24.02.1987)/35</t>
  </si>
  <si>
    <t>60,00</t>
  </si>
  <si>
    <t>72,5</t>
  </si>
  <si>
    <t>75,0</t>
  </si>
  <si>
    <t>152,5</t>
  </si>
  <si>
    <t>Смирнов Андрей</t>
  </si>
  <si>
    <t>Юноши 17-19 (09.11.2003)/18</t>
  </si>
  <si>
    <t>72,10</t>
  </si>
  <si>
    <t xml:space="preserve">Уржум/Кировская область </t>
  </si>
  <si>
    <t>105,0</t>
  </si>
  <si>
    <t>Никитчук Сергей</t>
  </si>
  <si>
    <t>Открытая (18.11.1979)/42</t>
  </si>
  <si>
    <t>120,70</t>
  </si>
  <si>
    <t>270,0</t>
  </si>
  <si>
    <t>315,0</t>
  </si>
  <si>
    <t>Гужавин Артем</t>
  </si>
  <si>
    <t>Открытая (01.07.1987)/34</t>
  </si>
  <si>
    <t>121,40</t>
  </si>
  <si>
    <t>Вотинцев Олег</t>
  </si>
  <si>
    <t>Мастера 50-59 (03.05.1969)/52</t>
  </si>
  <si>
    <t>117,90</t>
  </si>
  <si>
    <t>195,0</t>
  </si>
  <si>
    <t>285,0</t>
  </si>
  <si>
    <t>56</t>
  </si>
  <si>
    <t>125</t>
  </si>
  <si>
    <t>ВЕСОВАЯ КАТЕГОРИЯ   52</t>
  </si>
  <si>
    <t>Норкина Анастасия</t>
  </si>
  <si>
    <t>Открытая (09.11.1998)/23</t>
  </si>
  <si>
    <t>50,90</t>
  </si>
  <si>
    <t>85,0</t>
  </si>
  <si>
    <t>92,5</t>
  </si>
  <si>
    <t>52,5</t>
  </si>
  <si>
    <t>122,5</t>
  </si>
  <si>
    <t>Россохина Людмила</t>
  </si>
  <si>
    <t>Открытая (03.10.1986)/35</t>
  </si>
  <si>
    <t>51,60</t>
  </si>
  <si>
    <t xml:space="preserve">Пермь/Пермский край </t>
  </si>
  <si>
    <t>47,5</t>
  </si>
  <si>
    <t>Гребнева Любовь</t>
  </si>
  <si>
    <t>Открытая (10.02.1996)/26</t>
  </si>
  <si>
    <t>48,90</t>
  </si>
  <si>
    <t>62,5</t>
  </si>
  <si>
    <t>25,0</t>
  </si>
  <si>
    <t>27,5</t>
  </si>
  <si>
    <t>30,0</t>
  </si>
  <si>
    <t>Наумова Диана</t>
  </si>
  <si>
    <t>Юниорки (20.12.1998)/23</t>
  </si>
  <si>
    <t>54,70</t>
  </si>
  <si>
    <t>80,0</t>
  </si>
  <si>
    <t>40,0</t>
  </si>
  <si>
    <t>42,5</t>
  </si>
  <si>
    <t>45,0</t>
  </si>
  <si>
    <t>95,0</t>
  </si>
  <si>
    <t>Кропотова Анастасия</t>
  </si>
  <si>
    <t>Открытая (30.01.1994)/28</t>
  </si>
  <si>
    <t>54,10</t>
  </si>
  <si>
    <t>97,5</t>
  </si>
  <si>
    <t>102,5</t>
  </si>
  <si>
    <t>Гукасян Сусанна</t>
  </si>
  <si>
    <t>Открытая (22.12.1987)/34</t>
  </si>
  <si>
    <t>56,00</t>
  </si>
  <si>
    <t>57,5</t>
  </si>
  <si>
    <t>Ушакова Ольга</t>
  </si>
  <si>
    <t>Открытая (09.06.1988)/33</t>
  </si>
  <si>
    <t>55,40</t>
  </si>
  <si>
    <t>Думановская Анастасия</t>
  </si>
  <si>
    <t>Открытая (21.09.1991)/30</t>
  </si>
  <si>
    <t>55,20</t>
  </si>
  <si>
    <t>77,5</t>
  </si>
  <si>
    <t>82,5</t>
  </si>
  <si>
    <t>87,5</t>
  </si>
  <si>
    <t>Смирнова Ольга</t>
  </si>
  <si>
    <t>Открытая (26.10.1987)/34</t>
  </si>
  <si>
    <t>Сюткина Елизавета</t>
  </si>
  <si>
    <t>Открытая (06.05.1996)/25</t>
  </si>
  <si>
    <t>59,70</t>
  </si>
  <si>
    <t>Андреенко Татьяна</t>
  </si>
  <si>
    <t>Открытая (19.01.1994)/28</t>
  </si>
  <si>
    <t>58,50</t>
  </si>
  <si>
    <t xml:space="preserve">Нижний Новгород/Нижегородская </t>
  </si>
  <si>
    <t>Протас Мария</t>
  </si>
  <si>
    <t>Открытая (07.04.1997)/25</t>
  </si>
  <si>
    <t>66,20</t>
  </si>
  <si>
    <t>Досхоева Марет</t>
  </si>
  <si>
    <t>Открытая (03.12.1999)/22</t>
  </si>
  <si>
    <t>73,50</t>
  </si>
  <si>
    <t>Кузнецов Роман</t>
  </si>
  <si>
    <t>Открытая (11.01.2003)/19</t>
  </si>
  <si>
    <t>60,80</t>
  </si>
  <si>
    <t xml:space="preserve">Яранск/Кировская область </t>
  </si>
  <si>
    <t>Кукса Валентин</t>
  </si>
  <si>
    <t>Открытая (03.02.1994)/28</t>
  </si>
  <si>
    <t>60,60</t>
  </si>
  <si>
    <t>Шпадин Александр</t>
  </si>
  <si>
    <t>Открытая (20.02.2001)/21</t>
  </si>
  <si>
    <t>137,5</t>
  </si>
  <si>
    <t>Дружков Михаил</t>
  </si>
  <si>
    <t>Открытая (21.07.1995)/26</t>
  </si>
  <si>
    <t>74,10</t>
  </si>
  <si>
    <t>Открытая (29.05.1995)/26</t>
  </si>
  <si>
    <t>74,60</t>
  </si>
  <si>
    <t>Катаев Егор</t>
  </si>
  <si>
    <t>Мастера 40-49 (28.06.1981)/40</t>
  </si>
  <si>
    <t>74,90</t>
  </si>
  <si>
    <t>157,5</t>
  </si>
  <si>
    <t>Кучергин Артем</t>
  </si>
  <si>
    <t>Открытая (02.05.1990)/31</t>
  </si>
  <si>
    <t>82,20</t>
  </si>
  <si>
    <t>202,5</t>
  </si>
  <si>
    <t>242,5</t>
  </si>
  <si>
    <t>Братухин Дмитрий</t>
  </si>
  <si>
    <t>Открытая (09.10.1994)/27</t>
  </si>
  <si>
    <t>Лаптев Роман</t>
  </si>
  <si>
    <t>Открытая (30.12.1987)/34</t>
  </si>
  <si>
    <t>82,00</t>
  </si>
  <si>
    <t xml:space="preserve">Киров/Калужская область </t>
  </si>
  <si>
    <t>Павлов Дмитрий</t>
  </si>
  <si>
    <t>Открытая (11.06.1996)/25</t>
  </si>
  <si>
    <t>107,70</t>
  </si>
  <si>
    <t xml:space="preserve">Котлас/Архангельская область </t>
  </si>
  <si>
    <t>109,00</t>
  </si>
  <si>
    <t>Обухов Филипп</t>
  </si>
  <si>
    <t>Открытая (09.11.1993)/28</t>
  </si>
  <si>
    <t>146,00</t>
  </si>
  <si>
    <t>385,0</t>
  </si>
  <si>
    <t>370,7165</t>
  </si>
  <si>
    <t>305,0</t>
  </si>
  <si>
    <t>368,6840</t>
  </si>
  <si>
    <t>52</t>
  </si>
  <si>
    <t>262,5</t>
  </si>
  <si>
    <t>332,6663</t>
  </si>
  <si>
    <t>775,0</t>
  </si>
  <si>
    <t>459,1100</t>
  </si>
  <si>
    <t>562,5</t>
  </si>
  <si>
    <t>377,6625</t>
  </si>
  <si>
    <t>440,0</t>
  </si>
  <si>
    <t>370,7880</t>
  </si>
  <si>
    <t>3</t>
  </si>
  <si>
    <t>4</t>
  </si>
  <si>
    <t>Шестаков Максим</t>
  </si>
  <si>
    <t>Открытая (04.11.1986)/35</t>
  </si>
  <si>
    <t>100,70</t>
  </si>
  <si>
    <t>Бахтин Станислав</t>
  </si>
  <si>
    <t>Открытая (06.06.1989)/32</t>
  </si>
  <si>
    <t>113,40</t>
  </si>
  <si>
    <t>351,0</t>
  </si>
  <si>
    <t xml:space="preserve">Результат </t>
  </si>
  <si>
    <t>Результат</t>
  </si>
  <si>
    <t>Дёмин Сергей</t>
  </si>
  <si>
    <t>Открытая (24.05.1984)/37</t>
  </si>
  <si>
    <t>74,70</t>
  </si>
  <si>
    <t>Байдуров Егор</t>
  </si>
  <si>
    <t>Открытая (13.01.1986)/36</t>
  </si>
  <si>
    <t>Фукс Артем</t>
  </si>
  <si>
    <t>Юноши 14-16 (18.04.2006)/16</t>
  </si>
  <si>
    <t>Плюснин Олег</t>
  </si>
  <si>
    <t>Открытая (22.03.1963)/59</t>
  </si>
  <si>
    <t>81,50</t>
  </si>
  <si>
    <t>Открытая (10.03.1999)/23</t>
  </si>
  <si>
    <t>82,30</t>
  </si>
  <si>
    <t>Подыниногин Алексей</t>
  </si>
  <si>
    <t>Мастера 50-59 (01.02.1969)/53</t>
  </si>
  <si>
    <t>79,70</t>
  </si>
  <si>
    <t xml:space="preserve">Гущин А. </t>
  </si>
  <si>
    <t>Новокшонов Николай</t>
  </si>
  <si>
    <t>Открытая (05.11.1973)/48</t>
  </si>
  <si>
    <t>89,00</t>
  </si>
  <si>
    <t>187,5</t>
  </si>
  <si>
    <t>Кисляков Игорь</t>
  </si>
  <si>
    <t>Открытая (30.08.1985)/36</t>
  </si>
  <si>
    <t>89,10</t>
  </si>
  <si>
    <t>Быданов Никита</t>
  </si>
  <si>
    <t>Открытая (17.01.1996)/26</t>
  </si>
  <si>
    <t>87,70</t>
  </si>
  <si>
    <t>Ильичёв Игорь</t>
  </si>
  <si>
    <t>Открытая (07.01.1983)/39</t>
  </si>
  <si>
    <t>88,50</t>
  </si>
  <si>
    <t>Петухов Андрей</t>
  </si>
  <si>
    <t>Юниоры (01.03.1999)/23</t>
  </si>
  <si>
    <t>94,80</t>
  </si>
  <si>
    <t>Ионичев Артур</t>
  </si>
  <si>
    <t>Открытая (03.12.1982)/39</t>
  </si>
  <si>
    <t>97,30</t>
  </si>
  <si>
    <t>182,5</t>
  </si>
  <si>
    <t>Менщиков Сергей</t>
  </si>
  <si>
    <t>Открытая (18.08.1986)/35</t>
  </si>
  <si>
    <t>93,20</t>
  </si>
  <si>
    <t>Лапшин Александр</t>
  </si>
  <si>
    <t>Открытая (14.07.1976)/45</t>
  </si>
  <si>
    <t>99,60</t>
  </si>
  <si>
    <t>177,5</t>
  </si>
  <si>
    <t>Сенин Иван</t>
  </si>
  <si>
    <t>Открытая (29.08.1991)/30</t>
  </si>
  <si>
    <t>96,70</t>
  </si>
  <si>
    <t>Потапов Игорь</t>
  </si>
  <si>
    <t>Открытая (01.09.1983)/38</t>
  </si>
  <si>
    <t>98,20</t>
  </si>
  <si>
    <t>Мастера 40-49 (14.07.1976)/45</t>
  </si>
  <si>
    <t>Терлецкий Матвей</t>
  </si>
  <si>
    <t>Открытая (22.04.1992)/30</t>
  </si>
  <si>
    <t>107,90</t>
  </si>
  <si>
    <t>222,5</t>
  </si>
  <si>
    <t>245,0</t>
  </si>
  <si>
    <t>Лысов Егор</t>
  </si>
  <si>
    <t>Открытая (08.06.1995)/26</t>
  </si>
  <si>
    <t>119,60</t>
  </si>
  <si>
    <t>Бронников Игорь</t>
  </si>
  <si>
    <t>Открытая (11.01.1975)/47</t>
  </si>
  <si>
    <t>134,50</t>
  </si>
  <si>
    <t>Мастера 40-49 (11.01.1975)/47</t>
  </si>
  <si>
    <t>137,0755</t>
  </si>
  <si>
    <t>126,5175</t>
  </si>
  <si>
    <t>125,8213</t>
  </si>
  <si>
    <t>5</t>
  </si>
  <si>
    <t>ВЕСОВАЯ КАТЕГОРИЯ   48</t>
  </si>
  <si>
    <t>Бажанова Вера</t>
  </si>
  <si>
    <t>Открытая (26.02.1992)/30</t>
  </si>
  <si>
    <t>47,80</t>
  </si>
  <si>
    <t>Николаева Елена</t>
  </si>
  <si>
    <t>Юниорки (01.02.1999)/23</t>
  </si>
  <si>
    <t>54,80</t>
  </si>
  <si>
    <t>Трушкова Ольга</t>
  </si>
  <si>
    <t>Открытая (10.03.1988)/34</t>
  </si>
  <si>
    <t>54,30</t>
  </si>
  <si>
    <t>Елькин Константин</t>
  </si>
  <si>
    <t>Юноши 14-16 (07.02.2011)/11</t>
  </si>
  <si>
    <t>46,90</t>
  </si>
  <si>
    <t>20,0</t>
  </si>
  <si>
    <t>Тетерлев Александр</t>
  </si>
  <si>
    <t>Открытая (13.04.1998)/24</t>
  </si>
  <si>
    <t>112,5</t>
  </si>
  <si>
    <t>Шумихин Ефим</t>
  </si>
  <si>
    <t>Юниоры (11.05.2001)/20</t>
  </si>
  <si>
    <t>70,00</t>
  </si>
  <si>
    <t xml:space="preserve">Котельнич/Кировская область </t>
  </si>
  <si>
    <t>Вяткин Вячеслав</t>
  </si>
  <si>
    <t>Открытая (20.05.1988)/33</t>
  </si>
  <si>
    <t>162,5</t>
  </si>
  <si>
    <t>107,5</t>
  </si>
  <si>
    <t>Егоров Илья</t>
  </si>
  <si>
    <t>Юноши 17-19 (03.01.2003)/19</t>
  </si>
  <si>
    <t>81,30</t>
  </si>
  <si>
    <t>Пименов Денис</t>
  </si>
  <si>
    <t>Открытая (19.10.1976)/45</t>
  </si>
  <si>
    <t>81,10</t>
  </si>
  <si>
    <t>Софронов Михаил</t>
  </si>
  <si>
    <t>Открытая (21.11.1992)/29</t>
  </si>
  <si>
    <t>Попцов Артём</t>
  </si>
  <si>
    <t>Открытая (03.05.1987)/34</t>
  </si>
  <si>
    <t>81,60</t>
  </si>
  <si>
    <t>Доценко Александр</t>
  </si>
  <si>
    <t>Открытая (26.11.1990)/31</t>
  </si>
  <si>
    <t>80,90</t>
  </si>
  <si>
    <t>Кобелев Артем</t>
  </si>
  <si>
    <t>Открытая (11.03.1991)/31</t>
  </si>
  <si>
    <t>82,10</t>
  </si>
  <si>
    <t>Семакин Дмитрий</t>
  </si>
  <si>
    <t>Открытая (14.11.1993)/28</t>
  </si>
  <si>
    <t>89,70</t>
  </si>
  <si>
    <t>Ширунов Сергей</t>
  </si>
  <si>
    <t>Открытая (04.09.1989)/32</t>
  </si>
  <si>
    <t>89,90</t>
  </si>
  <si>
    <t>Малых Кирилл</t>
  </si>
  <si>
    <t>Открытая (19.11.1997)/24</t>
  </si>
  <si>
    <t>88,40</t>
  </si>
  <si>
    <t>Лусников Антон</t>
  </si>
  <si>
    <t>Открытая (10.09.1990)/31</t>
  </si>
  <si>
    <t>90,00</t>
  </si>
  <si>
    <t>Семиларский Никита</t>
  </si>
  <si>
    <t>Открытая (17.03.1989)/33</t>
  </si>
  <si>
    <t>88,20</t>
  </si>
  <si>
    <t>Першин Сергей</t>
  </si>
  <si>
    <t>Открытая (01.10.1978)/43</t>
  </si>
  <si>
    <t>Мастера 40-49 (01.10.1978)/43</t>
  </si>
  <si>
    <t>Ефимовский Владислав</t>
  </si>
  <si>
    <t>Открытая (20.12.1995)/26</t>
  </si>
  <si>
    <t>97,00</t>
  </si>
  <si>
    <t>Вахидов Шухрат</t>
  </si>
  <si>
    <t>Мастера 40-49 (31.10.1975)/46</t>
  </si>
  <si>
    <t>97,20</t>
  </si>
  <si>
    <t>Казаков Александр</t>
  </si>
  <si>
    <t>Мастера 40-49 (21.10.1981)/40</t>
  </si>
  <si>
    <t>Фомкин Павел</t>
  </si>
  <si>
    <t>Открытая (11.07.1988)/33</t>
  </si>
  <si>
    <t>106,10</t>
  </si>
  <si>
    <t xml:space="preserve">Кирово-Чепецк/Кировская область </t>
  </si>
  <si>
    <t xml:space="preserve">Обухов Ф. </t>
  </si>
  <si>
    <t>116,1225</t>
  </si>
  <si>
    <t>112,4747</t>
  </si>
  <si>
    <t>111,6885</t>
  </si>
  <si>
    <t>Вихарев Алексей</t>
  </si>
  <si>
    <t>Мастера 40-49 (05.08.1973)/48</t>
  </si>
  <si>
    <t>107,80</t>
  </si>
  <si>
    <t>Халил Риад</t>
  </si>
  <si>
    <t>Открытая (13.02.1999)/23</t>
  </si>
  <si>
    <t>Потапов Александр</t>
  </si>
  <si>
    <t>Открытая (08.03.1983)/39</t>
  </si>
  <si>
    <t>Ветрищак Дарья</t>
  </si>
  <si>
    <t>Открытая (30.12.1989)/32</t>
  </si>
  <si>
    <t>Соловьев Александр</t>
  </si>
  <si>
    <t>Открытая (20.02.1994)/28</t>
  </si>
  <si>
    <t>73,20</t>
  </si>
  <si>
    <t>Головизнин Никита</t>
  </si>
  <si>
    <t>Открытая (24.11.1988)/33</t>
  </si>
  <si>
    <t>Стариков Роман</t>
  </si>
  <si>
    <t>Открытая (21.02.1987)/35</t>
  </si>
  <si>
    <t>104,00</t>
  </si>
  <si>
    <t>Блюм Юлия</t>
  </si>
  <si>
    <t>59,10</t>
  </si>
  <si>
    <t>Фукс Максим</t>
  </si>
  <si>
    <t>Юноши 17-19 (18.04.2003)/19</t>
  </si>
  <si>
    <t>78,50</t>
  </si>
  <si>
    <t>Раджабов Валентин</t>
  </si>
  <si>
    <t>Открытая (27.07.1993)/28</t>
  </si>
  <si>
    <t>99,40</t>
  </si>
  <si>
    <t>Шучалин Максим</t>
  </si>
  <si>
    <t>Открытая (15.05.1983)/38</t>
  </si>
  <si>
    <t>123,40</t>
  </si>
  <si>
    <t>Пластинин Роман</t>
  </si>
  <si>
    <t>Открытая (01.07.1994)/27</t>
  </si>
  <si>
    <t>Обухов Ф.</t>
  </si>
  <si>
    <t>Белявцев Д.</t>
  </si>
  <si>
    <t>Малиновский С.</t>
  </si>
  <si>
    <t>Плюснин О.</t>
  </si>
  <si>
    <t>Потапов А.</t>
  </si>
  <si>
    <t>Караваев А.</t>
  </si>
  <si>
    <t>Дудинец А.</t>
  </si>
  <si>
    <t>Чепурных Р.</t>
  </si>
  <si>
    <t>Кропотова А.</t>
  </si>
  <si>
    <t>Киселёв А.</t>
  </si>
  <si>
    <t>Солоницын Д.</t>
  </si>
  <si>
    <t>Новокшонов Н.</t>
  </si>
  <si>
    <t xml:space="preserve">Решетников А. </t>
  </si>
  <si>
    <t xml:space="preserve">Дудинец А. </t>
  </si>
  <si>
    <t>Лапшин А.</t>
  </si>
  <si>
    <t>Чирков А.</t>
  </si>
  <si>
    <t>Решетников А.</t>
  </si>
  <si>
    <t>Головизнин Н.</t>
  </si>
  <si>
    <t>Меншиков С.</t>
  </si>
  <si>
    <t>Шутов П.</t>
  </si>
  <si>
    <t>Менщиков С.</t>
  </si>
  <si>
    <t xml:space="preserve"> Обухов Ф.</t>
  </si>
  <si>
    <t>Меркулов С..</t>
  </si>
  <si>
    <t>Всероссийский турнир «Кубок Филиппа Обухова»
WRPF Пауэрлифтинг без экипировки ДК
Киров/Кировская область, 30 апреля - 1 мая 2022 года</t>
  </si>
  <si>
    <t>Всероссийский турнир «Кубок Филиппа Обухова»
WRPF Пауэрлифтинг без экипировки
Киров/Кировская область, 30 апреля - 1 мая 2022 года</t>
  </si>
  <si>
    <t>Всероссийский турнир «Кубок Филиппа Обухова»
WRPF Пауэрлифтинг классический в бинтах ДК
Киров/Кировская область, 30 апреля - 1 мая 2022 года</t>
  </si>
  <si>
    <t>Всероссийский турнир «Кубок Филиппа Обухова»
WRPF Пауэрлифтинг классический в бинтах
Киров/Кировская область, 30 апреля - 1 мая 2022 года</t>
  </si>
  <si>
    <t>Всероссийский турнир «Кубок Филиппа Обухова»
WEPF Пауэрлифтинг в однослойной экипировке ДК
Киров/Кировская область, 30 апреля - 1 мая 2022 года</t>
  </si>
  <si>
    <t>Всероссийский турнир «Кубок Филиппа Обухова»
WRPF Силовое двоеборье без экипировки ДК
Киров/Кировская область, 30 апреля - 1 мая 2022 года</t>
  </si>
  <si>
    <t>Всероссийский турнир «Кубок Филиппа Обухова»
WRPF Силовое двоеборье без экипировки
Киров/Кировская область, 30 апреля - 1 мая 2022 года</t>
  </si>
  <si>
    <t>Всероссийский турнир «Кубок Филиппа Обухова»
WRPF Жим лежа без экипировки ДК
Киров/Кировская область, 30 апреля - 1 мая 2022 года</t>
  </si>
  <si>
    <t>Всероссийский турнир «Кубок Филиппа Обухова»
WRPF Жим лежа без экипировки
Киров/Кировская область, 30 апреля - 1 мая 2022 года</t>
  </si>
  <si>
    <t>Всероссийский турнир «Кубок Филиппа Обухова»
WEPF Жим лежа в однопетельной софт экипировке
Киров/Кировская область, 30 апреля - 1 мая 2022 года</t>
  </si>
  <si>
    <t>Всероссийский турнир «Кубок Филиппа Обухова»
WEPF Жим лежа в многопетельной софт экипировке
Киров/Кировская область, 30 апреля - 1 мая 2022 года</t>
  </si>
  <si>
    <t>Всероссийский турнир «Кубок Филиппа Обухова»
WRPF Становая тяга без экипировки ДК
Киров/Кировская область, 30 апреля - 1 мая 2022 года</t>
  </si>
  <si>
    <t>Всероссийский турнир «Кубок Филиппа Обухова»
WRPF Становая тяга без экипировки
Киров/Кировская область, 30 апреля - 1 мая 2022 года</t>
  </si>
  <si>
    <t>Всероссийский турнир «Кубок Филиппа Обухова»
WEPF Становая тяга в экипировке
Киров/Кировская область, 30 апреля - 1 мая 2022 года</t>
  </si>
  <si>
    <t>Окулов Андрей</t>
  </si>
  <si>
    <t>Весовая категория</t>
  </si>
  <si>
    <t>Нижний Новгород/Нижегородская область</t>
  </si>
  <si>
    <t xml:space="preserve">Сыктывкар/Республика Коми </t>
  </si>
  <si>
    <t xml:space="preserve">Ижевск/Республика Удмуртия </t>
  </si>
  <si>
    <t xml:space="preserve">Махачкала/Республика Дагестан </t>
  </si>
  <si>
    <t xml:space="preserve">Воркута/Республика Коми </t>
  </si>
  <si>
    <t xml:space="preserve">Нижний Новгород/Нижегородская область </t>
  </si>
  <si>
    <t>Моссад Джордж</t>
  </si>
  <si>
    <t xml:space="preserve">Чёрная Холуница/Кировская область </t>
  </si>
  <si>
    <t>Риад Халил</t>
  </si>
  <si>
    <t>№</t>
  </si>
  <si>
    <t xml:space="preserve">
Дата рождения/Возраст</t>
  </si>
  <si>
    <t>Возрастная группа</t>
  </si>
  <si>
    <t>O</t>
  </si>
  <si>
    <t>J</t>
  </si>
  <si>
    <t>M1</t>
  </si>
  <si>
    <t>T2</t>
  </si>
  <si>
    <t>M2</t>
  </si>
  <si>
    <t>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</si>
</sst>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66"/>
  <sheetViews>
    <sheetView workbookViewId="0">
      <selection activeCell="E48" sqref="E48"/>
    </sheetView>
  </sheetViews>
  <sheetFormatPr baseColWidth="10" defaultColWidth="9.1640625" defaultRowHeight="13"/>
  <cols>
    <col min="1" max="1" width="6.6640625" style="5" bestFit="1" customWidth="1"/>
    <col min="2" max="2" width="21.33203125" style="5" bestFit="1" customWidth="1"/>
    <col min="3" max="3" width="27.1640625" style="5" bestFit="1" customWidth="1"/>
    <col min="4" max="4" width="20" style="5" bestFit="1" customWidth="1"/>
    <col min="5" max="5" width="9.6640625" style="5" bestFit="1" customWidth="1"/>
    <col min="6" max="6" width="38.5" style="5" customWidth="1"/>
    <col min="7" max="9" width="5.5" style="6" customWidth="1"/>
    <col min="10" max="10" width="4.33203125" style="6" customWidth="1"/>
    <col min="11" max="13" width="5.5" style="6" customWidth="1"/>
    <col min="14" max="14" width="4.33203125" style="6" customWidth="1"/>
    <col min="15" max="17" width="5.5" style="6" customWidth="1"/>
    <col min="18" max="18" width="4.33203125" style="6" customWidth="1"/>
    <col min="19" max="19" width="7.1640625" style="6" bestFit="1" customWidth="1"/>
    <col min="20" max="20" width="8.5" style="6" bestFit="1" customWidth="1"/>
    <col min="21" max="21" width="28.5" style="5" bestFit="1" customWidth="1"/>
    <col min="22" max="16384" width="9.1640625" style="3"/>
  </cols>
  <sheetData>
    <row r="1" spans="1:21" s="2" customFormat="1" ht="29" customHeight="1">
      <c r="A1" s="49" t="s">
        <v>504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1" s="1" customFormat="1" ht="12.75" customHeight="1">
      <c r="A3" s="57" t="s">
        <v>529</v>
      </c>
      <c r="B3" s="41" t="s">
        <v>0</v>
      </c>
      <c r="C3" s="59" t="s">
        <v>530</v>
      </c>
      <c r="D3" s="59" t="s">
        <v>6</v>
      </c>
      <c r="E3" s="43" t="s">
        <v>531</v>
      </c>
      <c r="F3" s="43" t="s">
        <v>5</v>
      </c>
      <c r="G3" s="43" t="s">
        <v>7</v>
      </c>
      <c r="H3" s="43"/>
      <c r="I3" s="43"/>
      <c r="J3" s="43"/>
      <c r="K3" s="43" t="s">
        <v>8</v>
      </c>
      <c r="L3" s="43"/>
      <c r="M3" s="43"/>
      <c r="N3" s="43"/>
      <c r="O3" s="43" t="s">
        <v>9</v>
      </c>
      <c r="P3" s="43"/>
      <c r="Q3" s="43"/>
      <c r="R3" s="43"/>
      <c r="S3" s="43" t="s">
        <v>1</v>
      </c>
      <c r="T3" s="43" t="s">
        <v>3</v>
      </c>
      <c r="U3" s="45" t="s">
        <v>2</v>
      </c>
    </row>
    <row r="4" spans="1:21" s="1" customFormat="1" ht="21" customHeight="1" thickBot="1">
      <c r="A4" s="58"/>
      <c r="B4" s="4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46"/>
    </row>
    <row r="5" spans="1:21" ht="16">
      <c r="A5" s="47" t="s">
        <v>186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1">
      <c r="A6" s="10" t="s">
        <v>108</v>
      </c>
      <c r="B6" s="9" t="s">
        <v>187</v>
      </c>
      <c r="C6" s="9" t="s">
        <v>188</v>
      </c>
      <c r="D6" s="9" t="s">
        <v>189</v>
      </c>
      <c r="E6" s="9" t="s">
        <v>532</v>
      </c>
      <c r="F6" s="9" t="s">
        <v>14</v>
      </c>
      <c r="G6" s="21" t="s">
        <v>190</v>
      </c>
      <c r="H6" s="21" t="s">
        <v>126</v>
      </c>
      <c r="I6" s="21" t="s">
        <v>191</v>
      </c>
      <c r="J6" s="10"/>
      <c r="K6" s="21" t="s">
        <v>192</v>
      </c>
      <c r="L6" s="20" t="s">
        <v>157</v>
      </c>
      <c r="M6" s="20" t="s">
        <v>157</v>
      </c>
      <c r="N6" s="10"/>
      <c r="O6" s="21" t="s">
        <v>155</v>
      </c>
      <c r="P6" s="21" t="s">
        <v>158</v>
      </c>
      <c r="Q6" s="20" t="s">
        <v>193</v>
      </c>
      <c r="R6" s="10"/>
      <c r="S6" s="10" t="str">
        <f>"262,5"</f>
        <v>262,5</v>
      </c>
      <c r="T6" s="10" t="str">
        <f>"332,6663"</f>
        <v>332,6663</v>
      </c>
      <c r="U6" s="29" t="s">
        <v>481</v>
      </c>
    </row>
    <row r="7" spans="1:21">
      <c r="A7" s="25" t="s">
        <v>110</v>
      </c>
      <c r="B7" s="24" t="s">
        <v>194</v>
      </c>
      <c r="C7" s="24" t="s">
        <v>195</v>
      </c>
      <c r="D7" s="24" t="s">
        <v>196</v>
      </c>
      <c r="E7" s="24" t="s">
        <v>532</v>
      </c>
      <c r="F7" s="24" t="s">
        <v>197</v>
      </c>
      <c r="G7" s="26" t="s">
        <v>17</v>
      </c>
      <c r="H7" s="26" t="s">
        <v>19</v>
      </c>
      <c r="I7" s="26" t="s">
        <v>164</v>
      </c>
      <c r="J7" s="25"/>
      <c r="K7" s="26" t="s">
        <v>198</v>
      </c>
      <c r="L7" s="26" t="s">
        <v>192</v>
      </c>
      <c r="M7" s="27" t="s">
        <v>157</v>
      </c>
      <c r="N7" s="25"/>
      <c r="O7" s="26" t="s">
        <v>158</v>
      </c>
      <c r="P7" s="26" t="s">
        <v>136</v>
      </c>
      <c r="Q7" s="26" t="s">
        <v>119</v>
      </c>
      <c r="R7" s="25"/>
      <c r="S7" s="25" t="str">
        <f>"262,5"</f>
        <v>262,5</v>
      </c>
      <c r="T7" s="25" t="str">
        <f>"329,2012"</f>
        <v>329,2012</v>
      </c>
      <c r="U7" s="31" t="s">
        <v>498</v>
      </c>
    </row>
    <row r="8" spans="1:21">
      <c r="A8" s="12" t="s">
        <v>298</v>
      </c>
      <c r="B8" s="11" t="s">
        <v>199</v>
      </c>
      <c r="C8" s="11" t="s">
        <v>200</v>
      </c>
      <c r="D8" s="11" t="s">
        <v>201</v>
      </c>
      <c r="E8" s="11" t="s">
        <v>532</v>
      </c>
      <c r="F8" s="11" t="s">
        <v>14</v>
      </c>
      <c r="G8" s="22" t="s">
        <v>157</v>
      </c>
      <c r="H8" s="22" t="s">
        <v>149</v>
      </c>
      <c r="I8" s="22" t="s">
        <v>202</v>
      </c>
      <c r="J8" s="12"/>
      <c r="K8" s="22" t="s">
        <v>203</v>
      </c>
      <c r="L8" s="22" t="s">
        <v>204</v>
      </c>
      <c r="M8" s="22" t="s">
        <v>205</v>
      </c>
      <c r="N8" s="12"/>
      <c r="O8" s="22" t="s">
        <v>17</v>
      </c>
      <c r="P8" s="22" t="s">
        <v>19</v>
      </c>
      <c r="Q8" s="23" t="s">
        <v>163</v>
      </c>
      <c r="R8" s="12"/>
      <c r="S8" s="12" t="str">
        <f>"162,5"</f>
        <v>162,5</v>
      </c>
      <c r="T8" s="12" t="str">
        <f>"212,2738"</f>
        <v>212,2738</v>
      </c>
      <c r="U8" s="30" t="s">
        <v>481</v>
      </c>
    </row>
    <row r="9" spans="1:21">
      <c r="B9" s="5" t="s">
        <v>109</v>
      </c>
    </row>
    <row r="10" spans="1:21" ht="16">
      <c r="A10" s="39" t="s">
        <v>150</v>
      </c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21">
      <c r="A11" s="10" t="s">
        <v>108</v>
      </c>
      <c r="B11" s="9" t="s">
        <v>206</v>
      </c>
      <c r="C11" s="9" t="s">
        <v>207</v>
      </c>
      <c r="D11" s="9" t="s">
        <v>208</v>
      </c>
      <c r="E11" s="9" t="s">
        <v>533</v>
      </c>
      <c r="F11" s="9" t="s">
        <v>14</v>
      </c>
      <c r="G11" s="21" t="s">
        <v>164</v>
      </c>
      <c r="H11" s="20" t="s">
        <v>209</v>
      </c>
      <c r="I11" s="20" t="s">
        <v>209</v>
      </c>
      <c r="J11" s="10"/>
      <c r="K11" s="21" t="s">
        <v>210</v>
      </c>
      <c r="L11" s="21" t="s">
        <v>211</v>
      </c>
      <c r="M11" s="20" t="s">
        <v>212</v>
      </c>
      <c r="N11" s="10"/>
      <c r="O11" s="21" t="s">
        <v>213</v>
      </c>
      <c r="P11" s="21" t="s">
        <v>170</v>
      </c>
      <c r="Q11" s="21" t="s">
        <v>155</v>
      </c>
      <c r="R11" s="10"/>
      <c r="S11" s="10" t="str">
        <f>"227,5"</f>
        <v>227,5</v>
      </c>
      <c r="T11" s="10" t="str">
        <f>"272,6588"</f>
        <v>272,6588</v>
      </c>
      <c r="U11" s="29" t="s">
        <v>486</v>
      </c>
    </row>
    <row r="12" spans="1:21">
      <c r="A12" s="25" t="s">
        <v>108</v>
      </c>
      <c r="B12" s="24" t="s">
        <v>214</v>
      </c>
      <c r="C12" s="24" t="s">
        <v>215</v>
      </c>
      <c r="D12" s="24" t="s">
        <v>216</v>
      </c>
      <c r="E12" s="24" t="s">
        <v>532</v>
      </c>
      <c r="F12" s="24" t="s">
        <v>14</v>
      </c>
      <c r="G12" s="26" t="s">
        <v>217</v>
      </c>
      <c r="H12" s="26" t="s">
        <v>218</v>
      </c>
      <c r="I12" s="26" t="s">
        <v>170</v>
      </c>
      <c r="J12" s="25"/>
      <c r="K12" s="26" t="s">
        <v>202</v>
      </c>
      <c r="L12" s="26" t="s">
        <v>17</v>
      </c>
      <c r="M12" s="26" t="s">
        <v>18</v>
      </c>
      <c r="N12" s="25"/>
      <c r="O12" s="26" t="s">
        <v>136</v>
      </c>
      <c r="P12" s="26" t="s">
        <v>125</v>
      </c>
      <c r="Q12" s="26" t="s">
        <v>30</v>
      </c>
      <c r="R12" s="25"/>
      <c r="S12" s="25" t="str">
        <f>"305,0"</f>
        <v>305,0</v>
      </c>
      <c r="T12" s="25" t="str">
        <f>"368,6840"</f>
        <v>368,6840</v>
      </c>
      <c r="U12" s="31" t="s">
        <v>487</v>
      </c>
    </row>
    <row r="13" spans="1:21">
      <c r="A13" s="25" t="s">
        <v>110</v>
      </c>
      <c r="B13" s="24" t="s">
        <v>219</v>
      </c>
      <c r="C13" s="24" t="s">
        <v>220</v>
      </c>
      <c r="D13" s="24" t="s">
        <v>221</v>
      </c>
      <c r="E13" s="24" t="s">
        <v>532</v>
      </c>
      <c r="F13" s="24" t="s">
        <v>197</v>
      </c>
      <c r="G13" s="26" t="s">
        <v>213</v>
      </c>
      <c r="H13" s="26" t="s">
        <v>154</v>
      </c>
      <c r="I13" s="27" t="s">
        <v>170</v>
      </c>
      <c r="J13" s="25"/>
      <c r="K13" s="26" t="s">
        <v>222</v>
      </c>
      <c r="L13" s="26" t="s">
        <v>202</v>
      </c>
      <c r="M13" s="27" t="s">
        <v>17</v>
      </c>
      <c r="N13" s="25"/>
      <c r="O13" s="26" t="s">
        <v>170</v>
      </c>
      <c r="P13" s="26" t="s">
        <v>115</v>
      </c>
      <c r="Q13" s="27" t="s">
        <v>29</v>
      </c>
      <c r="R13" s="25"/>
      <c r="S13" s="25" t="str">
        <f>"277,5"</f>
        <v>277,5</v>
      </c>
      <c r="T13" s="25" t="str">
        <f>"326,5065"</f>
        <v>326,5065</v>
      </c>
      <c r="U13" s="31" t="s">
        <v>498</v>
      </c>
    </row>
    <row r="14" spans="1:21">
      <c r="A14" s="25" t="s">
        <v>298</v>
      </c>
      <c r="B14" s="24" t="s">
        <v>223</v>
      </c>
      <c r="C14" s="24" t="s">
        <v>224</v>
      </c>
      <c r="D14" s="24" t="s">
        <v>225</v>
      </c>
      <c r="E14" s="24" t="s">
        <v>532</v>
      </c>
      <c r="F14" s="24" t="s">
        <v>82</v>
      </c>
      <c r="G14" s="26" t="s">
        <v>213</v>
      </c>
      <c r="H14" s="27" t="s">
        <v>154</v>
      </c>
      <c r="I14" s="27" t="s">
        <v>170</v>
      </c>
      <c r="J14" s="25"/>
      <c r="K14" s="26" t="s">
        <v>212</v>
      </c>
      <c r="L14" s="27" t="s">
        <v>192</v>
      </c>
      <c r="M14" s="27" t="s">
        <v>192</v>
      </c>
      <c r="N14" s="25"/>
      <c r="O14" s="26" t="s">
        <v>126</v>
      </c>
      <c r="P14" s="26" t="s">
        <v>217</v>
      </c>
      <c r="Q14" s="26" t="s">
        <v>170</v>
      </c>
      <c r="R14" s="25"/>
      <c r="S14" s="25" t="str">
        <f>"245,0"</f>
        <v>245,0</v>
      </c>
      <c r="T14" s="25" t="str">
        <f>"290,7170"</f>
        <v>290,7170</v>
      </c>
      <c r="U14" s="31" t="s">
        <v>499</v>
      </c>
    </row>
    <row r="15" spans="1:21">
      <c r="A15" s="12" t="s">
        <v>299</v>
      </c>
      <c r="B15" s="11" t="s">
        <v>226</v>
      </c>
      <c r="C15" s="11" t="s">
        <v>227</v>
      </c>
      <c r="D15" s="11" t="s">
        <v>228</v>
      </c>
      <c r="E15" s="11" t="s">
        <v>532</v>
      </c>
      <c r="F15" s="11" t="s">
        <v>14</v>
      </c>
      <c r="G15" s="23" t="s">
        <v>229</v>
      </c>
      <c r="H15" s="23" t="s">
        <v>230</v>
      </c>
      <c r="I15" s="22" t="s">
        <v>230</v>
      </c>
      <c r="J15" s="12"/>
      <c r="K15" s="22" t="s">
        <v>210</v>
      </c>
      <c r="L15" s="22" t="s">
        <v>211</v>
      </c>
      <c r="M15" s="23" t="s">
        <v>212</v>
      </c>
      <c r="N15" s="12"/>
      <c r="O15" s="22" t="s">
        <v>230</v>
      </c>
      <c r="P15" s="22" t="s">
        <v>231</v>
      </c>
      <c r="Q15" s="22" t="s">
        <v>213</v>
      </c>
      <c r="R15" s="12"/>
      <c r="S15" s="12" t="str">
        <f>"220,0"</f>
        <v>220,0</v>
      </c>
      <c r="T15" s="12" t="str">
        <f>"261,8000"</f>
        <v>261,8000</v>
      </c>
      <c r="U15" s="30" t="s">
        <v>488</v>
      </c>
    </row>
    <row r="16" spans="1:21">
      <c r="B16" s="5" t="s">
        <v>109</v>
      </c>
    </row>
    <row r="17" spans="1:21" ht="16">
      <c r="A17" s="39" t="s">
        <v>159</v>
      </c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21">
      <c r="A18" s="10" t="s">
        <v>108</v>
      </c>
      <c r="B18" s="9" t="s">
        <v>232</v>
      </c>
      <c r="C18" s="9" t="s">
        <v>233</v>
      </c>
      <c r="D18" s="9" t="s">
        <v>162</v>
      </c>
      <c r="E18" s="9" t="s">
        <v>532</v>
      </c>
      <c r="F18" s="9" t="s">
        <v>14</v>
      </c>
      <c r="G18" s="21" t="s">
        <v>213</v>
      </c>
      <c r="H18" s="20" t="s">
        <v>217</v>
      </c>
      <c r="I18" s="20" t="s">
        <v>217</v>
      </c>
      <c r="J18" s="10"/>
      <c r="K18" s="21" t="s">
        <v>192</v>
      </c>
      <c r="L18" s="21" t="s">
        <v>157</v>
      </c>
      <c r="M18" s="20" t="s">
        <v>222</v>
      </c>
      <c r="N18" s="10"/>
      <c r="O18" s="21" t="s">
        <v>193</v>
      </c>
      <c r="P18" s="21" t="s">
        <v>130</v>
      </c>
      <c r="Q18" s="20" t="s">
        <v>30</v>
      </c>
      <c r="R18" s="10"/>
      <c r="S18" s="10" t="str">
        <f>"277,5"</f>
        <v>277,5</v>
      </c>
      <c r="T18" s="10" t="str">
        <f>"309,3847"</f>
        <v>309,3847</v>
      </c>
      <c r="U18" s="29" t="s">
        <v>489</v>
      </c>
    </row>
    <row r="19" spans="1:21">
      <c r="A19" s="25" t="s">
        <v>110</v>
      </c>
      <c r="B19" s="24" t="s">
        <v>234</v>
      </c>
      <c r="C19" s="24" t="s">
        <v>235</v>
      </c>
      <c r="D19" s="24" t="s">
        <v>236</v>
      </c>
      <c r="E19" s="24" t="s">
        <v>532</v>
      </c>
      <c r="F19" s="24" t="s">
        <v>14</v>
      </c>
      <c r="G19" s="26" t="s">
        <v>231</v>
      </c>
      <c r="H19" s="26" t="s">
        <v>191</v>
      </c>
      <c r="I19" s="26" t="s">
        <v>213</v>
      </c>
      <c r="J19" s="25"/>
      <c r="K19" s="26" t="s">
        <v>192</v>
      </c>
      <c r="L19" s="26" t="s">
        <v>157</v>
      </c>
      <c r="M19" s="27" t="s">
        <v>222</v>
      </c>
      <c r="N19" s="25"/>
      <c r="O19" s="26" t="s">
        <v>115</v>
      </c>
      <c r="P19" s="26" t="s">
        <v>29</v>
      </c>
      <c r="Q19" s="26" t="s">
        <v>193</v>
      </c>
      <c r="R19" s="25"/>
      <c r="S19" s="25" t="str">
        <f>"272,5"</f>
        <v>272,5</v>
      </c>
      <c r="T19" s="25" t="str">
        <f>"304,9820"</f>
        <v>304,9820</v>
      </c>
      <c r="U19" s="31" t="s">
        <v>481</v>
      </c>
    </row>
    <row r="20" spans="1:21">
      <c r="A20" s="12" t="s">
        <v>298</v>
      </c>
      <c r="B20" s="11" t="s">
        <v>237</v>
      </c>
      <c r="C20" s="11" t="s">
        <v>238</v>
      </c>
      <c r="D20" s="11" t="s">
        <v>239</v>
      </c>
      <c r="E20" s="11" t="s">
        <v>532</v>
      </c>
      <c r="F20" s="11" t="s">
        <v>240</v>
      </c>
      <c r="G20" s="22" t="s">
        <v>190</v>
      </c>
      <c r="H20" s="23" t="s">
        <v>126</v>
      </c>
      <c r="I20" s="23" t="s">
        <v>191</v>
      </c>
      <c r="J20" s="12"/>
      <c r="K20" s="22" t="s">
        <v>212</v>
      </c>
      <c r="L20" s="23" t="s">
        <v>156</v>
      </c>
      <c r="M20" s="23" t="s">
        <v>156</v>
      </c>
      <c r="N20" s="12"/>
      <c r="O20" s="22" t="s">
        <v>126</v>
      </c>
      <c r="P20" s="22" t="s">
        <v>154</v>
      </c>
      <c r="Q20" s="22" t="s">
        <v>170</v>
      </c>
      <c r="R20" s="12"/>
      <c r="S20" s="12" t="str">
        <f>"235,0"</f>
        <v>235,0</v>
      </c>
      <c r="T20" s="12" t="str">
        <f>"267,2185"</f>
        <v>267,2185</v>
      </c>
      <c r="U20" s="30" t="s">
        <v>495</v>
      </c>
    </row>
    <row r="21" spans="1:21">
      <c r="B21" s="5" t="s">
        <v>109</v>
      </c>
    </row>
    <row r="22" spans="1:21" ht="16">
      <c r="A22" s="39" t="s">
        <v>111</v>
      </c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21">
      <c r="A23" s="8" t="s">
        <v>108</v>
      </c>
      <c r="B23" s="7" t="s">
        <v>241</v>
      </c>
      <c r="C23" s="7" t="s">
        <v>242</v>
      </c>
      <c r="D23" s="7" t="s">
        <v>243</v>
      </c>
      <c r="E23" s="7" t="s">
        <v>532</v>
      </c>
      <c r="F23" s="7" t="s">
        <v>520</v>
      </c>
      <c r="G23" s="19" t="s">
        <v>126</v>
      </c>
      <c r="H23" s="18" t="s">
        <v>126</v>
      </c>
      <c r="I23" s="19" t="s">
        <v>170</v>
      </c>
      <c r="J23" s="8"/>
      <c r="K23" s="18" t="s">
        <v>212</v>
      </c>
      <c r="L23" s="18" t="s">
        <v>156</v>
      </c>
      <c r="M23" s="19" t="s">
        <v>157</v>
      </c>
      <c r="N23" s="8"/>
      <c r="O23" s="18" t="s">
        <v>213</v>
      </c>
      <c r="P23" s="18" t="s">
        <v>170</v>
      </c>
      <c r="Q23" s="19" t="s">
        <v>155</v>
      </c>
      <c r="R23" s="8"/>
      <c r="S23" s="8" t="str">
        <f>"245,0"</f>
        <v>245,0</v>
      </c>
      <c r="T23" s="8" t="str">
        <f>"253,5995"</f>
        <v>253,5995</v>
      </c>
      <c r="U23" s="28" t="s">
        <v>495</v>
      </c>
    </row>
    <row r="24" spans="1:21">
      <c r="B24" s="5" t="s">
        <v>109</v>
      </c>
    </row>
    <row r="25" spans="1:21" ht="16">
      <c r="A25" s="39" t="s">
        <v>10</v>
      </c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21">
      <c r="A26" s="8" t="s">
        <v>108</v>
      </c>
      <c r="B26" s="7" t="s">
        <v>244</v>
      </c>
      <c r="C26" s="7" t="s">
        <v>245</v>
      </c>
      <c r="D26" s="7" t="s">
        <v>246</v>
      </c>
      <c r="E26" s="7" t="s">
        <v>532</v>
      </c>
      <c r="F26" s="7" t="s">
        <v>14</v>
      </c>
      <c r="G26" s="18" t="s">
        <v>29</v>
      </c>
      <c r="H26" s="18" t="s">
        <v>125</v>
      </c>
      <c r="I26" s="18" t="s">
        <v>15</v>
      </c>
      <c r="J26" s="8"/>
      <c r="K26" s="18" t="s">
        <v>155</v>
      </c>
      <c r="L26" s="18" t="s">
        <v>115</v>
      </c>
      <c r="M26" s="19" t="s">
        <v>29</v>
      </c>
      <c r="N26" s="8"/>
      <c r="O26" s="18" t="s">
        <v>29</v>
      </c>
      <c r="P26" s="18" t="s">
        <v>125</v>
      </c>
      <c r="Q26" s="19" t="s">
        <v>15</v>
      </c>
      <c r="R26" s="8"/>
      <c r="S26" s="8" t="str">
        <f>"385,0"</f>
        <v>385,0</v>
      </c>
      <c r="T26" s="8" t="str">
        <f>"370,7165"</f>
        <v>370,7165</v>
      </c>
      <c r="U26" s="28" t="s">
        <v>481</v>
      </c>
    </row>
    <row r="27" spans="1:21">
      <c r="B27" s="5" t="s">
        <v>109</v>
      </c>
    </row>
    <row r="28" spans="1:21" ht="16">
      <c r="A28" s="39" t="s">
        <v>111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21">
      <c r="A29" s="10" t="s">
        <v>108</v>
      </c>
      <c r="B29" s="9" t="s">
        <v>247</v>
      </c>
      <c r="C29" s="9" t="s">
        <v>248</v>
      </c>
      <c r="D29" s="9" t="s">
        <v>249</v>
      </c>
      <c r="E29" s="9" t="s">
        <v>532</v>
      </c>
      <c r="F29" s="9" t="s">
        <v>250</v>
      </c>
      <c r="G29" s="21" t="s">
        <v>119</v>
      </c>
      <c r="H29" s="21" t="s">
        <v>88</v>
      </c>
      <c r="I29" s="21" t="s">
        <v>165</v>
      </c>
      <c r="J29" s="10"/>
      <c r="K29" s="21" t="s">
        <v>191</v>
      </c>
      <c r="L29" s="21" t="s">
        <v>217</v>
      </c>
      <c r="M29" s="20" t="s">
        <v>218</v>
      </c>
      <c r="N29" s="10"/>
      <c r="O29" s="21" t="s">
        <v>53</v>
      </c>
      <c r="P29" s="21" t="s">
        <v>68</v>
      </c>
      <c r="Q29" s="20" t="s">
        <v>52</v>
      </c>
      <c r="R29" s="10"/>
      <c r="S29" s="10" t="str">
        <f>"440,0"</f>
        <v>440,0</v>
      </c>
      <c r="T29" s="10" t="str">
        <f>"370,7880"</f>
        <v>370,7880</v>
      </c>
      <c r="U29" s="9"/>
    </row>
    <row r="30" spans="1:21">
      <c r="A30" s="12" t="s">
        <v>110</v>
      </c>
      <c r="B30" s="11" t="s">
        <v>251</v>
      </c>
      <c r="C30" s="11" t="s">
        <v>252</v>
      </c>
      <c r="D30" s="11" t="s">
        <v>253</v>
      </c>
      <c r="E30" s="11" t="s">
        <v>532</v>
      </c>
      <c r="F30" s="11" t="s">
        <v>14</v>
      </c>
      <c r="G30" s="23" t="s">
        <v>154</v>
      </c>
      <c r="H30" s="22" t="s">
        <v>155</v>
      </c>
      <c r="I30" s="23" t="s">
        <v>29</v>
      </c>
      <c r="J30" s="12"/>
      <c r="K30" s="23" t="s">
        <v>209</v>
      </c>
      <c r="L30" s="22" t="s">
        <v>126</v>
      </c>
      <c r="M30" s="23" t="s">
        <v>154</v>
      </c>
      <c r="N30" s="12"/>
      <c r="O30" s="22" t="s">
        <v>154</v>
      </c>
      <c r="P30" s="22" t="s">
        <v>115</v>
      </c>
      <c r="Q30" s="22" t="s">
        <v>136</v>
      </c>
      <c r="R30" s="12"/>
      <c r="S30" s="12" t="str">
        <f>"325,0"</f>
        <v>325,0</v>
      </c>
      <c r="T30" s="12" t="str">
        <f>"274,6900"</f>
        <v>274,6900</v>
      </c>
      <c r="U30" s="30" t="s">
        <v>500</v>
      </c>
    </row>
    <row r="31" spans="1:21">
      <c r="B31" s="5" t="s">
        <v>109</v>
      </c>
    </row>
    <row r="32" spans="1:21" ht="16">
      <c r="A32" s="39" t="s">
        <v>10</v>
      </c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21">
      <c r="A33" s="10" t="s">
        <v>108</v>
      </c>
      <c r="B33" s="9" t="s">
        <v>254</v>
      </c>
      <c r="C33" s="9" t="s">
        <v>255</v>
      </c>
      <c r="D33" s="9" t="s">
        <v>246</v>
      </c>
      <c r="E33" s="9" t="s">
        <v>532</v>
      </c>
      <c r="F33" s="9" t="s">
        <v>197</v>
      </c>
      <c r="G33" s="20" t="s">
        <v>20</v>
      </c>
      <c r="H33" s="20" t="s">
        <v>20</v>
      </c>
      <c r="I33" s="21" t="s">
        <v>20</v>
      </c>
      <c r="J33" s="10"/>
      <c r="K33" s="21" t="s">
        <v>125</v>
      </c>
      <c r="L33" s="20" t="s">
        <v>256</v>
      </c>
      <c r="M33" s="20" t="s">
        <v>15</v>
      </c>
      <c r="N33" s="10"/>
      <c r="O33" s="21" t="s">
        <v>68</v>
      </c>
      <c r="P33" s="21" t="s">
        <v>59</v>
      </c>
      <c r="Q33" s="20" t="s">
        <v>48</v>
      </c>
      <c r="R33" s="10"/>
      <c r="S33" s="10" t="str">
        <f>"500,0"</f>
        <v>500,0</v>
      </c>
      <c r="T33" s="10" t="str">
        <f>"361,4000"</f>
        <v>361,4000</v>
      </c>
      <c r="U33" s="29" t="s">
        <v>498</v>
      </c>
    </row>
    <row r="34" spans="1:21">
      <c r="A34" s="25" t="s">
        <v>110</v>
      </c>
      <c r="B34" s="24" t="s">
        <v>257</v>
      </c>
      <c r="C34" s="24" t="s">
        <v>258</v>
      </c>
      <c r="D34" s="24" t="s">
        <v>259</v>
      </c>
      <c r="E34" s="24" t="s">
        <v>532</v>
      </c>
      <c r="F34" s="24" t="s">
        <v>82</v>
      </c>
      <c r="G34" s="26" t="s">
        <v>16</v>
      </c>
      <c r="H34" s="26" t="s">
        <v>20</v>
      </c>
      <c r="I34" s="26" t="s">
        <v>21</v>
      </c>
      <c r="J34" s="25"/>
      <c r="K34" s="27" t="s">
        <v>155</v>
      </c>
      <c r="L34" s="26" t="s">
        <v>155</v>
      </c>
      <c r="M34" s="26" t="s">
        <v>29</v>
      </c>
      <c r="N34" s="25"/>
      <c r="O34" s="26" t="s">
        <v>22</v>
      </c>
      <c r="P34" s="26" t="s">
        <v>68</v>
      </c>
      <c r="Q34" s="26" t="s">
        <v>52</v>
      </c>
      <c r="R34" s="25"/>
      <c r="S34" s="25" t="str">
        <f>"490,0"</f>
        <v>490,0</v>
      </c>
      <c r="T34" s="25" t="str">
        <f>"352,1140"</f>
        <v>352,1140</v>
      </c>
      <c r="U34" s="31" t="s">
        <v>501</v>
      </c>
    </row>
    <row r="35" spans="1:21">
      <c r="A35" s="25" t="s">
        <v>298</v>
      </c>
      <c r="B35" s="24" t="s">
        <v>518</v>
      </c>
      <c r="C35" s="24" t="s">
        <v>260</v>
      </c>
      <c r="D35" s="24" t="s">
        <v>261</v>
      </c>
      <c r="E35" s="24" t="s">
        <v>532</v>
      </c>
      <c r="F35" s="24" t="s">
        <v>14</v>
      </c>
      <c r="G35" s="26" t="s">
        <v>15</v>
      </c>
      <c r="H35" s="25"/>
      <c r="I35" s="25"/>
      <c r="J35" s="25"/>
      <c r="K35" s="26" t="s">
        <v>213</v>
      </c>
      <c r="L35" s="25"/>
      <c r="M35" s="25"/>
      <c r="N35" s="25"/>
      <c r="O35" s="26" t="s">
        <v>15</v>
      </c>
      <c r="P35" s="25"/>
      <c r="Q35" s="25"/>
      <c r="R35" s="25"/>
      <c r="S35" s="25" t="str">
        <f>"375,0"</f>
        <v>375,0</v>
      </c>
      <c r="T35" s="25" t="str">
        <f>"268,2000"</f>
        <v>268,2000</v>
      </c>
      <c r="U35" s="31" t="s">
        <v>481</v>
      </c>
    </row>
    <row r="36" spans="1:21">
      <c r="A36" s="12" t="s">
        <v>108</v>
      </c>
      <c r="B36" s="11" t="s">
        <v>262</v>
      </c>
      <c r="C36" s="11" t="s">
        <v>263</v>
      </c>
      <c r="D36" s="11" t="s">
        <v>264</v>
      </c>
      <c r="E36" s="11" t="s">
        <v>534</v>
      </c>
      <c r="F36" s="11" t="s">
        <v>82</v>
      </c>
      <c r="G36" s="22" t="s">
        <v>16</v>
      </c>
      <c r="H36" s="22" t="s">
        <v>265</v>
      </c>
      <c r="I36" s="22" t="s">
        <v>121</v>
      </c>
      <c r="J36" s="12"/>
      <c r="K36" s="22" t="s">
        <v>126</v>
      </c>
      <c r="L36" s="23" t="s">
        <v>154</v>
      </c>
      <c r="M36" s="22" t="s">
        <v>154</v>
      </c>
      <c r="N36" s="12"/>
      <c r="O36" s="22" t="s">
        <v>20</v>
      </c>
      <c r="P36" s="22" t="s">
        <v>21</v>
      </c>
      <c r="Q36" s="22" t="s">
        <v>22</v>
      </c>
      <c r="R36" s="12"/>
      <c r="S36" s="12" t="str">
        <f>"445,0"</f>
        <v>445,0</v>
      </c>
      <c r="T36" s="12" t="str">
        <f>"317,3740"</f>
        <v>317,3740</v>
      </c>
      <c r="U36" s="30" t="s">
        <v>501</v>
      </c>
    </row>
    <row r="37" spans="1:21">
      <c r="B37" s="5" t="s">
        <v>109</v>
      </c>
    </row>
    <row r="38" spans="1:21" ht="16">
      <c r="A38" s="39" t="s">
        <v>23</v>
      </c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21">
      <c r="A39" s="10" t="s">
        <v>108</v>
      </c>
      <c r="B39" s="9" t="s">
        <v>266</v>
      </c>
      <c r="C39" s="9" t="s">
        <v>267</v>
      </c>
      <c r="D39" s="9" t="s">
        <v>268</v>
      </c>
      <c r="E39" s="9" t="s">
        <v>532</v>
      </c>
      <c r="F39" s="9" t="s">
        <v>14</v>
      </c>
      <c r="G39" s="21" t="s">
        <v>182</v>
      </c>
      <c r="H39" s="21" t="s">
        <v>269</v>
      </c>
      <c r="I39" s="21" t="s">
        <v>135</v>
      </c>
      <c r="J39" s="10"/>
      <c r="K39" s="21" t="s">
        <v>155</v>
      </c>
      <c r="L39" s="21" t="s">
        <v>115</v>
      </c>
      <c r="M39" s="20" t="s">
        <v>158</v>
      </c>
      <c r="N39" s="10"/>
      <c r="O39" s="20" t="s">
        <v>48</v>
      </c>
      <c r="P39" s="21" t="s">
        <v>48</v>
      </c>
      <c r="Q39" s="21" t="s">
        <v>270</v>
      </c>
      <c r="R39" s="10"/>
      <c r="S39" s="10" t="str">
        <f>"562,5"</f>
        <v>562,5</v>
      </c>
      <c r="T39" s="10" t="str">
        <f>"377,6625"</f>
        <v>377,6625</v>
      </c>
      <c r="U39" s="9"/>
    </row>
    <row r="40" spans="1:21">
      <c r="A40" s="25" t="s">
        <v>110</v>
      </c>
      <c r="B40" s="24" t="s">
        <v>271</v>
      </c>
      <c r="C40" s="24" t="s">
        <v>272</v>
      </c>
      <c r="D40" s="24" t="s">
        <v>26</v>
      </c>
      <c r="E40" s="24" t="s">
        <v>532</v>
      </c>
      <c r="F40" s="24" t="s">
        <v>14</v>
      </c>
      <c r="G40" s="26" t="s">
        <v>22</v>
      </c>
      <c r="H40" s="27" t="s">
        <v>182</v>
      </c>
      <c r="I40" s="26" t="s">
        <v>52</v>
      </c>
      <c r="J40" s="25"/>
      <c r="K40" s="26" t="s">
        <v>115</v>
      </c>
      <c r="L40" s="26" t="s">
        <v>29</v>
      </c>
      <c r="M40" s="26" t="s">
        <v>136</v>
      </c>
      <c r="N40" s="25"/>
      <c r="O40" s="26" t="s">
        <v>76</v>
      </c>
      <c r="P40" s="27" t="s">
        <v>37</v>
      </c>
      <c r="Q40" s="27" t="s">
        <v>38</v>
      </c>
      <c r="R40" s="25"/>
      <c r="S40" s="25" t="str">
        <f>"540,0"</f>
        <v>540,0</v>
      </c>
      <c r="T40" s="25" t="str">
        <f>"363,9060"</f>
        <v>363,9060</v>
      </c>
      <c r="U40" s="24"/>
    </row>
    <row r="41" spans="1:21">
      <c r="A41" s="12" t="s">
        <v>298</v>
      </c>
      <c r="B41" s="11" t="s">
        <v>273</v>
      </c>
      <c r="C41" s="11" t="s">
        <v>274</v>
      </c>
      <c r="D41" s="11" t="s">
        <v>275</v>
      </c>
      <c r="E41" s="11" t="s">
        <v>532</v>
      </c>
      <c r="F41" s="11" t="s">
        <v>276</v>
      </c>
      <c r="G41" s="22" t="s">
        <v>29</v>
      </c>
      <c r="H41" s="23" t="s">
        <v>125</v>
      </c>
      <c r="I41" s="23" t="s">
        <v>125</v>
      </c>
      <c r="J41" s="12"/>
      <c r="K41" s="22" t="s">
        <v>190</v>
      </c>
      <c r="L41" s="23" t="s">
        <v>126</v>
      </c>
      <c r="M41" s="22" t="s">
        <v>126</v>
      </c>
      <c r="N41" s="12"/>
      <c r="O41" s="22" t="s">
        <v>16</v>
      </c>
      <c r="P41" s="22" t="s">
        <v>20</v>
      </c>
      <c r="Q41" s="23" t="s">
        <v>21</v>
      </c>
      <c r="R41" s="12"/>
      <c r="S41" s="12" t="str">
        <f>"370,0"</f>
        <v>370,0</v>
      </c>
      <c r="T41" s="12" t="str">
        <f>"248,7880"</f>
        <v>248,7880</v>
      </c>
      <c r="U41" s="30" t="s">
        <v>502</v>
      </c>
    </row>
    <row r="42" spans="1:21">
      <c r="B42" s="5" t="s">
        <v>109</v>
      </c>
    </row>
    <row r="43" spans="1:21" ht="16">
      <c r="A43" s="39" t="s">
        <v>54</v>
      </c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21">
      <c r="A44" s="8" t="s">
        <v>108</v>
      </c>
      <c r="B44" s="7" t="s">
        <v>277</v>
      </c>
      <c r="C44" s="7" t="s">
        <v>278</v>
      </c>
      <c r="D44" s="7" t="s">
        <v>279</v>
      </c>
      <c r="E44" s="7" t="s">
        <v>532</v>
      </c>
      <c r="F44" s="7" t="s">
        <v>280</v>
      </c>
      <c r="G44" s="18" t="s">
        <v>27</v>
      </c>
      <c r="H44" s="18" t="s">
        <v>174</v>
      </c>
      <c r="I44" s="18" t="s">
        <v>28</v>
      </c>
      <c r="J44" s="8"/>
      <c r="K44" s="18" t="s">
        <v>21</v>
      </c>
      <c r="L44" s="18" t="s">
        <v>22</v>
      </c>
      <c r="M44" s="19" t="s">
        <v>68</v>
      </c>
      <c r="N44" s="8"/>
      <c r="O44" s="18" t="s">
        <v>32</v>
      </c>
      <c r="P44" s="18" t="s">
        <v>83</v>
      </c>
      <c r="Q44" s="18" t="s">
        <v>175</v>
      </c>
      <c r="R44" s="8"/>
      <c r="S44" s="8" t="str">
        <f>"775,0"</f>
        <v>775,0</v>
      </c>
      <c r="T44" s="8" t="str">
        <f>"459,1100"</f>
        <v>459,1100</v>
      </c>
      <c r="U44" s="7"/>
    </row>
    <row r="45" spans="1:21">
      <c r="B45" s="5" t="s">
        <v>109</v>
      </c>
    </row>
    <row r="46" spans="1:21" ht="16">
      <c r="A46" s="39" t="s">
        <v>84</v>
      </c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21">
      <c r="A47" s="8" t="s">
        <v>108</v>
      </c>
      <c r="B47" s="7" t="s">
        <v>282</v>
      </c>
      <c r="C47" s="7" t="s">
        <v>283</v>
      </c>
      <c r="D47" s="7" t="s">
        <v>284</v>
      </c>
      <c r="E47" s="7" t="s">
        <v>532</v>
      </c>
      <c r="F47" s="7" t="s">
        <v>14</v>
      </c>
      <c r="G47" s="18" t="s">
        <v>29</v>
      </c>
      <c r="H47" s="18" t="s">
        <v>21</v>
      </c>
      <c r="I47" s="18" t="s">
        <v>52</v>
      </c>
      <c r="J47" s="8"/>
      <c r="K47" s="18" t="s">
        <v>20</v>
      </c>
      <c r="L47" s="18" t="s">
        <v>22</v>
      </c>
      <c r="M47" s="19" t="s">
        <v>68</v>
      </c>
      <c r="N47" s="8"/>
      <c r="O47" s="18" t="s">
        <v>29</v>
      </c>
      <c r="P47" s="18" t="s">
        <v>21</v>
      </c>
      <c r="Q47" s="18" t="s">
        <v>40</v>
      </c>
      <c r="R47" s="8"/>
      <c r="S47" s="8" t="str">
        <f>"600,0"</f>
        <v>600,0</v>
      </c>
      <c r="T47" s="8" t="str">
        <f>"333,2400"</f>
        <v>333,2400</v>
      </c>
      <c r="U47" s="28" t="s">
        <v>481</v>
      </c>
    </row>
    <row r="48" spans="1:21">
      <c r="B48" s="5" t="s">
        <v>109</v>
      </c>
    </row>
    <row r="49" spans="2:6">
      <c r="B49" s="5" t="s">
        <v>109</v>
      </c>
    </row>
    <row r="50" spans="2:6">
      <c r="B50" s="5" t="s">
        <v>109</v>
      </c>
    </row>
    <row r="51" spans="2:6" ht="18">
      <c r="B51" s="13" t="s">
        <v>89</v>
      </c>
      <c r="C51" s="13"/>
    </row>
    <row r="52" spans="2:6" ht="16">
      <c r="B52" s="14" t="s">
        <v>90</v>
      </c>
      <c r="C52" s="14"/>
    </row>
    <row r="53" spans="2:6" ht="14">
      <c r="B53" s="15"/>
      <c r="C53" s="16" t="s">
        <v>91</v>
      </c>
    </row>
    <row r="54" spans="2:6" ht="14">
      <c r="B54" s="17" t="s">
        <v>92</v>
      </c>
      <c r="C54" s="17" t="s">
        <v>93</v>
      </c>
      <c r="D54" s="17" t="s">
        <v>519</v>
      </c>
      <c r="E54" s="17" t="s">
        <v>94</v>
      </c>
      <c r="F54" s="17" t="s">
        <v>95</v>
      </c>
    </row>
    <row r="55" spans="2:6">
      <c r="B55" s="5" t="s">
        <v>244</v>
      </c>
      <c r="C55" s="5" t="s">
        <v>91</v>
      </c>
      <c r="D55" s="6" t="s">
        <v>96</v>
      </c>
      <c r="E55" s="6" t="s">
        <v>285</v>
      </c>
      <c r="F55" s="6" t="s">
        <v>286</v>
      </c>
    </row>
    <row r="56" spans="2:6">
      <c r="B56" s="5" t="s">
        <v>214</v>
      </c>
      <c r="C56" s="5" t="s">
        <v>91</v>
      </c>
      <c r="D56" s="6" t="s">
        <v>184</v>
      </c>
      <c r="E56" s="6" t="s">
        <v>287</v>
      </c>
      <c r="F56" s="6" t="s">
        <v>288</v>
      </c>
    </row>
    <row r="57" spans="2:6">
      <c r="B57" s="5" t="s">
        <v>187</v>
      </c>
      <c r="C57" s="5" t="s">
        <v>91</v>
      </c>
      <c r="D57" s="6" t="s">
        <v>289</v>
      </c>
      <c r="E57" s="6" t="s">
        <v>290</v>
      </c>
      <c r="F57" s="6" t="s">
        <v>291</v>
      </c>
    </row>
    <row r="60" spans="2:6" ht="16">
      <c r="B60" s="14" t="s">
        <v>97</v>
      </c>
      <c r="C60" s="14"/>
    </row>
    <row r="61" spans="2:6" ht="14">
      <c r="B61" s="15"/>
      <c r="C61" s="16" t="s">
        <v>91</v>
      </c>
    </row>
    <row r="62" spans="2:6" ht="14">
      <c r="B62" s="17" t="s">
        <v>92</v>
      </c>
      <c r="C62" s="17" t="s">
        <v>93</v>
      </c>
      <c r="D62" s="17" t="s">
        <v>519</v>
      </c>
      <c r="E62" s="17" t="s">
        <v>94</v>
      </c>
      <c r="F62" s="17" t="s">
        <v>95</v>
      </c>
    </row>
    <row r="63" spans="2:6">
      <c r="B63" s="5" t="s">
        <v>277</v>
      </c>
      <c r="C63" s="5" t="s">
        <v>91</v>
      </c>
      <c r="D63" s="6" t="s">
        <v>101</v>
      </c>
      <c r="E63" s="6" t="s">
        <v>292</v>
      </c>
      <c r="F63" s="6" t="s">
        <v>293</v>
      </c>
    </row>
    <row r="64" spans="2:6">
      <c r="B64" s="5" t="s">
        <v>266</v>
      </c>
      <c r="C64" s="5" t="s">
        <v>91</v>
      </c>
      <c r="D64" s="6" t="s">
        <v>104</v>
      </c>
      <c r="E64" s="6" t="s">
        <v>294</v>
      </c>
      <c r="F64" s="6" t="s">
        <v>295</v>
      </c>
    </row>
    <row r="65" spans="2:6">
      <c r="B65" s="5" t="s">
        <v>247</v>
      </c>
      <c r="C65" s="5" t="s">
        <v>91</v>
      </c>
      <c r="D65" s="6" t="s">
        <v>144</v>
      </c>
      <c r="E65" s="6" t="s">
        <v>296</v>
      </c>
      <c r="F65" s="6" t="s">
        <v>297</v>
      </c>
    </row>
    <row r="66" spans="2:6">
      <c r="B66" s="5" t="s">
        <v>109</v>
      </c>
    </row>
  </sheetData>
  <mergeCells count="23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8:R38"/>
    <mergeCell ref="A43:R43"/>
    <mergeCell ref="A46:R46"/>
    <mergeCell ref="B3:B4"/>
    <mergeCell ref="A10:R10"/>
    <mergeCell ref="A17:R17"/>
    <mergeCell ref="A22:R22"/>
    <mergeCell ref="A25:R25"/>
    <mergeCell ref="A28:R28"/>
    <mergeCell ref="A32:R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8"/>
  <sheetViews>
    <sheetView workbookViewId="0">
      <selection sqref="A1:U2"/>
    </sheetView>
  </sheetViews>
  <sheetFormatPr baseColWidth="10" defaultColWidth="9.1640625" defaultRowHeight="13"/>
  <cols>
    <col min="1" max="1" width="6.6640625" style="5" bestFit="1" customWidth="1"/>
    <col min="2" max="2" width="19.6640625" style="5" customWidth="1"/>
    <col min="3" max="3" width="27.1640625" style="5" bestFit="1" customWidth="1"/>
    <col min="4" max="4" width="20" style="5" bestFit="1" customWidth="1"/>
    <col min="5" max="5" width="9.6640625" style="5" bestFit="1" customWidth="1"/>
    <col min="6" max="6" width="29.83203125" style="5" bestFit="1" customWidth="1"/>
    <col min="7" max="9" width="5.5" style="6" customWidth="1"/>
    <col min="10" max="10" width="4.33203125" style="6" customWidth="1"/>
    <col min="11" max="13" width="5.5" style="6" customWidth="1"/>
    <col min="14" max="14" width="4.33203125" style="6" customWidth="1"/>
    <col min="15" max="17" width="5.5" style="6" customWidth="1"/>
    <col min="18" max="18" width="4.33203125" style="6" customWidth="1"/>
    <col min="19" max="19" width="7.1640625" style="6" bestFit="1" customWidth="1"/>
    <col min="20" max="20" width="8.5" style="6" bestFit="1" customWidth="1"/>
    <col min="21" max="21" width="23" style="5" customWidth="1"/>
    <col min="22" max="16384" width="9.1640625" style="3"/>
  </cols>
  <sheetData>
    <row r="1" spans="1:21" s="2" customFormat="1" ht="29" customHeight="1">
      <c r="A1" s="49" t="s">
        <v>505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1" s="1" customFormat="1" ht="12.75" customHeight="1">
      <c r="A3" s="57" t="s">
        <v>529</v>
      </c>
      <c r="B3" s="41" t="s">
        <v>0</v>
      </c>
      <c r="C3" s="59" t="s">
        <v>530</v>
      </c>
      <c r="D3" s="59" t="s">
        <v>6</v>
      </c>
      <c r="E3" s="43" t="s">
        <v>531</v>
      </c>
      <c r="F3" s="43" t="s">
        <v>5</v>
      </c>
      <c r="G3" s="43" t="s">
        <v>7</v>
      </c>
      <c r="H3" s="43"/>
      <c r="I3" s="43"/>
      <c r="J3" s="43"/>
      <c r="K3" s="43" t="s">
        <v>8</v>
      </c>
      <c r="L3" s="43"/>
      <c r="M3" s="43"/>
      <c r="N3" s="43"/>
      <c r="O3" s="43" t="s">
        <v>9</v>
      </c>
      <c r="P3" s="43"/>
      <c r="Q3" s="43"/>
      <c r="R3" s="43"/>
      <c r="S3" s="43" t="s">
        <v>1</v>
      </c>
      <c r="T3" s="43" t="s">
        <v>3</v>
      </c>
      <c r="U3" s="45" t="s">
        <v>2</v>
      </c>
    </row>
    <row r="4" spans="1:21" s="1" customFormat="1" ht="21" customHeight="1" thickBot="1">
      <c r="A4" s="58"/>
      <c r="B4" s="4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46"/>
    </row>
    <row r="5" spans="1:21" ht="16">
      <c r="A5" s="47" t="s">
        <v>150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1">
      <c r="A6" s="8" t="s">
        <v>108</v>
      </c>
      <c r="B6" s="7" t="s">
        <v>151</v>
      </c>
      <c r="C6" s="7" t="s">
        <v>152</v>
      </c>
      <c r="D6" s="7" t="s">
        <v>153</v>
      </c>
      <c r="E6" s="7" t="s">
        <v>532</v>
      </c>
      <c r="F6" s="7" t="s">
        <v>521</v>
      </c>
      <c r="G6" s="18" t="s">
        <v>154</v>
      </c>
      <c r="H6" s="18" t="s">
        <v>155</v>
      </c>
      <c r="I6" s="19" t="s">
        <v>115</v>
      </c>
      <c r="J6" s="8"/>
      <c r="K6" s="18" t="s">
        <v>156</v>
      </c>
      <c r="L6" s="19" t="s">
        <v>157</v>
      </c>
      <c r="M6" s="19" t="s">
        <v>157</v>
      </c>
      <c r="N6" s="8"/>
      <c r="O6" s="18" t="s">
        <v>154</v>
      </c>
      <c r="P6" s="18" t="s">
        <v>155</v>
      </c>
      <c r="Q6" s="18" t="s">
        <v>158</v>
      </c>
      <c r="R6" s="8"/>
      <c r="S6" s="8" t="str">
        <f>"277,5"</f>
        <v>277,5</v>
      </c>
      <c r="T6" s="8" t="str">
        <f>"328,3380"</f>
        <v>328,3380</v>
      </c>
      <c r="U6" s="28" t="s">
        <v>485</v>
      </c>
    </row>
    <row r="7" spans="1:21">
      <c r="B7" s="5" t="s">
        <v>109</v>
      </c>
    </row>
    <row r="8" spans="1:21" ht="16">
      <c r="A8" s="39" t="s">
        <v>159</v>
      </c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21">
      <c r="A9" s="8" t="s">
        <v>108</v>
      </c>
      <c r="B9" s="7" t="s">
        <v>160</v>
      </c>
      <c r="C9" s="7" t="s">
        <v>161</v>
      </c>
      <c r="D9" s="7" t="s">
        <v>162</v>
      </c>
      <c r="E9" s="7" t="s">
        <v>532</v>
      </c>
      <c r="F9" s="7" t="s">
        <v>521</v>
      </c>
      <c r="G9" s="18" t="s">
        <v>155</v>
      </c>
      <c r="H9" s="18" t="s">
        <v>29</v>
      </c>
      <c r="I9" s="19" t="s">
        <v>136</v>
      </c>
      <c r="J9" s="8"/>
      <c r="K9" s="18" t="s">
        <v>17</v>
      </c>
      <c r="L9" s="18" t="s">
        <v>163</v>
      </c>
      <c r="M9" s="19" t="s">
        <v>164</v>
      </c>
      <c r="N9" s="8"/>
      <c r="O9" s="18" t="s">
        <v>125</v>
      </c>
      <c r="P9" s="18" t="s">
        <v>15</v>
      </c>
      <c r="Q9" s="19" t="s">
        <v>165</v>
      </c>
      <c r="R9" s="8"/>
      <c r="S9" s="8" t="str">
        <f>"332,5"</f>
        <v>332,5</v>
      </c>
      <c r="T9" s="8" t="str">
        <f>"370,7042"</f>
        <v>370,7042</v>
      </c>
      <c r="U9" s="28" t="s">
        <v>485</v>
      </c>
    </row>
    <row r="10" spans="1:21">
      <c r="B10" s="5" t="s">
        <v>109</v>
      </c>
    </row>
    <row r="11" spans="1:21" ht="16">
      <c r="A11" s="39" t="s">
        <v>10</v>
      </c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21">
      <c r="A12" s="8" t="s">
        <v>108</v>
      </c>
      <c r="B12" s="7" t="s">
        <v>166</v>
      </c>
      <c r="C12" s="7" t="s">
        <v>167</v>
      </c>
      <c r="D12" s="7" t="s">
        <v>168</v>
      </c>
      <c r="E12" s="7" t="s">
        <v>535</v>
      </c>
      <c r="F12" s="7" t="s">
        <v>169</v>
      </c>
      <c r="G12" s="18" t="s">
        <v>119</v>
      </c>
      <c r="H12" s="18" t="s">
        <v>88</v>
      </c>
      <c r="I12" s="18" t="s">
        <v>16</v>
      </c>
      <c r="J12" s="8"/>
      <c r="K12" s="18" t="s">
        <v>126</v>
      </c>
      <c r="L12" s="18" t="s">
        <v>154</v>
      </c>
      <c r="M12" s="19" t="s">
        <v>170</v>
      </c>
      <c r="N12" s="8"/>
      <c r="O12" s="18" t="s">
        <v>20</v>
      </c>
      <c r="P12" s="18" t="s">
        <v>21</v>
      </c>
      <c r="Q12" s="18" t="s">
        <v>22</v>
      </c>
      <c r="R12" s="8"/>
      <c r="S12" s="8" t="str">
        <f>"430,0"</f>
        <v>430,0</v>
      </c>
      <c r="T12" s="8" t="str">
        <f>"315,1900"</f>
        <v>315,1900</v>
      </c>
      <c r="U12" s="7"/>
    </row>
    <row r="13" spans="1:21">
      <c r="B13" s="5" t="s">
        <v>109</v>
      </c>
    </row>
    <row r="14" spans="1:21" ht="16">
      <c r="A14" s="39" t="s">
        <v>140</v>
      </c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21">
      <c r="A15" s="10" t="s">
        <v>108</v>
      </c>
      <c r="B15" s="9" t="s">
        <v>171</v>
      </c>
      <c r="C15" s="9" t="s">
        <v>172</v>
      </c>
      <c r="D15" s="9" t="s">
        <v>173</v>
      </c>
      <c r="E15" s="9" t="s">
        <v>532</v>
      </c>
      <c r="F15" s="9" t="s">
        <v>521</v>
      </c>
      <c r="G15" s="20" t="s">
        <v>27</v>
      </c>
      <c r="H15" s="21" t="s">
        <v>27</v>
      </c>
      <c r="I15" s="21" t="s">
        <v>174</v>
      </c>
      <c r="J15" s="10"/>
      <c r="K15" s="21" t="s">
        <v>21</v>
      </c>
      <c r="L15" s="21" t="s">
        <v>53</v>
      </c>
      <c r="M15" s="20" t="s">
        <v>22</v>
      </c>
      <c r="N15" s="10"/>
      <c r="O15" s="21" t="s">
        <v>32</v>
      </c>
      <c r="P15" s="21" t="s">
        <v>175</v>
      </c>
      <c r="Q15" s="20" t="s">
        <v>58</v>
      </c>
      <c r="R15" s="10"/>
      <c r="S15" s="10" t="str">
        <f>"760,0"</f>
        <v>760,0</v>
      </c>
      <c r="T15" s="10" t="str">
        <f>"436,3920"</f>
        <v>436,3920</v>
      </c>
      <c r="U15" s="9"/>
    </row>
    <row r="16" spans="1:21">
      <c r="A16" s="25" t="s">
        <v>110</v>
      </c>
      <c r="B16" s="24" t="s">
        <v>176</v>
      </c>
      <c r="C16" s="24" t="s">
        <v>177</v>
      </c>
      <c r="D16" s="24" t="s">
        <v>178</v>
      </c>
      <c r="E16" s="24" t="s">
        <v>532</v>
      </c>
      <c r="F16" s="24" t="s">
        <v>446</v>
      </c>
      <c r="G16" s="26" t="s">
        <v>38</v>
      </c>
      <c r="H16" s="26" t="s">
        <v>27</v>
      </c>
      <c r="I16" s="27" t="s">
        <v>28</v>
      </c>
      <c r="J16" s="25"/>
      <c r="K16" s="26" t="s">
        <v>68</v>
      </c>
      <c r="L16" s="26" t="s">
        <v>52</v>
      </c>
      <c r="M16" s="26" t="s">
        <v>59</v>
      </c>
      <c r="N16" s="25"/>
      <c r="O16" s="26" t="s">
        <v>38</v>
      </c>
      <c r="P16" s="26" t="s">
        <v>27</v>
      </c>
      <c r="Q16" s="26" t="s">
        <v>174</v>
      </c>
      <c r="R16" s="25"/>
      <c r="S16" s="25" t="str">
        <f>"740,0"</f>
        <v>740,0</v>
      </c>
      <c r="T16" s="25" t="str">
        <f>"424,3160"</f>
        <v>424,3160</v>
      </c>
      <c r="U16" s="31" t="s">
        <v>481</v>
      </c>
    </row>
    <row r="17" spans="1:21">
      <c r="A17" s="12" t="s">
        <v>108</v>
      </c>
      <c r="B17" s="11" t="s">
        <v>179</v>
      </c>
      <c r="C17" s="11" t="s">
        <v>180</v>
      </c>
      <c r="D17" s="11" t="s">
        <v>181</v>
      </c>
      <c r="E17" s="11" t="s">
        <v>536</v>
      </c>
      <c r="F17" s="11" t="s">
        <v>522</v>
      </c>
      <c r="G17" s="22" t="s">
        <v>22</v>
      </c>
      <c r="H17" s="22" t="s">
        <v>182</v>
      </c>
      <c r="I17" s="22" t="s">
        <v>59</v>
      </c>
      <c r="J17" s="12"/>
      <c r="K17" s="22" t="s">
        <v>119</v>
      </c>
      <c r="L17" s="22" t="s">
        <v>15</v>
      </c>
      <c r="M17" s="22" t="s">
        <v>88</v>
      </c>
      <c r="N17" s="12"/>
      <c r="O17" s="22" t="s">
        <v>27</v>
      </c>
      <c r="P17" s="23" t="s">
        <v>183</v>
      </c>
      <c r="Q17" s="22" t="s">
        <v>183</v>
      </c>
      <c r="R17" s="12"/>
      <c r="S17" s="12" t="str">
        <f>"640,0"</f>
        <v>640,0</v>
      </c>
      <c r="T17" s="12" t="str">
        <f>"438,6393"</f>
        <v>438,6393</v>
      </c>
      <c r="U17" s="11"/>
    </row>
    <row r="18" spans="1:21">
      <c r="B18" s="5" t="s">
        <v>109</v>
      </c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B3:B4"/>
    <mergeCell ref="S3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23"/>
  <sheetViews>
    <sheetView workbookViewId="0">
      <selection activeCell="E23" sqref="E23"/>
    </sheetView>
  </sheetViews>
  <sheetFormatPr baseColWidth="10" defaultColWidth="9.1640625" defaultRowHeight="13"/>
  <cols>
    <col min="1" max="1" width="6.6640625" style="5" bestFit="1" customWidth="1"/>
    <col min="2" max="2" width="19.83203125" style="5" customWidth="1"/>
    <col min="3" max="3" width="25.83203125" style="5" bestFit="1" customWidth="1"/>
    <col min="4" max="4" width="20" style="5" bestFit="1" customWidth="1"/>
    <col min="5" max="5" width="9.6640625" style="5" bestFit="1" customWidth="1"/>
    <col min="6" max="6" width="29.33203125" style="5" customWidth="1"/>
    <col min="7" max="9" width="5.5" style="6" customWidth="1"/>
    <col min="10" max="10" width="4.33203125" style="6" customWidth="1"/>
    <col min="11" max="13" width="5.5" style="6" customWidth="1"/>
    <col min="14" max="14" width="4.33203125" style="6" customWidth="1"/>
    <col min="15" max="17" width="5.5" style="6" customWidth="1"/>
    <col min="18" max="18" width="4.33203125" style="6" customWidth="1"/>
    <col min="19" max="19" width="7.1640625" style="32" bestFit="1" customWidth="1"/>
    <col min="20" max="20" width="8.5" style="6" bestFit="1" customWidth="1"/>
    <col min="21" max="21" width="19.5" style="5" customWidth="1"/>
    <col min="22" max="16384" width="9.1640625" style="3"/>
  </cols>
  <sheetData>
    <row r="1" spans="1:21" s="2" customFormat="1" ht="29" customHeight="1">
      <c r="A1" s="49" t="s">
        <v>506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1" s="1" customFormat="1" ht="12.75" customHeight="1">
      <c r="A3" s="57" t="s">
        <v>529</v>
      </c>
      <c r="B3" s="41" t="s">
        <v>0</v>
      </c>
      <c r="C3" s="59" t="s">
        <v>530</v>
      </c>
      <c r="D3" s="59" t="s">
        <v>6</v>
      </c>
      <c r="E3" s="43" t="s">
        <v>531</v>
      </c>
      <c r="F3" s="43" t="s">
        <v>5</v>
      </c>
      <c r="G3" s="43" t="s">
        <v>7</v>
      </c>
      <c r="H3" s="43"/>
      <c r="I3" s="43"/>
      <c r="J3" s="43"/>
      <c r="K3" s="43" t="s">
        <v>8</v>
      </c>
      <c r="L3" s="43"/>
      <c r="M3" s="43"/>
      <c r="N3" s="43"/>
      <c r="O3" s="43" t="s">
        <v>9</v>
      </c>
      <c r="P3" s="43"/>
      <c r="Q3" s="43"/>
      <c r="R3" s="43"/>
      <c r="S3" s="60" t="s">
        <v>1</v>
      </c>
      <c r="T3" s="43" t="s">
        <v>3</v>
      </c>
      <c r="U3" s="45" t="s">
        <v>2</v>
      </c>
    </row>
    <row r="4" spans="1:21" s="1" customFormat="1" ht="21" customHeight="1" thickBot="1">
      <c r="A4" s="58"/>
      <c r="B4" s="4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1"/>
      <c r="T4" s="44"/>
      <c r="U4" s="46"/>
    </row>
    <row r="5" spans="1:21" ht="16">
      <c r="A5" s="47" t="s">
        <v>111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1">
      <c r="A6" s="8" t="s">
        <v>108</v>
      </c>
      <c r="B6" s="7" t="s">
        <v>112</v>
      </c>
      <c r="C6" s="7" t="s">
        <v>113</v>
      </c>
      <c r="D6" s="7" t="s">
        <v>114</v>
      </c>
      <c r="E6" s="7" t="s">
        <v>535</v>
      </c>
      <c r="F6" s="7" t="s">
        <v>14</v>
      </c>
      <c r="G6" s="18" t="s">
        <v>59</v>
      </c>
      <c r="H6" s="19" t="s">
        <v>40</v>
      </c>
      <c r="I6" s="18" t="s">
        <v>40</v>
      </c>
      <c r="J6" s="8"/>
      <c r="K6" s="19" t="s">
        <v>115</v>
      </c>
      <c r="L6" s="18" t="s">
        <v>115</v>
      </c>
      <c r="M6" s="18" t="s">
        <v>29</v>
      </c>
      <c r="N6" s="8"/>
      <c r="O6" s="18" t="s">
        <v>68</v>
      </c>
      <c r="P6" s="18" t="s">
        <v>52</v>
      </c>
      <c r="Q6" s="19" t="s">
        <v>59</v>
      </c>
      <c r="R6" s="8"/>
      <c r="S6" s="33" t="str">
        <f>"540,0"</f>
        <v>540,0</v>
      </c>
      <c r="T6" s="8" t="str">
        <f>"419,8500"</f>
        <v>419,8500</v>
      </c>
      <c r="U6" s="28" t="s">
        <v>481</v>
      </c>
    </row>
    <row r="7" spans="1:21">
      <c r="B7" s="5" t="s">
        <v>109</v>
      </c>
    </row>
    <row r="8" spans="1:21" ht="16">
      <c r="A8" s="39" t="s">
        <v>10</v>
      </c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21">
      <c r="A9" s="8" t="s">
        <v>108</v>
      </c>
      <c r="B9" s="7" t="s">
        <v>116</v>
      </c>
      <c r="C9" s="7" t="s">
        <v>117</v>
      </c>
      <c r="D9" s="7" t="s">
        <v>118</v>
      </c>
      <c r="E9" s="7" t="s">
        <v>532</v>
      </c>
      <c r="F9" s="7" t="s">
        <v>14</v>
      </c>
      <c r="G9" s="18" t="s">
        <v>119</v>
      </c>
      <c r="H9" s="18" t="s">
        <v>15</v>
      </c>
      <c r="I9" s="18" t="s">
        <v>88</v>
      </c>
      <c r="J9" s="8"/>
      <c r="K9" s="19" t="s">
        <v>15</v>
      </c>
      <c r="L9" s="18" t="s">
        <v>15</v>
      </c>
      <c r="M9" s="18" t="s">
        <v>120</v>
      </c>
      <c r="N9" s="8"/>
      <c r="O9" s="18" t="s">
        <v>20</v>
      </c>
      <c r="P9" s="18" t="s">
        <v>121</v>
      </c>
      <c r="Q9" s="18" t="s">
        <v>21</v>
      </c>
      <c r="R9" s="8"/>
      <c r="S9" s="33" t="str">
        <f>"462,5"</f>
        <v>462,5</v>
      </c>
      <c r="T9" s="8" t="str">
        <f>"333,0000"</f>
        <v>333,0000</v>
      </c>
      <c r="U9" s="28" t="s">
        <v>481</v>
      </c>
    </row>
    <row r="10" spans="1:21">
      <c r="B10" s="5" t="s">
        <v>109</v>
      </c>
    </row>
    <row r="11" spans="1:21" ht="16">
      <c r="A11" s="39" t="s">
        <v>23</v>
      </c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21">
      <c r="A12" s="8" t="s">
        <v>145</v>
      </c>
      <c r="B12" s="7" t="s">
        <v>122</v>
      </c>
      <c r="C12" s="7" t="s">
        <v>123</v>
      </c>
      <c r="D12" s="7" t="s">
        <v>124</v>
      </c>
      <c r="E12" s="7" t="s">
        <v>535</v>
      </c>
      <c r="F12" s="7" t="s">
        <v>14</v>
      </c>
      <c r="G12" s="18" t="s">
        <v>125</v>
      </c>
      <c r="H12" s="19" t="s">
        <v>15</v>
      </c>
      <c r="I12" s="18" t="s">
        <v>15</v>
      </c>
      <c r="J12" s="8"/>
      <c r="K12" s="19" t="s">
        <v>126</v>
      </c>
      <c r="L12" s="19" t="s">
        <v>126</v>
      </c>
      <c r="M12" s="19" t="s">
        <v>126</v>
      </c>
      <c r="N12" s="8"/>
      <c r="O12" s="19"/>
      <c r="P12" s="8"/>
      <c r="Q12" s="8"/>
      <c r="R12" s="8"/>
      <c r="S12" s="33">
        <v>0</v>
      </c>
      <c r="T12" s="8" t="str">
        <f>"0,0000"</f>
        <v>0,0000</v>
      </c>
      <c r="U12" s="28" t="s">
        <v>481</v>
      </c>
    </row>
    <row r="13" spans="1:21">
      <c r="B13" s="5" t="s">
        <v>109</v>
      </c>
    </row>
    <row r="14" spans="1:21" ht="16">
      <c r="A14" s="39" t="s">
        <v>33</v>
      </c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21">
      <c r="A15" s="10" t="s">
        <v>108</v>
      </c>
      <c r="B15" s="9" t="s">
        <v>127</v>
      </c>
      <c r="C15" s="9" t="s">
        <v>128</v>
      </c>
      <c r="D15" s="9" t="s">
        <v>129</v>
      </c>
      <c r="E15" s="9" t="s">
        <v>532</v>
      </c>
      <c r="F15" s="9" t="s">
        <v>14</v>
      </c>
      <c r="G15" s="21" t="s">
        <v>59</v>
      </c>
      <c r="H15" s="21" t="s">
        <v>40</v>
      </c>
      <c r="I15" s="21" t="s">
        <v>37</v>
      </c>
      <c r="J15" s="10"/>
      <c r="K15" s="21" t="s">
        <v>29</v>
      </c>
      <c r="L15" s="21" t="s">
        <v>130</v>
      </c>
      <c r="M15" s="21" t="s">
        <v>30</v>
      </c>
      <c r="N15" s="10"/>
      <c r="O15" s="21" t="s">
        <v>37</v>
      </c>
      <c r="P15" s="21" t="s">
        <v>38</v>
      </c>
      <c r="Q15" s="20" t="s">
        <v>46</v>
      </c>
      <c r="R15" s="10"/>
      <c r="S15" s="34" t="str">
        <f>"602,5"</f>
        <v>602,5</v>
      </c>
      <c r="T15" s="10" t="str">
        <f>"387,7690"</f>
        <v>387,7690</v>
      </c>
      <c r="U15" s="29" t="s">
        <v>481</v>
      </c>
    </row>
    <row r="16" spans="1:21">
      <c r="A16" s="12" t="s">
        <v>110</v>
      </c>
      <c r="B16" s="11" t="s">
        <v>131</v>
      </c>
      <c r="C16" s="11" t="s">
        <v>132</v>
      </c>
      <c r="D16" s="11" t="s">
        <v>133</v>
      </c>
      <c r="E16" s="11" t="s">
        <v>532</v>
      </c>
      <c r="F16" s="11" t="s">
        <v>134</v>
      </c>
      <c r="G16" s="22" t="s">
        <v>68</v>
      </c>
      <c r="H16" s="23" t="s">
        <v>52</v>
      </c>
      <c r="I16" s="22" t="s">
        <v>135</v>
      </c>
      <c r="J16" s="12"/>
      <c r="K16" s="22" t="s">
        <v>29</v>
      </c>
      <c r="L16" s="22" t="s">
        <v>136</v>
      </c>
      <c r="M16" s="23" t="s">
        <v>125</v>
      </c>
      <c r="N16" s="12"/>
      <c r="O16" s="22" t="s">
        <v>52</v>
      </c>
      <c r="P16" s="22" t="s">
        <v>40</v>
      </c>
      <c r="Q16" s="23" t="s">
        <v>37</v>
      </c>
      <c r="R16" s="12"/>
      <c r="S16" s="35" t="str">
        <f>"550,0"</f>
        <v>550,0</v>
      </c>
      <c r="T16" s="12" t="str">
        <f>"352,7150"</f>
        <v>352,7150</v>
      </c>
      <c r="U16" s="30" t="s">
        <v>481</v>
      </c>
    </row>
    <row r="17" spans="1:21">
      <c r="B17" s="5" t="s">
        <v>109</v>
      </c>
    </row>
    <row r="18" spans="1:21" ht="16">
      <c r="A18" s="39" t="s">
        <v>42</v>
      </c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21">
      <c r="A19" s="8" t="s">
        <v>108</v>
      </c>
      <c r="B19" s="7" t="s">
        <v>137</v>
      </c>
      <c r="C19" s="7" t="s">
        <v>138</v>
      </c>
      <c r="D19" s="7" t="s">
        <v>139</v>
      </c>
      <c r="E19" s="7" t="s">
        <v>532</v>
      </c>
      <c r="F19" s="7" t="s">
        <v>134</v>
      </c>
      <c r="G19" s="18" t="s">
        <v>52</v>
      </c>
      <c r="H19" s="18" t="s">
        <v>59</v>
      </c>
      <c r="I19" s="18" t="s">
        <v>40</v>
      </c>
      <c r="J19" s="8"/>
      <c r="K19" s="18" t="s">
        <v>15</v>
      </c>
      <c r="L19" s="18" t="s">
        <v>88</v>
      </c>
      <c r="M19" s="18" t="s">
        <v>16</v>
      </c>
      <c r="N19" s="8"/>
      <c r="O19" s="18" t="s">
        <v>68</v>
      </c>
      <c r="P19" s="18" t="s">
        <v>52</v>
      </c>
      <c r="Q19" s="18" t="s">
        <v>59</v>
      </c>
      <c r="R19" s="8"/>
      <c r="S19" s="33" t="str">
        <f>"580,0"</f>
        <v>580,0</v>
      </c>
      <c r="T19" s="8" t="str">
        <f>"355,7720"</f>
        <v>355,7720</v>
      </c>
      <c r="U19" s="28" t="s">
        <v>481</v>
      </c>
    </row>
    <row r="20" spans="1:21">
      <c r="B20" s="5" t="s">
        <v>109</v>
      </c>
    </row>
    <row r="21" spans="1:21" ht="16">
      <c r="A21" s="39" t="s">
        <v>140</v>
      </c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21">
      <c r="A22" s="8" t="s">
        <v>108</v>
      </c>
      <c r="B22" s="7" t="s">
        <v>141</v>
      </c>
      <c r="C22" s="7" t="s">
        <v>142</v>
      </c>
      <c r="D22" s="7" t="s">
        <v>143</v>
      </c>
      <c r="E22" s="7" t="s">
        <v>532</v>
      </c>
      <c r="F22" s="7" t="s">
        <v>14</v>
      </c>
      <c r="G22" s="19" t="s">
        <v>59</v>
      </c>
      <c r="H22" s="18" t="s">
        <v>59</v>
      </c>
      <c r="I22" s="18" t="s">
        <v>76</v>
      </c>
      <c r="J22" s="8"/>
      <c r="K22" s="18" t="s">
        <v>29</v>
      </c>
      <c r="L22" s="19" t="s">
        <v>125</v>
      </c>
      <c r="M22" s="18" t="s">
        <v>119</v>
      </c>
      <c r="N22" s="8"/>
      <c r="O22" s="18" t="s">
        <v>40</v>
      </c>
      <c r="P22" s="19" t="s">
        <v>77</v>
      </c>
      <c r="Q22" s="18" t="s">
        <v>37</v>
      </c>
      <c r="R22" s="8"/>
      <c r="S22" s="33" t="str">
        <f>"580,0"</f>
        <v>580,0</v>
      </c>
      <c r="T22" s="8" t="str">
        <f>"332,1080"</f>
        <v>332,1080</v>
      </c>
      <c r="U22" s="7"/>
    </row>
    <row r="23" spans="1:21">
      <c r="B23" s="5" t="s">
        <v>109</v>
      </c>
    </row>
  </sheetData>
  <mergeCells count="19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  <mergeCell ref="A21:R21"/>
    <mergeCell ref="A5:R5"/>
    <mergeCell ref="A8:R8"/>
    <mergeCell ref="A11:R11"/>
    <mergeCell ref="A14:R14"/>
    <mergeCell ref="A18:R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5">
    <pageSetUpPr fitToPage="1"/>
  </sheetPr>
  <dimension ref="A1:U37"/>
  <sheetViews>
    <sheetView workbookViewId="0">
      <selection activeCell="E28" sqref="E28"/>
    </sheetView>
  </sheetViews>
  <sheetFormatPr baseColWidth="10" defaultColWidth="9.1640625" defaultRowHeight="13"/>
  <cols>
    <col min="1" max="1" width="6.6640625" style="5" bestFit="1" customWidth="1"/>
    <col min="2" max="2" width="18.33203125" style="5" bestFit="1" customWidth="1"/>
    <col min="3" max="3" width="27.1640625" style="5" bestFit="1" customWidth="1"/>
    <col min="4" max="4" width="20" style="5" bestFit="1" customWidth="1"/>
    <col min="5" max="5" width="9.6640625" style="5" bestFit="1" customWidth="1"/>
    <col min="6" max="6" width="28.33203125" style="5" bestFit="1" customWidth="1"/>
    <col min="7" max="9" width="5.5" style="6" customWidth="1"/>
    <col min="10" max="10" width="4.33203125" style="6" customWidth="1"/>
    <col min="11" max="13" width="5.5" style="6" customWidth="1"/>
    <col min="14" max="14" width="4.33203125" style="6" customWidth="1"/>
    <col min="15" max="17" width="5.5" style="6" customWidth="1"/>
    <col min="18" max="18" width="4.33203125" style="6" customWidth="1"/>
    <col min="19" max="19" width="7.1640625" style="6" bestFit="1" customWidth="1"/>
    <col min="20" max="20" width="8.5" style="6" bestFit="1" customWidth="1"/>
    <col min="21" max="21" width="19.1640625" style="5" bestFit="1" customWidth="1"/>
    <col min="22" max="16384" width="9.1640625" style="3"/>
  </cols>
  <sheetData>
    <row r="1" spans="1:21" s="2" customFormat="1" ht="29" customHeight="1">
      <c r="A1" s="49" t="s">
        <v>507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1" s="1" customFormat="1" ht="12.75" customHeight="1">
      <c r="A3" s="57" t="s">
        <v>529</v>
      </c>
      <c r="B3" s="41" t="s">
        <v>0</v>
      </c>
      <c r="C3" s="59" t="s">
        <v>530</v>
      </c>
      <c r="D3" s="59" t="s">
        <v>6</v>
      </c>
      <c r="E3" s="43" t="s">
        <v>531</v>
      </c>
      <c r="F3" s="43" t="s">
        <v>5</v>
      </c>
      <c r="G3" s="43" t="s">
        <v>7</v>
      </c>
      <c r="H3" s="43"/>
      <c r="I3" s="43"/>
      <c r="J3" s="43"/>
      <c r="K3" s="43" t="s">
        <v>8</v>
      </c>
      <c r="L3" s="43"/>
      <c r="M3" s="43"/>
      <c r="N3" s="43"/>
      <c r="O3" s="43" t="s">
        <v>9</v>
      </c>
      <c r="P3" s="43"/>
      <c r="Q3" s="43"/>
      <c r="R3" s="43"/>
      <c r="S3" s="43" t="s">
        <v>1</v>
      </c>
      <c r="T3" s="43" t="s">
        <v>3</v>
      </c>
      <c r="U3" s="45" t="s">
        <v>2</v>
      </c>
    </row>
    <row r="4" spans="1:21" s="1" customFormat="1" ht="21" customHeight="1" thickBot="1">
      <c r="A4" s="58"/>
      <c r="B4" s="4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46"/>
    </row>
    <row r="5" spans="1:21" ht="16">
      <c r="A5" s="47" t="s">
        <v>10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1">
      <c r="A6" s="8" t="s">
        <v>108</v>
      </c>
      <c r="B6" s="7" t="s">
        <v>11</v>
      </c>
      <c r="C6" s="7" t="s">
        <v>12</v>
      </c>
      <c r="D6" s="7" t="s">
        <v>13</v>
      </c>
      <c r="E6" s="7" t="s">
        <v>532</v>
      </c>
      <c r="F6" s="7" t="s">
        <v>14</v>
      </c>
      <c r="G6" s="18" t="s">
        <v>15</v>
      </c>
      <c r="H6" s="19" t="s">
        <v>16</v>
      </c>
      <c r="I6" s="19" t="s">
        <v>16</v>
      </c>
      <c r="J6" s="8"/>
      <c r="K6" s="18" t="s">
        <v>17</v>
      </c>
      <c r="L6" s="18" t="s">
        <v>18</v>
      </c>
      <c r="M6" s="18" t="s">
        <v>19</v>
      </c>
      <c r="N6" s="8"/>
      <c r="O6" s="18" t="s">
        <v>20</v>
      </c>
      <c r="P6" s="18" t="s">
        <v>21</v>
      </c>
      <c r="Q6" s="19" t="s">
        <v>22</v>
      </c>
      <c r="R6" s="8"/>
      <c r="S6" s="8" t="str">
        <f>"380,0"</f>
        <v>380,0</v>
      </c>
      <c r="T6" s="8" t="str">
        <f>"367,8780"</f>
        <v>367,8780</v>
      </c>
      <c r="U6" s="28" t="s">
        <v>481</v>
      </c>
    </row>
    <row r="7" spans="1:21">
      <c r="B7" s="5" t="s">
        <v>109</v>
      </c>
    </row>
    <row r="8" spans="1:21" ht="16">
      <c r="A8" s="39" t="s">
        <v>23</v>
      </c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21">
      <c r="A9" s="8" t="s">
        <v>108</v>
      </c>
      <c r="B9" s="7" t="s">
        <v>24</v>
      </c>
      <c r="C9" s="7" t="s">
        <v>25</v>
      </c>
      <c r="D9" s="7" t="s">
        <v>26</v>
      </c>
      <c r="E9" s="7" t="s">
        <v>532</v>
      </c>
      <c r="F9" s="7" t="s">
        <v>14</v>
      </c>
      <c r="G9" s="19" t="s">
        <v>27</v>
      </c>
      <c r="H9" s="18" t="s">
        <v>27</v>
      </c>
      <c r="I9" s="18" t="s">
        <v>28</v>
      </c>
      <c r="J9" s="8"/>
      <c r="K9" s="18" t="s">
        <v>29</v>
      </c>
      <c r="L9" s="18" t="s">
        <v>30</v>
      </c>
      <c r="M9" s="18" t="s">
        <v>31</v>
      </c>
      <c r="N9" s="8"/>
      <c r="O9" s="19" t="s">
        <v>27</v>
      </c>
      <c r="P9" s="18" t="s">
        <v>27</v>
      </c>
      <c r="Q9" s="19" t="s">
        <v>32</v>
      </c>
      <c r="R9" s="8"/>
      <c r="S9" s="8" t="str">
        <f>"682,5"</f>
        <v>682,5</v>
      </c>
      <c r="T9" s="8" t="str">
        <f>"459,9368"</f>
        <v>459,9368</v>
      </c>
      <c r="U9" s="28" t="s">
        <v>481</v>
      </c>
    </row>
    <row r="10" spans="1:21">
      <c r="B10" s="5" t="s">
        <v>109</v>
      </c>
    </row>
    <row r="11" spans="1:21" ht="16">
      <c r="A11" s="39" t="s">
        <v>33</v>
      </c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21">
      <c r="A12" s="8" t="s">
        <v>108</v>
      </c>
      <c r="B12" s="7" t="s">
        <v>34</v>
      </c>
      <c r="C12" s="7" t="s">
        <v>35</v>
      </c>
      <c r="D12" s="7" t="s">
        <v>36</v>
      </c>
      <c r="E12" s="7" t="s">
        <v>532</v>
      </c>
      <c r="F12" s="7" t="s">
        <v>14</v>
      </c>
      <c r="G12" s="19" t="s">
        <v>37</v>
      </c>
      <c r="H12" s="18" t="s">
        <v>37</v>
      </c>
      <c r="I12" s="19" t="s">
        <v>38</v>
      </c>
      <c r="J12" s="8"/>
      <c r="K12" s="18" t="s">
        <v>16</v>
      </c>
      <c r="L12" s="19" t="s">
        <v>39</v>
      </c>
      <c r="M12" s="19" t="s">
        <v>39</v>
      </c>
      <c r="N12" s="8"/>
      <c r="O12" s="18" t="s">
        <v>40</v>
      </c>
      <c r="P12" s="19" t="s">
        <v>37</v>
      </c>
      <c r="Q12" s="19" t="s">
        <v>41</v>
      </c>
      <c r="R12" s="8"/>
      <c r="S12" s="8" t="str">
        <f>"600,0"</f>
        <v>600,0</v>
      </c>
      <c r="T12" s="8" t="str">
        <f>"391,1400"</f>
        <v>391,1400</v>
      </c>
      <c r="U12" s="28" t="s">
        <v>503</v>
      </c>
    </row>
    <row r="13" spans="1:21">
      <c r="B13" s="5" t="s">
        <v>109</v>
      </c>
    </row>
    <row r="14" spans="1:21" ht="16">
      <c r="A14" s="39" t="s">
        <v>42</v>
      </c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21">
      <c r="A15" s="10" t="s">
        <v>108</v>
      </c>
      <c r="B15" s="9" t="s">
        <v>43</v>
      </c>
      <c r="C15" s="9" t="s">
        <v>44</v>
      </c>
      <c r="D15" s="9" t="s">
        <v>45</v>
      </c>
      <c r="E15" s="9" t="s">
        <v>532</v>
      </c>
      <c r="F15" s="9" t="s">
        <v>14</v>
      </c>
      <c r="G15" s="20" t="s">
        <v>46</v>
      </c>
      <c r="H15" s="20" t="s">
        <v>46</v>
      </c>
      <c r="I15" s="21" t="s">
        <v>46</v>
      </c>
      <c r="J15" s="10"/>
      <c r="K15" s="21" t="s">
        <v>16</v>
      </c>
      <c r="L15" s="20" t="s">
        <v>20</v>
      </c>
      <c r="M15" s="20" t="s">
        <v>47</v>
      </c>
      <c r="N15" s="10"/>
      <c r="O15" s="21" t="s">
        <v>48</v>
      </c>
      <c r="P15" s="21" t="s">
        <v>46</v>
      </c>
      <c r="Q15" s="20" t="s">
        <v>27</v>
      </c>
      <c r="R15" s="10"/>
      <c r="S15" s="10" t="str">
        <f>"650,0"</f>
        <v>650,0</v>
      </c>
      <c r="T15" s="10" t="str">
        <f>"397,3450"</f>
        <v>397,3450</v>
      </c>
      <c r="U15" s="29" t="s">
        <v>481</v>
      </c>
    </row>
    <row r="16" spans="1:21">
      <c r="A16" s="12" t="s">
        <v>108</v>
      </c>
      <c r="B16" s="11" t="s">
        <v>49</v>
      </c>
      <c r="C16" s="11" t="s">
        <v>50</v>
      </c>
      <c r="D16" s="11" t="s">
        <v>51</v>
      </c>
      <c r="E16" s="11" t="s">
        <v>534</v>
      </c>
      <c r="F16" s="11" t="s">
        <v>14</v>
      </c>
      <c r="G16" s="22" t="s">
        <v>52</v>
      </c>
      <c r="H16" s="22" t="s">
        <v>40</v>
      </c>
      <c r="I16" s="22" t="s">
        <v>37</v>
      </c>
      <c r="J16" s="12"/>
      <c r="K16" s="22" t="s">
        <v>20</v>
      </c>
      <c r="L16" s="22" t="s">
        <v>21</v>
      </c>
      <c r="M16" s="23" t="s">
        <v>53</v>
      </c>
      <c r="N16" s="12"/>
      <c r="O16" s="22" t="s">
        <v>52</v>
      </c>
      <c r="P16" s="22" t="s">
        <v>40</v>
      </c>
      <c r="Q16" s="22" t="s">
        <v>37</v>
      </c>
      <c r="R16" s="12"/>
      <c r="S16" s="12" t="str">
        <f>"630,0"</f>
        <v>630,0</v>
      </c>
      <c r="T16" s="12" t="str">
        <f>"385,4340"</f>
        <v>385,4340</v>
      </c>
      <c r="U16" s="30" t="s">
        <v>481</v>
      </c>
    </row>
    <row r="17" spans="1:21">
      <c r="B17" s="5" t="s">
        <v>109</v>
      </c>
    </row>
    <row r="18" spans="1:21" ht="16">
      <c r="A18" s="39" t="s">
        <v>54</v>
      </c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21">
      <c r="A19" s="10" t="s">
        <v>108</v>
      </c>
      <c r="B19" s="9" t="s">
        <v>55</v>
      </c>
      <c r="C19" s="9" t="s">
        <v>56</v>
      </c>
      <c r="D19" s="9" t="s">
        <v>57</v>
      </c>
      <c r="E19" s="9" t="s">
        <v>532</v>
      </c>
      <c r="F19" s="9" t="s">
        <v>14</v>
      </c>
      <c r="G19" s="21" t="s">
        <v>32</v>
      </c>
      <c r="H19" s="20" t="s">
        <v>58</v>
      </c>
      <c r="I19" s="20" t="s">
        <v>58</v>
      </c>
      <c r="J19" s="10"/>
      <c r="K19" s="21" t="s">
        <v>52</v>
      </c>
      <c r="L19" s="21" t="s">
        <v>59</v>
      </c>
      <c r="M19" s="20" t="s">
        <v>60</v>
      </c>
      <c r="N19" s="10"/>
      <c r="O19" s="21" t="s">
        <v>61</v>
      </c>
      <c r="P19" s="20" t="s">
        <v>62</v>
      </c>
      <c r="Q19" s="20" t="s">
        <v>62</v>
      </c>
      <c r="R19" s="10"/>
      <c r="S19" s="10" t="str">
        <f>"850,0"</f>
        <v>850,0</v>
      </c>
      <c r="T19" s="10" t="str">
        <f>"504,9850"</f>
        <v>504,9850</v>
      </c>
      <c r="U19" s="29" t="s">
        <v>481</v>
      </c>
    </row>
    <row r="20" spans="1:21">
      <c r="A20" s="12" t="s">
        <v>110</v>
      </c>
      <c r="B20" s="11" t="s">
        <v>63</v>
      </c>
      <c r="C20" s="11" t="s">
        <v>64</v>
      </c>
      <c r="D20" s="11" t="s">
        <v>65</v>
      </c>
      <c r="E20" s="11" t="s">
        <v>532</v>
      </c>
      <c r="F20" s="11" t="s">
        <v>14</v>
      </c>
      <c r="G20" s="22" t="s">
        <v>32</v>
      </c>
      <c r="H20" s="22" t="s">
        <v>58</v>
      </c>
      <c r="I20" s="23" t="s">
        <v>66</v>
      </c>
      <c r="J20" s="12"/>
      <c r="K20" s="22" t="s">
        <v>22</v>
      </c>
      <c r="L20" s="22" t="s">
        <v>67</v>
      </c>
      <c r="M20" s="23" t="s">
        <v>68</v>
      </c>
      <c r="N20" s="12"/>
      <c r="O20" s="22" t="s">
        <v>46</v>
      </c>
      <c r="P20" s="22" t="s">
        <v>27</v>
      </c>
      <c r="Q20" s="12"/>
      <c r="R20" s="12"/>
      <c r="S20" s="12" t="str">
        <f>"765,0"</f>
        <v>765,0</v>
      </c>
      <c r="T20" s="12" t="str">
        <f>"450,5850"</f>
        <v>450,5850</v>
      </c>
      <c r="U20" s="30" t="s">
        <v>481</v>
      </c>
    </row>
    <row r="21" spans="1:21">
      <c r="B21" s="5" t="s">
        <v>109</v>
      </c>
    </row>
    <row r="22" spans="1:21" ht="16">
      <c r="A22" s="39" t="s">
        <v>69</v>
      </c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21">
      <c r="A23" s="10" t="s">
        <v>108</v>
      </c>
      <c r="B23" s="9" t="s">
        <v>70</v>
      </c>
      <c r="C23" s="9" t="s">
        <v>71</v>
      </c>
      <c r="D23" s="9" t="s">
        <v>72</v>
      </c>
      <c r="E23" s="9" t="s">
        <v>532</v>
      </c>
      <c r="F23" s="9" t="s">
        <v>14</v>
      </c>
      <c r="G23" s="21" t="s">
        <v>73</v>
      </c>
      <c r="H23" s="21" t="s">
        <v>74</v>
      </c>
      <c r="I23" s="21" t="s">
        <v>75</v>
      </c>
      <c r="J23" s="10"/>
      <c r="K23" s="21" t="s">
        <v>52</v>
      </c>
      <c r="L23" s="21" t="s">
        <v>76</v>
      </c>
      <c r="M23" s="21" t="s">
        <v>77</v>
      </c>
      <c r="N23" s="10"/>
      <c r="O23" s="21" t="s">
        <v>32</v>
      </c>
      <c r="P23" s="21" t="s">
        <v>66</v>
      </c>
      <c r="Q23" s="20" t="s">
        <v>78</v>
      </c>
      <c r="R23" s="10"/>
      <c r="S23" s="10" t="str">
        <f>"970,0"</f>
        <v>970,0</v>
      </c>
      <c r="T23" s="10" t="str">
        <f>"544,4610"</f>
        <v>544,4610</v>
      </c>
      <c r="U23" s="29" t="s">
        <v>481</v>
      </c>
    </row>
    <row r="24" spans="1:21">
      <c r="A24" s="12" t="s">
        <v>110</v>
      </c>
      <c r="B24" s="11" t="s">
        <v>79</v>
      </c>
      <c r="C24" s="11" t="s">
        <v>80</v>
      </c>
      <c r="D24" s="11" t="s">
        <v>81</v>
      </c>
      <c r="E24" s="11" t="s">
        <v>532</v>
      </c>
      <c r="F24" s="11" t="s">
        <v>82</v>
      </c>
      <c r="G24" s="22" t="s">
        <v>32</v>
      </c>
      <c r="H24" s="23" t="s">
        <v>58</v>
      </c>
      <c r="I24" s="23" t="s">
        <v>61</v>
      </c>
      <c r="J24" s="12"/>
      <c r="K24" s="22" t="s">
        <v>20</v>
      </c>
      <c r="L24" s="22" t="s">
        <v>21</v>
      </c>
      <c r="M24" s="22" t="s">
        <v>22</v>
      </c>
      <c r="N24" s="12"/>
      <c r="O24" s="22" t="s">
        <v>32</v>
      </c>
      <c r="P24" s="23" t="s">
        <v>83</v>
      </c>
      <c r="Q24" s="23" t="s">
        <v>58</v>
      </c>
      <c r="R24" s="12"/>
      <c r="S24" s="12" t="str">
        <f>"780,0"</f>
        <v>780,0</v>
      </c>
      <c r="T24" s="12" t="str">
        <f>"442,6500"</f>
        <v>442,6500</v>
      </c>
      <c r="U24" s="30" t="s">
        <v>481</v>
      </c>
    </row>
    <row r="25" spans="1:21">
      <c r="B25" s="5" t="s">
        <v>109</v>
      </c>
    </row>
    <row r="26" spans="1:21" ht="16">
      <c r="A26" s="39" t="s">
        <v>84</v>
      </c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>
      <c r="A27" s="8" t="s">
        <v>108</v>
      </c>
      <c r="B27" s="7" t="s">
        <v>85</v>
      </c>
      <c r="C27" s="7" t="s">
        <v>86</v>
      </c>
      <c r="D27" s="7" t="s">
        <v>87</v>
      </c>
      <c r="E27" s="7" t="s">
        <v>532</v>
      </c>
      <c r="F27" s="7" t="s">
        <v>14</v>
      </c>
      <c r="G27" s="19" t="s">
        <v>27</v>
      </c>
      <c r="H27" s="19" t="s">
        <v>27</v>
      </c>
      <c r="I27" s="18" t="s">
        <v>27</v>
      </c>
      <c r="J27" s="8"/>
      <c r="K27" s="18" t="s">
        <v>15</v>
      </c>
      <c r="L27" s="18" t="s">
        <v>88</v>
      </c>
      <c r="M27" s="19" t="s">
        <v>16</v>
      </c>
      <c r="N27" s="8"/>
      <c r="O27" s="19" t="s">
        <v>40</v>
      </c>
      <c r="P27" s="18" t="s">
        <v>40</v>
      </c>
      <c r="Q27" s="19" t="s">
        <v>38</v>
      </c>
      <c r="R27" s="8"/>
      <c r="S27" s="8" t="str">
        <f>"625,0"</f>
        <v>625,0</v>
      </c>
      <c r="T27" s="8" t="str">
        <f>"348,1250"</f>
        <v>348,1250</v>
      </c>
      <c r="U27" s="28" t="s">
        <v>481</v>
      </c>
    </row>
    <row r="28" spans="1:21">
      <c r="B28" s="5" t="s">
        <v>109</v>
      </c>
    </row>
    <row r="29" spans="1:21">
      <c r="B29" s="5" t="s">
        <v>109</v>
      </c>
    </row>
    <row r="30" spans="1:21">
      <c r="B30" s="5" t="s">
        <v>109</v>
      </c>
    </row>
    <row r="31" spans="1:21" ht="18">
      <c r="B31" s="13" t="s">
        <v>89</v>
      </c>
      <c r="C31" s="13"/>
      <c r="F31" s="3"/>
    </row>
    <row r="32" spans="1:21" ht="16">
      <c r="B32" s="14" t="s">
        <v>97</v>
      </c>
      <c r="C32" s="14"/>
      <c r="F32" s="3"/>
    </row>
    <row r="33" spans="2:6" ht="14">
      <c r="B33" s="15"/>
      <c r="C33" s="16" t="s">
        <v>91</v>
      </c>
      <c r="F33" s="3"/>
    </row>
    <row r="34" spans="2:6" ht="14">
      <c r="B34" s="17" t="s">
        <v>92</v>
      </c>
      <c r="C34" s="17" t="s">
        <v>93</v>
      </c>
      <c r="D34" s="17" t="s">
        <v>519</v>
      </c>
      <c r="E34" s="17" t="s">
        <v>94</v>
      </c>
      <c r="F34" s="17" t="s">
        <v>95</v>
      </c>
    </row>
    <row r="35" spans="2:6">
      <c r="B35" s="5" t="s">
        <v>70</v>
      </c>
      <c r="C35" s="5" t="s">
        <v>91</v>
      </c>
      <c r="D35" s="6" t="s">
        <v>98</v>
      </c>
      <c r="E35" s="6" t="s">
        <v>99</v>
      </c>
      <c r="F35" s="6" t="s">
        <v>100</v>
      </c>
    </row>
    <row r="36" spans="2:6">
      <c r="B36" s="5" t="s">
        <v>55</v>
      </c>
      <c r="C36" s="5" t="s">
        <v>91</v>
      </c>
      <c r="D36" s="6" t="s">
        <v>101</v>
      </c>
      <c r="E36" s="6" t="s">
        <v>102</v>
      </c>
      <c r="F36" s="6" t="s">
        <v>103</v>
      </c>
    </row>
    <row r="37" spans="2:6">
      <c r="B37" s="5" t="s">
        <v>24</v>
      </c>
      <c r="C37" s="5" t="s">
        <v>91</v>
      </c>
      <c r="D37" s="6" t="s">
        <v>104</v>
      </c>
      <c r="E37" s="6" t="s">
        <v>105</v>
      </c>
      <c r="F37" s="6" t="s">
        <v>106</v>
      </c>
    </row>
  </sheetData>
  <mergeCells count="20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22:R22"/>
    <mergeCell ref="A26:R26"/>
    <mergeCell ref="B3:B4"/>
    <mergeCell ref="A5:R5"/>
    <mergeCell ref="A8:R8"/>
    <mergeCell ref="A11:R11"/>
    <mergeCell ref="A14:R14"/>
    <mergeCell ref="A18:R18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7"/>
  <sheetViews>
    <sheetView workbookViewId="0">
      <selection activeCell="E7" sqref="E7"/>
    </sheetView>
  </sheetViews>
  <sheetFormatPr baseColWidth="10" defaultColWidth="9.1640625" defaultRowHeight="13"/>
  <cols>
    <col min="1" max="1" width="6.6640625" style="5" bestFit="1" customWidth="1"/>
    <col min="2" max="2" width="17.33203125" style="5" bestFit="1" customWidth="1"/>
    <col min="3" max="3" width="24.5" style="5" bestFit="1" customWidth="1"/>
    <col min="4" max="4" width="20" style="5" bestFit="1" customWidth="1"/>
    <col min="5" max="5" width="9.6640625" style="5" bestFit="1" customWidth="1"/>
    <col min="6" max="6" width="23.1640625" style="5" bestFit="1" customWidth="1"/>
    <col min="7" max="9" width="5.5" style="6" customWidth="1"/>
    <col min="10" max="10" width="4.33203125" style="6" customWidth="1"/>
    <col min="11" max="13" width="5.5" style="6" customWidth="1"/>
    <col min="14" max="14" width="4.33203125" style="6" customWidth="1"/>
    <col min="15" max="17" width="5.5" style="6" customWidth="1"/>
    <col min="18" max="18" width="4.33203125" style="6" customWidth="1"/>
    <col min="19" max="19" width="7.1640625" style="6" bestFit="1" customWidth="1"/>
    <col min="20" max="20" width="8.5" style="6" bestFit="1" customWidth="1"/>
    <col min="21" max="21" width="20.33203125" style="5" customWidth="1"/>
    <col min="22" max="16384" width="9.1640625" style="3"/>
  </cols>
  <sheetData>
    <row r="1" spans="1:21" s="2" customFormat="1" ht="29" customHeight="1">
      <c r="A1" s="49" t="s">
        <v>508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1" s="1" customFormat="1" ht="12.75" customHeight="1">
      <c r="A3" s="57" t="s">
        <v>529</v>
      </c>
      <c r="B3" s="41" t="s">
        <v>0</v>
      </c>
      <c r="C3" s="59" t="s">
        <v>530</v>
      </c>
      <c r="D3" s="59" t="s">
        <v>6</v>
      </c>
      <c r="E3" s="43" t="s">
        <v>531</v>
      </c>
      <c r="F3" s="43" t="s">
        <v>5</v>
      </c>
      <c r="G3" s="43" t="s">
        <v>7</v>
      </c>
      <c r="H3" s="43"/>
      <c r="I3" s="43"/>
      <c r="J3" s="43"/>
      <c r="K3" s="43" t="s">
        <v>8</v>
      </c>
      <c r="L3" s="43"/>
      <c r="M3" s="43"/>
      <c r="N3" s="43"/>
      <c r="O3" s="43" t="s">
        <v>9</v>
      </c>
      <c r="P3" s="43"/>
      <c r="Q3" s="43"/>
      <c r="R3" s="43"/>
      <c r="S3" s="43" t="s">
        <v>1</v>
      </c>
      <c r="T3" s="43" t="s">
        <v>3</v>
      </c>
      <c r="U3" s="45" t="s">
        <v>2</v>
      </c>
    </row>
    <row r="4" spans="1:21" s="1" customFormat="1" ht="21" customHeight="1" thickBot="1">
      <c r="A4" s="58"/>
      <c r="B4" s="4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46"/>
    </row>
    <row r="5" spans="1:21" ht="16">
      <c r="A5" s="47" t="s">
        <v>10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1">
      <c r="A6" s="8" t="s">
        <v>108</v>
      </c>
      <c r="B6" s="7" t="s">
        <v>146</v>
      </c>
      <c r="C6" s="7" t="s">
        <v>147</v>
      </c>
      <c r="D6" s="7" t="s">
        <v>148</v>
      </c>
      <c r="E6" s="7" t="s">
        <v>533</v>
      </c>
      <c r="F6" s="7" t="s">
        <v>14</v>
      </c>
      <c r="G6" s="19" t="s">
        <v>29</v>
      </c>
      <c r="H6" s="19" t="s">
        <v>29</v>
      </c>
      <c r="I6" s="18" t="s">
        <v>29</v>
      </c>
      <c r="J6" s="8"/>
      <c r="K6" s="18" t="s">
        <v>149</v>
      </c>
      <c r="L6" s="18" t="s">
        <v>17</v>
      </c>
      <c r="M6" s="19" t="s">
        <v>19</v>
      </c>
      <c r="N6" s="8"/>
      <c r="O6" s="18" t="s">
        <v>29</v>
      </c>
      <c r="P6" s="18" t="s">
        <v>130</v>
      </c>
      <c r="Q6" s="18" t="s">
        <v>30</v>
      </c>
      <c r="R6" s="8"/>
      <c r="S6" s="8" t="str">
        <f>"317,5"</f>
        <v>317,5</v>
      </c>
      <c r="T6" s="8" t="str">
        <f>"311,9120"</f>
        <v>311,9120</v>
      </c>
      <c r="U6" s="28" t="s">
        <v>481</v>
      </c>
    </row>
    <row r="7" spans="1:21">
      <c r="B7" s="5" t="s">
        <v>109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"/>
  <sheetViews>
    <sheetView workbookViewId="0">
      <selection sqref="A1:Q2"/>
    </sheetView>
  </sheetViews>
  <sheetFormatPr baseColWidth="10" defaultColWidth="9.1640625" defaultRowHeight="13"/>
  <cols>
    <col min="1" max="1" width="6.6640625" style="5" bestFit="1" customWidth="1"/>
    <col min="2" max="2" width="20" style="5" customWidth="1"/>
    <col min="3" max="3" width="24.5" style="5" bestFit="1" customWidth="1"/>
    <col min="4" max="4" width="20" style="5" bestFit="1" customWidth="1"/>
    <col min="5" max="5" width="9.6640625" style="5" bestFit="1" customWidth="1"/>
    <col min="6" max="6" width="27.5" style="5" bestFit="1" customWidth="1"/>
    <col min="7" max="9" width="5.5" style="6" customWidth="1"/>
    <col min="10" max="10" width="4.33203125" style="6" customWidth="1"/>
    <col min="11" max="13" width="5.5" style="6" customWidth="1"/>
    <col min="14" max="14" width="4.33203125" style="6" customWidth="1"/>
    <col min="15" max="15" width="7.1640625" style="6" bestFit="1" customWidth="1"/>
    <col min="16" max="16" width="8.5" style="6" bestFit="1" customWidth="1"/>
    <col min="17" max="17" width="19.1640625" style="5" customWidth="1"/>
    <col min="18" max="16384" width="9.1640625" style="3"/>
  </cols>
  <sheetData>
    <row r="1" spans="1:17" s="2" customFormat="1" ht="29" customHeight="1">
      <c r="A1" s="49" t="s">
        <v>509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</row>
    <row r="3" spans="1:17" s="1" customFormat="1" ht="12.75" customHeight="1">
      <c r="A3" s="57" t="s">
        <v>529</v>
      </c>
      <c r="B3" s="41" t="s">
        <v>0</v>
      </c>
      <c r="C3" s="59" t="s">
        <v>530</v>
      </c>
      <c r="D3" s="59" t="s">
        <v>6</v>
      </c>
      <c r="E3" s="43" t="s">
        <v>531</v>
      </c>
      <c r="F3" s="43" t="s">
        <v>5</v>
      </c>
      <c r="G3" s="43" t="s">
        <v>8</v>
      </c>
      <c r="H3" s="43"/>
      <c r="I3" s="43"/>
      <c r="J3" s="43"/>
      <c r="K3" s="43" t="s">
        <v>9</v>
      </c>
      <c r="L3" s="43"/>
      <c r="M3" s="43"/>
      <c r="N3" s="43"/>
      <c r="O3" s="43" t="s">
        <v>1</v>
      </c>
      <c r="P3" s="43" t="s">
        <v>3</v>
      </c>
      <c r="Q3" s="45" t="s">
        <v>2</v>
      </c>
    </row>
    <row r="4" spans="1:17" s="1" customFormat="1" ht="21" customHeight="1" thickBot="1">
      <c r="A4" s="58"/>
      <c r="B4" s="4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4"/>
      <c r="P4" s="44"/>
      <c r="Q4" s="46"/>
    </row>
    <row r="5" spans="1:17" ht="16">
      <c r="A5" s="47" t="s">
        <v>10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7">
      <c r="A6" s="8" t="s">
        <v>108</v>
      </c>
      <c r="B6" s="7" t="s">
        <v>479</v>
      </c>
      <c r="C6" s="7" t="s">
        <v>480</v>
      </c>
      <c r="D6" s="7" t="s">
        <v>261</v>
      </c>
      <c r="E6" s="7" t="s">
        <v>532</v>
      </c>
      <c r="F6" s="7" t="s">
        <v>14</v>
      </c>
      <c r="G6" s="18" t="s">
        <v>155</v>
      </c>
      <c r="H6" s="18" t="s">
        <v>115</v>
      </c>
      <c r="I6" s="19" t="s">
        <v>158</v>
      </c>
      <c r="J6" s="8"/>
      <c r="K6" s="18" t="s">
        <v>20</v>
      </c>
      <c r="L6" s="18" t="s">
        <v>21</v>
      </c>
      <c r="M6" s="19" t="s">
        <v>22</v>
      </c>
      <c r="N6" s="8"/>
      <c r="O6" s="8" t="str">
        <f>"285,0"</f>
        <v>285,0</v>
      </c>
      <c r="P6" s="8" t="str">
        <f>"203,8320"</f>
        <v>203,8320</v>
      </c>
      <c r="Q6" s="7"/>
    </row>
    <row r="7" spans="1:17">
      <c r="B7" s="5" t="s">
        <v>109</v>
      </c>
    </row>
    <row r="8" spans="1:17" ht="16">
      <c r="A8" s="39" t="s">
        <v>54</v>
      </c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7">
      <c r="A9" s="8" t="s">
        <v>108</v>
      </c>
      <c r="B9" s="7" t="s">
        <v>277</v>
      </c>
      <c r="C9" s="7" t="s">
        <v>278</v>
      </c>
      <c r="D9" s="7" t="s">
        <v>279</v>
      </c>
      <c r="E9" s="7" t="s">
        <v>532</v>
      </c>
      <c r="F9" s="7" t="s">
        <v>280</v>
      </c>
      <c r="G9" s="18" t="s">
        <v>21</v>
      </c>
      <c r="H9" s="18" t="s">
        <v>22</v>
      </c>
      <c r="I9" s="19" t="s">
        <v>68</v>
      </c>
      <c r="J9" s="8"/>
      <c r="K9" s="18" t="s">
        <v>32</v>
      </c>
      <c r="L9" s="18" t="s">
        <v>83</v>
      </c>
      <c r="M9" s="18" t="s">
        <v>175</v>
      </c>
      <c r="N9" s="8"/>
      <c r="O9" s="8" t="str">
        <f>"495,0"</f>
        <v>495,0</v>
      </c>
      <c r="P9" s="8" t="str">
        <f>"293,2380"</f>
        <v>293,2380</v>
      </c>
      <c r="Q9" s="7"/>
    </row>
    <row r="10" spans="1:17">
      <c r="B10" s="5" t="s">
        <v>109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2"/>
  <sheetViews>
    <sheetView workbookViewId="0">
      <selection sqref="A1:Q2"/>
    </sheetView>
  </sheetViews>
  <sheetFormatPr baseColWidth="10" defaultColWidth="9.1640625" defaultRowHeight="13"/>
  <cols>
    <col min="1" max="1" width="6.6640625" style="5" bestFit="1" customWidth="1"/>
    <col min="2" max="2" width="22.5" style="5" customWidth="1"/>
    <col min="3" max="3" width="25.83203125" style="5" bestFit="1" customWidth="1"/>
    <col min="4" max="4" width="20" style="5" bestFit="1" customWidth="1"/>
    <col min="5" max="5" width="9.6640625" style="5" bestFit="1" customWidth="1"/>
    <col min="6" max="6" width="28.83203125" style="5" customWidth="1"/>
    <col min="7" max="9" width="5.5" style="6" customWidth="1"/>
    <col min="10" max="10" width="4.33203125" style="6" customWidth="1"/>
    <col min="11" max="13" width="5.5" style="6" customWidth="1"/>
    <col min="14" max="14" width="4.33203125" style="6" customWidth="1"/>
    <col min="15" max="15" width="7.1640625" style="32" bestFit="1" customWidth="1"/>
    <col min="16" max="16" width="8.5" style="6" bestFit="1" customWidth="1"/>
    <col min="17" max="17" width="18.83203125" style="5" bestFit="1" customWidth="1"/>
    <col min="18" max="16384" width="9.1640625" style="3"/>
  </cols>
  <sheetData>
    <row r="1" spans="1:17" s="2" customFormat="1" ht="29" customHeight="1">
      <c r="A1" s="49" t="s">
        <v>510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</row>
    <row r="3" spans="1:17" s="1" customFormat="1" ht="12.75" customHeight="1">
      <c r="A3" s="57" t="s">
        <v>529</v>
      </c>
      <c r="B3" s="41" t="s">
        <v>0</v>
      </c>
      <c r="C3" s="59" t="s">
        <v>530</v>
      </c>
      <c r="D3" s="59" t="s">
        <v>6</v>
      </c>
      <c r="E3" s="43" t="s">
        <v>531</v>
      </c>
      <c r="F3" s="43" t="s">
        <v>5</v>
      </c>
      <c r="G3" s="43" t="s">
        <v>8</v>
      </c>
      <c r="H3" s="43"/>
      <c r="I3" s="43"/>
      <c r="J3" s="43"/>
      <c r="K3" s="43" t="s">
        <v>9</v>
      </c>
      <c r="L3" s="43"/>
      <c r="M3" s="43"/>
      <c r="N3" s="43"/>
      <c r="O3" s="60" t="s">
        <v>1</v>
      </c>
      <c r="P3" s="43" t="s">
        <v>3</v>
      </c>
      <c r="Q3" s="45" t="s">
        <v>2</v>
      </c>
    </row>
    <row r="4" spans="1:17" s="1" customFormat="1" ht="21" customHeight="1" thickBot="1">
      <c r="A4" s="58"/>
      <c r="B4" s="4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1"/>
      <c r="P4" s="44"/>
      <c r="Q4" s="46"/>
    </row>
    <row r="5" spans="1:17" ht="16">
      <c r="A5" s="47" t="s">
        <v>150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7">
      <c r="A6" s="8" t="s">
        <v>108</v>
      </c>
      <c r="B6" s="7" t="s">
        <v>151</v>
      </c>
      <c r="C6" s="7" t="s">
        <v>152</v>
      </c>
      <c r="D6" s="7" t="s">
        <v>153</v>
      </c>
      <c r="E6" s="7" t="s">
        <v>532</v>
      </c>
      <c r="F6" s="7" t="s">
        <v>521</v>
      </c>
      <c r="G6" s="18" t="s">
        <v>156</v>
      </c>
      <c r="H6" s="19" t="s">
        <v>157</v>
      </c>
      <c r="I6" s="19" t="s">
        <v>157</v>
      </c>
      <c r="J6" s="8"/>
      <c r="K6" s="18" t="s">
        <v>154</v>
      </c>
      <c r="L6" s="18" t="s">
        <v>155</v>
      </c>
      <c r="M6" s="18" t="s">
        <v>158</v>
      </c>
      <c r="N6" s="8"/>
      <c r="O6" s="33" t="str">
        <f>"167,5"</f>
        <v>167,5</v>
      </c>
      <c r="P6" s="8" t="str">
        <f>"198,1860"</f>
        <v>198,1860</v>
      </c>
      <c r="Q6" s="28" t="s">
        <v>485</v>
      </c>
    </row>
    <row r="7" spans="1:17">
      <c r="B7" s="5" t="s">
        <v>109</v>
      </c>
    </row>
    <row r="8" spans="1:17" ht="16">
      <c r="A8" s="39" t="s">
        <v>159</v>
      </c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7">
      <c r="A9" s="10" t="s">
        <v>108</v>
      </c>
      <c r="B9" s="9" t="s">
        <v>160</v>
      </c>
      <c r="C9" s="9" t="s">
        <v>161</v>
      </c>
      <c r="D9" s="9" t="s">
        <v>162</v>
      </c>
      <c r="E9" s="9" t="s">
        <v>532</v>
      </c>
      <c r="F9" s="9" t="s">
        <v>521</v>
      </c>
      <c r="G9" s="21" t="s">
        <v>17</v>
      </c>
      <c r="H9" s="21" t="s">
        <v>163</v>
      </c>
      <c r="I9" s="20" t="s">
        <v>164</v>
      </c>
      <c r="J9" s="10"/>
      <c r="K9" s="21" t="s">
        <v>125</v>
      </c>
      <c r="L9" s="21" t="s">
        <v>15</v>
      </c>
      <c r="M9" s="20" t="s">
        <v>165</v>
      </c>
      <c r="N9" s="10"/>
      <c r="O9" s="34" t="str">
        <f>"212,5"</f>
        <v>212,5</v>
      </c>
      <c r="P9" s="10" t="str">
        <f>"236,9162"</f>
        <v>236,9162</v>
      </c>
      <c r="Q9" s="29" t="s">
        <v>485</v>
      </c>
    </row>
    <row r="10" spans="1:17">
      <c r="A10" s="12" t="s">
        <v>110</v>
      </c>
      <c r="B10" s="11" t="s">
        <v>468</v>
      </c>
      <c r="C10" s="11" t="s">
        <v>418</v>
      </c>
      <c r="D10" s="11" t="s">
        <v>469</v>
      </c>
      <c r="E10" s="11" t="s">
        <v>532</v>
      </c>
      <c r="F10" s="11" t="s">
        <v>521</v>
      </c>
      <c r="G10" s="22" t="s">
        <v>210</v>
      </c>
      <c r="H10" s="22" t="s">
        <v>211</v>
      </c>
      <c r="I10" s="23" t="s">
        <v>212</v>
      </c>
      <c r="J10" s="12"/>
      <c r="K10" s="22" t="s">
        <v>209</v>
      </c>
      <c r="L10" s="22" t="s">
        <v>126</v>
      </c>
      <c r="M10" s="22" t="s">
        <v>213</v>
      </c>
      <c r="N10" s="12"/>
      <c r="O10" s="35" t="str">
        <f>"137,5"</f>
        <v>137,5</v>
      </c>
      <c r="P10" s="12" t="str">
        <f>"155,1138"</f>
        <v>155,1138</v>
      </c>
      <c r="Q10" s="30" t="s">
        <v>483</v>
      </c>
    </row>
    <row r="11" spans="1:17">
      <c r="B11" s="5" t="s">
        <v>109</v>
      </c>
    </row>
    <row r="12" spans="1:17" ht="16">
      <c r="A12" s="39" t="s">
        <v>23</v>
      </c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7">
      <c r="A13" s="10" t="s">
        <v>108</v>
      </c>
      <c r="B13" s="9" t="s">
        <v>470</v>
      </c>
      <c r="C13" s="9" t="s">
        <v>471</v>
      </c>
      <c r="D13" s="9" t="s">
        <v>472</v>
      </c>
      <c r="E13" s="9" t="s">
        <v>535</v>
      </c>
      <c r="F13" s="9" t="s">
        <v>521</v>
      </c>
      <c r="G13" s="21" t="s">
        <v>170</v>
      </c>
      <c r="H13" s="21" t="s">
        <v>391</v>
      </c>
      <c r="I13" s="21" t="s">
        <v>158</v>
      </c>
      <c r="J13" s="10"/>
      <c r="K13" s="21" t="s">
        <v>39</v>
      </c>
      <c r="L13" s="21" t="s">
        <v>21</v>
      </c>
      <c r="M13" s="21" t="s">
        <v>344</v>
      </c>
      <c r="N13" s="10"/>
      <c r="O13" s="34" t="str">
        <f>"300,0"</f>
        <v>300,0</v>
      </c>
      <c r="P13" s="36" t="str">
        <f>"207,3000"</f>
        <v>207,3000</v>
      </c>
      <c r="Q13" s="9"/>
    </row>
    <row r="14" spans="1:17">
      <c r="A14" s="12" t="s">
        <v>108</v>
      </c>
      <c r="B14" s="11" t="s">
        <v>454</v>
      </c>
      <c r="C14" s="11" t="s">
        <v>455</v>
      </c>
      <c r="D14" s="11" t="s">
        <v>413</v>
      </c>
      <c r="E14" s="11" t="s">
        <v>532</v>
      </c>
      <c r="F14" s="11" t="s">
        <v>521</v>
      </c>
      <c r="G14" s="22" t="s">
        <v>155</v>
      </c>
      <c r="H14" s="23" t="s">
        <v>115</v>
      </c>
      <c r="I14" s="22" t="s">
        <v>115</v>
      </c>
      <c r="J14" s="12"/>
      <c r="K14" s="22" t="s">
        <v>38</v>
      </c>
      <c r="L14" s="23" t="s">
        <v>27</v>
      </c>
      <c r="M14" s="22" t="s">
        <v>27</v>
      </c>
      <c r="N14" s="12"/>
      <c r="O14" s="35" t="str">
        <f>"375,0"</f>
        <v>375,0</v>
      </c>
      <c r="P14" s="37" t="str">
        <f>"254,2125"</f>
        <v>254,2125</v>
      </c>
      <c r="Q14" s="11"/>
    </row>
    <row r="15" spans="1:17">
      <c r="B15" s="5" t="s">
        <v>109</v>
      </c>
    </row>
    <row r="16" spans="1:17" ht="16">
      <c r="A16" s="39" t="s">
        <v>42</v>
      </c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7">
      <c r="A17" s="8" t="s">
        <v>145</v>
      </c>
      <c r="B17" s="7" t="s">
        <v>473</v>
      </c>
      <c r="C17" s="7" t="s">
        <v>474</v>
      </c>
      <c r="D17" s="7" t="s">
        <v>475</v>
      </c>
      <c r="E17" s="7" t="s">
        <v>532</v>
      </c>
      <c r="F17" s="7" t="s">
        <v>523</v>
      </c>
      <c r="G17" s="19" t="s">
        <v>119</v>
      </c>
      <c r="H17" s="19" t="s">
        <v>31</v>
      </c>
      <c r="I17" s="19" t="s">
        <v>31</v>
      </c>
      <c r="J17" s="8"/>
      <c r="K17" s="19"/>
      <c r="L17" s="8"/>
      <c r="M17" s="8"/>
      <c r="N17" s="8"/>
      <c r="O17" s="33">
        <v>0</v>
      </c>
      <c r="P17" s="8" t="str">
        <f>"0,0000"</f>
        <v>0,0000</v>
      </c>
      <c r="Q17" s="7"/>
    </row>
    <row r="18" spans="1:17">
      <c r="B18" s="5" t="s">
        <v>109</v>
      </c>
    </row>
    <row r="19" spans="1:17" ht="16">
      <c r="A19" s="39" t="s">
        <v>140</v>
      </c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7">
      <c r="A20" s="10" t="s">
        <v>108</v>
      </c>
      <c r="B20" s="9" t="s">
        <v>171</v>
      </c>
      <c r="C20" s="9" t="s">
        <v>172</v>
      </c>
      <c r="D20" s="9" t="s">
        <v>173</v>
      </c>
      <c r="E20" s="9" t="s">
        <v>532</v>
      </c>
      <c r="F20" s="9" t="s">
        <v>521</v>
      </c>
      <c r="G20" s="21" t="s">
        <v>21</v>
      </c>
      <c r="H20" s="21" t="s">
        <v>53</v>
      </c>
      <c r="I20" s="20" t="s">
        <v>22</v>
      </c>
      <c r="J20" s="10"/>
      <c r="K20" s="21" t="s">
        <v>32</v>
      </c>
      <c r="L20" s="21" t="s">
        <v>175</v>
      </c>
      <c r="M20" s="20" t="s">
        <v>58</v>
      </c>
      <c r="N20" s="10"/>
      <c r="O20" s="34" t="str">
        <f>"490,0"</f>
        <v>490,0</v>
      </c>
      <c r="P20" s="10" t="str">
        <f>"281,3580"</f>
        <v>281,3580</v>
      </c>
      <c r="Q20" s="9"/>
    </row>
    <row r="21" spans="1:17">
      <c r="A21" s="12" t="s">
        <v>110</v>
      </c>
      <c r="B21" s="11" t="s">
        <v>476</v>
      </c>
      <c r="C21" s="11" t="s">
        <v>477</v>
      </c>
      <c r="D21" s="11" t="s">
        <v>478</v>
      </c>
      <c r="E21" s="11" t="s">
        <v>532</v>
      </c>
      <c r="F21" s="11" t="s">
        <v>521</v>
      </c>
      <c r="G21" s="22" t="s">
        <v>20</v>
      </c>
      <c r="H21" s="23" t="s">
        <v>121</v>
      </c>
      <c r="I21" s="23" t="s">
        <v>121</v>
      </c>
      <c r="J21" s="12"/>
      <c r="K21" s="22" t="s">
        <v>22</v>
      </c>
      <c r="L21" s="22" t="s">
        <v>68</v>
      </c>
      <c r="M21" s="22" t="s">
        <v>135</v>
      </c>
      <c r="N21" s="12"/>
      <c r="O21" s="35" t="str">
        <f>"365,0"</f>
        <v>365,0</v>
      </c>
      <c r="P21" s="12" t="str">
        <f>"208,5610"</f>
        <v>208,5610</v>
      </c>
      <c r="Q21" s="30" t="s">
        <v>484</v>
      </c>
    </row>
    <row r="22" spans="1:17">
      <c r="B22" s="5" t="s">
        <v>109</v>
      </c>
    </row>
  </sheetData>
  <mergeCells count="17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2:N12"/>
    <mergeCell ref="A16:N16"/>
    <mergeCell ref="A19:N19"/>
    <mergeCell ref="B3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6"/>
  <sheetViews>
    <sheetView workbookViewId="0">
      <selection activeCell="E57" sqref="E57"/>
    </sheetView>
  </sheetViews>
  <sheetFormatPr baseColWidth="10" defaultColWidth="9.1640625" defaultRowHeight="13"/>
  <cols>
    <col min="1" max="1" width="6.6640625" style="5" bestFit="1" customWidth="1"/>
    <col min="2" max="2" width="20.83203125" style="5" bestFit="1" customWidth="1"/>
    <col min="3" max="3" width="27.1640625" style="5" bestFit="1" customWidth="1"/>
    <col min="4" max="4" width="20" style="5" bestFit="1" customWidth="1"/>
    <col min="5" max="5" width="9.6640625" style="5" bestFit="1" customWidth="1"/>
    <col min="6" max="6" width="35.33203125" style="5" bestFit="1" customWidth="1"/>
    <col min="7" max="9" width="5.5" style="6" customWidth="1"/>
    <col min="10" max="10" width="4.33203125" style="6" customWidth="1"/>
    <col min="11" max="11" width="10.5" style="32" bestFit="1" customWidth="1"/>
    <col min="12" max="12" width="8.5" style="6" bestFit="1" customWidth="1"/>
    <col min="13" max="13" width="21.1640625" style="5" bestFit="1" customWidth="1"/>
    <col min="14" max="16384" width="9.1640625" style="3"/>
  </cols>
  <sheetData>
    <row r="1" spans="1:13" s="2" customFormat="1" ht="29" customHeight="1">
      <c r="A1" s="49" t="s">
        <v>511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529</v>
      </c>
      <c r="B3" s="41" t="s">
        <v>0</v>
      </c>
      <c r="C3" s="59" t="s">
        <v>530</v>
      </c>
      <c r="D3" s="59" t="s">
        <v>6</v>
      </c>
      <c r="E3" s="43" t="s">
        <v>531</v>
      </c>
      <c r="F3" s="43" t="s">
        <v>5</v>
      </c>
      <c r="G3" s="43" t="s">
        <v>8</v>
      </c>
      <c r="H3" s="43"/>
      <c r="I3" s="43"/>
      <c r="J3" s="43"/>
      <c r="K3" s="60" t="s">
        <v>308</v>
      </c>
      <c r="L3" s="43" t="s">
        <v>3</v>
      </c>
      <c r="M3" s="45" t="s">
        <v>2</v>
      </c>
    </row>
    <row r="4" spans="1:13" s="1" customFormat="1" ht="21" customHeight="1" thickBot="1">
      <c r="A4" s="58"/>
      <c r="B4" s="4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61"/>
      <c r="L4" s="44"/>
      <c r="M4" s="46"/>
    </row>
    <row r="5" spans="1:13" ht="16">
      <c r="A5" s="47" t="s">
        <v>375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8" t="s">
        <v>145</v>
      </c>
      <c r="B6" s="7" t="s">
        <v>376</v>
      </c>
      <c r="C6" s="7" t="s">
        <v>377</v>
      </c>
      <c r="D6" s="7" t="s">
        <v>378</v>
      </c>
      <c r="E6" s="7" t="s">
        <v>532</v>
      </c>
      <c r="F6" s="7" t="s">
        <v>14</v>
      </c>
      <c r="G6" s="19" t="s">
        <v>19</v>
      </c>
      <c r="H6" s="19" t="s">
        <v>164</v>
      </c>
      <c r="I6" s="19" t="s">
        <v>164</v>
      </c>
      <c r="J6" s="8"/>
      <c r="K6" s="33">
        <v>0</v>
      </c>
      <c r="L6" s="8" t="str">
        <f>"0,0000"</f>
        <v>0,0000</v>
      </c>
      <c r="M6" s="28" t="s">
        <v>490</v>
      </c>
    </row>
    <row r="7" spans="1:13">
      <c r="B7" s="5" t="s">
        <v>109</v>
      </c>
    </row>
    <row r="8" spans="1:13" ht="16">
      <c r="A8" s="39" t="s">
        <v>150</v>
      </c>
      <c r="B8" s="39"/>
      <c r="C8" s="40"/>
      <c r="D8" s="40"/>
      <c r="E8" s="40"/>
      <c r="F8" s="40"/>
      <c r="G8" s="40"/>
      <c r="H8" s="40"/>
      <c r="I8" s="40"/>
      <c r="J8" s="40"/>
    </row>
    <row r="9" spans="1:13">
      <c r="A9" s="10" t="s">
        <v>108</v>
      </c>
      <c r="B9" s="9" t="s">
        <v>379</v>
      </c>
      <c r="C9" s="9" t="s">
        <v>380</v>
      </c>
      <c r="D9" s="9" t="s">
        <v>381</v>
      </c>
      <c r="E9" s="9" t="s">
        <v>533</v>
      </c>
      <c r="F9" s="9" t="s">
        <v>14</v>
      </c>
      <c r="G9" s="20" t="s">
        <v>211</v>
      </c>
      <c r="H9" s="21" t="s">
        <v>211</v>
      </c>
      <c r="I9" s="20" t="s">
        <v>212</v>
      </c>
      <c r="J9" s="10"/>
      <c r="K9" s="34" t="str">
        <f>"42,5"</f>
        <v>42,5</v>
      </c>
      <c r="L9" s="10" t="str">
        <f>"50,8597"</f>
        <v>50,8597</v>
      </c>
      <c r="M9" s="29" t="s">
        <v>491</v>
      </c>
    </row>
    <row r="10" spans="1:13">
      <c r="A10" s="25" t="s">
        <v>108</v>
      </c>
      <c r="B10" s="24" t="s">
        <v>214</v>
      </c>
      <c r="C10" s="24" t="s">
        <v>215</v>
      </c>
      <c r="D10" s="24" t="s">
        <v>216</v>
      </c>
      <c r="E10" s="24" t="s">
        <v>532</v>
      </c>
      <c r="F10" s="24" t="s">
        <v>14</v>
      </c>
      <c r="G10" s="26" t="s">
        <v>202</v>
      </c>
      <c r="H10" s="26" t="s">
        <v>17</v>
      </c>
      <c r="I10" s="26" t="s">
        <v>18</v>
      </c>
      <c r="J10" s="25"/>
      <c r="K10" s="38" t="str">
        <f>"67,5"</f>
        <v>67,5</v>
      </c>
      <c r="L10" s="25" t="str">
        <f>"81,5940"</f>
        <v>81,5940</v>
      </c>
      <c r="M10" s="31" t="s">
        <v>494</v>
      </c>
    </row>
    <row r="11" spans="1:13">
      <c r="A11" s="12" t="s">
        <v>110</v>
      </c>
      <c r="B11" s="11" t="s">
        <v>382</v>
      </c>
      <c r="C11" s="11" t="s">
        <v>383</v>
      </c>
      <c r="D11" s="11" t="s">
        <v>384</v>
      </c>
      <c r="E11" s="11" t="s">
        <v>532</v>
      </c>
      <c r="F11" s="11" t="s">
        <v>14</v>
      </c>
      <c r="G11" s="22" t="s">
        <v>192</v>
      </c>
      <c r="H11" s="22" t="s">
        <v>157</v>
      </c>
      <c r="I11" s="23" t="s">
        <v>222</v>
      </c>
      <c r="J11" s="12"/>
      <c r="K11" s="35" t="str">
        <f>"55,0"</f>
        <v>55,0</v>
      </c>
      <c r="L11" s="12" t="str">
        <f>"66,2970"</f>
        <v>66,2970</v>
      </c>
      <c r="M11" s="30" t="s">
        <v>492</v>
      </c>
    </row>
    <row r="12" spans="1:13">
      <c r="B12" s="5" t="s">
        <v>109</v>
      </c>
    </row>
    <row r="13" spans="1:13" ht="16">
      <c r="A13" s="39" t="s">
        <v>10</v>
      </c>
      <c r="B13" s="39"/>
      <c r="C13" s="40"/>
      <c r="D13" s="40"/>
      <c r="E13" s="40"/>
      <c r="F13" s="40"/>
      <c r="G13" s="40"/>
      <c r="H13" s="40"/>
      <c r="I13" s="40"/>
      <c r="J13" s="40"/>
    </row>
    <row r="14" spans="1:13">
      <c r="A14" s="8" t="s">
        <v>108</v>
      </c>
      <c r="B14" s="7" t="s">
        <v>244</v>
      </c>
      <c r="C14" s="7" t="s">
        <v>245</v>
      </c>
      <c r="D14" s="7" t="s">
        <v>246</v>
      </c>
      <c r="E14" s="7" t="s">
        <v>532</v>
      </c>
      <c r="F14" s="7" t="s">
        <v>14</v>
      </c>
      <c r="G14" s="18" t="s">
        <v>155</v>
      </c>
      <c r="H14" s="18" t="s">
        <v>115</v>
      </c>
      <c r="I14" s="19" t="s">
        <v>29</v>
      </c>
      <c r="J14" s="8"/>
      <c r="K14" s="33" t="str">
        <f>"115,0"</f>
        <v>115,0</v>
      </c>
      <c r="L14" s="8" t="str">
        <f>"110,7335"</f>
        <v>110,7335</v>
      </c>
      <c r="M14" s="28" t="s">
        <v>481</v>
      </c>
    </row>
    <row r="15" spans="1:13">
      <c r="B15" s="5" t="s">
        <v>109</v>
      </c>
    </row>
    <row r="16" spans="1:13" ht="16">
      <c r="A16" s="39" t="s">
        <v>186</v>
      </c>
      <c r="B16" s="39"/>
      <c r="C16" s="40"/>
      <c r="D16" s="40"/>
      <c r="E16" s="40"/>
      <c r="F16" s="40"/>
      <c r="G16" s="40"/>
      <c r="H16" s="40"/>
      <c r="I16" s="40"/>
      <c r="J16" s="40"/>
    </row>
    <row r="17" spans="1:13">
      <c r="A17" s="8" t="s">
        <v>108</v>
      </c>
      <c r="B17" s="7" t="s">
        <v>385</v>
      </c>
      <c r="C17" s="7" t="s">
        <v>386</v>
      </c>
      <c r="D17" s="7" t="s">
        <v>387</v>
      </c>
      <c r="E17" s="7" t="s">
        <v>537</v>
      </c>
      <c r="F17" s="7" t="s">
        <v>14</v>
      </c>
      <c r="G17" s="18" t="s">
        <v>388</v>
      </c>
      <c r="H17" s="19" t="s">
        <v>203</v>
      </c>
      <c r="I17" s="19" t="s">
        <v>203</v>
      </c>
      <c r="J17" s="8"/>
      <c r="K17" s="33" t="str">
        <f>"20,0"</f>
        <v>20,0</v>
      </c>
      <c r="L17" s="8" t="str">
        <f>"21,9760"</f>
        <v>21,9760</v>
      </c>
      <c r="M17" s="28" t="s">
        <v>493</v>
      </c>
    </row>
    <row r="18" spans="1:13">
      <c r="B18" s="5" t="s">
        <v>109</v>
      </c>
    </row>
    <row r="19" spans="1:13" ht="16">
      <c r="A19" s="39" t="s">
        <v>159</v>
      </c>
      <c r="B19" s="39"/>
      <c r="C19" s="40"/>
      <c r="D19" s="40"/>
      <c r="E19" s="40"/>
      <c r="F19" s="40"/>
      <c r="G19" s="40"/>
      <c r="H19" s="40"/>
      <c r="I19" s="40"/>
      <c r="J19" s="40"/>
    </row>
    <row r="20" spans="1:13">
      <c r="A20" s="8" t="s">
        <v>108</v>
      </c>
      <c r="B20" s="7" t="s">
        <v>389</v>
      </c>
      <c r="C20" s="7" t="s">
        <v>390</v>
      </c>
      <c r="D20" s="7" t="s">
        <v>239</v>
      </c>
      <c r="E20" s="7" t="s">
        <v>532</v>
      </c>
      <c r="F20" s="7" t="s">
        <v>82</v>
      </c>
      <c r="G20" s="18" t="s">
        <v>191</v>
      </c>
      <c r="H20" s="18" t="s">
        <v>218</v>
      </c>
      <c r="I20" s="19" t="s">
        <v>391</v>
      </c>
      <c r="J20" s="8"/>
      <c r="K20" s="33" t="str">
        <f>"102,5"</f>
        <v>102,5</v>
      </c>
      <c r="L20" s="8" t="str">
        <f>"89,4927"</f>
        <v>89,4927</v>
      </c>
      <c r="M20" s="7"/>
    </row>
    <row r="21" spans="1:13">
      <c r="B21" s="5" t="s">
        <v>109</v>
      </c>
    </row>
    <row r="22" spans="1:13" ht="16">
      <c r="A22" s="39" t="s">
        <v>10</v>
      </c>
      <c r="B22" s="39"/>
      <c r="C22" s="40"/>
      <c r="D22" s="40"/>
      <c r="E22" s="40"/>
      <c r="F22" s="40"/>
      <c r="G22" s="40"/>
      <c r="H22" s="40"/>
      <c r="I22" s="40"/>
      <c r="J22" s="40"/>
    </row>
    <row r="23" spans="1:13">
      <c r="A23" s="10" t="s">
        <v>108</v>
      </c>
      <c r="B23" s="9" t="s">
        <v>392</v>
      </c>
      <c r="C23" s="9" t="s">
        <v>393</v>
      </c>
      <c r="D23" s="9" t="s">
        <v>394</v>
      </c>
      <c r="E23" s="9" t="s">
        <v>533</v>
      </c>
      <c r="F23" s="9" t="s">
        <v>395</v>
      </c>
      <c r="G23" s="21" t="s">
        <v>119</v>
      </c>
      <c r="H23" s="21" t="s">
        <v>15</v>
      </c>
      <c r="I23" s="20" t="s">
        <v>88</v>
      </c>
      <c r="J23" s="10"/>
      <c r="K23" s="34" t="str">
        <f>"140,0"</f>
        <v>140,0</v>
      </c>
      <c r="L23" s="10" t="str">
        <f>"104,9160"</f>
        <v>104,9160</v>
      </c>
      <c r="M23" s="9"/>
    </row>
    <row r="24" spans="1:13">
      <c r="A24" s="25" t="s">
        <v>108</v>
      </c>
      <c r="B24" s="24" t="s">
        <v>396</v>
      </c>
      <c r="C24" s="24" t="s">
        <v>397</v>
      </c>
      <c r="D24" s="24" t="s">
        <v>311</v>
      </c>
      <c r="E24" s="24" t="s">
        <v>532</v>
      </c>
      <c r="F24" s="24" t="s">
        <v>280</v>
      </c>
      <c r="G24" s="26" t="s">
        <v>39</v>
      </c>
      <c r="H24" s="27" t="s">
        <v>398</v>
      </c>
      <c r="I24" s="26" t="s">
        <v>398</v>
      </c>
      <c r="J24" s="25"/>
      <c r="K24" s="38" t="str">
        <f>"162,5"</f>
        <v>162,5</v>
      </c>
      <c r="L24" s="25" t="str">
        <f>"116,1225"</f>
        <v>116,1225</v>
      </c>
      <c r="M24" s="24"/>
    </row>
    <row r="25" spans="1:13">
      <c r="A25" s="25" t="s">
        <v>110</v>
      </c>
      <c r="B25" s="24" t="s">
        <v>116</v>
      </c>
      <c r="C25" s="24" t="s">
        <v>117</v>
      </c>
      <c r="D25" s="24" t="s">
        <v>118</v>
      </c>
      <c r="E25" s="24" t="s">
        <v>532</v>
      </c>
      <c r="F25" s="24" t="s">
        <v>14</v>
      </c>
      <c r="G25" s="27" t="s">
        <v>15</v>
      </c>
      <c r="H25" s="26" t="s">
        <v>15</v>
      </c>
      <c r="I25" s="26" t="s">
        <v>120</v>
      </c>
      <c r="J25" s="25"/>
      <c r="K25" s="38" t="str">
        <f>"147,5"</f>
        <v>147,5</v>
      </c>
      <c r="L25" s="25" t="str">
        <f>"106,2000"</f>
        <v>106,2000</v>
      </c>
      <c r="M25" s="31" t="s">
        <v>481</v>
      </c>
    </row>
    <row r="26" spans="1:13">
      <c r="A26" s="12" t="s">
        <v>298</v>
      </c>
      <c r="B26" s="11" t="s">
        <v>303</v>
      </c>
      <c r="C26" s="11" t="s">
        <v>304</v>
      </c>
      <c r="D26" s="11" t="s">
        <v>311</v>
      </c>
      <c r="E26" s="11" t="s">
        <v>532</v>
      </c>
      <c r="F26" s="11" t="s">
        <v>14</v>
      </c>
      <c r="G26" s="23" t="s">
        <v>399</v>
      </c>
      <c r="H26" s="23" t="s">
        <v>399</v>
      </c>
      <c r="I26" s="22" t="s">
        <v>399</v>
      </c>
      <c r="J26" s="12"/>
      <c r="K26" s="35" t="str">
        <f>"107,5"</f>
        <v>107,5</v>
      </c>
      <c r="L26" s="12" t="str">
        <f>"76,8195"</f>
        <v>76,8195</v>
      </c>
      <c r="M26" s="11"/>
    </row>
    <row r="27" spans="1:13">
      <c r="B27" s="5" t="s">
        <v>109</v>
      </c>
    </row>
    <row r="28" spans="1:13" ht="16">
      <c r="A28" s="39" t="s">
        <v>23</v>
      </c>
      <c r="B28" s="39"/>
      <c r="C28" s="40"/>
      <c r="D28" s="40"/>
      <c r="E28" s="40"/>
      <c r="F28" s="40"/>
      <c r="G28" s="40"/>
      <c r="H28" s="40"/>
      <c r="I28" s="40"/>
      <c r="J28" s="40"/>
    </row>
    <row r="29" spans="1:13">
      <c r="A29" s="10" t="s">
        <v>108</v>
      </c>
      <c r="B29" s="9" t="s">
        <v>400</v>
      </c>
      <c r="C29" s="9" t="s">
        <v>401</v>
      </c>
      <c r="D29" s="9" t="s">
        <v>402</v>
      </c>
      <c r="E29" s="9" t="s">
        <v>535</v>
      </c>
      <c r="F29" s="9" t="s">
        <v>14</v>
      </c>
      <c r="G29" s="21" t="s">
        <v>115</v>
      </c>
      <c r="H29" s="21" t="s">
        <v>193</v>
      </c>
      <c r="I29" s="20" t="s">
        <v>130</v>
      </c>
      <c r="J29" s="10"/>
      <c r="K29" s="34" t="str">
        <f>"122,5"</f>
        <v>122,5</v>
      </c>
      <c r="L29" s="10" t="str">
        <f>"82,7977"</f>
        <v>82,7977</v>
      </c>
      <c r="M29" s="9"/>
    </row>
    <row r="30" spans="1:13">
      <c r="A30" s="25" t="s">
        <v>108</v>
      </c>
      <c r="B30" s="24" t="s">
        <v>403</v>
      </c>
      <c r="C30" s="24" t="s">
        <v>404</v>
      </c>
      <c r="D30" s="24" t="s">
        <v>405</v>
      </c>
      <c r="E30" s="24" t="s">
        <v>532</v>
      </c>
      <c r="F30" s="24" t="s">
        <v>524</v>
      </c>
      <c r="G30" s="26" t="s">
        <v>121</v>
      </c>
      <c r="H30" s="27" t="s">
        <v>21</v>
      </c>
      <c r="I30" s="27" t="s">
        <v>21</v>
      </c>
      <c r="J30" s="25"/>
      <c r="K30" s="38" t="str">
        <f>"165,0"</f>
        <v>165,0</v>
      </c>
      <c r="L30" s="25" t="str">
        <f>"111,6885"</f>
        <v>111,6885</v>
      </c>
      <c r="M30" s="31" t="s">
        <v>494</v>
      </c>
    </row>
    <row r="31" spans="1:13">
      <c r="A31" s="25" t="s">
        <v>110</v>
      </c>
      <c r="B31" s="24" t="s">
        <v>406</v>
      </c>
      <c r="C31" s="24" t="s">
        <v>407</v>
      </c>
      <c r="D31" s="24" t="s">
        <v>268</v>
      </c>
      <c r="E31" s="24" t="s">
        <v>532</v>
      </c>
      <c r="F31" s="24" t="s">
        <v>276</v>
      </c>
      <c r="G31" s="26" t="s">
        <v>15</v>
      </c>
      <c r="H31" s="26" t="s">
        <v>120</v>
      </c>
      <c r="I31" s="26" t="s">
        <v>165</v>
      </c>
      <c r="J31" s="25"/>
      <c r="K31" s="38" t="str">
        <f>"152,5"</f>
        <v>152,5</v>
      </c>
      <c r="L31" s="25" t="str">
        <f>"102,3885"</f>
        <v>102,3885</v>
      </c>
      <c r="M31" s="31" t="s">
        <v>481</v>
      </c>
    </row>
    <row r="32" spans="1:13">
      <c r="A32" s="25" t="s">
        <v>298</v>
      </c>
      <c r="B32" s="24" t="s">
        <v>408</v>
      </c>
      <c r="C32" s="24" t="s">
        <v>409</v>
      </c>
      <c r="D32" s="24" t="s">
        <v>410</v>
      </c>
      <c r="E32" s="24" t="s">
        <v>532</v>
      </c>
      <c r="F32" s="24" t="s">
        <v>280</v>
      </c>
      <c r="G32" s="27" t="s">
        <v>16</v>
      </c>
      <c r="H32" s="26" t="s">
        <v>16</v>
      </c>
      <c r="I32" s="27" t="s">
        <v>165</v>
      </c>
      <c r="J32" s="25"/>
      <c r="K32" s="38" t="str">
        <f>"150,0"</f>
        <v>150,0</v>
      </c>
      <c r="L32" s="25" t="str">
        <f>"101,1600"</f>
        <v>101,1600</v>
      </c>
      <c r="M32" s="31" t="s">
        <v>482</v>
      </c>
    </row>
    <row r="33" spans="1:13">
      <c r="A33" s="25" t="s">
        <v>299</v>
      </c>
      <c r="B33" s="24" t="s">
        <v>411</v>
      </c>
      <c r="C33" s="24" t="s">
        <v>412</v>
      </c>
      <c r="D33" s="24" t="s">
        <v>413</v>
      </c>
      <c r="E33" s="24" t="s">
        <v>532</v>
      </c>
      <c r="F33" s="24" t="s">
        <v>14</v>
      </c>
      <c r="G33" s="26" t="s">
        <v>88</v>
      </c>
      <c r="H33" s="27" t="s">
        <v>16</v>
      </c>
      <c r="I33" s="27" t="s">
        <v>16</v>
      </c>
      <c r="J33" s="25"/>
      <c r="K33" s="38" t="str">
        <f>"145,0"</f>
        <v>145,0</v>
      </c>
      <c r="L33" s="25" t="str">
        <f>"98,2955"</f>
        <v>98,2955</v>
      </c>
      <c r="M33" s="24"/>
    </row>
    <row r="34" spans="1:13">
      <c r="A34" s="12" t="s">
        <v>374</v>
      </c>
      <c r="B34" s="11" t="s">
        <v>414</v>
      </c>
      <c r="C34" s="11" t="s">
        <v>415</v>
      </c>
      <c r="D34" s="11" t="s">
        <v>416</v>
      </c>
      <c r="E34" s="11" t="s">
        <v>532</v>
      </c>
      <c r="F34" s="11" t="s">
        <v>14</v>
      </c>
      <c r="G34" s="22" t="s">
        <v>15</v>
      </c>
      <c r="H34" s="23" t="s">
        <v>88</v>
      </c>
      <c r="I34" s="23" t="s">
        <v>88</v>
      </c>
      <c r="J34" s="12"/>
      <c r="K34" s="35" t="str">
        <f>"140,0"</f>
        <v>140,0</v>
      </c>
      <c r="L34" s="12" t="str">
        <f>"94,0660"</f>
        <v>94,0660</v>
      </c>
      <c r="M34" s="30" t="s">
        <v>487</v>
      </c>
    </row>
    <row r="35" spans="1:13">
      <c r="B35" s="5" t="s">
        <v>109</v>
      </c>
    </row>
    <row r="36" spans="1:13" ht="16">
      <c r="A36" s="39" t="s">
        <v>33</v>
      </c>
      <c r="B36" s="39"/>
      <c r="C36" s="40"/>
      <c r="D36" s="40"/>
      <c r="E36" s="40"/>
      <c r="F36" s="40"/>
      <c r="G36" s="40"/>
      <c r="H36" s="40"/>
      <c r="I36" s="40"/>
      <c r="J36" s="40"/>
    </row>
    <row r="37" spans="1:13">
      <c r="A37" s="10" t="s">
        <v>108</v>
      </c>
      <c r="B37" s="9" t="s">
        <v>417</v>
      </c>
      <c r="C37" s="9" t="s">
        <v>418</v>
      </c>
      <c r="D37" s="9" t="s">
        <v>419</v>
      </c>
      <c r="E37" s="9" t="s">
        <v>532</v>
      </c>
      <c r="F37" s="9" t="s">
        <v>134</v>
      </c>
      <c r="G37" s="21" t="s">
        <v>39</v>
      </c>
      <c r="H37" s="21" t="s">
        <v>20</v>
      </c>
      <c r="I37" s="20" t="s">
        <v>121</v>
      </c>
      <c r="J37" s="10"/>
      <c r="K37" s="34" t="str">
        <f>"160,0"</f>
        <v>160,0</v>
      </c>
      <c r="L37" s="10" t="str">
        <f>"102,3200"</f>
        <v>102,3200</v>
      </c>
      <c r="M37" s="29" t="s">
        <v>481</v>
      </c>
    </row>
    <row r="38" spans="1:13">
      <c r="A38" s="25" t="s">
        <v>110</v>
      </c>
      <c r="B38" s="24" t="s">
        <v>420</v>
      </c>
      <c r="C38" s="24" t="s">
        <v>421</v>
      </c>
      <c r="D38" s="24" t="s">
        <v>422</v>
      </c>
      <c r="E38" s="24" t="s">
        <v>532</v>
      </c>
      <c r="F38" s="24" t="s">
        <v>525</v>
      </c>
      <c r="G38" s="26" t="s">
        <v>16</v>
      </c>
      <c r="H38" s="27" t="s">
        <v>39</v>
      </c>
      <c r="I38" s="27" t="s">
        <v>39</v>
      </c>
      <c r="J38" s="25"/>
      <c r="K38" s="38" t="str">
        <f>"150,0"</f>
        <v>150,0</v>
      </c>
      <c r="L38" s="25" t="str">
        <f>"95,8200"</f>
        <v>95,8200</v>
      </c>
      <c r="M38" s="31" t="s">
        <v>495</v>
      </c>
    </row>
    <row r="39" spans="1:13">
      <c r="A39" s="25" t="s">
        <v>298</v>
      </c>
      <c r="B39" s="24" t="s">
        <v>423</v>
      </c>
      <c r="C39" s="24" t="s">
        <v>424</v>
      </c>
      <c r="D39" s="24" t="s">
        <v>425</v>
      </c>
      <c r="E39" s="24" t="s">
        <v>532</v>
      </c>
      <c r="F39" s="24" t="s">
        <v>14</v>
      </c>
      <c r="G39" s="26" t="s">
        <v>88</v>
      </c>
      <c r="H39" s="27" t="s">
        <v>165</v>
      </c>
      <c r="I39" s="27" t="s">
        <v>165</v>
      </c>
      <c r="J39" s="25"/>
      <c r="K39" s="38" t="str">
        <f>"145,0"</f>
        <v>145,0</v>
      </c>
      <c r="L39" s="25" t="str">
        <f>"93,4380"</f>
        <v>93,4380</v>
      </c>
      <c r="M39" s="31" t="s">
        <v>481</v>
      </c>
    </row>
    <row r="40" spans="1:13">
      <c r="A40" s="25" t="s">
        <v>299</v>
      </c>
      <c r="B40" s="24" t="s">
        <v>426</v>
      </c>
      <c r="C40" s="24" t="s">
        <v>427</v>
      </c>
      <c r="D40" s="24" t="s">
        <v>428</v>
      </c>
      <c r="E40" s="24" t="s">
        <v>532</v>
      </c>
      <c r="F40" s="24" t="s">
        <v>134</v>
      </c>
      <c r="G40" s="26" t="s">
        <v>15</v>
      </c>
      <c r="H40" s="26" t="s">
        <v>88</v>
      </c>
      <c r="I40" s="27" t="s">
        <v>120</v>
      </c>
      <c r="J40" s="25"/>
      <c r="K40" s="38" t="str">
        <f>"145,0"</f>
        <v>145,0</v>
      </c>
      <c r="L40" s="25" t="str">
        <f>"92,5680"</f>
        <v>92,5680</v>
      </c>
      <c r="M40" s="31" t="s">
        <v>481</v>
      </c>
    </row>
    <row r="41" spans="1:13">
      <c r="A41" s="25" t="s">
        <v>374</v>
      </c>
      <c r="B41" s="24" t="s">
        <v>429</v>
      </c>
      <c r="C41" s="24" t="s">
        <v>430</v>
      </c>
      <c r="D41" s="24" t="s">
        <v>431</v>
      </c>
      <c r="E41" s="24" t="s">
        <v>532</v>
      </c>
      <c r="F41" s="24" t="s">
        <v>14</v>
      </c>
      <c r="G41" s="26" t="s">
        <v>136</v>
      </c>
      <c r="H41" s="27" t="s">
        <v>30</v>
      </c>
      <c r="I41" s="27" t="s">
        <v>30</v>
      </c>
      <c r="J41" s="25"/>
      <c r="K41" s="38" t="str">
        <f>"125,0"</f>
        <v>125,0</v>
      </c>
      <c r="L41" s="25" t="str">
        <f>"80,6375"</f>
        <v>80,6375</v>
      </c>
      <c r="M41" s="31" t="s">
        <v>496</v>
      </c>
    </row>
    <row r="42" spans="1:13">
      <c r="A42" s="25" t="s">
        <v>145</v>
      </c>
      <c r="B42" s="24" t="s">
        <v>432</v>
      </c>
      <c r="C42" s="24" t="s">
        <v>433</v>
      </c>
      <c r="D42" s="24" t="s">
        <v>431</v>
      </c>
      <c r="E42" s="24" t="s">
        <v>532</v>
      </c>
      <c r="F42" s="24" t="s">
        <v>525</v>
      </c>
      <c r="G42" s="27" t="s">
        <v>119</v>
      </c>
      <c r="H42" s="27" t="s">
        <v>119</v>
      </c>
      <c r="I42" s="27" t="s">
        <v>119</v>
      </c>
      <c r="J42" s="25"/>
      <c r="K42" s="38">
        <v>0</v>
      </c>
      <c r="L42" s="25" t="str">
        <f>"0,0000"</f>
        <v>0,0000</v>
      </c>
      <c r="M42" s="24"/>
    </row>
    <row r="43" spans="1:13">
      <c r="A43" s="12" t="s">
        <v>145</v>
      </c>
      <c r="B43" s="11" t="s">
        <v>432</v>
      </c>
      <c r="C43" s="11" t="s">
        <v>434</v>
      </c>
      <c r="D43" s="11" t="s">
        <v>431</v>
      </c>
      <c r="E43" s="11" t="s">
        <v>534</v>
      </c>
      <c r="F43" s="11" t="s">
        <v>525</v>
      </c>
      <c r="G43" s="23" t="s">
        <v>119</v>
      </c>
      <c r="H43" s="23" t="s">
        <v>119</v>
      </c>
      <c r="I43" s="23" t="s">
        <v>119</v>
      </c>
      <c r="J43" s="12"/>
      <c r="K43" s="35">
        <v>0</v>
      </c>
      <c r="L43" s="12" t="str">
        <f>"0,0000"</f>
        <v>0,0000</v>
      </c>
      <c r="M43" s="11"/>
    </row>
    <row r="44" spans="1:13">
      <c r="B44" s="5" t="s">
        <v>109</v>
      </c>
    </row>
    <row r="45" spans="1:13" ht="16">
      <c r="A45" s="39" t="s">
        <v>42</v>
      </c>
      <c r="B45" s="39"/>
      <c r="C45" s="40"/>
      <c r="D45" s="40"/>
      <c r="E45" s="40"/>
      <c r="F45" s="40"/>
      <c r="G45" s="40"/>
      <c r="H45" s="40"/>
      <c r="I45" s="40"/>
      <c r="J45" s="40"/>
    </row>
    <row r="46" spans="1:13">
      <c r="A46" s="10" t="s">
        <v>108</v>
      </c>
      <c r="B46" s="9" t="s">
        <v>435</v>
      </c>
      <c r="C46" s="9" t="s">
        <v>436</v>
      </c>
      <c r="D46" s="9" t="s">
        <v>437</v>
      </c>
      <c r="E46" s="9" t="s">
        <v>532</v>
      </c>
      <c r="F46" s="9" t="s">
        <v>280</v>
      </c>
      <c r="G46" s="20" t="s">
        <v>344</v>
      </c>
      <c r="H46" s="21" t="s">
        <v>344</v>
      </c>
      <c r="I46" s="20" t="s">
        <v>328</v>
      </c>
      <c r="J46" s="10"/>
      <c r="K46" s="34" t="str">
        <f>"182,5"</f>
        <v>182,5</v>
      </c>
      <c r="L46" s="10" t="str">
        <f>"112,4747"</f>
        <v>112,4747</v>
      </c>
      <c r="M46" s="9"/>
    </row>
    <row r="47" spans="1:13">
      <c r="A47" s="25" t="s">
        <v>110</v>
      </c>
      <c r="B47" s="24" t="s">
        <v>137</v>
      </c>
      <c r="C47" s="24" t="s">
        <v>138</v>
      </c>
      <c r="D47" s="24" t="s">
        <v>139</v>
      </c>
      <c r="E47" s="24" t="s">
        <v>532</v>
      </c>
      <c r="F47" s="24" t="s">
        <v>134</v>
      </c>
      <c r="G47" s="26" t="s">
        <v>15</v>
      </c>
      <c r="H47" s="26" t="s">
        <v>88</v>
      </c>
      <c r="I47" s="26" t="s">
        <v>16</v>
      </c>
      <c r="J47" s="25"/>
      <c r="K47" s="38" t="str">
        <f>"150,0"</f>
        <v>150,0</v>
      </c>
      <c r="L47" s="25" t="str">
        <f>"92,0100"</f>
        <v>92,0100</v>
      </c>
      <c r="M47" s="31" t="s">
        <v>481</v>
      </c>
    </row>
    <row r="48" spans="1:13">
      <c r="A48" s="25" t="s">
        <v>108</v>
      </c>
      <c r="B48" s="24" t="s">
        <v>438</v>
      </c>
      <c r="C48" s="24" t="s">
        <v>439</v>
      </c>
      <c r="D48" s="24" t="s">
        <v>440</v>
      </c>
      <c r="E48" s="24" t="s">
        <v>534</v>
      </c>
      <c r="F48" s="24" t="s">
        <v>82</v>
      </c>
      <c r="G48" s="26" t="s">
        <v>16</v>
      </c>
      <c r="H48" s="26" t="s">
        <v>265</v>
      </c>
      <c r="I48" s="26" t="s">
        <v>398</v>
      </c>
      <c r="J48" s="25"/>
      <c r="K48" s="38" t="str">
        <f>"162,5"</f>
        <v>162,5</v>
      </c>
      <c r="L48" s="25" t="str">
        <f>"107,8728"</f>
        <v>107,8728</v>
      </c>
      <c r="M48" s="24"/>
    </row>
    <row r="49" spans="1:13">
      <c r="A49" s="12" t="s">
        <v>145</v>
      </c>
      <c r="B49" s="11" t="s">
        <v>441</v>
      </c>
      <c r="C49" s="11" t="s">
        <v>442</v>
      </c>
      <c r="D49" s="11" t="s">
        <v>343</v>
      </c>
      <c r="E49" s="11" t="s">
        <v>534</v>
      </c>
      <c r="F49" s="11" t="s">
        <v>14</v>
      </c>
      <c r="G49" s="23" t="s">
        <v>121</v>
      </c>
      <c r="H49" s="23" t="s">
        <v>121</v>
      </c>
      <c r="I49" s="23" t="s">
        <v>121</v>
      </c>
      <c r="J49" s="12"/>
      <c r="K49" s="35">
        <v>0</v>
      </c>
      <c r="L49" s="12" t="str">
        <f>"0,0000"</f>
        <v>0,0000</v>
      </c>
      <c r="M49" s="11"/>
    </row>
    <row r="50" spans="1:13">
      <c r="B50" s="5" t="s">
        <v>109</v>
      </c>
    </row>
    <row r="51" spans="1:13" ht="16">
      <c r="A51" s="39" t="s">
        <v>54</v>
      </c>
      <c r="B51" s="39"/>
      <c r="C51" s="40"/>
      <c r="D51" s="40"/>
      <c r="E51" s="40"/>
      <c r="F51" s="40"/>
      <c r="G51" s="40"/>
      <c r="H51" s="40"/>
      <c r="I51" s="40"/>
      <c r="J51" s="40"/>
    </row>
    <row r="52" spans="1:13">
      <c r="A52" s="10" t="s">
        <v>108</v>
      </c>
      <c r="B52" s="9" t="s">
        <v>277</v>
      </c>
      <c r="C52" s="9" t="s">
        <v>278</v>
      </c>
      <c r="D52" s="9" t="s">
        <v>279</v>
      </c>
      <c r="E52" s="9" t="s">
        <v>532</v>
      </c>
      <c r="F52" s="9" t="s">
        <v>280</v>
      </c>
      <c r="G52" s="21" t="s">
        <v>21</v>
      </c>
      <c r="H52" s="21" t="s">
        <v>22</v>
      </c>
      <c r="I52" s="20" t="s">
        <v>68</v>
      </c>
      <c r="J52" s="10"/>
      <c r="K52" s="34" t="str">
        <f>"180,0"</f>
        <v>180,0</v>
      </c>
      <c r="L52" s="10" t="str">
        <f>"106,6320"</f>
        <v>106,6320</v>
      </c>
      <c r="M52" s="9"/>
    </row>
    <row r="53" spans="1:13">
      <c r="A53" s="12" t="s">
        <v>110</v>
      </c>
      <c r="B53" s="11" t="s">
        <v>443</v>
      </c>
      <c r="C53" s="11" t="s">
        <v>444</v>
      </c>
      <c r="D53" s="11" t="s">
        <v>445</v>
      </c>
      <c r="E53" s="11" t="s">
        <v>532</v>
      </c>
      <c r="F53" s="11" t="s">
        <v>446</v>
      </c>
      <c r="G53" s="22" t="s">
        <v>20</v>
      </c>
      <c r="H53" s="22" t="s">
        <v>47</v>
      </c>
      <c r="I53" s="12"/>
      <c r="J53" s="12"/>
      <c r="K53" s="35" t="str">
        <f>"167,5"</f>
        <v>167,5</v>
      </c>
      <c r="L53" s="12" t="str">
        <f>"99,7295"</f>
        <v>99,7295</v>
      </c>
      <c r="M53" s="11" t="s">
        <v>447</v>
      </c>
    </row>
    <row r="54" spans="1:13">
      <c r="B54" s="5" t="s">
        <v>109</v>
      </c>
    </row>
    <row r="55" spans="1:13" ht="16">
      <c r="A55" s="39" t="s">
        <v>84</v>
      </c>
      <c r="B55" s="39"/>
      <c r="C55" s="40"/>
      <c r="D55" s="40"/>
      <c r="E55" s="40"/>
      <c r="F55" s="40"/>
      <c r="G55" s="40"/>
      <c r="H55" s="40"/>
      <c r="I55" s="40"/>
      <c r="J55" s="40"/>
    </row>
    <row r="56" spans="1:13">
      <c r="A56" s="8" t="s">
        <v>108</v>
      </c>
      <c r="B56" s="7" t="s">
        <v>282</v>
      </c>
      <c r="C56" s="7" t="s">
        <v>283</v>
      </c>
      <c r="D56" s="7" t="s">
        <v>284</v>
      </c>
      <c r="E56" s="7" t="s">
        <v>532</v>
      </c>
      <c r="F56" s="7" t="s">
        <v>14</v>
      </c>
      <c r="G56" s="18" t="s">
        <v>20</v>
      </c>
      <c r="H56" s="18" t="s">
        <v>22</v>
      </c>
      <c r="I56" s="19" t="s">
        <v>68</v>
      </c>
      <c r="J56" s="8"/>
      <c r="K56" s="33" t="str">
        <f>"180,0"</f>
        <v>180,0</v>
      </c>
      <c r="L56" s="8" t="str">
        <f>"99,9720"</f>
        <v>99,9720</v>
      </c>
      <c r="M56" s="28" t="s">
        <v>481</v>
      </c>
    </row>
    <row r="57" spans="1:13">
      <c r="B57" s="5" t="s">
        <v>109</v>
      </c>
    </row>
    <row r="58" spans="1:13">
      <c r="B58" s="5" t="s">
        <v>109</v>
      </c>
    </row>
    <row r="59" spans="1:13">
      <c r="B59" s="5" t="s">
        <v>109</v>
      </c>
    </row>
    <row r="60" spans="1:13" ht="18">
      <c r="B60" s="13" t="s">
        <v>89</v>
      </c>
      <c r="C60" s="13"/>
    </row>
    <row r="61" spans="1:13" ht="16">
      <c r="B61" s="14" t="s">
        <v>97</v>
      </c>
      <c r="C61" s="14"/>
    </row>
    <row r="62" spans="1:13" ht="14">
      <c r="B62" s="15"/>
      <c r="C62" s="16" t="s">
        <v>91</v>
      </c>
    </row>
    <row r="63" spans="1:13" ht="14">
      <c r="B63" s="17" t="s">
        <v>92</v>
      </c>
      <c r="C63" s="17" t="s">
        <v>93</v>
      </c>
      <c r="D63" s="17" t="s">
        <v>519</v>
      </c>
      <c r="E63" s="17" t="s">
        <v>307</v>
      </c>
      <c r="F63" s="17" t="s">
        <v>95</v>
      </c>
    </row>
    <row r="64" spans="1:13">
      <c r="B64" s="5" t="s">
        <v>396</v>
      </c>
      <c r="C64" s="5" t="s">
        <v>91</v>
      </c>
      <c r="D64" s="6" t="s">
        <v>96</v>
      </c>
      <c r="E64" s="6" t="s">
        <v>398</v>
      </c>
      <c r="F64" s="6" t="s">
        <v>448</v>
      </c>
    </row>
    <row r="65" spans="2:6">
      <c r="B65" s="5" t="s">
        <v>435</v>
      </c>
      <c r="C65" s="5" t="s">
        <v>91</v>
      </c>
      <c r="D65" s="6" t="s">
        <v>107</v>
      </c>
      <c r="E65" s="6" t="s">
        <v>344</v>
      </c>
      <c r="F65" s="6" t="s">
        <v>449</v>
      </c>
    </row>
    <row r="66" spans="2:6">
      <c r="B66" s="5" t="s">
        <v>403</v>
      </c>
      <c r="C66" s="5" t="s">
        <v>91</v>
      </c>
      <c r="D66" s="6" t="s">
        <v>104</v>
      </c>
      <c r="E66" s="6" t="s">
        <v>121</v>
      </c>
      <c r="F66" s="6" t="s">
        <v>450</v>
      </c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6:J36"/>
    <mergeCell ref="A45:J45"/>
    <mergeCell ref="A51:J51"/>
    <mergeCell ref="A55:J55"/>
    <mergeCell ref="B3:B4"/>
    <mergeCell ref="A8:J8"/>
    <mergeCell ref="A13:J13"/>
    <mergeCell ref="A16:J16"/>
    <mergeCell ref="A19:J19"/>
    <mergeCell ref="A22:J22"/>
    <mergeCell ref="A28:J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9"/>
  <sheetViews>
    <sheetView topLeftCell="A20" workbookViewId="0">
      <selection activeCell="E49" sqref="E49"/>
    </sheetView>
  </sheetViews>
  <sheetFormatPr baseColWidth="10" defaultColWidth="9.1640625" defaultRowHeight="13"/>
  <cols>
    <col min="1" max="1" width="6.6640625" style="5" bestFit="1" customWidth="1"/>
    <col min="2" max="2" width="24.83203125" style="5" customWidth="1"/>
    <col min="3" max="3" width="27.1640625" style="5" bestFit="1" customWidth="1"/>
    <col min="4" max="4" width="20" style="5" bestFit="1" customWidth="1"/>
    <col min="5" max="5" width="9.6640625" style="5" bestFit="1" customWidth="1"/>
    <col min="6" max="6" width="38.5" style="5" customWidth="1"/>
    <col min="7" max="9" width="5.5" style="6" customWidth="1"/>
    <col min="10" max="10" width="4.33203125" style="6" customWidth="1"/>
    <col min="11" max="11" width="10.5" style="32" bestFit="1" customWidth="1"/>
    <col min="12" max="12" width="8.5" style="6" bestFit="1" customWidth="1"/>
    <col min="13" max="13" width="21.1640625" style="5" bestFit="1" customWidth="1"/>
    <col min="14" max="16384" width="9.1640625" style="3"/>
  </cols>
  <sheetData>
    <row r="1" spans="1:13" s="2" customFormat="1" ht="29" customHeight="1">
      <c r="A1" s="49" t="s">
        <v>512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529</v>
      </c>
      <c r="B3" s="41" t="s">
        <v>0</v>
      </c>
      <c r="C3" s="59" t="s">
        <v>530</v>
      </c>
      <c r="D3" s="59" t="s">
        <v>6</v>
      </c>
      <c r="E3" s="43" t="s">
        <v>531</v>
      </c>
      <c r="F3" s="43" t="s">
        <v>5</v>
      </c>
      <c r="G3" s="43" t="s">
        <v>8</v>
      </c>
      <c r="H3" s="43"/>
      <c r="I3" s="43"/>
      <c r="J3" s="43"/>
      <c r="K3" s="60" t="s">
        <v>308</v>
      </c>
      <c r="L3" s="43" t="s">
        <v>3</v>
      </c>
      <c r="M3" s="45" t="s">
        <v>2</v>
      </c>
    </row>
    <row r="4" spans="1:13" s="1" customFormat="1" ht="21" customHeight="1" thickBot="1">
      <c r="A4" s="58"/>
      <c r="B4" s="4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61"/>
      <c r="L4" s="44"/>
      <c r="M4" s="46"/>
    </row>
    <row r="5" spans="1:13" ht="16">
      <c r="A5" s="47" t="s">
        <v>150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8" t="s">
        <v>108</v>
      </c>
      <c r="B6" s="7" t="s">
        <v>151</v>
      </c>
      <c r="C6" s="7" t="s">
        <v>152</v>
      </c>
      <c r="D6" s="7" t="s">
        <v>153</v>
      </c>
      <c r="E6" s="7" t="s">
        <v>532</v>
      </c>
      <c r="F6" s="7" t="s">
        <v>521</v>
      </c>
      <c r="G6" s="18" t="s">
        <v>156</v>
      </c>
      <c r="H6" s="19" t="s">
        <v>157</v>
      </c>
      <c r="I6" s="19" t="s">
        <v>157</v>
      </c>
      <c r="J6" s="8"/>
      <c r="K6" s="33" t="str">
        <f>"50,0"</f>
        <v>50,0</v>
      </c>
      <c r="L6" s="8" t="str">
        <f>"59,1600"</f>
        <v>59,1600</v>
      </c>
      <c r="M6" s="28" t="s">
        <v>485</v>
      </c>
    </row>
    <row r="7" spans="1:13">
      <c r="B7" s="5" t="s">
        <v>109</v>
      </c>
    </row>
    <row r="8" spans="1:13" ht="16">
      <c r="A8" s="39" t="s">
        <v>159</v>
      </c>
      <c r="B8" s="39"/>
      <c r="C8" s="40"/>
      <c r="D8" s="40"/>
      <c r="E8" s="40"/>
      <c r="F8" s="40"/>
      <c r="G8" s="40"/>
      <c r="H8" s="40"/>
      <c r="I8" s="40"/>
      <c r="J8" s="40"/>
    </row>
    <row r="9" spans="1:13">
      <c r="A9" s="8" t="s">
        <v>108</v>
      </c>
      <c r="B9" s="7" t="s">
        <v>160</v>
      </c>
      <c r="C9" s="7" t="s">
        <v>161</v>
      </c>
      <c r="D9" s="7" t="s">
        <v>162</v>
      </c>
      <c r="E9" s="7" t="s">
        <v>532</v>
      </c>
      <c r="F9" s="7" t="s">
        <v>521</v>
      </c>
      <c r="G9" s="18" t="s">
        <v>17</v>
      </c>
      <c r="H9" s="18" t="s">
        <v>163</v>
      </c>
      <c r="I9" s="19" t="s">
        <v>164</v>
      </c>
      <c r="J9" s="8"/>
      <c r="K9" s="33" t="str">
        <f>"72,5"</f>
        <v>72,5</v>
      </c>
      <c r="L9" s="8" t="str">
        <f>"80,8302"</f>
        <v>80,8302</v>
      </c>
      <c r="M9" s="28" t="s">
        <v>485</v>
      </c>
    </row>
    <row r="10" spans="1:13">
      <c r="B10" s="5" t="s">
        <v>109</v>
      </c>
    </row>
    <row r="11" spans="1:13" ht="16">
      <c r="A11" s="39" t="s">
        <v>10</v>
      </c>
      <c r="B11" s="39"/>
      <c r="C11" s="40"/>
      <c r="D11" s="40"/>
      <c r="E11" s="40"/>
      <c r="F11" s="40"/>
      <c r="G11" s="40"/>
      <c r="H11" s="40"/>
      <c r="I11" s="40"/>
      <c r="J11" s="40"/>
    </row>
    <row r="12" spans="1:13">
      <c r="A12" s="10" t="s">
        <v>108</v>
      </c>
      <c r="B12" s="9" t="s">
        <v>309</v>
      </c>
      <c r="C12" s="9" t="s">
        <v>310</v>
      </c>
      <c r="D12" s="9" t="s">
        <v>311</v>
      </c>
      <c r="E12" s="9" t="s">
        <v>532</v>
      </c>
      <c r="F12" s="9" t="s">
        <v>14</v>
      </c>
      <c r="G12" s="21" t="s">
        <v>256</v>
      </c>
      <c r="H12" s="21" t="s">
        <v>31</v>
      </c>
      <c r="I12" s="20" t="s">
        <v>120</v>
      </c>
      <c r="J12" s="10"/>
      <c r="K12" s="34" t="str">
        <f>"142,5"</f>
        <v>142,5</v>
      </c>
      <c r="L12" s="10" t="str">
        <f>"101,8305"</f>
        <v>101,8305</v>
      </c>
      <c r="M12" s="9"/>
    </row>
    <row r="13" spans="1:13">
      <c r="A13" s="12" t="s">
        <v>110</v>
      </c>
      <c r="B13" s="11" t="s">
        <v>312</v>
      </c>
      <c r="C13" s="11" t="s">
        <v>313</v>
      </c>
      <c r="D13" s="11" t="s">
        <v>264</v>
      </c>
      <c r="E13" s="11" t="s">
        <v>532</v>
      </c>
      <c r="F13" s="11" t="s">
        <v>525</v>
      </c>
      <c r="G13" s="22" t="s">
        <v>119</v>
      </c>
      <c r="H13" s="23" t="s">
        <v>88</v>
      </c>
      <c r="I13" s="23" t="s">
        <v>16</v>
      </c>
      <c r="J13" s="12"/>
      <c r="K13" s="35" t="str">
        <f>"135,0"</f>
        <v>135,0</v>
      </c>
      <c r="L13" s="12" t="str">
        <f>"96,2820"</f>
        <v>96,2820</v>
      </c>
      <c r="M13" s="11"/>
    </row>
    <row r="14" spans="1:13">
      <c r="B14" s="5" t="s">
        <v>109</v>
      </c>
    </row>
    <row r="15" spans="1:13" ht="16">
      <c r="A15" s="39" t="s">
        <v>23</v>
      </c>
      <c r="B15" s="39"/>
      <c r="C15" s="40"/>
      <c r="D15" s="40"/>
      <c r="E15" s="40"/>
      <c r="F15" s="40"/>
      <c r="G15" s="40"/>
      <c r="H15" s="40"/>
      <c r="I15" s="40"/>
      <c r="J15" s="40"/>
    </row>
    <row r="16" spans="1:13">
      <c r="A16" s="10" t="s">
        <v>108</v>
      </c>
      <c r="B16" s="9" t="s">
        <v>314</v>
      </c>
      <c r="C16" s="9" t="s">
        <v>315</v>
      </c>
      <c r="D16" s="9" t="s">
        <v>124</v>
      </c>
      <c r="E16" s="9" t="s">
        <v>537</v>
      </c>
      <c r="F16" s="9" t="s">
        <v>521</v>
      </c>
      <c r="G16" s="21" t="s">
        <v>115</v>
      </c>
      <c r="H16" s="21" t="s">
        <v>29</v>
      </c>
      <c r="I16" s="21" t="s">
        <v>136</v>
      </c>
      <c r="J16" s="10"/>
      <c r="K16" s="34" t="str">
        <f>"125,0"</f>
        <v>125,0</v>
      </c>
      <c r="L16" s="10" t="str">
        <f>"83,7375"</f>
        <v>83,7375</v>
      </c>
      <c r="M16" s="29" t="s">
        <v>483</v>
      </c>
    </row>
    <row r="17" spans="1:13">
      <c r="A17" s="25" t="s">
        <v>108</v>
      </c>
      <c r="B17" s="24" t="s">
        <v>316</v>
      </c>
      <c r="C17" s="24" t="s">
        <v>317</v>
      </c>
      <c r="D17" s="24" t="s">
        <v>318</v>
      </c>
      <c r="E17" s="24" t="s">
        <v>532</v>
      </c>
      <c r="F17" s="24" t="s">
        <v>521</v>
      </c>
      <c r="G17" s="26" t="s">
        <v>88</v>
      </c>
      <c r="H17" s="26" t="s">
        <v>16</v>
      </c>
      <c r="I17" s="26" t="s">
        <v>165</v>
      </c>
      <c r="J17" s="25"/>
      <c r="K17" s="38" t="str">
        <f>"152,5"</f>
        <v>152,5</v>
      </c>
      <c r="L17" s="25" t="str">
        <f>"102,9222"</f>
        <v>102,9222</v>
      </c>
      <c r="M17" s="24"/>
    </row>
    <row r="18" spans="1:13">
      <c r="A18" s="25" t="s">
        <v>110</v>
      </c>
      <c r="B18" s="24" t="s">
        <v>526</v>
      </c>
      <c r="C18" s="24" t="s">
        <v>319</v>
      </c>
      <c r="D18" s="24" t="s">
        <v>320</v>
      </c>
      <c r="E18" s="24" t="s">
        <v>532</v>
      </c>
      <c r="F18" s="24" t="s">
        <v>521</v>
      </c>
      <c r="G18" s="26" t="s">
        <v>154</v>
      </c>
      <c r="H18" s="27" t="s">
        <v>155</v>
      </c>
      <c r="I18" s="27" t="s">
        <v>155</v>
      </c>
      <c r="J18" s="25"/>
      <c r="K18" s="38" t="str">
        <f>"100,0"</f>
        <v>100,0</v>
      </c>
      <c r="L18" s="25" t="str">
        <f>"67,0900"</f>
        <v>67,0900</v>
      </c>
      <c r="M18" s="24"/>
    </row>
    <row r="19" spans="1:13">
      <c r="A19" s="12" t="s">
        <v>145</v>
      </c>
      <c r="B19" s="11" t="s">
        <v>321</v>
      </c>
      <c r="C19" s="11" t="s">
        <v>322</v>
      </c>
      <c r="D19" s="11" t="s">
        <v>323</v>
      </c>
      <c r="E19" s="11" t="s">
        <v>536</v>
      </c>
      <c r="F19" s="11" t="s">
        <v>14</v>
      </c>
      <c r="G19" s="23" t="s">
        <v>29</v>
      </c>
      <c r="H19" s="12"/>
      <c r="I19" s="12"/>
      <c r="J19" s="12"/>
      <c r="K19" s="35">
        <v>0</v>
      </c>
      <c r="L19" s="12" t="str">
        <f>"0,0000"</f>
        <v>0,0000</v>
      </c>
      <c r="M19" s="11" t="s">
        <v>324</v>
      </c>
    </row>
    <row r="20" spans="1:13">
      <c r="B20" s="5" t="s">
        <v>109</v>
      </c>
    </row>
    <row r="21" spans="1:13" ht="16">
      <c r="A21" s="39" t="s">
        <v>33</v>
      </c>
      <c r="B21" s="39"/>
      <c r="C21" s="40"/>
      <c r="D21" s="40"/>
      <c r="E21" s="40"/>
      <c r="F21" s="40"/>
      <c r="G21" s="40"/>
      <c r="H21" s="40"/>
      <c r="I21" s="40"/>
      <c r="J21" s="40"/>
    </row>
    <row r="22" spans="1:13">
      <c r="A22" s="10" t="s">
        <v>108</v>
      </c>
      <c r="B22" s="9" t="s">
        <v>325</v>
      </c>
      <c r="C22" s="9" t="s">
        <v>326</v>
      </c>
      <c r="D22" s="9" t="s">
        <v>327</v>
      </c>
      <c r="E22" s="9" t="s">
        <v>532</v>
      </c>
      <c r="F22" s="9" t="s">
        <v>14</v>
      </c>
      <c r="G22" s="21" t="s">
        <v>22</v>
      </c>
      <c r="H22" s="21" t="s">
        <v>328</v>
      </c>
      <c r="I22" s="21" t="s">
        <v>68</v>
      </c>
      <c r="J22" s="10"/>
      <c r="K22" s="34" t="str">
        <f>"190,0"</f>
        <v>190,0</v>
      </c>
      <c r="L22" s="10" t="str">
        <f>"121,9990"</f>
        <v>121,9990</v>
      </c>
      <c r="M22" s="29" t="s">
        <v>487</v>
      </c>
    </row>
    <row r="23" spans="1:13">
      <c r="A23" s="25" t="s">
        <v>110</v>
      </c>
      <c r="B23" s="24" t="s">
        <v>329</v>
      </c>
      <c r="C23" s="24" t="s">
        <v>330</v>
      </c>
      <c r="D23" s="24" t="s">
        <v>331</v>
      </c>
      <c r="E23" s="24" t="s">
        <v>532</v>
      </c>
      <c r="F23" s="24" t="s">
        <v>521</v>
      </c>
      <c r="G23" s="26" t="s">
        <v>22</v>
      </c>
      <c r="H23" s="26" t="s">
        <v>68</v>
      </c>
      <c r="I23" s="27" t="s">
        <v>182</v>
      </c>
      <c r="J23" s="25"/>
      <c r="K23" s="38" t="str">
        <f>"190,0"</f>
        <v>190,0</v>
      </c>
      <c r="L23" s="25" t="str">
        <f>"121,9230"</f>
        <v>121,9230</v>
      </c>
      <c r="M23" s="24"/>
    </row>
    <row r="24" spans="1:13">
      <c r="A24" s="25" t="s">
        <v>298</v>
      </c>
      <c r="B24" s="24" t="s">
        <v>332</v>
      </c>
      <c r="C24" s="24" t="s">
        <v>333</v>
      </c>
      <c r="D24" s="24" t="s">
        <v>334</v>
      </c>
      <c r="E24" s="24" t="s">
        <v>532</v>
      </c>
      <c r="F24" s="24" t="s">
        <v>82</v>
      </c>
      <c r="G24" s="26" t="s">
        <v>121</v>
      </c>
      <c r="H24" s="26" t="s">
        <v>53</v>
      </c>
      <c r="I24" s="27" t="s">
        <v>22</v>
      </c>
      <c r="J24" s="25"/>
      <c r="K24" s="38" t="str">
        <f>"175,0"</f>
        <v>175,0</v>
      </c>
      <c r="L24" s="25" t="str">
        <f>"113,2425"</f>
        <v>113,2425</v>
      </c>
      <c r="M24" s="24"/>
    </row>
    <row r="25" spans="1:13">
      <c r="A25" s="12" t="s">
        <v>299</v>
      </c>
      <c r="B25" s="11" t="s">
        <v>335</v>
      </c>
      <c r="C25" s="11" t="s">
        <v>336</v>
      </c>
      <c r="D25" s="11" t="s">
        <v>337</v>
      </c>
      <c r="E25" s="11" t="s">
        <v>532</v>
      </c>
      <c r="F25" s="11" t="s">
        <v>276</v>
      </c>
      <c r="G25" s="22" t="s">
        <v>21</v>
      </c>
      <c r="H25" s="23" t="s">
        <v>53</v>
      </c>
      <c r="I25" s="22" t="s">
        <v>53</v>
      </c>
      <c r="J25" s="12"/>
      <c r="K25" s="35" t="str">
        <f>"175,0"</f>
        <v>175,0</v>
      </c>
      <c r="L25" s="12" t="str">
        <f>"112,7000"</f>
        <v>112,7000</v>
      </c>
      <c r="M25" s="11"/>
    </row>
    <row r="26" spans="1:13">
      <c r="B26" s="5" t="s">
        <v>109</v>
      </c>
    </row>
    <row r="27" spans="1:13" ht="16">
      <c r="A27" s="39" t="s">
        <v>42</v>
      </c>
      <c r="B27" s="39"/>
      <c r="C27" s="40"/>
      <c r="D27" s="40"/>
      <c r="E27" s="40"/>
      <c r="F27" s="40"/>
      <c r="G27" s="40"/>
      <c r="H27" s="40"/>
      <c r="I27" s="40"/>
      <c r="J27" s="40"/>
    </row>
    <row r="28" spans="1:13">
      <c r="A28" s="10" t="s">
        <v>108</v>
      </c>
      <c r="B28" s="9" t="s">
        <v>338</v>
      </c>
      <c r="C28" s="9" t="s">
        <v>339</v>
      </c>
      <c r="D28" s="9" t="s">
        <v>340</v>
      </c>
      <c r="E28" s="9" t="s">
        <v>533</v>
      </c>
      <c r="F28" s="9" t="s">
        <v>14</v>
      </c>
      <c r="G28" s="21" t="s">
        <v>165</v>
      </c>
      <c r="H28" s="21" t="s">
        <v>265</v>
      </c>
      <c r="I28" s="20" t="s">
        <v>20</v>
      </c>
      <c r="J28" s="10"/>
      <c r="K28" s="34" t="str">
        <f>"157,5"</f>
        <v>157,5</v>
      </c>
      <c r="L28" s="10" t="str">
        <f>"98,0595"</f>
        <v>98,0595</v>
      </c>
      <c r="M28" s="29" t="s">
        <v>497</v>
      </c>
    </row>
    <row r="29" spans="1:13">
      <c r="A29" s="25" t="s">
        <v>108</v>
      </c>
      <c r="B29" s="24" t="s">
        <v>341</v>
      </c>
      <c r="C29" s="24" t="s">
        <v>342</v>
      </c>
      <c r="D29" s="24" t="s">
        <v>343</v>
      </c>
      <c r="E29" s="24" t="s">
        <v>532</v>
      </c>
      <c r="F29" s="24" t="s">
        <v>14</v>
      </c>
      <c r="G29" s="26" t="s">
        <v>53</v>
      </c>
      <c r="H29" s="26" t="s">
        <v>344</v>
      </c>
      <c r="I29" s="26" t="s">
        <v>328</v>
      </c>
      <c r="J29" s="25"/>
      <c r="K29" s="38" t="str">
        <f>"187,5"</f>
        <v>187,5</v>
      </c>
      <c r="L29" s="25" t="str">
        <f>"115,4062"</f>
        <v>115,4062</v>
      </c>
      <c r="M29" s="31" t="s">
        <v>481</v>
      </c>
    </row>
    <row r="30" spans="1:13">
      <c r="A30" s="25" t="s">
        <v>110</v>
      </c>
      <c r="B30" s="24" t="s">
        <v>345</v>
      </c>
      <c r="C30" s="24" t="s">
        <v>346</v>
      </c>
      <c r="D30" s="24" t="s">
        <v>347</v>
      </c>
      <c r="E30" s="24" t="s">
        <v>532</v>
      </c>
      <c r="F30" s="24" t="s">
        <v>82</v>
      </c>
      <c r="G30" s="26" t="s">
        <v>20</v>
      </c>
      <c r="H30" s="26" t="s">
        <v>21</v>
      </c>
      <c r="I30" s="26" t="s">
        <v>53</v>
      </c>
      <c r="J30" s="25"/>
      <c r="K30" s="38" t="str">
        <f>"175,0"</f>
        <v>175,0</v>
      </c>
      <c r="L30" s="25" t="str">
        <f>"109,8300"</f>
        <v>109,8300</v>
      </c>
      <c r="M30" s="31" t="s">
        <v>481</v>
      </c>
    </row>
    <row r="31" spans="1:13">
      <c r="A31" s="25" t="s">
        <v>298</v>
      </c>
      <c r="B31" s="24" t="s">
        <v>348</v>
      </c>
      <c r="C31" s="24" t="s">
        <v>349</v>
      </c>
      <c r="D31" s="24" t="s">
        <v>350</v>
      </c>
      <c r="E31" s="24" t="s">
        <v>532</v>
      </c>
      <c r="F31" s="24" t="s">
        <v>525</v>
      </c>
      <c r="G31" s="26" t="s">
        <v>21</v>
      </c>
      <c r="H31" s="27" t="s">
        <v>351</v>
      </c>
      <c r="I31" s="27" t="s">
        <v>351</v>
      </c>
      <c r="J31" s="25"/>
      <c r="K31" s="38" t="str">
        <f>"170,0"</f>
        <v>170,0</v>
      </c>
      <c r="L31" s="25" t="str">
        <f>"103,6320"</f>
        <v>103,6320</v>
      </c>
      <c r="M31" s="24"/>
    </row>
    <row r="32" spans="1:13">
      <c r="A32" s="25" t="s">
        <v>299</v>
      </c>
      <c r="B32" s="24" t="s">
        <v>352</v>
      </c>
      <c r="C32" s="24" t="s">
        <v>353</v>
      </c>
      <c r="D32" s="24" t="s">
        <v>354</v>
      </c>
      <c r="E32" s="24" t="s">
        <v>532</v>
      </c>
      <c r="F32" s="24" t="s">
        <v>14</v>
      </c>
      <c r="G32" s="27" t="s">
        <v>39</v>
      </c>
      <c r="H32" s="26" t="s">
        <v>39</v>
      </c>
      <c r="I32" s="27" t="s">
        <v>20</v>
      </c>
      <c r="J32" s="25"/>
      <c r="K32" s="38" t="str">
        <f>"155,0"</f>
        <v>155,0</v>
      </c>
      <c r="L32" s="25" t="str">
        <f>"95,6660"</f>
        <v>95,6660</v>
      </c>
      <c r="M32" s="24"/>
    </row>
    <row r="33" spans="1:13">
      <c r="A33" s="25" t="s">
        <v>374</v>
      </c>
      <c r="B33" s="24" t="s">
        <v>355</v>
      </c>
      <c r="C33" s="24" t="s">
        <v>356</v>
      </c>
      <c r="D33" s="24" t="s">
        <v>357</v>
      </c>
      <c r="E33" s="24" t="s">
        <v>532</v>
      </c>
      <c r="F33" s="24" t="s">
        <v>14</v>
      </c>
      <c r="G33" s="26" t="s">
        <v>125</v>
      </c>
      <c r="H33" s="26" t="s">
        <v>119</v>
      </c>
      <c r="I33" s="27" t="s">
        <v>15</v>
      </c>
      <c r="J33" s="25"/>
      <c r="K33" s="38" t="str">
        <f>"135,0"</f>
        <v>135,0</v>
      </c>
      <c r="L33" s="25" t="str">
        <f>"82,7685"</f>
        <v>82,7685</v>
      </c>
      <c r="M33" s="24"/>
    </row>
    <row r="34" spans="1:13">
      <c r="A34" s="25" t="s">
        <v>108</v>
      </c>
      <c r="B34" s="24" t="s">
        <v>49</v>
      </c>
      <c r="C34" s="24" t="s">
        <v>50</v>
      </c>
      <c r="D34" s="24" t="s">
        <v>51</v>
      </c>
      <c r="E34" s="24" t="s">
        <v>534</v>
      </c>
      <c r="F34" s="24" t="s">
        <v>14</v>
      </c>
      <c r="G34" s="26" t="s">
        <v>20</v>
      </c>
      <c r="H34" s="26" t="s">
        <v>21</v>
      </c>
      <c r="I34" s="27" t="s">
        <v>53</v>
      </c>
      <c r="J34" s="25"/>
      <c r="K34" s="38" t="str">
        <f>"170,0"</f>
        <v>170,0</v>
      </c>
      <c r="L34" s="25" t="str">
        <f>"104,0060"</f>
        <v>104,0060</v>
      </c>
      <c r="M34" s="31" t="s">
        <v>481</v>
      </c>
    </row>
    <row r="35" spans="1:13">
      <c r="A35" s="12" t="s">
        <v>110</v>
      </c>
      <c r="B35" s="11" t="s">
        <v>348</v>
      </c>
      <c r="C35" s="11" t="s">
        <v>358</v>
      </c>
      <c r="D35" s="11" t="s">
        <v>350</v>
      </c>
      <c r="E35" s="11" t="s">
        <v>534</v>
      </c>
      <c r="F35" s="11" t="s">
        <v>525</v>
      </c>
      <c r="G35" s="22" t="s">
        <v>21</v>
      </c>
      <c r="H35" s="23" t="s">
        <v>351</v>
      </c>
      <c r="I35" s="23" t="s">
        <v>351</v>
      </c>
      <c r="J35" s="12"/>
      <c r="K35" s="35" t="str">
        <f>"170,0"</f>
        <v>170,0</v>
      </c>
      <c r="L35" s="12" t="str">
        <f>"109,8499"</f>
        <v>109,8499</v>
      </c>
      <c r="M35" s="11"/>
    </row>
    <row r="36" spans="1:13">
      <c r="B36" s="5" t="s">
        <v>109</v>
      </c>
    </row>
    <row r="37" spans="1:13" ht="16">
      <c r="A37" s="39" t="s">
        <v>54</v>
      </c>
      <c r="B37" s="39"/>
      <c r="C37" s="40"/>
      <c r="D37" s="40"/>
      <c r="E37" s="40"/>
      <c r="F37" s="40"/>
      <c r="G37" s="40"/>
      <c r="H37" s="40"/>
      <c r="I37" s="40"/>
      <c r="J37" s="40"/>
    </row>
    <row r="38" spans="1:13">
      <c r="A38" s="8" t="s">
        <v>108</v>
      </c>
      <c r="B38" s="7" t="s">
        <v>359</v>
      </c>
      <c r="C38" s="7" t="s">
        <v>360</v>
      </c>
      <c r="D38" s="7" t="s">
        <v>361</v>
      </c>
      <c r="E38" s="7" t="s">
        <v>532</v>
      </c>
      <c r="F38" s="7" t="s">
        <v>521</v>
      </c>
      <c r="G38" s="18" t="s">
        <v>60</v>
      </c>
      <c r="H38" s="19" t="s">
        <v>362</v>
      </c>
      <c r="I38" s="19" t="s">
        <v>362</v>
      </c>
      <c r="J38" s="8"/>
      <c r="K38" s="33" t="str">
        <f>"212,5"</f>
        <v>212,5</v>
      </c>
      <c r="L38" s="8" t="str">
        <f>"125,8213"</f>
        <v>125,8213</v>
      </c>
      <c r="M38" s="7"/>
    </row>
    <row r="39" spans="1:13">
      <c r="B39" s="5" t="s">
        <v>109</v>
      </c>
    </row>
    <row r="40" spans="1:13" ht="16">
      <c r="A40" s="39" t="s">
        <v>140</v>
      </c>
      <c r="B40" s="39"/>
      <c r="C40" s="40"/>
      <c r="D40" s="40"/>
      <c r="E40" s="40"/>
      <c r="F40" s="40"/>
      <c r="G40" s="40"/>
      <c r="H40" s="40"/>
      <c r="I40" s="40"/>
      <c r="J40" s="40"/>
    </row>
    <row r="41" spans="1:13">
      <c r="A41" s="10" t="s">
        <v>108</v>
      </c>
      <c r="B41" s="9" t="s">
        <v>303</v>
      </c>
      <c r="C41" s="9" t="s">
        <v>304</v>
      </c>
      <c r="D41" s="9" t="s">
        <v>305</v>
      </c>
      <c r="E41" s="9" t="s">
        <v>532</v>
      </c>
      <c r="F41" s="9" t="s">
        <v>14</v>
      </c>
      <c r="G41" s="21" t="s">
        <v>48</v>
      </c>
      <c r="H41" s="20" t="s">
        <v>363</v>
      </c>
      <c r="I41" s="20" t="s">
        <v>46</v>
      </c>
      <c r="J41" s="10"/>
      <c r="K41" s="34" t="str">
        <f>"235,0"</f>
        <v>235,0</v>
      </c>
      <c r="L41" s="10" t="str">
        <f>"137,0755"</f>
        <v>137,0755</v>
      </c>
      <c r="M41" s="9"/>
    </row>
    <row r="42" spans="1:13">
      <c r="A42" s="25" t="s">
        <v>110</v>
      </c>
      <c r="B42" s="24" t="s">
        <v>176</v>
      </c>
      <c r="C42" s="24" t="s">
        <v>177</v>
      </c>
      <c r="D42" s="24" t="s">
        <v>178</v>
      </c>
      <c r="E42" s="24" t="s">
        <v>532</v>
      </c>
      <c r="F42" s="24" t="s">
        <v>446</v>
      </c>
      <c r="G42" s="26" t="s">
        <v>68</v>
      </c>
      <c r="H42" s="26" t="s">
        <v>52</v>
      </c>
      <c r="I42" s="26" t="s">
        <v>59</v>
      </c>
      <c r="J42" s="25"/>
      <c r="K42" s="38" t="str">
        <f>"210,0"</f>
        <v>210,0</v>
      </c>
      <c r="L42" s="25" t="str">
        <f>"120,4140"</f>
        <v>120,4140</v>
      </c>
      <c r="M42" s="31" t="s">
        <v>481</v>
      </c>
    </row>
    <row r="43" spans="1:13">
      <c r="A43" s="25" t="s">
        <v>298</v>
      </c>
      <c r="B43" s="24" t="s">
        <v>364</v>
      </c>
      <c r="C43" s="24" t="s">
        <v>365</v>
      </c>
      <c r="D43" s="24" t="s">
        <v>366</v>
      </c>
      <c r="E43" s="24" t="s">
        <v>532</v>
      </c>
      <c r="F43" s="24" t="s">
        <v>14</v>
      </c>
      <c r="G43" s="26" t="s">
        <v>52</v>
      </c>
      <c r="H43" s="26" t="s">
        <v>135</v>
      </c>
      <c r="I43" s="27" t="s">
        <v>59</v>
      </c>
      <c r="J43" s="25"/>
      <c r="K43" s="38" t="str">
        <f>"205,0"</f>
        <v>205,0</v>
      </c>
      <c r="L43" s="25" t="str">
        <f>"117,9570"</f>
        <v>117,9570</v>
      </c>
      <c r="M43" s="24"/>
    </row>
    <row r="44" spans="1:13">
      <c r="A44" s="12" t="s">
        <v>299</v>
      </c>
      <c r="B44" s="11" t="s">
        <v>171</v>
      </c>
      <c r="C44" s="11" t="s">
        <v>172</v>
      </c>
      <c r="D44" s="11" t="s">
        <v>173</v>
      </c>
      <c r="E44" s="11" t="s">
        <v>532</v>
      </c>
      <c r="F44" s="11" t="s">
        <v>521</v>
      </c>
      <c r="G44" s="22" t="s">
        <v>21</v>
      </c>
      <c r="H44" s="22" t="s">
        <v>53</v>
      </c>
      <c r="I44" s="23" t="s">
        <v>22</v>
      </c>
      <c r="J44" s="12"/>
      <c r="K44" s="35" t="str">
        <f>"175,0"</f>
        <v>175,0</v>
      </c>
      <c r="L44" s="12" t="str">
        <f>"100,4850"</f>
        <v>100,4850</v>
      </c>
      <c r="M44" s="11"/>
    </row>
    <row r="45" spans="1:13">
      <c r="B45" s="5" t="s">
        <v>109</v>
      </c>
    </row>
    <row r="46" spans="1:13" ht="16">
      <c r="A46" s="39" t="s">
        <v>69</v>
      </c>
      <c r="B46" s="39"/>
      <c r="C46" s="40"/>
      <c r="D46" s="40"/>
      <c r="E46" s="40"/>
      <c r="F46" s="40"/>
      <c r="G46" s="40"/>
      <c r="H46" s="40"/>
      <c r="I46" s="40"/>
      <c r="J46" s="40"/>
    </row>
    <row r="47" spans="1:13">
      <c r="A47" s="10" t="s">
        <v>108</v>
      </c>
      <c r="B47" s="9" t="s">
        <v>367</v>
      </c>
      <c r="C47" s="9" t="s">
        <v>368</v>
      </c>
      <c r="D47" s="9" t="s">
        <v>369</v>
      </c>
      <c r="E47" s="9" t="s">
        <v>532</v>
      </c>
      <c r="F47" s="9" t="s">
        <v>446</v>
      </c>
      <c r="G47" s="21" t="s">
        <v>76</v>
      </c>
      <c r="H47" s="21" t="s">
        <v>77</v>
      </c>
      <c r="I47" s="20" t="s">
        <v>37</v>
      </c>
      <c r="J47" s="10"/>
      <c r="K47" s="34" t="str">
        <f>"225,0"</f>
        <v>225,0</v>
      </c>
      <c r="L47" s="10" t="str">
        <f>"126,5175"</f>
        <v>126,5175</v>
      </c>
      <c r="M47" s="9"/>
    </row>
    <row r="48" spans="1:13">
      <c r="A48" s="12" t="s">
        <v>108</v>
      </c>
      <c r="B48" s="11" t="s">
        <v>367</v>
      </c>
      <c r="C48" s="11" t="s">
        <v>370</v>
      </c>
      <c r="D48" s="11" t="s">
        <v>369</v>
      </c>
      <c r="E48" s="11" t="s">
        <v>534</v>
      </c>
      <c r="F48" s="11" t="s">
        <v>446</v>
      </c>
      <c r="G48" s="22" t="s">
        <v>76</v>
      </c>
      <c r="H48" s="22" t="s">
        <v>77</v>
      </c>
      <c r="I48" s="23" t="s">
        <v>37</v>
      </c>
      <c r="J48" s="12"/>
      <c r="K48" s="35" t="str">
        <f>"225,0"</f>
        <v>225,0</v>
      </c>
      <c r="L48" s="12" t="str">
        <f>"138,6632"</f>
        <v>138,6632</v>
      </c>
      <c r="M48" s="11"/>
    </row>
    <row r="49" spans="2:6">
      <c r="B49" s="5" t="s">
        <v>109</v>
      </c>
    </row>
    <row r="50" spans="2:6">
      <c r="B50" s="5" t="s">
        <v>109</v>
      </c>
    </row>
    <row r="51" spans="2:6">
      <c r="B51" s="5" t="s">
        <v>109</v>
      </c>
      <c r="C51" s="3"/>
      <c r="D51" s="3"/>
      <c r="E51" s="3"/>
      <c r="F51" s="3"/>
    </row>
    <row r="52" spans="2:6" ht="18">
      <c r="B52" s="13" t="s">
        <v>89</v>
      </c>
      <c r="C52" s="13"/>
      <c r="F52" s="3"/>
    </row>
    <row r="53" spans="2:6" ht="16">
      <c r="B53" s="14" t="s">
        <v>97</v>
      </c>
      <c r="C53" s="14"/>
      <c r="F53" s="3"/>
    </row>
    <row r="54" spans="2:6" ht="14">
      <c r="B54" s="15"/>
      <c r="C54" s="16" t="s">
        <v>91</v>
      </c>
      <c r="F54" s="3"/>
    </row>
    <row r="55" spans="2:6" ht="14">
      <c r="B55" s="17" t="s">
        <v>92</v>
      </c>
      <c r="C55" s="17" t="s">
        <v>93</v>
      </c>
      <c r="D55" s="17" t="s">
        <v>519</v>
      </c>
      <c r="E55" s="17" t="s">
        <v>307</v>
      </c>
      <c r="F55" s="17" t="s">
        <v>95</v>
      </c>
    </row>
    <row r="56" spans="2:6">
      <c r="B56" s="5" t="s">
        <v>303</v>
      </c>
      <c r="C56" s="5" t="s">
        <v>91</v>
      </c>
      <c r="D56" s="6" t="s">
        <v>185</v>
      </c>
      <c r="E56" s="6" t="s">
        <v>48</v>
      </c>
      <c r="F56" s="6" t="s">
        <v>371</v>
      </c>
    </row>
    <row r="57" spans="2:6">
      <c r="B57" s="5" t="s">
        <v>367</v>
      </c>
      <c r="C57" s="5" t="s">
        <v>91</v>
      </c>
      <c r="D57" s="6" t="s">
        <v>98</v>
      </c>
      <c r="E57" s="6" t="s">
        <v>77</v>
      </c>
      <c r="F57" s="6" t="s">
        <v>372</v>
      </c>
    </row>
    <row r="58" spans="2:6">
      <c r="B58" s="5" t="s">
        <v>359</v>
      </c>
      <c r="C58" s="5" t="s">
        <v>91</v>
      </c>
      <c r="D58" s="6" t="s">
        <v>101</v>
      </c>
      <c r="E58" s="6" t="s">
        <v>60</v>
      </c>
      <c r="F58" s="6" t="s">
        <v>373</v>
      </c>
    </row>
    <row r="59" spans="2:6">
      <c r="B59" s="5" t="s">
        <v>109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40:J40"/>
    <mergeCell ref="A46:J46"/>
    <mergeCell ref="B3:B4"/>
    <mergeCell ref="A8:J8"/>
    <mergeCell ref="A11:J11"/>
    <mergeCell ref="A15:J15"/>
    <mergeCell ref="A21:J21"/>
    <mergeCell ref="A27:J27"/>
    <mergeCell ref="A37:J3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9.33203125" style="5" customWidth="1"/>
    <col min="2" max="2" width="21.83203125" style="5" customWidth="1"/>
    <col min="3" max="3" width="24.5" style="5" bestFit="1" customWidth="1"/>
    <col min="4" max="4" width="20" style="5" bestFit="1" customWidth="1"/>
    <col min="5" max="5" width="9.6640625" style="5" bestFit="1" customWidth="1"/>
    <col min="6" max="6" width="26.83203125" style="5" customWidth="1"/>
    <col min="7" max="10" width="5.5" style="6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49" t="s">
        <v>513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529</v>
      </c>
      <c r="B3" s="41" t="s">
        <v>0</v>
      </c>
      <c r="C3" s="59" t="s">
        <v>530</v>
      </c>
      <c r="D3" s="59" t="s">
        <v>6</v>
      </c>
      <c r="E3" s="43" t="s">
        <v>531</v>
      </c>
      <c r="F3" s="43" t="s">
        <v>5</v>
      </c>
      <c r="G3" s="43" t="s">
        <v>8</v>
      </c>
      <c r="H3" s="43"/>
      <c r="I3" s="43"/>
      <c r="J3" s="43"/>
      <c r="K3" s="43" t="s">
        <v>308</v>
      </c>
      <c r="L3" s="43" t="s">
        <v>3</v>
      </c>
      <c r="M3" s="45" t="s">
        <v>2</v>
      </c>
    </row>
    <row r="4" spans="1:13" s="1" customFormat="1" ht="21" customHeight="1" thickBot="1">
      <c r="A4" s="58"/>
      <c r="B4" s="4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6"/>
    </row>
    <row r="5" spans="1:13" ht="16">
      <c r="A5" s="47" t="s">
        <v>54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8" t="s">
        <v>108</v>
      </c>
      <c r="B6" s="7" t="s">
        <v>300</v>
      </c>
      <c r="C6" s="7" t="s">
        <v>301</v>
      </c>
      <c r="D6" s="7" t="s">
        <v>302</v>
      </c>
      <c r="E6" s="7" t="s">
        <v>532</v>
      </c>
      <c r="F6" s="7" t="s">
        <v>197</v>
      </c>
      <c r="G6" s="18" t="s">
        <v>38</v>
      </c>
      <c r="H6" s="18" t="s">
        <v>46</v>
      </c>
      <c r="I6" s="18" t="s">
        <v>27</v>
      </c>
      <c r="J6" s="8"/>
      <c r="K6" s="8" t="str">
        <f>"260,0"</f>
        <v>260,0</v>
      </c>
      <c r="L6" s="8" t="str">
        <f>"150,7090"</f>
        <v>150,7090</v>
      </c>
      <c r="M6" s="7"/>
    </row>
    <row r="7" spans="1:13">
      <c r="B7" s="5" t="s">
        <v>109</v>
      </c>
    </row>
    <row r="8" spans="1:13" ht="16">
      <c r="A8" s="39" t="s">
        <v>140</v>
      </c>
      <c r="B8" s="39"/>
      <c r="C8" s="40"/>
      <c r="D8" s="40"/>
      <c r="E8" s="40"/>
      <c r="F8" s="40"/>
      <c r="G8" s="40"/>
      <c r="H8" s="40"/>
      <c r="I8" s="40"/>
      <c r="J8" s="40"/>
    </row>
    <row r="9" spans="1:13">
      <c r="A9" s="8" t="s">
        <v>108</v>
      </c>
      <c r="B9" s="7" t="s">
        <v>303</v>
      </c>
      <c r="C9" s="7" t="s">
        <v>304</v>
      </c>
      <c r="D9" s="7" t="s">
        <v>305</v>
      </c>
      <c r="E9" s="7" t="s">
        <v>532</v>
      </c>
      <c r="F9" s="7" t="s">
        <v>14</v>
      </c>
      <c r="G9" s="18" t="s">
        <v>83</v>
      </c>
      <c r="H9" s="18" t="s">
        <v>58</v>
      </c>
      <c r="I9" s="18" t="s">
        <v>66</v>
      </c>
      <c r="J9" s="19" t="s">
        <v>306</v>
      </c>
      <c r="K9" s="8" t="str">
        <f>"330,0"</f>
        <v>330,0</v>
      </c>
      <c r="L9" s="8" t="str">
        <f>"184,1565"</f>
        <v>184,1565</v>
      </c>
      <c r="M9" s="7"/>
    </row>
    <row r="10" spans="1:13">
      <c r="B10" s="5" t="s">
        <v>109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6.6640625" style="5" bestFit="1" customWidth="1"/>
    <col min="2" max="2" width="20.1640625" style="5" customWidth="1"/>
    <col min="3" max="3" width="27.1640625" style="5" bestFit="1" customWidth="1"/>
    <col min="4" max="4" width="18" style="5" customWidth="1"/>
    <col min="5" max="5" width="10.83203125" style="5" customWidth="1"/>
    <col min="6" max="6" width="29.1640625" style="5" customWidth="1"/>
    <col min="7" max="9" width="5.5" style="6" customWidth="1"/>
    <col min="10" max="10" width="4.33203125" style="6" customWidth="1"/>
    <col min="11" max="11" width="10.5" style="6" bestFit="1" customWidth="1"/>
    <col min="12" max="12" width="12.6640625" style="6" customWidth="1"/>
    <col min="13" max="13" width="19.83203125" style="5" customWidth="1"/>
    <col min="14" max="16384" width="9.1640625" style="3"/>
  </cols>
  <sheetData>
    <row r="1" spans="1:13" s="2" customFormat="1" ht="29" customHeight="1">
      <c r="A1" s="49" t="s">
        <v>514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529</v>
      </c>
      <c r="B3" s="41" t="s">
        <v>0</v>
      </c>
      <c r="C3" s="59" t="s">
        <v>530</v>
      </c>
      <c r="D3" s="59" t="s">
        <v>6</v>
      </c>
      <c r="E3" s="43" t="s">
        <v>531</v>
      </c>
      <c r="F3" s="43" t="s">
        <v>5</v>
      </c>
      <c r="G3" s="43" t="s">
        <v>8</v>
      </c>
      <c r="H3" s="43"/>
      <c r="I3" s="43"/>
      <c r="J3" s="43"/>
      <c r="K3" s="43" t="s">
        <v>308</v>
      </c>
      <c r="L3" s="43" t="s">
        <v>3</v>
      </c>
      <c r="M3" s="45" t="s">
        <v>2</v>
      </c>
    </row>
    <row r="4" spans="1:13" s="1" customFormat="1" ht="21" customHeight="1" thickBot="1">
      <c r="A4" s="58"/>
      <c r="B4" s="4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6"/>
    </row>
    <row r="5" spans="1:13" ht="16">
      <c r="A5" s="47" t="s">
        <v>54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8" t="s">
        <v>145</v>
      </c>
      <c r="B6" s="7" t="s">
        <v>451</v>
      </c>
      <c r="C6" s="7" t="s">
        <v>452</v>
      </c>
      <c r="D6" s="7" t="s">
        <v>453</v>
      </c>
      <c r="E6" s="7" t="s">
        <v>534</v>
      </c>
      <c r="F6" s="7" t="s">
        <v>14</v>
      </c>
      <c r="G6" s="19" t="s">
        <v>66</v>
      </c>
      <c r="H6" s="19" t="s">
        <v>66</v>
      </c>
      <c r="I6" s="19" t="s">
        <v>66</v>
      </c>
      <c r="J6" s="8"/>
      <c r="K6" s="33">
        <v>0</v>
      </c>
      <c r="L6" s="8" t="str">
        <f>"0,0000"</f>
        <v>0,0000</v>
      </c>
      <c r="M6" s="28"/>
    </row>
    <row r="7" spans="1:13">
      <c r="B7" s="5" t="s">
        <v>109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9"/>
  <sheetViews>
    <sheetView workbookViewId="0">
      <selection sqref="A1:M2"/>
    </sheetView>
  </sheetViews>
  <sheetFormatPr baseColWidth="10" defaultColWidth="9.1640625" defaultRowHeight="13"/>
  <cols>
    <col min="1" max="1" width="6.6640625" style="5" bestFit="1" customWidth="1"/>
    <col min="2" max="2" width="22.83203125" style="5" customWidth="1"/>
    <col min="3" max="3" width="25.83203125" style="5" bestFit="1" customWidth="1"/>
    <col min="4" max="4" width="20" style="5" bestFit="1" customWidth="1"/>
    <col min="5" max="5" width="9.6640625" style="5" bestFit="1" customWidth="1"/>
    <col min="6" max="6" width="37.6640625" style="5" customWidth="1"/>
    <col min="7" max="9" width="5.5" style="6" customWidth="1"/>
    <col min="10" max="10" width="4.33203125" style="6" customWidth="1"/>
    <col min="11" max="11" width="10.5" style="6" bestFit="1" customWidth="1"/>
    <col min="12" max="12" width="8.5" style="6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49" t="s">
        <v>515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529</v>
      </c>
      <c r="B3" s="41" t="s">
        <v>0</v>
      </c>
      <c r="C3" s="59" t="s">
        <v>530</v>
      </c>
      <c r="D3" s="59" t="s">
        <v>6</v>
      </c>
      <c r="E3" s="43" t="s">
        <v>531</v>
      </c>
      <c r="F3" s="43" t="s">
        <v>5</v>
      </c>
      <c r="G3" s="43" t="s">
        <v>9</v>
      </c>
      <c r="H3" s="43"/>
      <c r="I3" s="43"/>
      <c r="J3" s="43"/>
      <c r="K3" s="43" t="s">
        <v>308</v>
      </c>
      <c r="L3" s="43" t="s">
        <v>3</v>
      </c>
      <c r="M3" s="45" t="s">
        <v>2</v>
      </c>
    </row>
    <row r="4" spans="1:13" s="1" customFormat="1" ht="21" customHeight="1" thickBot="1">
      <c r="A4" s="58"/>
      <c r="B4" s="4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6"/>
    </row>
    <row r="5" spans="1:13" ht="16">
      <c r="A5" s="47" t="s">
        <v>150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10" t="s">
        <v>108</v>
      </c>
      <c r="B6" s="9" t="s">
        <v>206</v>
      </c>
      <c r="C6" s="9" t="s">
        <v>207</v>
      </c>
      <c r="D6" s="9" t="s">
        <v>208</v>
      </c>
      <c r="E6" s="9" t="s">
        <v>533</v>
      </c>
      <c r="F6" s="9" t="s">
        <v>14</v>
      </c>
      <c r="G6" s="21" t="s">
        <v>213</v>
      </c>
      <c r="H6" s="21" t="s">
        <v>170</v>
      </c>
      <c r="I6" s="21" t="s">
        <v>155</v>
      </c>
      <c r="J6" s="10"/>
      <c r="K6" s="10" t="str">
        <f>"110,0"</f>
        <v>110,0</v>
      </c>
      <c r="L6" s="10" t="str">
        <f>"131,8350"</f>
        <v>131,8350</v>
      </c>
      <c r="M6" s="29" t="s">
        <v>486</v>
      </c>
    </row>
    <row r="7" spans="1:13">
      <c r="A7" s="25" t="s">
        <v>108</v>
      </c>
      <c r="B7" s="24" t="s">
        <v>214</v>
      </c>
      <c r="C7" s="24" t="s">
        <v>215</v>
      </c>
      <c r="D7" s="24" t="s">
        <v>216</v>
      </c>
      <c r="E7" s="24" t="s">
        <v>532</v>
      </c>
      <c r="F7" s="24" t="s">
        <v>14</v>
      </c>
      <c r="G7" s="26" t="s">
        <v>136</v>
      </c>
      <c r="H7" s="26" t="s">
        <v>125</v>
      </c>
      <c r="I7" s="26" t="s">
        <v>30</v>
      </c>
      <c r="J7" s="25"/>
      <c r="K7" s="25" t="str">
        <f>"132,5"</f>
        <v>132,5</v>
      </c>
      <c r="L7" s="25" t="str">
        <f>"160,1660"</f>
        <v>160,1660</v>
      </c>
      <c r="M7" s="31" t="s">
        <v>487</v>
      </c>
    </row>
    <row r="8" spans="1:13">
      <c r="A8" s="12" t="s">
        <v>110</v>
      </c>
      <c r="B8" s="11" t="s">
        <v>458</v>
      </c>
      <c r="C8" s="11" t="s">
        <v>459</v>
      </c>
      <c r="D8" s="11" t="s">
        <v>221</v>
      </c>
      <c r="E8" s="11" t="s">
        <v>532</v>
      </c>
      <c r="F8" s="11" t="s">
        <v>14</v>
      </c>
      <c r="G8" s="22" t="s">
        <v>126</v>
      </c>
      <c r="H8" s="22" t="s">
        <v>213</v>
      </c>
      <c r="I8" s="22" t="s">
        <v>154</v>
      </c>
      <c r="J8" s="12"/>
      <c r="K8" s="12" t="str">
        <f>"100,0"</f>
        <v>100,0</v>
      </c>
      <c r="L8" s="12" t="str">
        <f>"117,6600"</f>
        <v>117,6600</v>
      </c>
      <c r="M8" s="30" t="s">
        <v>488</v>
      </c>
    </row>
    <row r="9" spans="1:13">
      <c r="B9" s="5" t="s">
        <v>109</v>
      </c>
    </row>
    <row r="10" spans="1:13" ht="16">
      <c r="A10" s="39" t="s">
        <v>159</v>
      </c>
      <c r="B10" s="39"/>
      <c r="C10" s="40"/>
      <c r="D10" s="40"/>
      <c r="E10" s="40"/>
      <c r="F10" s="40"/>
      <c r="G10" s="40"/>
      <c r="H10" s="40"/>
      <c r="I10" s="40"/>
      <c r="J10" s="40"/>
    </row>
    <row r="11" spans="1:13">
      <c r="A11" s="8" t="s">
        <v>108</v>
      </c>
      <c r="B11" s="7" t="s">
        <v>232</v>
      </c>
      <c r="C11" s="7" t="s">
        <v>233</v>
      </c>
      <c r="D11" s="7" t="s">
        <v>162</v>
      </c>
      <c r="E11" s="7" t="s">
        <v>532</v>
      </c>
      <c r="F11" s="7" t="s">
        <v>14</v>
      </c>
      <c r="G11" s="18" t="s">
        <v>193</v>
      </c>
      <c r="H11" s="18" t="s">
        <v>130</v>
      </c>
      <c r="I11" s="19" t="s">
        <v>30</v>
      </c>
      <c r="J11" s="8"/>
      <c r="K11" s="8" t="str">
        <f>"127,5"</f>
        <v>127,5</v>
      </c>
      <c r="L11" s="8" t="str">
        <f>"142,1497"</f>
        <v>142,1497</v>
      </c>
      <c r="M11" s="28" t="s">
        <v>489</v>
      </c>
    </row>
    <row r="12" spans="1:13">
      <c r="B12" s="5" t="s">
        <v>109</v>
      </c>
    </row>
    <row r="13" spans="1:13" ht="16">
      <c r="A13" s="39" t="s">
        <v>10</v>
      </c>
      <c r="B13" s="39"/>
      <c r="C13" s="40"/>
      <c r="D13" s="40"/>
      <c r="E13" s="40"/>
      <c r="F13" s="40"/>
      <c r="G13" s="40"/>
      <c r="H13" s="40"/>
      <c r="I13" s="40"/>
      <c r="J13" s="40"/>
    </row>
    <row r="14" spans="1:13">
      <c r="A14" s="8" t="s">
        <v>108</v>
      </c>
      <c r="B14" s="7" t="s">
        <v>460</v>
      </c>
      <c r="C14" s="7" t="s">
        <v>461</v>
      </c>
      <c r="D14" s="7" t="s">
        <v>462</v>
      </c>
      <c r="E14" s="7" t="s">
        <v>532</v>
      </c>
      <c r="F14" s="7" t="s">
        <v>14</v>
      </c>
      <c r="G14" s="18" t="s">
        <v>16</v>
      </c>
      <c r="H14" s="18" t="s">
        <v>20</v>
      </c>
      <c r="I14" s="19" t="s">
        <v>21</v>
      </c>
      <c r="J14" s="8"/>
      <c r="K14" s="8" t="str">
        <f>"160,0"</f>
        <v>160,0</v>
      </c>
      <c r="L14" s="8" t="str">
        <f>"115,9840"</f>
        <v>115,9840</v>
      </c>
      <c r="M14" s="28" t="s">
        <v>481</v>
      </c>
    </row>
    <row r="15" spans="1:13">
      <c r="B15" s="5" t="s">
        <v>109</v>
      </c>
    </row>
    <row r="16" spans="1:13" ht="16">
      <c r="A16" s="39" t="s">
        <v>23</v>
      </c>
      <c r="B16" s="39"/>
      <c r="C16" s="40"/>
      <c r="D16" s="40"/>
      <c r="E16" s="40"/>
      <c r="F16" s="40"/>
      <c r="G16" s="40"/>
      <c r="H16" s="40"/>
      <c r="I16" s="40"/>
      <c r="J16" s="40"/>
    </row>
    <row r="17" spans="1:13">
      <c r="A17" s="8" t="s">
        <v>108</v>
      </c>
      <c r="B17" s="7" t="s">
        <v>122</v>
      </c>
      <c r="C17" s="7" t="s">
        <v>123</v>
      </c>
      <c r="D17" s="7" t="s">
        <v>124</v>
      </c>
      <c r="E17" s="7" t="s">
        <v>535</v>
      </c>
      <c r="F17" s="7" t="s">
        <v>14</v>
      </c>
      <c r="G17" s="18" t="s">
        <v>16</v>
      </c>
      <c r="H17" s="18" t="s">
        <v>20</v>
      </c>
      <c r="I17" s="19" t="s">
        <v>21</v>
      </c>
      <c r="J17" s="8"/>
      <c r="K17" s="8" t="str">
        <f>"160,0"</f>
        <v>160,0</v>
      </c>
      <c r="L17" s="8" t="str">
        <f>"107,1840"</f>
        <v>107,1840</v>
      </c>
      <c r="M17" s="30" t="s">
        <v>481</v>
      </c>
    </row>
    <row r="18" spans="1:13">
      <c r="B18" s="5" t="s">
        <v>109</v>
      </c>
    </row>
    <row r="19" spans="1:13" ht="16">
      <c r="A19" s="39" t="s">
        <v>33</v>
      </c>
      <c r="B19" s="39"/>
      <c r="C19" s="40"/>
      <c r="D19" s="40"/>
      <c r="E19" s="40"/>
      <c r="F19" s="40"/>
      <c r="G19" s="40"/>
      <c r="H19" s="40"/>
      <c r="I19" s="40"/>
      <c r="J19" s="40"/>
    </row>
    <row r="20" spans="1:13">
      <c r="A20" s="8" t="s">
        <v>108</v>
      </c>
      <c r="B20" s="7" t="s">
        <v>463</v>
      </c>
      <c r="C20" s="7" t="s">
        <v>464</v>
      </c>
      <c r="D20" s="7" t="s">
        <v>419</v>
      </c>
      <c r="E20" s="7" t="s">
        <v>532</v>
      </c>
      <c r="F20" s="7" t="s">
        <v>197</v>
      </c>
      <c r="G20" s="18" t="s">
        <v>28</v>
      </c>
      <c r="H20" s="18" t="s">
        <v>32</v>
      </c>
      <c r="I20" s="8"/>
      <c r="J20" s="8"/>
      <c r="K20" s="8" t="str">
        <f>"300,0"</f>
        <v>300,0</v>
      </c>
      <c r="L20" s="8" t="str">
        <f>"259,5900"</f>
        <v>259,5900</v>
      </c>
      <c r="M20" s="7"/>
    </row>
    <row r="21" spans="1:13">
      <c r="B21" s="5" t="s">
        <v>109</v>
      </c>
    </row>
    <row r="22" spans="1:13" ht="16">
      <c r="A22" s="39" t="s">
        <v>33</v>
      </c>
      <c r="B22" s="39"/>
      <c r="C22" s="40"/>
      <c r="D22" s="40"/>
      <c r="E22" s="40"/>
      <c r="F22" s="40"/>
      <c r="G22" s="40"/>
      <c r="H22" s="40"/>
      <c r="I22" s="40"/>
      <c r="J22" s="40"/>
    </row>
    <row r="23" spans="1:13">
      <c r="A23" s="8" t="s">
        <v>108</v>
      </c>
      <c r="B23" s="7" t="s">
        <v>131</v>
      </c>
      <c r="C23" s="7" t="s">
        <v>132</v>
      </c>
      <c r="D23" s="7" t="s">
        <v>133</v>
      </c>
      <c r="E23" s="7" t="s">
        <v>532</v>
      </c>
      <c r="F23" s="7" t="s">
        <v>134</v>
      </c>
      <c r="G23" s="18" t="s">
        <v>52</v>
      </c>
      <c r="H23" s="18" t="s">
        <v>40</v>
      </c>
      <c r="I23" s="19" t="s">
        <v>37</v>
      </c>
      <c r="J23" s="8"/>
      <c r="K23" s="8" t="str">
        <f>"220,0"</f>
        <v>220,0</v>
      </c>
      <c r="L23" s="8" t="str">
        <f>"141,0860"</f>
        <v>141,0860</v>
      </c>
      <c r="M23" s="28" t="s">
        <v>481</v>
      </c>
    </row>
    <row r="24" spans="1:13">
      <c r="B24" s="5" t="s">
        <v>109</v>
      </c>
    </row>
    <row r="25" spans="1:13" ht="16">
      <c r="A25" s="39" t="s">
        <v>54</v>
      </c>
      <c r="B25" s="39"/>
      <c r="C25" s="40"/>
      <c r="D25" s="40"/>
      <c r="E25" s="40"/>
      <c r="F25" s="40"/>
      <c r="G25" s="40"/>
      <c r="H25" s="40"/>
      <c r="I25" s="40"/>
      <c r="J25" s="40"/>
    </row>
    <row r="26" spans="1:13">
      <c r="A26" s="10" t="s">
        <v>108</v>
      </c>
      <c r="B26" s="9" t="s">
        <v>277</v>
      </c>
      <c r="C26" s="9" t="s">
        <v>278</v>
      </c>
      <c r="D26" s="9" t="s">
        <v>279</v>
      </c>
      <c r="E26" s="9" t="s">
        <v>532</v>
      </c>
      <c r="F26" s="9" t="s">
        <v>280</v>
      </c>
      <c r="G26" s="21" t="s">
        <v>32</v>
      </c>
      <c r="H26" s="21" t="s">
        <v>83</v>
      </c>
      <c r="I26" s="21" t="s">
        <v>175</v>
      </c>
      <c r="J26" s="10"/>
      <c r="K26" s="10" t="str">
        <f>"315,0"</f>
        <v>315,0</v>
      </c>
      <c r="L26" s="10" t="str">
        <f>"186,6060"</f>
        <v>186,6060</v>
      </c>
      <c r="M26" s="9"/>
    </row>
    <row r="27" spans="1:13">
      <c r="A27" s="12" t="s">
        <v>110</v>
      </c>
      <c r="B27" s="11" t="s">
        <v>465</v>
      </c>
      <c r="C27" s="11" t="s">
        <v>466</v>
      </c>
      <c r="D27" s="11" t="s">
        <v>467</v>
      </c>
      <c r="E27" s="11" t="s">
        <v>532</v>
      </c>
      <c r="F27" s="11" t="s">
        <v>527</v>
      </c>
      <c r="G27" s="22" t="s">
        <v>52</v>
      </c>
      <c r="H27" s="22" t="s">
        <v>40</v>
      </c>
      <c r="I27" s="23" t="s">
        <v>37</v>
      </c>
      <c r="J27" s="12"/>
      <c r="K27" s="12" t="str">
        <f>"220,0"</f>
        <v>220,0</v>
      </c>
      <c r="L27" s="12" t="str">
        <f>"131,9120"</f>
        <v>131,9120</v>
      </c>
      <c r="M27" s="30" t="s">
        <v>481</v>
      </c>
    </row>
    <row r="28" spans="1:13">
      <c r="B28" s="5" t="s">
        <v>109</v>
      </c>
    </row>
    <row r="29" spans="1:13">
      <c r="B29" s="5" t="s">
        <v>109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5:J25"/>
    <mergeCell ref="K3:K4"/>
    <mergeCell ref="L3:L4"/>
    <mergeCell ref="M3:M4"/>
    <mergeCell ref="A5:J5"/>
    <mergeCell ref="B3:B4"/>
    <mergeCell ref="A10:J10"/>
    <mergeCell ref="A13:J13"/>
    <mergeCell ref="A16:J16"/>
    <mergeCell ref="A19:J19"/>
    <mergeCell ref="A22:J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3"/>
  <sheetViews>
    <sheetView workbookViewId="0">
      <selection activeCell="E23" sqref="E23"/>
    </sheetView>
  </sheetViews>
  <sheetFormatPr baseColWidth="10" defaultColWidth="9.1640625" defaultRowHeight="13"/>
  <cols>
    <col min="1" max="1" width="6.6640625" style="5" bestFit="1" customWidth="1"/>
    <col min="2" max="2" width="18.33203125" style="5" bestFit="1" customWidth="1"/>
    <col min="3" max="3" width="24.5" style="5" bestFit="1" customWidth="1"/>
    <col min="4" max="4" width="20" style="5" bestFit="1" customWidth="1"/>
    <col min="5" max="5" width="9.6640625" style="5" bestFit="1" customWidth="1"/>
    <col min="6" max="6" width="32" style="5" customWidth="1"/>
    <col min="7" max="9" width="5.5" style="6" customWidth="1"/>
    <col min="10" max="10" width="4.33203125" style="6" customWidth="1"/>
    <col min="11" max="11" width="10.5" style="6" bestFit="1" customWidth="1"/>
    <col min="12" max="12" width="8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49" t="s">
        <v>516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529</v>
      </c>
      <c r="B3" s="41" t="s">
        <v>0</v>
      </c>
      <c r="C3" s="59" t="s">
        <v>530</v>
      </c>
      <c r="D3" s="59" t="s">
        <v>6</v>
      </c>
      <c r="E3" s="43" t="s">
        <v>531</v>
      </c>
      <c r="F3" s="43" t="s">
        <v>5</v>
      </c>
      <c r="G3" s="43" t="s">
        <v>9</v>
      </c>
      <c r="H3" s="43"/>
      <c r="I3" s="43"/>
      <c r="J3" s="43"/>
      <c r="K3" s="43" t="s">
        <v>308</v>
      </c>
      <c r="L3" s="43" t="s">
        <v>3</v>
      </c>
      <c r="M3" s="45" t="s">
        <v>2</v>
      </c>
    </row>
    <row r="4" spans="1:13" s="1" customFormat="1" ht="21" customHeight="1" thickBot="1">
      <c r="A4" s="58"/>
      <c r="B4" s="4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6"/>
    </row>
    <row r="5" spans="1:13" ht="16">
      <c r="A5" s="47" t="s">
        <v>150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8" t="s">
        <v>108</v>
      </c>
      <c r="B6" s="7" t="s">
        <v>151</v>
      </c>
      <c r="C6" s="7" t="s">
        <v>152</v>
      </c>
      <c r="D6" s="7" t="s">
        <v>153</v>
      </c>
      <c r="E6" s="7" t="s">
        <v>532</v>
      </c>
      <c r="F6" s="7" t="s">
        <v>521</v>
      </c>
      <c r="G6" s="18" t="s">
        <v>154</v>
      </c>
      <c r="H6" s="18" t="s">
        <v>155</v>
      </c>
      <c r="I6" s="18" t="s">
        <v>158</v>
      </c>
      <c r="J6" s="8"/>
      <c r="K6" s="8" t="str">
        <f>"117,5"</f>
        <v>117,5</v>
      </c>
      <c r="L6" s="8" t="str">
        <f>"139,0260"</f>
        <v>139,0260</v>
      </c>
      <c r="M6" s="28" t="s">
        <v>485</v>
      </c>
    </row>
    <row r="7" spans="1:13">
      <c r="B7" s="5" t="s">
        <v>109</v>
      </c>
    </row>
    <row r="8" spans="1:13" ht="16">
      <c r="A8" s="39" t="s">
        <v>159</v>
      </c>
      <c r="B8" s="39"/>
      <c r="C8" s="40"/>
      <c r="D8" s="40"/>
      <c r="E8" s="40"/>
      <c r="F8" s="40"/>
      <c r="G8" s="40"/>
      <c r="H8" s="40"/>
      <c r="I8" s="40"/>
      <c r="J8" s="40"/>
    </row>
    <row r="9" spans="1:13">
      <c r="A9" s="8" t="s">
        <v>108</v>
      </c>
      <c r="B9" s="7" t="s">
        <v>160</v>
      </c>
      <c r="C9" s="7" t="s">
        <v>161</v>
      </c>
      <c r="D9" s="7" t="s">
        <v>162</v>
      </c>
      <c r="E9" s="7" t="s">
        <v>532</v>
      </c>
      <c r="F9" s="7" t="s">
        <v>521</v>
      </c>
      <c r="G9" s="18" t="s">
        <v>125</v>
      </c>
      <c r="H9" s="18" t="s">
        <v>15</v>
      </c>
      <c r="I9" s="19" t="s">
        <v>165</v>
      </c>
      <c r="J9" s="8"/>
      <c r="K9" s="8" t="str">
        <f>"140,0"</f>
        <v>140,0</v>
      </c>
      <c r="L9" s="8" t="str">
        <f>"156,0860"</f>
        <v>156,0860</v>
      </c>
      <c r="M9" s="28" t="s">
        <v>485</v>
      </c>
    </row>
    <row r="10" spans="1:13">
      <c r="B10" s="5" t="s">
        <v>109</v>
      </c>
    </row>
    <row r="11" spans="1:13" ht="16">
      <c r="A11" s="39" t="s">
        <v>10</v>
      </c>
      <c r="B11" s="39"/>
      <c r="C11" s="40"/>
      <c r="D11" s="40"/>
      <c r="E11" s="40"/>
      <c r="F11" s="40"/>
      <c r="G11" s="40"/>
      <c r="H11" s="40"/>
      <c r="I11" s="40"/>
      <c r="J11" s="40"/>
    </row>
    <row r="12" spans="1:13">
      <c r="A12" s="8" t="s">
        <v>108</v>
      </c>
      <c r="B12" s="7" t="s">
        <v>11</v>
      </c>
      <c r="C12" s="7" t="s">
        <v>12</v>
      </c>
      <c r="D12" s="7" t="s">
        <v>13</v>
      </c>
      <c r="E12" s="7" t="s">
        <v>532</v>
      </c>
      <c r="F12" s="7" t="s">
        <v>14</v>
      </c>
      <c r="G12" s="18" t="s">
        <v>20</v>
      </c>
      <c r="H12" s="18" t="s">
        <v>21</v>
      </c>
      <c r="I12" s="19" t="s">
        <v>22</v>
      </c>
      <c r="J12" s="8"/>
      <c r="K12" s="8" t="str">
        <f>"170,0"</f>
        <v>170,0</v>
      </c>
      <c r="L12" s="8" t="str">
        <f>"164,5770"</f>
        <v>164,5770</v>
      </c>
      <c r="M12" s="28" t="s">
        <v>481</v>
      </c>
    </row>
    <row r="13" spans="1:13">
      <c r="B13" s="5" t="s">
        <v>109</v>
      </c>
    </row>
    <row r="14" spans="1:13" ht="16">
      <c r="A14" s="39" t="s">
        <v>23</v>
      </c>
      <c r="B14" s="39"/>
      <c r="C14" s="40"/>
      <c r="D14" s="40"/>
      <c r="E14" s="40"/>
      <c r="F14" s="40"/>
      <c r="G14" s="40"/>
      <c r="H14" s="40"/>
      <c r="I14" s="40"/>
      <c r="J14" s="40"/>
    </row>
    <row r="15" spans="1:13">
      <c r="A15" s="8" t="s">
        <v>108</v>
      </c>
      <c r="B15" s="7" t="s">
        <v>528</v>
      </c>
      <c r="C15" s="7" t="s">
        <v>455</v>
      </c>
      <c r="D15" s="7" t="s">
        <v>413</v>
      </c>
      <c r="E15" s="7" t="s">
        <v>532</v>
      </c>
      <c r="F15" s="7" t="s">
        <v>521</v>
      </c>
      <c r="G15" s="18" t="s">
        <v>38</v>
      </c>
      <c r="H15" s="19" t="s">
        <v>27</v>
      </c>
      <c r="I15" s="18" t="s">
        <v>27</v>
      </c>
      <c r="J15" s="8"/>
      <c r="K15" s="8" t="str">
        <f>"260,0"</f>
        <v>260,0</v>
      </c>
      <c r="L15" s="8" t="str">
        <f>"176,2540"</f>
        <v>176,2540</v>
      </c>
      <c r="M15" s="7"/>
    </row>
    <row r="16" spans="1:13">
      <c r="B16" s="5" t="s">
        <v>109</v>
      </c>
    </row>
    <row r="17" spans="1:13" ht="16">
      <c r="A17" s="39" t="s">
        <v>54</v>
      </c>
      <c r="B17" s="39"/>
      <c r="C17" s="40"/>
      <c r="D17" s="40"/>
      <c r="E17" s="40"/>
      <c r="F17" s="40"/>
      <c r="G17" s="40"/>
      <c r="H17" s="40"/>
      <c r="I17" s="40"/>
      <c r="J17" s="40"/>
    </row>
    <row r="18" spans="1:13">
      <c r="A18" s="10" t="s">
        <v>108</v>
      </c>
      <c r="B18" s="9" t="s">
        <v>55</v>
      </c>
      <c r="C18" s="9" t="s">
        <v>56</v>
      </c>
      <c r="D18" s="9" t="s">
        <v>57</v>
      </c>
      <c r="E18" s="9" t="s">
        <v>532</v>
      </c>
      <c r="F18" s="9" t="s">
        <v>14</v>
      </c>
      <c r="G18" s="21" t="s">
        <v>61</v>
      </c>
      <c r="H18" s="20" t="s">
        <v>62</v>
      </c>
      <c r="I18" s="20" t="s">
        <v>62</v>
      </c>
      <c r="J18" s="10"/>
      <c r="K18" s="10" t="str">
        <f>"340,0"</f>
        <v>340,0</v>
      </c>
      <c r="L18" s="10" t="str">
        <f>"201,9940"</f>
        <v>201,9940</v>
      </c>
      <c r="M18" s="29" t="s">
        <v>447</v>
      </c>
    </row>
    <row r="19" spans="1:13">
      <c r="A19" s="12" t="s">
        <v>110</v>
      </c>
      <c r="B19" s="11" t="s">
        <v>456</v>
      </c>
      <c r="C19" s="11" t="s">
        <v>457</v>
      </c>
      <c r="D19" s="11" t="s">
        <v>281</v>
      </c>
      <c r="E19" s="11" t="s">
        <v>532</v>
      </c>
      <c r="F19" s="11" t="s">
        <v>521</v>
      </c>
      <c r="G19" s="22" t="s">
        <v>38</v>
      </c>
      <c r="H19" s="22" t="s">
        <v>27</v>
      </c>
      <c r="I19" s="23" t="s">
        <v>174</v>
      </c>
      <c r="J19" s="12"/>
      <c r="K19" s="12" t="str">
        <f>"260,0"</f>
        <v>260,0</v>
      </c>
      <c r="L19" s="12" t="str">
        <f>"153,4520"</f>
        <v>153,4520</v>
      </c>
      <c r="M19" s="11"/>
    </row>
    <row r="20" spans="1:13">
      <c r="B20" s="5" t="s">
        <v>109</v>
      </c>
    </row>
    <row r="21" spans="1:13" ht="16">
      <c r="A21" s="39" t="s">
        <v>140</v>
      </c>
      <c r="B21" s="39"/>
      <c r="C21" s="40"/>
      <c r="D21" s="40"/>
      <c r="E21" s="40"/>
      <c r="F21" s="40"/>
      <c r="G21" s="40"/>
      <c r="H21" s="40"/>
      <c r="I21" s="40"/>
      <c r="J21" s="40"/>
    </row>
    <row r="22" spans="1:13">
      <c r="A22" s="8" t="s">
        <v>108</v>
      </c>
      <c r="B22" s="7" t="s">
        <v>171</v>
      </c>
      <c r="C22" s="7" t="s">
        <v>172</v>
      </c>
      <c r="D22" s="7" t="s">
        <v>173</v>
      </c>
      <c r="E22" s="7" t="s">
        <v>532</v>
      </c>
      <c r="F22" s="7" t="s">
        <v>521</v>
      </c>
      <c r="G22" s="18" t="s">
        <v>32</v>
      </c>
      <c r="H22" s="18" t="s">
        <v>175</v>
      </c>
      <c r="I22" s="19" t="s">
        <v>58</v>
      </c>
      <c r="J22" s="8"/>
      <c r="K22" s="8" t="str">
        <f>"315,0"</f>
        <v>315,0</v>
      </c>
      <c r="L22" s="8" t="str">
        <f>"180,8730"</f>
        <v>180,8730</v>
      </c>
      <c r="M22" s="7"/>
    </row>
    <row r="23" spans="1:13">
      <c r="B23" s="5" t="s">
        <v>109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1:J21"/>
    <mergeCell ref="A5:J5"/>
    <mergeCell ref="A8:J8"/>
    <mergeCell ref="A11:J11"/>
    <mergeCell ref="A14:J14"/>
    <mergeCell ref="A17:J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"/>
  <sheetViews>
    <sheetView tabSelected="1" workbookViewId="0">
      <selection sqref="A1:M2"/>
    </sheetView>
  </sheetViews>
  <sheetFormatPr baseColWidth="10" defaultColWidth="9.1640625" defaultRowHeight="13"/>
  <cols>
    <col min="1" max="1" width="6.6640625" style="5" bestFit="1" customWidth="1"/>
    <col min="2" max="2" width="18.6640625" style="5" customWidth="1"/>
    <col min="3" max="3" width="24.5" style="5" bestFit="1" customWidth="1"/>
    <col min="4" max="4" width="20" style="5" bestFit="1" customWidth="1"/>
    <col min="5" max="5" width="9.6640625" style="5" bestFit="1" customWidth="1"/>
    <col min="6" max="6" width="27.33203125" style="5" customWidth="1"/>
    <col min="7" max="9" width="5.5" style="6" customWidth="1"/>
    <col min="10" max="10" width="4.33203125" style="6" customWidth="1"/>
    <col min="11" max="11" width="10.5" style="6" bestFit="1" customWidth="1"/>
    <col min="12" max="12" width="8.664062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49" t="s">
        <v>517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529</v>
      </c>
      <c r="B3" s="41" t="s">
        <v>0</v>
      </c>
      <c r="C3" s="59" t="s">
        <v>530</v>
      </c>
      <c r="D3" s="59" t="s">
        <v>6</v>
      </c>
      <c r="E3" s="43" t="s">
        <v>531</v>
      </c>
      <c r="F3" s="43" t="s">
        <v>5</v>
      </c>
      <c r="G3" s="43" t="s">
        <v>9</v>
      </c>
      <c r="H3" s="43"/>
      <c r="I3" s="43"/>
      <c r="J3" s="43"/>
      <c r="K3" s="43" t="s">
        <v>308</v>
      </c>
      <c r="L3" s="43" t="s">
        <v>3</v>
      </c>
      <c r="M3" s="45" t="s">
        <v>2</v>
      </c>
    </row>
    <row r="4" spans="1:13" s="1" customFormat="1" ht="21" customHeight="1" thickBot="1">
      <c r="A4" s="58"/>
      <c r="B4" s="4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6"/>
    </row>
    <row r="5" spans="1:13" ht="16">
      <c r="A5" s="47" t="s">
        <v>69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8" t="s">
        <v>108</v>
      </c>
      <c r="B6" s="7" t="s">
        <v>70</v>
      </c>
      <c r="C6" s="7" t="s">
        <v>71</v>
      </c>
      <c r="D6" s="7" t="s">
        <v>72</v>
      </c>
      <c r="E6" s="7" t="s">
        <v>532</v>
      </c>
      <c r="F6" s="7" t="s">
        <v>14</v>
      </c>
      <c r="G6" s="18" t="s">
        <v>32</v>
      </c>
      <c r="H6" s="18" t="s">
        <v>66</v>
      </c>
      <c r="I6" s="19" t="s">
        <v>78</v>
      </c>
      <c r="J6" s="8"/>
      <c r="K6" s="8" t="str">
        <f>"330,0"</f>
        <v>330,0</v>
      </c>
      <c r="L6" s="8" t="str">
        <f>"185,2290"</f>
        <v>185,2290</v>
      </c>
      <c r="M6" s="28" t="s">
        <v>481</v>
      </c>
    </row>
    <row r="7" spans="1:13">
      <c r="B7" s="5" t="s">
        <v>109</v>
      </c>
    </row>
    <row r="8" spans="1:13">
      <c r="B8" s="5" t="s">
        <v>109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WEPF ПЛ однослой ДК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</vt:lpstr>
      <vt:lpstr>WEPF Жим софт многопетельная</vt:lpstr>
      <vt:lpstr>WRPF Тяга без экипировки ДК</vt:lpstr>
      <vt:lpstr>WRPF Тяга без экипировки</vt:lpstr>
      <vt:lpstr>WEPF Тяга экип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2022-05-04T18:31:37Z</dcterms:modified>
</cp:coreProperties>
</file>