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DFAA7374-26F9-2F44-9649-2A141F87AC37}" xr6:coauthVersionLast="45" xr6:coauthVersionMax="45" xr10:uidLastSave="{00000000-0000-0000-0000-000000000000}"/>
  <bookViews>
    <workbookView xWindow="480" yWindow="460" windowWidth="27480" windowHeight="15200" firstSheet="2" activeTab="8" xr2:uid="{00000000-000D-0000-FFFF-FFFF00000000}"/>
  </bookViews>
  <sheets>
    <sheet name="IPL ПЛ без экипировки" sheetId="5" r:id="rId1"/>
    <sheet name="IPL Жим без экипировки" sheetId="6" r:id="rId2"/>
    <sheet name="СПР Жим софт однопетельная" sheetId="8" r:id="rId3"/>
    <sheet name="СПР Жим софт многопетельная" sheetId="9" r:id="rId4"/>
    <sheet name="СПР Жим СФО" sheetId="10" r:id="rId5"/>
    <sheet name="IPL Тяга без экипировки" sheetId="7" r:id="rId6"/>
    <sheet name="СПР Пауэрспорт" sheetId="15" r:id="rId7"/>
    <sheet name="СПР Жим стоя" sheetId="13" r:id="rId8"/>
    <sheet name="СПР Подъем на бицепс" sheetId="14" r:id="rId9"/>
  </sheets>
  <definedNames>
    <definedName name="_FilterDatabase" localSheetId="0" hidden="1">'IPL ПЛ без экипировки'!$A$1:$T$3</definedName>
  </definedNames>
  <calcPr calcId="145621" refMode="R1C1" calcCompleted="0"/>
</workbook>
</file>

<file path=xl/calcChain.xml><?xml version="1.0" encoding="utf-8"?>
<calcChain xmlns="http://schemas.openxmlformats.org/spreadsheetml/2006/main">
  <c r="Q12" i="15" l="1"/>
  <c r="P12" i="15"/>
  <c r="Q9" i="15"/>
  <c r="P9" i="15"/>
  <c r="Q6" i="15"/>
  <c r="P6" i="15"/>
  <c r="M34" i="14"/>
  <c r="L34" i="14"/>
  <c r="M31" i="14"/>
  <c r="L31" i="14"/>
  <c r="M30" i="14"/>
  <c r="L30" i="14"/>
  <c r="M27" i="14"/>
  <c r="L27" i="14"/>
  <c r="M26" i="14"/>
  <c r="L26" i="14"/>
  <c r="M23" i="14"/>
  <c r="L23" i="14"/>
  <c r="M20" i="14"/>
  <c r="L20" i="14"/>
  <c r="M19" i="14"/>
  <c r="L19" i="14"/>
  <c r="M16" i="14"/>
  <c r="L16" i="14"/>
  <c r="M13" i="14"/>
  <c r="L13" i="14"/>
  <c r="M12" i="14"/>
  <c r="L12" i="14"/>
  <c r="M9" i="14"/>
  <c r="L9" i="14"/>
  <c r="M6" i="14"/>
  <c r="L6" i="14"/>
  <c r="M6" i="13"/>
  <c r="L6" i="13"/>
  <c r="M9" i="10"/>
  <c r="L9" i="10"/>
  <c r="M6" i="10"/>
  <c r="L6" i="10"/>
  <c r="M6" i="9"/>
  <c r="L6" i="9"/>
  <c r="M6" i="8"/>
  <c r="L6" i="8"/>
  <c r="M23" i="7"/>
  <c r="L23" i="7"/>
  <c r="M22" i="7"/>
  <c r="L22" i="7"/>
  <c r="M19" i="7"/>
  <c r="L19" i="7"/>
  <c r="M18" i="7"/>
  <c r="L18" i="7"/>
  <c r="M15" i="7"/>
  <c r="M12" i="7"/>
  <c r="L12" i="7"/>
  <c r="M9" i="7"/>
  <c r="L9" i="7"/>
  <c r="M6" i="7"/>
  <c r="L6" i="7"/>
  <c r="M87" i="6"/>
  <c r="L87" i="6"/>
  <c r="M86" i="6"/>
  <c r="L86" i="6"/>
  <c r="M83" i="6"/>
  <c r="L83" i="6"/>
  <c r="M82" i="6"/>
  <c r="L82" i="6"/>
  <c r="M81" i="6"/>
  <c r="L81" i="6"/>
  <c r="M80" i="6"/>
  <c r="L80" i="6"/>
  <c r="M77" i="6"/>
  <c r="L77" i="6"/>
  <c r="M76" i="6"/>
  <c r="L76" i="6"/>
  <c r="M75" i="6"/>
  <c r="L75" i="6"/>
  <c r="M74" i="6"/>
  <c r="L74" i="6"/>
  <c r="M73" i="6"/>
  <c r="L73" i="6"/>
  <c r="M72" i="6"/>
  <c r="L72" i="6"/>
  <c r="M71" i="6"/>
  <c r="L71" i="6"/>
  <c r="M70" i="6"/>
  <c r="L70" i="6"/>
  <c r="M67" i="6"/>
  <c r="L67" i="6"/>
  <c r="M66" i="6"/>
  <c r="L66" i="6"/>
  <c r="M65" i="6"/>
  <c r="L65" i="6"/>
  <c r="M64" i="6"/>
  <c r="L64" i="6"/>
  <c r="M63" i="6"/>
  <c r="L63" i="6"/>
  <c r="M62" i="6"/>
  <c r="L62" i="6"/>
  <c r="M61" i="6"/>
  <c r="L61" i="6"/>
  <c r="M58" i="6"/>
  <c r="L58" i="6"/>
  <c r="M57" i="6"/>
  <c r="L57" i="6"/>
  <c r="M56" i="6"/>
  <c r="L56" i="6"/>
  <c r="M55" i="6"/>
  <c r="L55" i="6"/>
  <c r="M54" i="6"/>
  <c r="L54" i="6"/>
  <c r="M53" i="6"/>
  <c r="L53" i="6"/>
  <c r="M50" i="6"/>
  <c r="L50" i="6"/>
  <c r="M49" i="6"/>
  <c r="L49" i="6"/>
  <c r="M48" i="6"/>
  <c r="L48" i="6"/>
  <c r="M47" i="6"/>
  <c r="L47" i="6"/>
  <c r="M46" i="6"/>
  <c r="L46" i="6"/>
  <c r="M43" i="6"/>
  <c r="L43" i="6"/>
  <c r="M42" i="6"/>
  <c r="M41" i="6"/>
  <c r="L41" i="6"/>
  <c r="M40" i="6"/>
  <c r="L40" i="6"/>
  <c r="M39" i="6"/>
  <c r="L39" i="6"/>
  <c r="M38" i="6"/>
  <c r="L38" i="6"/>
  <c r="M37" i="6"/>
  <c r="L37" i="6"/>
  <c r="M34" i="6"/>
  <c r="L34" i="6"/>
  <c r="M31" i="6"/>
  <c r="L31" i="6"/>
  <c r="M30" i="6"/>
  <c r="L30" i="6"/>
  <c r="M27" i="6"/>
  <c r="L27" i="6"/>
  <c r="M24" i="6"/>
  <c r="L24" i="6"/>
  <c r="M21" i="6"/>
  <c r="L21" i="6"/>
  <c r="M18" i="6"/>
  <c r="L18" i="6"/>
  <c r="M17" i="6"/>
  <c r="L17" i="6"/>
  <c r="M16" i="6"/>
  <c r="L16" i="6"/>
  <c r="M15" i="6"/>
  <c r="L15" i="6"/>
  <c r="M14" i="6"/>
  <c r="L14" i="6"/>
  <c r="M11" i="6"/>
  <c r="L11" i="6"/>
  <c r="M10" i="6"/>
  <c r="L10" i="6"/>
  <c r="M7" i="6"/>
  <c r="L7" i="6"/>
  <c r="M6" i="6"/>
  <c r="L6" i="6"/>
  <c r="U28" i="5"/>
  <c r="T28" i="5"/>
  <c r="U27" i="5"/>
  <c r="T27" i="5"/>
  <c r="U24" i="5"/>
  <c r="T24" i="5"/>
  <c r="U23" i="5"/>
  <c r="T23" i="5"/>
  <c r="U22" i="5"/>
  <c r="T22" i="5"/>
  <c r="U19" i="5"/>
  <c r="T19" i="5"/>
  <c r="U16" i="5"/>
  <c r="T16" i="5"/>
  <c r="U13" i="5"/>
  <c r="T13" i="5"/>
  <c r="U10" i="5"/>
  <c r="T10" i="5"/>
  <c r="U9" i="5"/>
  <c r="T9" i="5"/>
  <c r="U6" i="5"/>
  <c r="T6" i="5"/>
</calcChain>
</file>

<file path=xl/sharedStrings.xml><?xml version="1.0" encoding="utf-8"?>
<sst xmlns="http://schemas.openxmlformats.org/spreadsheetml/2006/main" count="1366" uniqueCount="433">
  <si>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</si>
  <si>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</si>
  <si>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</si>
  <si>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</si>
  <si>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</si>
  <si>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</si>
  <si>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</si>
  <si>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</si>
  <si>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</si>
  <si>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</si>
  <si>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</si>
  <si>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Манина Светлана</t>
  </si>
  <si>
    <t>Открытая (14.09.1995)/26</t>
  </si>
  <si>
    <t>51,90</t>
  </si>
  <si>
    <t xml:space="preserve">Пермь/Пермский край </t>
  </si>
  <si>
    <t>70,0</t>
  </si>
  <si>
    <t>77,5</t>
  </si>
  <si>
    <t>85,0</t>
  </si>
  <si>
    <t>40,0</t>
  </si>
  <si>
    <t>45,0</t>
  </si>
  <si>
    <t>75,0</t>
  </si>
  <si>
    <t>80,0</t>
  </si>
  <si>
    <t xml:space="preserve">Имширович Э. </t>
  </si>
  <si>
    <t>ВЕСОВАЯ КАТЕГОРИЯ   67.5</t>
  </si>
  <si>
    <t>Заплатина Полина</t>
  </si>
  <si>
    <t>Девушки 15-19 (24.09.2002)/19</t>
  </si>
  <si>
    <t>66,30</t>
  </si>
  <si>
    <t xml:space="preserve">Чайковский </t>
  </si>
  <si>
    <t xml:space="preserve">Чайковский/Пермский край </t>
  </si>
  <si>
    <t>110,0</t>
  </si>
  <si>
    <t>117,5</t>
  </si>
  <si>
    <t>47,5</t>
  </si>
  <si>
    <t>52,5</t>
  </si>
  <si>
    <t>55,0</t>
  </si>
  <si>
    <t>105,0</t>
  </si>
  <si>
    <t>112,5</t>
  </si>
  <si>
    <t xml:space="preserve">Килин Р. </t>
  </si>
  <si>
    <t>Кабачева Дарья</t>
  </si>
  <si>
    <t>Открытая (02.10.1988)/33</t>
  </si>
  <si>
    <t>65,60</t>
  </si>
  <si>
    <t>90,0</t>
  </si>
  <si>
    <t>95,0</t>
  </si>
  <si>
    <t>50,0</t>
  </si>
  <si>
    <t>115,0</t>
  </si>
  <si>
    <t xml:space="preserve">Попов А. </t>
  </si>
  <si>
    <t>ВЕСОВАЯ КАТЕГОРИЯ   56</t>
  </si>
  <si>
    <t>Карпов Алексей</t>
  </si>
  <si>
    <t>Открытая (24.04.2006)/16</t>
  </si>
  <si>
    <t>54,70</t>
  </si>
  <si>
    <t>102,5</t>
  </si>
  <si>
    <t>122,5</t>
  </si>
  <si>
    <t>130,0</t>
  </si>
  <si>
    <t xml:space="preserve">Дыга В. </t>
  </si>
  <si>
    <t>Аптуков Денис</t>
  </si>
  <si>
    <t>Открытая (20.05.2005)/16</t>
  </si>
  <si>
    <t>60,80</t>
  </si>
  <si>
    <t xml:space="preserve">Барда/Пермский край </t>
  </si>
  <si>
    <t>140,0</t>
  </si>
  <si>
    <t>150,0</t>
  </si>
  <si>
    <t xml:space="preserve">Матюшев Ф. </t>
  </si>
  <si>
    <t>ВЕСОВАЯ КАТЕГОРИЯ   82.5</t>
  </si>
  <si>
    <t>Миленков Богдан</t>
  </si>
  <si>
    <t>Открытая (25.03.1986)/36</t>
  </si>
  <si>
    <t>80,80</t>
  </si>
  <si>
    <t>100,0</t>
  </si>
  <si>
    <t>ВЕСОВАЯ КАТЕГОРИЯ   90</t>
  </si>
  <si>
    <t>Аджикильдеев Виталий</t>
  </si>
  <si>
    <t>Открытая (28.07.1988)/33</t>
  </si>
  <si>
    <t>88,00</t>
  </si>
  <si>
    <t xml:space="preserve">Яйва/Пермский край </t>
  </si>
  <si>
    <t>240,0</t>
  </si>
  <si>
    <t>255,0</t>
  </si>
  <si>
    <t>265,0</t>
  </si>
  <si>
    <t>190,0</t>
  </si>
  <si>
    <t>200,0</t>
  </si>
  <si>
    <t>205,0</t>
  </si>
  <si>
    <t>260,0</t>
  </si>
  <si>
    <t>275,0</t>
  </si>
  <si>
    <t>285,0</t>
  </si>
  <si>
    <t xml:space="preserve">Беловал Е. </t>
  </si>
  <si>
    <t>Гусев Денис</t>
  </si>
  <si>
    <t>Открытая (17.05.1986)/35</t>
  </si>
  <si>
    <t>89,30</t>
  </si>
  <si>
    <t>170,0</t>
  </si>
  <si>
    <t>180,0</t>
  </si>
  <si>
    <t>135,0</t>
  </si>
  <si>
    <t>210,0</t>
  </si>
  <si>
    <t>Боголюбов Алексей</t>
  </si>
  <si>
    <t>Открытая (30.11.1994)/27</t>
  </si>
  <si>
    <t>88,90</t>
  </si>
  <si>
    <t>165,0</t>
  </si>
  <si>
    <t>175,0</t>
  </si>
  <si>
    <t>185,0</t>
  </si>
  <si>
    <t>ВЕСОВАЯ КАТЕГОРИЯ   100</t>
  </si>
  <si>
    <t>Дыга Виталий</t>
  </si>
  <si>
    <t>Открытая (11.05.1989)/33</t>
  </si>
  <si>
    <t>97,80</t>
  </si>
  <si>
    <t>270,0</t>
  </si>
  <si>
    <t>280,0</t>
  </si>
  <si>
    <t>290,0</t>
  </si>
  <si>
    <t>300,0</t>
  </si>
  <si>
    <t>310,0</t>
  </si>
  <si>
    <t>320,0</t>
  </si>
  <si>
    <t>Глухов Иван</t>
  </si>
  <si>
    <t>Открытая (25.11.1985)/36</t>
  </si>
  <si>
    <t>95,80</t>
  </si>
  <si>
    <t>120,0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</si>
  <si>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</si>
  <si>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</si>
  <si>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</si>
  <si>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</si>
  <si>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</si>
  <si>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</si>
  <si>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67.5</t>
  </si>
  <si>
    <t xml:space="preserve">Открытая </t>
  </si>
  <si>
    <t xml:space="preserve">Мужчины </t>
  </si>
  <si>
    <t>100</t>
  </si>
  <si>
    <t>790,0</t>
  </si>
  <si>
    <t>485,2180</t>
  </si>
  <si>
    <t>90</t>
  </si>
  <si>
    <t>745,0</t>
  </si>
  <si>
    <t>481,1955</t>
  </si>
  <si>
    <t>540,0</t>
  </si>
  <si>
    <t>346,1400</t>
  </si>
  <si>
    <t>1</t>
  </si>
  <si>
    <t/>
  </si>
  <si>
    <t>2</t>
  </si>
  <si>
    <t>3</t>
  </si>
  <si>
    <t>ВЕСОВАЯ КАТЕГОРИЯ   48</t>
  </si>
  <si>
    <t>Панова Вероника</t>
  </si>
  <si>
    <t>Открытая (09.03.1992)/30</t>
  </si>
  <si>
    <t>47,80</t>
  </si>
  <si>
    <t xml:space="preserve">Чернушка/Пермский край </t>
  </si>
  <si>
    <t xml:space="preserve">Щипицин А. </t>
  </si>
  <si>
    <t>Бурнышева Марина</t>
  </si>
  <si>
    <t>Открытая (09.08.1996)/25</t>
  </si>
  <si>
    <t>48,00</t>
  </si>
  <si>
    <t>37,5</t>
  </si>
  <si>
    <t>42,5</t>
  </si>
  <si>
    <t>Ерофеева Елена</t>
  </si>
  <si>
    <t>Открытая (27.05.1984)/37</t>
  </si>
  <si>
    <t>51,20</t>
  </si>
  <si>
    <t xml:space="preserve">Легенда </t>
  </si>
  <si>
    <t>57,5</t>
  </si>
  <si>
    <t xml:space="preserve">Баландин С. </t>
  </si>
  <si>
    <t>Вычужанина Елена</t>
  </si>
  <si>
    <t>Открытая (30.05.1991)/30</t>
  </si>
  <si>
    <t>Савкина Элен</t>
  </si>
  <si>
    <t>Открытая (26.08.1976)/45</t>
  </si>
  <si>
    <t>55,90</t>
  </si>
  <si>
    <t>60,0</t>
  </si>
  <si>
    <t>62,5</t>
  </si>
  <si>
    <t>65,0</t>
  </si>
  <si>
    <t>Василькова Наталья</t>
  </si>
  <si>
    <t>Открытая (04.09.1986)/35</t>
  </si>
  <si>
    <t>56,00</t>
  </si>
  <si>
    <t>Мотова Ольга</t>
  </si>
  <si>
    <t>Открытая (21.04.1988)/34</t>
  </si>
  <si>
    <t>Менькова Елена</t>
  </si>
  <si>
    <t>55,70</t>
  </si>
  <si>
    <t xml:space="preserve">Сокольников Н. </t>
  </si>
  <si>
    <t>Шильникова Валерия</t>
  </si>
  <si>
    <t>ВЕСОВАЯ КАТЕГОРИЯ   60</t>
  </si>
  <si>
    <t>Коченова Екатерина</t>
  </si>
  <si>
    <t>Открытая (10.02.1992)/30</t>
  </si>
  <si>
    <t>59,50</t>
  </si>
  <si>
    <t xml:space="preserve">Рудаков А. </t>
  </si>
  <si>
    <t>Емельянова Ирина</t>
  </si>
  <si>
    <t>Открытая (20.03.1975)/47</t>
  </si>
  <si>
    <t>63,80</t>
  </si>
  <si>
    <t>72,5</t>
  </si>
  <si>
    <t>ВЕСОВАЯ КАТЕГОРИЯ   75</t>
  </si>
  <si>
    <t>Стулова Мария</t>
  </si>
  <si>
    <t>Открытая (20.10.1994)/27</t>
  </si>
  <si>
    <t>70,70</t>
  </si>
  <si>
    <t>Баушева Анастасия</t>
  </si>
  <si>
    <t>Открытая (09.11.1991)/30</t>
  </si>
  <si>
    <t>77,90</t>
  </si>
  <si>
    <t>Кирьянова Наталья</t>
  </si>
  <si>
    <t>80,50</t>
  </si>
  <si>
    <t>Маклаков Иван</t>
  </si>
  <si>
    <t>Юноши 15-19 (07.05.2006)/16</t>
  </si>
  <si>
    <t>54,80</t>
  </si>
  <si>
    <t xml:space="preserve">Заитов Р. </t>
  </si>
  <si>
    <t>Вахрушев Даниил</t>
  </si>
  <si>
    <t>Юноши 15-19 (12.05.2003)/19</t>
  </si>
  <si>
    <t>62,60</t>
  </si>
  <si>
    <t>Касимов Роман</t>
  </si>
  <si>
    <t>Юноши 15-19 (02.12.2004)/17</t>
  </si>
  <si>
    <t>66,20</t>
  </si>
  <si>
    <t>82,5</t>
  </si>
  <si>
    <t>Юрков Мирослав</t>
  </si>
  <si>
    <t>Юноши 15-19 (05.09.2008)/13</t>
  </si>
  <si>
    <t xml:space="preserve">Наймушина Э. </t>
  </si>
  <si>
    <t>Киселев Денис</t>
  </si>
  <si>
    <t>Открытая (23.02.1980)/42</t>
  </si>
  <si>
    <t>66,70</t>
  </si>
  <si>
    <t>Чернов Виталий</t>
  </si>
  <si>
    <t>Открытая (02.11.1985)/36</t>
  </si>
  <si>
    <t>66,40</t>
  </si>
  <si>
    <t>87,5</t>
  </si>
  <si>
    <t>Путилин Дмитрий</t>
  </si>
  <si>
    <t>65,70</t>
  </si>
  <si>
    <t>Демаков Павел</t>
  </si>
  <si>
    <t>Мастера 80+ (31.01.1939)/83</t>
  </si>
  <si>
    <t>62,50</t>
  </si>
  <si>
    <t>Котельников Илья</t>
  </si>
  <si>
    <t>74,20</t>
  </si>
  <si>
    <t>125,0</t>
  </si>
  <si>
    <t>Гудков Александр</t>
  </si>
  <si>
    <t>Открытая (11.06.1987)/34</t>
  </si>
  <si>
    <t>74,90</t>
  </si>
  <si>
    <t>147,5</t>
  </si>
  <si>
    <t>155,0</t>
  </si>
  <si>
    <t>160,0</t>
  </si>
  <si>
    <t>Перевощиков Илья</t>
  </si>
  <si>
    <t>Открытая (31.07.1996)/25</t>
  </si>
  <si>
    <t>74,70</t>
  </si>
  <si>
    <t>Мокрушин Кирилл</t>
  </si>
  <si>
    <t>Открытая (10.03.1998)/24</t>
  </si>
  <si>
    <t>74,30</t>
  </si>
  <si>
    <t>Деткин Александр</t>
  </si>
  <si>
    <t>72,90</t>
  </si>
  <si>
    <t>107,5</t>
  </si>
  <si>
    <t>Южаков Антон</t>
  </si>
  <si>
    <t>Открытая (18.02.1995)/27</t>
  </si>
  <si>
    <t xml:space="preserve">Верещагино/Пермский край </t>
  </si>
  <si>
    <t>207,5</t>
  </si>
  <si>
    <t>Килин Роман</t>
  </si>
  <si>
    <t>Открытая (02.06.1998)/23</t>
  </si>
  <si>
    <t>82,00</t>
  </si>
  <si>
    <t xml:space="preserve">Смирнов Д. </t>
  </si>
  <si>
    <t>Лусников Иван</t>
  </si>
  <si>
    <t>Открытая (25.12.1985)/36</t>
  </si>
  <si>
    <t>81,80</t>
  </si>
  <si>
    <t>Юхнин Денис</t>
  </si>
  <si>
    <t>Открытая (08.11.1988)/33</t>
  </si>
  <si>
    <t>81,40</t>
  </si>
  <si>
    <t>Костенков Александр</t>
  </si>
  <si>
    <t>Открытая (16.12.1992)/29</t>
  </si>
  <si>
    <t>77,30</t>
  </si>
  <si>
    <t>Сергеев Данил</t>
  </si>
  <si>
    <t>Открытая (20.12.1997)/24</t>
  </si>
  <si>
    <t>78,90</t>
  </si>
  <si>
    <t>Мущинкин Владимир</t>
  </si>
  <si>
    <t>Юноши 15-19 (19.09.2002)/19</t>
  </si>
  <si>
    <t>89,90</t>
  </si>
  <si>
    <t>Лукиных Никита</t>
  </si>
  <si>
    <t>88,80</t>
  </si>
  <si>
    <t>Етоев Андрей</t>
  </si>
  <si>
    <t>89,60</t>
  </si>
  <si>
    <t>Баландин Сергей</t>
  </si>
  <si>
    <t>Открытая (14.12.1984)/37</t>
  </si>
  <si>
    <t>Беляев Андрей</t>
  </si>
  <si>
    <t>Открытая (08.08.1993)/28</t>
  </si>
  <si>
    <t>88,60</t>
  </si>
  <si>
    <t xml:space="preserve">Холмогоров А. </t>
  </si>
  <si>
    <t>Копылов Владимир</t>
  </si>
  <si>
    <t>85,20</t>
  </si>
  <si>
    <t xml:space="preserve">Малышев И. </t>
  </si>
  <si>
    <t>Ланге Алексей</t>
  </si>
  <si>
    <t>Юноши 15-19 (25.10.2007)/14</t>
  </si>
  <si>
    <t>Холмогоров Алексей</t>
  </si>
  <si>
    <t>Открытая (28.08.1976)/45</t>
  </si>
  <si>
    <t>99,10</t>
  </si>
  <si>
    <t>195,0</t>
  </si>
  <si>
    <t>217,5</t>
  </si>
  <si>
    <t>Некрасов Иван</t>
  </si>
  <si>
    <t>Открытая (18.03.1982)/40</t>
  </si>
  <si>
    <t>96,70</t>
  </si>
  <si>
    <t>Бакланов Кирилл</t>
  </si>
  <si>
    <t>Открытая (29.04.1993)/29</t>
  </si>
  <si>
    <t>95,90</t>
  </si>
  <si>
    <t>145,0</t>
  </si>
  <si>
    <t>152,5</t>
  </si>
  <si>
    <t>Сметанин Станислав</t>
  </si>
  <si>
    <t>Открытая (09.12.1986)/35</t>
  </si>
  <si>
    <t>98,80</t>
  </si>
  <si>
    <t xml:space="preserve">Валеев Е. </t>
  </si>
  <si>
    <t>Гохальдер Максим</t>
  </si>
  <si>
    <t>99,90</t>
  </si>
  <si>
    <t>Басков Юрий</t>
  </si>
  <si>
    <t>92,30</t>
  </si>
  <si>
    <t>ВЕСОВАЯ КАТЕГОРИЯ   110</t>
  </si>
  <si>
    <t>Лихачев Михаил</t>
  </si>
  <si>
    <t>Открытая (29.05.1976)/45</t>
  </si>
  <si>
    <t>106,60</t>
  </si>
  <si>
    <t>177,5</t>
  </si>
  <si>
    <t>192,5</t>
  </si>
  <si>
    <t>Чайкин Виталий</t>
  </si>
  <si>
    <t>Открытая (26.06.1992)/29</t>
  </si>
  <si>
    <t>102,70</t>
  </si>
  <si>
    <t>167,5</t>
  </si>
  <si>
    <t xml:space="preserve">Новинский А. </t>
  </si>
  <si>
    <t>Тройников Сергей</t>
  </si>
  <si>
    <t>107,40</t>
  </si>
  <si>
    <t>ВЕСОВАЯ КАТЕГОРИЯ   125</t>
  </si>
  <si>
    <t>Балабанов Павел</t>
  </si>
  <si>
    <t>Открытая (21.09.1982)/39</t>
  </si>
  <si>
    <t>114,40</t>
  </si>
  <si>
    <t>212,5</t>
  </si>
  <si>
    <t>Демченко Максим</t>
  </si>
  <si>
    <t>114,70</t>
  </si>
  <si>
    <t xml:space="preserve">Результат </t>
  </si>
  <si>
    <t>79,7850</t>
  </si>
  <si>
    <t>56</t>
  </si>
  <si>
    <t>73,6438</t>
  </si>
  <si>
    <t>48</t>
  </si>
  <si>
    <t>73,0675</t>
  </si>
  <si>
    <t>82.5</t>
  </si>
  <si>
    <t>135,7000</t>
  </si>
  <si>
    <t>132,4095</t>
  </si>
  <si>
    <t>125,2140</t>
  </si>
  <si>
    <t>Результат</t>
  </si>
  <si>
    <t>-</t>
  </si>
  <si>
    <t>4</t>
  </si>
  <si>
    <t>5</t>
  </si>
  <si>
    <t>6</t>
  </si>
  <si>
    <t>Золотарева Елена</t>
  </si>
  <si>
    <t>67,30</t>
  </si>
  <si>
    <t>Ахметзянов Галимжан</t>
  </si>
  <si>
    <t>59,30</t>
  </si>
  <si>
    <t>Пермяков Иван</t>
  </si>
  <si>
    <t>Юноши 15-19 (08.08.2006)/15</t>
  </si>
  <si>
    <t>63,00</t>
  </si>
  <si>
    <t>Пирожков Данила</t>
  </si>
  <si>
    <t>Открытая (14.04.1996)/26</t>
  </si>
  <si>
    <t>76,80</t>
  </si>
  <si>
    <t>Шелунцов Алексей</t>
  </si>
  <si>
    <t>Открытая (18.12.1996)/25</t>
  </si>
  <si>
    <t>85,50</t>
  </si>
  <si>
    <t xml:space="preserve">Южаков А. </t>
  </si>
  <si>
    <t>Заитов Ралиф</t>
  </si>
  <si>
    <t>Открытая (02.01.1982)/40</t>
  </si>
  <si>
    <t>116,60</t>
  </si>
  <si>
    <t>302,5</t>
  </si>
  <si>
    <t>312,5</t>
  </si>
  <si>
    <t>322,5</t>
  </si>
  <si>
    <t xml:space="preserve">Варава И. </t>
  </si>
  <si>
    <t>Матюшев Фанис</t>
  </si>
  <si>
    <t>Открытая (12.07.1985)/36</t>
  </si>
  <si>
    <t>87,70</t>
  </si>
  <si>
    <t>220,0</t>
  </si>
  <si>
    <t>340,0</t>
  </si>
  <si>
    <t>Мальцев Алексей</t>
  </si>
  <si>
    <t>Открытая (11.04.1988)/34</t>
  </si>
  <si>
    <t>71,35</t>
  </si>
  <si>
    <t xml:space="preserve">Некрасов И. </t>
  </si>
  <si>
    <t>Тагиров Раушан</t>
  </si>
  <si>
    <t>Открытая (30.01.1987)/35</t>
  </si>
  <si>
    <t>84,60</t>
  </si>
  <si>
    <t>81,35</t>
  </si>
  <si>
    <t>81,75</t>
  </si>
  <si>
    <t>35,0</t>
  </si>
  <si>
    <t>51,15</t>
  </si>
  <si>
    <t>27,5</t>
  </si>
  <si>
    <t>20,0</t>
  </si>
  <si>
    <t>22,5</t>
  </si>
  <si>
    <t>25,0</t>
  </si>
  <si>
    <t>Анфалова Мария</t>
  </si>
  <si>
    <t>Открытая (08.12.1985)/36</t>
  </si>
  <si>
    <t>58,50</t>
  </si>
  <si>
    <t>30,0</t>
  </si>
  <si>
    <t>32,5</t>
  </si>
  <si>
    <t xml:space="preserve">Рудаков В. </t>
  </si>
  <si>
    <t>Шаламова Ольга</t>
  </si>
  <si>
    <t>58,10</t>
  </si>
  <si>
    <t>Сокольников Николай</t>
  </si>
  <si>
    <t>Открытая (24.10.1970)/51</t>
  </si>
  <si>
    <t>74,05</t>
  </si>
  <si>
    <t>67,5</t>
  </si>
  <si>
    <t>Лавринский Станислав</t>
  </si>
  <si>
    <t>Открытая (15.03.1983)/39</t>
  </si>
  <si>
    <t>87,80</t>
  </si>
  <si>
    <t>Рудаков Владимир</t>
  </si>
  <si>
    <t>Открытая (28.06.1987)/34</t>
  </si>
  <si>
    <t>102,50</t>
  </si>
  <si>
    <t>Барда/Пермский край</t>
  </si>
  <si>
    <t>Легенда</t>
  </si>
  <si>
    <t>Energy team</t>
  </si>
  <si>
    <t xml:space="preserve">Лично </t>
  </si>
  <si>
    <t>ОЗОН</t>
  </si>
  <si>
    <t xml:space="preserve">ОЗОН </t>
  </si>
  <si>
    <t>Открытый турнир «Стань Легендой»
IPL Пауэрлифтинг без экипировки
Чайковский/Пермский край, 14 мая 2022 года</t>
  </si>
  <si>
    <t>Открытый турнир «Стань Легендой»
IPL Жим лежа без экипировки
Чайковский/Пермский край, 14 мая 2022 года</t>
  </si>
  <si>
    <t>Открытый турнир «Стань Легендой»
СПР Жим лежа в однопетельной софт экипировке
Чайковский/Пермский край, 14 мая 2022 года</t>
  </si>
  <si>
    <t>Открытый турнир «Стань Легендой»
СПР Жим лежа в многопетельной софт экипировке
Чайковский/Пермский край, 14 мая 2022 года</t>
  </si>
  <si>
    <t>Открытый турнир «Стань Легендой»
СПР Жим лежа среди спортсменов с физическими особенностями
Чайковский/Пермский край, 14 мая 2022 года</t>
  </si>
  <si>
    <t>Открытый турнир «Стань Легендой»
IPL Становая тяга без экипировки
Чайковский/Пермский край, 14 мая 2022 года</t>
  </si>
  <si>
    <t>Открытый турнир «Стань Легендой»
СПР Пауэрспорт
Чайковский/Пермский край, 14 мая 2022 года</t>
  </si>
  <si>
    <t>Открытый турнир «Стань Легендой»
СПР Жим штанги стоя
Чайковский/Пермский край, 14 мая 2022 года</t>
  </si>
  <si>
    <t>Открытый турнир «Стань Легендой»
СПР Строгий подъем штанги на бицепс
Чайковский/Пермский край, 14 мая 2022 года</t>
  </si>
  <si>
    <t>Весовая категория</t>
  </si>
  <si>
    <t xml:space="preserve">Воткинск/Удмуртская Республика </t>
  </si>
  <si>
    <t xml:space="preserve">Сарапул/Удмуртская Республика </t>
  </si>
  <si>
    <t xml:space="preserve">Новый/Удмуртская Республика </t>
  </si>
  <si>
    <t xml:space="preserve">Ижевск/Удмуртская Республика </t>
  </si>
  <si>
    <t>Мастера 40-44 (02.01.1979)/43</t>
  </si>
  <si>
    <t>Мастера 40-44 (03.01.1982)/40</t>
  </si>
  <si>
    <t>Мастера 40-44 (30.07.1981)/40</t>
  </si>
  <si>
    <t>Мастера 45-49 (20.08.1973)/48</t>
  </si>
  <si>
    <t>Юниоры 20-23 (10.12.1999)/22</t>
  </si>
  <si>
    <t>Мастера 50-54 (28.06.1970)/51</t>
  </si>
  <si>
    <t>Юниоры 20-23 (23.07.2000)/21</t>
  </si>
  <si>
    <t>Юниоры 20-23 (11.10.2001)/20</t>
  </si>
  <si>
    <t>Мастера 45-49 (02.06.1974)/47</t>
  </si>
  <si>
    <t>Мастера 40-44 (18.03.1982)/40</t>
  </si>
  <si>
    <t>Мастера 40-44 (29.11.1979)/42</t>
  </si>
  <si>
    <t>Мастера 55-59 (12.04.1964)/58</t>
  </si>
  <si>
    <t>Мастера 45-49 (29.05.1976)/45</t>
  </si>
  <si>
    <t>Мастера 50-54 (26.09.1971)/50</t>
  </si>
  <si>
    <t>Мастера 40-44 (15.03.1980)/42</t>
  </si>
  <si>
    <t>Мастера 45-49 (08.06.1975)/46</t>
  </si>
  <si>
    <t>Мастера 65-69 (29.10.1952)/69</t>
  </si>
  <si>
    <t>Мастера 40-44 (02.01.1982)/40</t>
  </si>
  <si>
    <t>Мастера 40-49 (02.01.1979)/43</t>
  </si>
  <si>
    <t>Мастера 40-49 (15.09.1977)/44</t>
  </si>
  <si>
    <t>Мастера 40-49 (02.06.1974)/47</t>
  </si>
  <si>
    <t>Мастера 50-59 (12.04.1964)/58</t>
  </si>
  <si>
    <t>№</t>
  </si>
  <si>
    <t>Жим</t>
  </si>
  <si>
    <t xml:space="preserve">Жим </t>
  </si>
  <si>
    <t>Тяга</t>
  </si>
  <si>
    <t xml:space="preserve">
Дата рождения/Возраст</t>
  </si>
  <si>
    <t>Возрастная группа</t>
  </si>
  <si>
    <t>O</t>
  </si>
  <si>
    <t>T</t>
  </si>
  <si>
    <t>M1</t>
  </si>
  <si>
    <t>M2</t>
  </si>
  <si>
    <t>M8</t>
  </si>
  <si>
    <t>J</t>
  </si>
  <si>
    <t>M3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</si>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</sst>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38"/>
  <sheetViews>
    <sheetView zoomScaleNormal="100" workbookViewId="0">
      <selection activeCell="E29" sqref="E29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7.83203125" style="5" customWidth="1"/>
    <col min="4" max="4" width="17" style="5" customWidth="1"/>
    <col min="5" max="5" width="10.1640625" style="5" bestFit="1" customWidth="1"/>
    <col min="6" max="6" width="14.6640625" style="5" customWidth="1"/>
    <col min="7" max="7" width="26.6640625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8" width="5.5" style="6" customWidth="1"/>
    <col min="19" max="19" width="4.5" style="6" customWidth="1"/>
    <col min="20" max="20" width="7.6640625" style="6" bestFit="1" customWidth="1"/>
    <col min="21" max="21" width="8.5" style="6" bestFit="1" customWidth="1"/>
    <col min="22" max="22" width="19.33203125" style="5" customWidth="1"/>
    <col min="23" max="16384" width="9.1640625" style="3"/>
  </cols>
  <sheetData>
    <row r="1" spans="1:22" s="2" customFormat="1" ht="29" customHeight="1">
      <c r="A1" s="41" t="s">
        <v>383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7</v>
      </c>
      <c r="I3" s="39"/>
      <c r="J3" s="39"/>
      <c r="K3" s="39"/>
      <c r="L3" s="39" t="s">
        <v>8</v>
      </c>
      <c r="M3" s="39"/>
      <c r="N3" s="39"/>
      <c r="O3" s="39"/>
      <c r="P3" s="39" t="s">
        <v>9</v>
      </c>
      <c r="Q3" s="39"/>
      <c r="R3" s="39"/>
      <c r="S3" s="39"/>
      <c r="T3" s="39" t="s">
        <v>1</v>
      </c>
      <c r="U3" s="39" t="s">
        <v>3</v>
      </c>
      <c r="V3" s="52" t="s">
        <v>2</v>
      </c>
    </row>
    <row r="4" spans="1:22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40"/>
      <c r="U4" s="40"/>
      <c r="V4" s="53"/>
    </row>
    <row r="5" spans="1:22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22">
      <c r="A6" s="8" t="s">
        <v>124</v>
      </c>
      <c r="B6" s="7" t="s">
        <v>11</v>
      </c>
      <c r="C6" s="7" t="s">
        <v>12</v>
      </c>
      <c r="D6" s="7" t="s">
        <v>13</v>
      </c>
      <c r="E6" s="7" t="s">
        <v>425</v>
      </c>
      <c r="F6" s="7" t="s">
        <v>378</v>
      </c>
      <c r="G6" s="7" t="s">
        <v>14</v>
      </c>
      <c r="H6" s="20" t="s">
        <v>15</v>
      </c>
      <c r="I6" s="20" t="s">
        <v>16</v>
      </c>
      <c r="J6" s="21" t="s">
        <v>17</v>
      </c>
      <c r="K6" s="8"/>
      <c r="L6" s="20" t="s">
        <v>18</v>
      </c>
      <c r="M6" s="21" t="s">
        <v>19</v>
      </c>
      <c r="N6" s="21" t="s">
        <v>19</v>
      </c>
      <c r="O6" s="8"/>
      <c r="P6" s="20" t="s">
        <v>15</v>
      </c>
      <c r="Q6" s="20" t="s">
        <v>20</v>
      </c>
      <c r="R6" s="20" t="s">
        <v>21</v>
      </c>
      <c r="S6" s="8"/>
      <c r="T6" s="8" t="str">
        <f>"197,5"</f>
        <v>197,5</v>
      </c>
      <c r="U6" s="8" t="str">
        <f>"246,5787"</f>
        <v>246,5787</v>
      </c>
      <c r="V6" s="7" t="s">
        <v>22</v>
      </c>
    </row>
    <row r="7" spans="1:22">
      <c r="B7" s="5" t="s">
        <v>125</v>
      </c>
    </row>
    <row r="8" spans="1:22" ht="16">
      <c r="A8" s="33" t="s">
        <v>23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2">
      <c r="A9" s="10" t="s">
        <v>124</v>
      </c>
      <c r="B9" s="9" t="s">
        <v>24</v>
      </c>
      <c r="C9" s="9" t="s">
        <v>25</v>
      </c>
      <c r="D9" s="9" t="s">
        <v>26</v>
      </c>
      <c r="E9" s="9" t="s">
        <v>426</v>
      </c>
      <c r="F9" s="9" t="s">
        <v>27</v>
      </c>
      <c r="G9" s="9" t="s">
        <v>28</v>
      </c>
      <c r="H9" s="22" t="s">
        <v>29</v>
      </c>
      <c r="I9" s="23" t="s">
        <v>30</v>
      </c>
      <c r="J9" s="23" t="s">
        <v>30</v>
      </c>
      <c r="K9" s="10"/>
      <c r="L9" s="22" t="s">
        <v>31</v>
      </c>
      <c r="M9" s="22" t="s">
        <v>32</v>
      </c>
      <c r="N9" s="23" t="s">
        <v>33</v>
      </c>
      <c r="O9" s="10"/>
      <c r="P9" s="22" t="s">
        <v>34</v>
      </c>
      <c r="Q9" s="23" t="s">
        <v>35</v>
      </c>
      <c r="R9" s="23" t="s">
        <v>35</v>
      </c>
      <c r="S9" s="10"/>
      <c r="T9" s="10" t="str">
        <f>"267,5"</f>
        <v>267,5</v>
      </c>
      <c r="U9" s="10" t="str">
        <f>"276,5683"</f>
        <v>276,5683</v>
      </c>
      <c r="V9" s="9" t="s">
        <v>36</v>
      </c>
    </row>
    <row r="10" spans="1:22">
      <c r="A10" s="12" t="s">
        <v>124</v>
      </c>
      <c r="B10" s="11" t="s">
        <v>37</v>
      </c>
      <c r="C10" s="11" t="s">
        <v>38</v>
      </c>
      <c r="D10" s="11" t="s">
        <v>39</v>
      </c>
      <c r="E10" s="11" t="s">
        <v>425</v>
      </c>
      <c r="F10" s="11" t="s">
        <v>380</v>
      </c>
      <c r="G10" s="11" t="s">
        <v>393</v>
      </c>
      <c r="H10" s="24" t="s">
        <v>40</v>
      </c>
      <c r="I10" s="25" t="s">
        <v>40</v>
      </c>
      <c r="J10" s="24" t="s">
        <v>41</v>
      </c>
      <c r="K10" s="12"/>
      <c r="L10" s="25" t="s">
        <v>18</v>
      </c>
      <c r="M10" s="25" t="s">
        <v>19</v>
      </c>
      <c r="N10" s="24" t="s">
        <v>42</v>
      </c>
      <c r="O10" s="12"/>
      <c r="P10" s="25" t="s">
        <v>41</v>
      </c>
      <c r="Q10" s="25" t="s">
        <v>34</v>
      </c>
      <c r="R10" s="25" t="s">
        <v>43</v>
      </c>
      <c r="S10" s="12"/>
      <c r="T10" s="12" t="str">
        <f>"250,0"</f>
        <v>250,0</v>
      </c>
      <c r="U10" s="12" t="str">
        <f>"260,5000"</f>
        <v>260,5000</v>
      </c>
      <c r="V10" s="11" t="s">
        <v>44</v>
      </c>
    </row>
    <row r="11" spans="1:22">
      <c r="B11" s="5" t="s">
        <v>125</v>
      </c>
    </row>
    <row r="12" spans="1:22" ht="16">
      <c r="A12" s="33" t="s">
        <v>45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22">
      <c r="A13" s="8" t="s">
        <v>124</v>
      </c>
      <c r="B13" s="7" t="s">
        <v>46</v>
      </c>
      <c r="C13" s="7" t="s">
        <v>47</v>
      </c>
      <c r="D13" s="7" t="s">
        <v>48</v>
      </c>
      <c r="E13" s="7" t="s">
        <v>425</v>
      </c>
      <c r="F13" s="7" t="s">
        <v>381</v>
      </c>
      <c r="G13" s="7" t="s">
        <v>394</v>
      </c>
      <c r="H13" s="20" t="s">
        <v>49</v>
      </c>
      <c r="I13" s="20" t="s">
        <v>29</v>
      </c>
      <c r="J13" s="20" t="s">
        <v>43</v>
      </c>
      <c r="K13" s="8"/>
      <c r="L13" s="20" t="s">
        <v>20</v>
      </c>
      <c r="M13" s="21" t="s">
        <v>21</v>
      </c>
      <c r="N13" s="21" t="s">
        <v>21</v>
      </c>
      <c r="O13" s="8"/>
      <c r="P13" s="20" t="s">
        <v>43</v>
      </c>
      <c r="Q13" s="20" t="s">
        <v>50</v>
      </c>
      <c r="R13" s="20" t="s">
        <v>51</v>
      </c>
      <c r="S13" s="8"/>
      <c r="T13" s="8" t="str">
        <f>"320,0"</f>
        <v>320,0</v>
      </c>
      <c r="U13" s="8" t="str">
        <f>"298,1440"</f>
        <v>298,1440</v>
      </c>
      <c r="V13" s="7" t="s">
        <v>52</v>
      </c>
    </row>
    <row r="14" spans="1:22">
      <c r="B14" s="5" t="s">
        <v>125</v>
      </c>
    </row>
    <row r="15" spans="1:22" ht="16">
      <c r="A15" s="33" t="s">
        <v>23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2">
      <c r="A16" s="8" t="s">
        <v>124</v>
      </c>
      <c r="B16" s="7" t="s">
        <v>53</v>
      </c>
      <c r="C16" s="7" t="s">
        <v>54</v>
      </c>
      <c r="D16" s="7" t="s">
        <v>55</v>
      </c>
      <c r="E16" s="7" t="s">
        <v>425</v>
      </c>
      <c r="F16" s="7" t="s">
        <v>380</v>
      </c>
      <c r="G16" s="7" t="s">
        <v>56</v>
      </c>
      <c r="H16" s="21" t="s">
        <v>40</v>
      </c>
      <c r="I16" s="20" t="s">
        <v>40</v>
      </c>
      <c r="J16" s="21" t="s">
        <v>29</v>
      </c>
      <c r="K16" s="8"/>
      <c r="L16" s="20" t="s">
        <v>21</v>
      </c>
      <c r="M16" s="20" t="s">
        <v>40</v>
      </c>
      <c r="N16" s="21" t="s">
        <v>41</v>
      </c>
      <c r="O16" s="8"/>
      <c r="P16" s="20" t="s">
        <v>51</v>
      </c>
      <c r="Q16" s="20" t="s">
        <v>57</v>
      </c>
      <c r="R16" s="20" t="s">
        <v>58</v>
      </c>
      <c r="S16" s="8"/>
      <c r="T16" s="8" t="str">
        <f>"330,0"</f>
        <v>330,0</v>
      </c>
      <c r="U16" s="8" t="str">
        <f>"278,0910"</f>
        <v>278,0910</v>
      </c>
      <c r="V16" s="7" t="s">
        <v>59</v>
      </c>
    </row>
    <row r="17" spans="1:22">
      <c r="B17" s="5" t="s">
        <v>125</v>
      </c>
    </row>
    <row r="18" spans="1:22" ht="16">
      <c r="A18" s="33" t="s">
        <v>60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22">
      <c r="A19" s="8" t="s">
        <v>124</v>
      </c>
      <c r="B19" s="7" t="s">
        <v>61</v>
      </c>
      <c r="C19" s="7" t="s">
        <v>62</v>
      </c>
      <c r="D19" s="7" t="s">
        <v>63</v>
      </c>
      <c r="E19" s="7" t="s">
        <v>425</v>
      </c>
      <c r="F19" s="7" t="s">
        <v>381</v>
      </c>
      <c r="G19" s="7" t="s">
        <v>394</v>
      </c>
      <c r="H19" s="21" t="s">
        <v>64</v>
      </c>
      <c r="I19" s="20" t="s">
        <v>64</v>
      </c>
      <c r="J19" s="21" t="s">
        <v>29</v>
      </c>
      <c r="K19" s="8"/>
      <c r="L19" s="20" t="s">
        <v>17</v>
      </c>
      <c r="M19" s="21" t="s">
        <v>40</v>
      </c>
      <c r="N19" s="21" t="s">
        <v>40</v>
      </c>
      <c r="O19" s="8"/>
      <c r="P19" s="20" t="s">
        <v>40</v>
      </c>
      <c r="Q19" s="20" t="s">
        <v>64</v>
      </c>
      <c r="R19" s="20" t="s">
        <v>34</v>
      </c>
      <c r="S19" s="8"/>
      <c r="T19" s="8" t="str">
        <f>"290,0"</f>
        <v>290,0</v>
      </c>
      <c r="U19" s="8" t="str">
        <f>"196,7650"</f>
        <v>196,7650</v>
      </c>
      <c r="V19" s="7" t="s">
        <v>52</v>
      </c>
    </row>
    <row r="20" spans="1:22">
      <c r="B20" s="5" t="s">
        <v>125</v>
      </c>
    </row>
    <row r="21" spans="1:22" ht="16">
      <c r="A21" s="33" t="s">
        <v>65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>
      <c r="A22" s="10" t="s">
        <v>124</v>
      </c>
      <c r="B22" s="9" t="s">
        <v>66</v>
      </c>
      <c r="C22" s="9" t="s">
        <v>67</v>
      </c>
      <c r="D22" s="9" t="s">
        <v>68</v>
      </c>
      <c r="E22" s="9" t="s">
        <v>425</v>
      </c>
      <c r="F22" s="9" t="s">
        <v>380</v>
      </c>
      <c r="G22" s="9" t="s">
        <v>69</v>
      </c>
      <c r="H22" s="22" t="s">
        <v>70</v>
      </c>
      <c r="I22" s="22" t="s">
        <v>71</v>
      </c>
      <c r="J22" s="23" t="s">
        <v>72</v>
      </c>
      <c r="K22" s="10"/>
      <c r="L22" s="22" t="s">
        <v>73</v>
      </c>
      <c r="M22" s="22" t="s">
        <v>74</v>
      </c>
      <c r="N22" s="22" t="s">
        <v>75</v>
      </c>
      <c r="O22" s="10"/>
      <c r="P22" s="22" t="s">
        <v>76</v>
      </c>
      <c r="Q22" s="22" t="s">
        <v>77</v>
      </c>
      <c r="R22" s="22" t="s">
        <v>78</v>
      </c>
      <c r="S22" s="10"/>
      <c r="T22" s="10" t="str">
        <f>"745,0"</f>
        <v>745,0</v>
      </c>
      <c r="U22" s="10" t="str">
        <f>"481,1955"</f>
        <v>481,1955</v>
      </c>
      <c r="V22" s="9" t="s">
        <v>79</v>
      </c>
    </row>
    <row r="23" spans="1:22">
      <c r="A23" s="14" t="s">
        <v>126</v>
      </c>
      <c r="B23" s="13" t="s">
        <v>80</v>
      </c>
      <c r="C23" s="13" t="s">
        <v>81</v>
      </c>
      <c r="D23" s="13" t="s">
        <v>82</v>
      </c>
      <c r="E23" s="13" t="s">
        <v>425</v>
      </c>
      <c r="F23" s="13" t="s">
        <v>381</v>
      </c>
      <c r="G23" s="13" t="s">
        <v>394</v>
      </c>
      <c r="H23" s="26" t="s">
        <v>83</v>
      </c>
      <c r="I23" s="26" t="s">
        <v>84</v>
      </c>
      <c r="J23" s="26" t="s">
        <v>73</v>
      </c>
      <c r="K23" s="14"/>
      <c r="L23" s="26" t="s">
        <v>85</v>
      </c>
      <c r="M23" s="26" t="s">
        <v>57</v>
      </c>
      <c r="N23" s="26" t="s">
        <v>58</v>
      </c>
      <c r="O23" s="14"/>
      <c r="P23" s="27" t="s">
        <v>74</v>
      </c>
      <c r="Q23" s="26" t="s">
        <v>74</v>
      </c>
      <c r="R23" s="27" t="s">
        <v>86</v>
      </c>
      <c r="S23" s="14"/>
      <c r="T23" s="14" t="str">
        <f>"540,0"</f>
        <v>540,0</v>
      </c>
      <c r="U23" s="14" t="str">
        <f>"346,1400"</f>
        <v>346,1400</v>
      </c>
      <c r="V23" s="13"/>
    </row>
    <row r="24" spans="1:22">
      <c r="A24" s="12" t="s">
        <v>127</v>
      </c>
      <c r="B24" s="11" t="s">
        <v>87</v>
      </c>
      <c r="C24" s="11" t="s">
        <v>88</v>
      </c>
      <c r="D24" s="11" t="s">
        <v>89</v>
      </c>
      <c r="E24" s="11" t="s">
        <v>425</v>
      </c>
      <c r="F24" s="11" t="s">
        <v>27</v>
      </c>
      <c r="G24" s="11" t="s">
        <v>28</v>
      </c>
      <c r="H24" s="25" t="s">
        <v>90</v>
      </c>
      <c r="I24" s="25" t="s">
        <v>91</v>
      </c>
      <c r="J24" s="24" t="s">
        <v>92</v>
      </c>
      <c r="K24" s="12"/>
      <c r="L24" s="25" t="s">
        <v>34</v>
      </c>
      <c r="M24" s="25" t="s">
        <v>29</v>
      </c>
      <c r="N24" s="25" t="s">
        <v>43</v>
      </c>
      <c r="O24" s="12"/>
      <c r="P24" s="25" t="s">
        <v>83</v>
      </c>
      <c r="Q24" s="25" t="s">
        <v>84</v>
      </c>
      <c r="R24" s="24" t="s">
        <v>73</v>
      </c>
      <c r="S24" s="12"/>
      <c r="T24" s="12" t="str">
        <f>"470,0"</f>
        <v>470,0</v>
      </c>
      <c r="U24" s="12" t="str">
        <f>"301,9280"</f>
        <v>301,9280</v>
      </c>
      <c r="V24" s="11" t="s">
        <v>36</v>
      </c>
    </row>
    <row r="25" spans="1:22">
      <c r="B25" s="5" t="s">
        <v>125</v>
      </c>
    </row>
    <row r="26" spans="1:22" ht="16">
      <c r="A26" s="33" t="s">
        <v>93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22">
      <c r="A27" s="10" t="s">
        <v>124</v>
      </c>
      <c r="B27" s="9" t="s">
        <v>94</v>
      </c>
      <c r="C27" s="9" t="s">
        <v>95</v>
      </c>
      <c r="D27" s="9" t="s">
        <v>96</v>
      </c>
      <c r="E27" s="9" t="s">
        <v>425</v>
      </c>
      <c r="F27" s="9" t="s">
        <v>381</v>
      </c>
      <c r="G27" s="9" t="s">
        <v>394</v>
      </c>
      <c r="H27" s="22" t="s">
        <v>97</v>
      </c>
      <c r="I27" s="22" t="s">
        <v>98</v>
      </c>
      <c r="J27" s="22" t="s">
        <v>99</v>
      </c>
      <c r="K27" s="10"/>
      <c r="L27" s="22" t="s">
        <v>73</v>
      </c>
      <c r="M27" s="23" t="s">
        <v>74</v>
      </c>
      <c r="N27" s="23" t="s">
        <v>74</v>
      </c>
      <c r="O27" s="10"/>
      <c r="P27" s="22" t="s">
        <v>100</v>
      </c>
      <c r="Q27" s="22" t="s">
        <v>101</v>
      </c>
      <c r="R27" s="23" t="s">
        <v>102</v>
      </c>
      <c r="S27" s="10"/>
      <c r="T27" s="10" t="str">
        <f>"790,0"</f>
        <v>790,0</v>
      </c>
      <c r="U27" s="10" t="str">
        <f>"485,2180"</f>
        <v>485,2180</v>
      </c>
      <c r="V27" s="9"/>
    </row>
    <row r="28" spans="1:22">
      <c r="A28" s="12" t="s">
        <v>126</v>
      </c>
      <c r="B28" s="11" t="s">
        <v>103</v>
      </c>
      <c r="C28" s="11" t="s">
        <v>104</v>
      </c>
      <c r="D28" s="11" t="s">
        <v>105</v>
      </c>
      <c r="E28" s="11" t="s">
        <v>425</v>
      </c>
      <c r="F28" s="11" t="s">
        <v>381</v>
      </c>
      <c r="G28" s="11" t="s">
        <v>394</v>
      </c>
      <c r="H28" s="25" t="s">
        <v>64</v>
      </c>
      <c r="I28" s="25" t="s">
        <v>29</v>
      </c>
      <c r="J28" s="25" t="s">
        <v>106</v>
      </c>
      <c r="K28" s="12"/>
      <c r="L28" s="25" t="s">
        <v>40</v>
      </c>
      <c r="M28" s="24" t="s">
        <v>34</v>
      </c>
      <c r="N28" s="25" t="s">
        <v>29</v>
      </c>
      <c r="O28" s="12"/>
      <c r="P28" s="25" t="s">
        <v>64</v>
      </c>
      <c r="Q28" s="25" t="s">
        <v>106</v>
      </c>
      <c r="R28" s="25" t="s">
        <v>57</v>
      </c>
      <c r="S28" s="12"/>
      <c r="T28" s="12" t="str">
        <f>"370,0"</f>
        <v>370,0</v>
      </c>
      <c r="U28" s="12" t="str">
        <f>"229,2890"</f>
        <v>229,2890</v>
      </c>
      <c r="V28" s="11" t="s">
        <v>52</v>
      </c>
    </row>
    <row r="29" spans="1:22">
      <c r="B29" s="5" t="s">
        <v>125</v>
      </c>
    </row>
    <row r="30" spans="1:22">
      <c r="B30" s="5" t="s">
        <v>125</v>
      </c>
    </row>
    <row r="31" spans="1:22">
      <c r="B31" s="5" t="s">
        <v>125</v>
      </c>
    </row>
    <row r="32" spans="1:22" ht="18">
      <c r="B32" s="15" t="s">
        <v>107</v>
      </c>
      <c r="C32" s="15"/>
    </row>
    <row r="33" spans="2:6" ht="16">
      <c r="B33" s="16" t="s">
        <v>115</v>
      </c>
      <c r="C33" s="16"/>
    </row>
    <row r="34" spans="2:6" ht="14">
      <c r="B34" s="17"/>
      <c r="C34" s="18" t="s">
        <v>114</v>
      </c>
    </row>
    <row r="35" spans="2:6" ht="14">
      <c r="B35" s="19" t="s">
        <v>109</v>
      </c>
      <c r="C35" s="19" t="s">
        <v>110</v>
      </c>
      <c r="D35" s="19" t="s">
        <v>392</v>
      </c>
      <c r="E35" s="19" t="s">
        <v>111</v>
      </c>
      <c r="F35" s="19" t="s">
        <v>112</v>
      </c>
    </row>
    <row r="36" spans="2:6">
      <c r="B36" s="5" t="s">
        <v>94</v>
      </c>
      <c r="C36" s="5" t="s">
        <v>114</v>
      </c>
      <c r="D36" s="6" t="s">
        <v>116</v>
      </c>
      <c r="E36" s="6" t="s">
        <v>117</v>
      </c>
      <c r="F36" s="6" t="s">
        <v>118</v>
      </c>
    </row>
    <row r="37" spans="2:6">
      <c r="B37" s="5" t="s">
        <v>66</v>
      </c>
      <c r="C37" s="5" t="s">
        <v>114</v>
      </c>
      <c r="D37" s="6" t="s">
        <v>119</v>
      </c>
      <c r="E37" s="6" t="s">
        <v>120</v>
      </c>
      <c r="F37" s="6" t="s">
        <v>121</v>
      </c>
    </row>
    <row r="38" spans="2:6">
      <c r="B38" s="5" t="s">
        <v>80</v>
      </c>
      <c r="C38" s="5" t="s">
        <v>114</v>
      </c>
      <c r="D38" s="6" t="s">
        <v>119</v>
      </c>
      <c r="E38" s="6" t="s">
        <v>122</v>
      </c>
      <c r="F38" s="6" t="s">
        <v>123</v>
      </c>
    </row>
  </sheetData>
  <mergeCells count="21"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21:S21"/>
    <mergeCell ref="A26:S26"/>
    <mergeCell ref="B3:B4"/>
    <mergeCell ref="A5:S5"/>
    <mergeCell ref="A8:S8"/>
    <mergeCell ref="A12:S12"/>
    <mergeCell ref="A15:S15"/>
    <mergeCell ref="A18:S18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N104"/>
  <sheetViews>
    <sheetView topLeftCell="A63" workbookViewId="0">
      <selection activeCell="E88" sqref="E88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9.5" style="5" customWidth="1"/>
    <col min="8" max="10" width="5.5" style="6" customWidth="1"/>
    <col min="11" max="11" width="4.5" style="6" customWidth="1"/>
    <col min="12" max="12" width="10.5" style="28" bestFit="1" customWidth="1"/>
    <col min="13" max="13" width="8.5" style="6" bestFit="1" customWidth="1"/>
    <col min="14" max="14" width="23" style="5" customWidth="1"/>
    <col min="15" max="16384" width="9.1640625" style="3"/>
  </cols>
  <sheetData>
    <row r="1" spans="1:14" s="2" customFormat="1" ht="29" customHeight="1">
      <c r="A1" s="41" t="s">
        <v>384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8</v>
      </c>
      <c r="I3" s="39"/>
      <c r="J3" s="39"/>
      <c r="K3" s="39"/>
      <c r="L3" s="54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55"/>
      <c r="M4" s="40"/>
      <c r="N4" s="53"/>
    </row>
    <row r="5" spans="1:14" ht="16">
      <c r="A5" s="37" t="s">
        <v>128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10" t="s">
        <v>124</v>
      </c>
      <c r="B6" s="9" t="s">
        <v>129</v>
      </c>
      <c r="C6" s="9" t="s">
        <v>130</v>
      </c>
      <c r="D6" s="9" t="s">
        <v>131</v>
      </c>
      <c r="E6" s="9" t="s">
        <v>425</v>
      </c>
      <c r="F6" s="9" t="s">
        <v>380</v>
      </c>
      <c r="G6" s="9" t="s">
        <v>132</v>
      </c>
      <c r="H6" s="22" t="s">
        <v>42</v>
      </c>
      <c r="I6" s="22" t="s">
        <v>32</v>
      </c>
      <c r="J6" s="22" t="s">
        <v>33</v>
      </c>
      <c r="K6" s="10"/>
      <c r="L6" s="29" t="str">
        <f>"55,0"</f>
        <v>55,0</v>
      </c>
      <c r="M6" s="10" t="str">
        <f>"73,0675"</f>
        <v>73,0675</v>
      </c>
      <c r="N6" s="9" t="s">
        <v>133</v>
      </c>
    </row>
    <row r="7" spans="1:14">
      <c r="A7" s="12" t="s">
        <v>126</v>
      </c>
      <c r="B7" s="11" t="s">
        <v>134</v>
      </c>
      <c r="C7" s="11" t="s">
        <v>135</v>
      </c>
      <c r="D7" s="11" t="s">
        <v>136</v>
      </c>
      <c r="E7" s="11" t="s">
        <v>425</v>
      </c>
      <c r="F7" s="11" t="s">
        <v>27</v>
      </c>
      <c r="G7" s="11" t="s">
        <v>28</v>
      </c>
      <c r="H7" s="25" t="s">
        <v>137</v>
      </c>
      <c r="I7" s="25" t="s">
        <v>138</v>
      </c>
      <c r="J7" s="24" t="s">
        <v>19</v>
      </c>
      <c r="K7" s="12"/>
      <c r="L7" s="30" t="str">
        <f>"42,5"</f>
        <v>42,5</v>
      </c>
      <c r="M7" s="12" t="str">
        <f>"56,2870"</f>
        <v>56,2870</v>
      </c>
      <c r="N7" s="11" t="s">
        <v>36</v>
      </c>
    </row>
    <row r="8" spans="1:14">
      <c r="B8" s="5" t="s">
        <v>125</v>
      </c>
    </row>
    <row r="9" spans="1:14" ht="16">
      <c r="A9" s="33" t="s">
        <v>10</v>
      </c>
      <c r="B9" s="33"/>
      <c r="C9" s="34"/>
      <c r="D9" s="34"/>
      <c r="E9" s="34"/>
      <c r="F9" s="34"/>
      <c r="G9" s="34"/>
      <c r="H9" s="34"/>
      <c r="I9" s="34"/>
      <c r="J9" s="34"/>
      <c r="K9" s="34"/>
    </row>
    <row r="10" spans="1:14">
      <c r="A10" s="10" t="s">
        <v>124</v>
      </c>
      <c r="B10" s="9" t="s">
        <v>139</v>
      </c>
      <c r="C10" s="9" t="s">
        <v>140</v>
      </c>
      <c r="D10" s="9" t="s">
        <v>141</v>
      </c>
      <c r="E10" s="9" t="s">
        <v>425</v>
      </c>
      <c r="F10" s="9" t="s">
        <v>142</v>
      </c>
      <c r="G10" s="9" t="s">
        <v>14</v>
      </c>
      <c r="H10" s="23" t="s">
        <v>33</v>
      </c>
      <c r="I10" s="22" t="s">
        <v>33</v>
      </c>
      <c r="J10" s="23" t="s">
        <v>143</v>
      </c>
      <c r="K10" s="10"/>
      <c r="L10" s="29" t="str">
        <f>"55,0"</f>
        <v>55,0</v>
      </c>
      <c r="M10" s="10" t="str">
        <f>"69,3880"</f>
        <v>69,3880</v>
      </c>
      <c r="N10" s="9" t="s">
        <v>144</v>
      </c>
    </row>
    <row r="11" spans="1:14">
      <c r="A11" s="12" t="s">
        <v>314</v>
      </c>
      <c r="B11" s="11" t="s">
        <v>145</v>
      </c>
      <c r="C11" s="11" t="s">
        <v>146</v>
      </c>
      <c r="D11" s="11" t="s">
        <v>13</v>
      </c>
      <c r="E11" s="11" t="s">
        <v>425</v>
      </c>
      <c r="F11" s="11" t="s">
        <v>27</v>
      </c>
      <c r="G11" s="11" t="s">
        <v>28</v>
      </c>
      <c r="H11" s="24" t="s">
        <v>137</v>
      </c>
      <c r="I11" s="24" t="s">
        <v>137</v>
      </c>
      <c r="J11" s="24" t="s">
        <v>137</v>
      </c>
      <c r="K11" s="12"/>
      <c r="L11" s="30" t="str">
        <f>"0.00"</f>
        <v>0.00</v>
      </c>
      <c r="M11" s="12" t="str">
        <f>"0,0000"</f>
        <v>0,0000</v>
      </c>
      <c r="N11" s="11" t="s">
        <v>36</v>
      </c>
    </row>
    <row r="12" spans="1:14">
      <c r="B12" s="5" t="s">
        <v>125</v>
      </c>
    </row>
    <row r="13" spans="1:14" ht="16">
      <c r="A13" s="33" t="s">
        <v>45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</row>
    <row r="14" spans="1:14">
      <c r="A14" s="10" t="s">
        <v>124</v>
      </c>
      <c r="B14" s="9" t="s">
        <v>147</v>
      </c>
      <c r="C14" s="9" t="s">
        <v>148</v>
      </c>
      <c r="D14" s="9" t="s">
        <v>149</v>
      </c>
      <c r="E14" s="9" t="s">
        <v>425</v>
      </c>
      <c r="F14" s="9" t="s">
        <v>27</v>
      </c>
      <c r="G14" s="9" t="s">
        <v>28</v>
      </c>
      <c r="H14" s="22" t="s">
        <v>150</v>
      </c>
      <c r="I14" s="22" t="s">
        <v>151</v>
      </c>
      <c r="J14" s="23" t="s">
        <v>152</v>
      </c>
      <c r="K14" s="10"/>
      <c r="L14" s="29" t="str">
        <f>"62,5"</f>
        <v>62,5</v>
      </c>
      <c r="M14" s="10" t="str">
        <f>"73,6438"</f>
        <v>73,6438</v>
      </c>
      <c r="N14" s="9"/>
    </row>
    <row r="15" spans="1:14">
      <c r="A15" s="14" t="s">
        <v>126</v>
      </c>
      <c r="B15" s="13" t="s">
        <v>153</v>
      </c>
      <c r="C15" s="13" t="s">
        <v>154</v>
      </c>
      <c r="D15" s="13" t="s">
        <v>155</v>
      </c>
      <c r="E15" s="13" t="s">
        <v>425</v>
      </c>
      <c r="F15" s="13" t="s">
        <v>142</v>
      </c>
      <c r="G15" s="13" t="s">
        <v>14</v>
      </c>
      <c r="H15" s="26" t="s">
        <v>18</v>
      </c>
      <c r="I15" s="26" t="s">
        <v>138</v>
      </c>
      <c r="J15" s="26" t="s">
        <v>19</v>
      </c>
      <c r="K15" s="14"/>
      <c r="L15" s="31" t="str">
        <f>"45,0"</f>
        <v>45,0</v>
      </c>
      <c r="M15" s="14" t="str">
        <f>"52,9470"</f>
        <v>52,9470</v>
      </c>
      <c r="N15" s="13" t="s">
        <v>144</v>
      </c>
    </row>
    <row r="16" spans="1:14">
      <c r="A16" s="14" t="s">
        <v>127</v>
      </c>
      <c r="B16" s="13" t="s">
        <v>156</v>
      </c>
      <c r="C16" s="13" t="s">
        <v>157</v>
      </c>
      <c r="D16" s="13" t="s">
        <v>155</v>
      </c>
      <c r="E16" s="13" t="s">
        <v>425</v>
      </c>
      <c r="F16" s="13" t="s">
        <v>27</v>
      </c>
      <c r="G16" s="13" t="s">
        <v>28</v>
      </c>
      <c r="H16" s="26" t="s">
        <v>137</v>
      </c>
      <c r="I16" s="27" t="s">
        <v>138</v>
      </c>
      <c r="J16" s="27" t="s">
        <v>138</v>
      </c>
      <c r="K16" s="14"/>
      <c r="L16" s="31" t="str">
        <f>"37,5"</f>
        <v>37,5</v>
      </c>
      <c r="M16" s="14" t="str">
        <f>"44,1225"</f>
        <v>44,1225</v>
      </c>
      <c r="N16" s="13" t="s">
        <v>36</v>
      </c>
    </row>
    <row r="17" spans="1:14">
      <c r="A17" s="14" t="s">
        <v>124</v>
      </c>
      <c r="B17" s="13" t="s">
        <v>158</v>
      </c>
      <c r="C17" s="13" t="s">
        <v>397</v>
      </c>
      <c r="D17" s="13" t="s">
        <v>159</v>
      </c>
      <c r="E17" s="13" t="s">
        <v>427</v>
      </c>
      <c r="F17" s="13" t="s">
        <v>382</v>
      </c>
      <c r="G17" s="13" t="s">
        <v>394</v>
      </c>
      <c r="H17" s="26" t="s">
        <v>31</v>
      </c>
      <c r="I17" s="27" t="s">
        <v>32</v>
      </c>
      <c r="J17" s="27" t="s">
        <v>33</v>
      </c>
      <c r="K17" s="14"/>
      <c r="L17" s="31" t="str">
        <f>"47,5"</f>
        <v>47,5</v>
      </c>
      <c r="M17" s="14" t="str">
        <f>"57,6975"</f>
        <v>57,6975</v>
      </c>
      <c r="N17" s="13" t="s">
        <v>160</v>
      </c>
    </row>
    <row r="18" spans="1:14">
      <c r="A18" s="12" t="s">
        <v>126</v>
      </c>
      <c r="B18" s="11" t="s">
        <v>161</v>
      </c>
      <c r="C18" s="11" t="s">
        <v>398</v>
      </c>
      <c r="D18" s="11" t="s">
        <v>149</v>
      </c>
      <c r="E18" s="11" t="s">
        <v>427</v>
      </c>
      <c r="F18" s="11" t="s">
        <v>142</v>
      </c>
      <c r="G18" s="11" t="s">
        <v>14</v>
      </c>
      <c r="H18" s="25" t="s">
        <v>138</v>
      </c>
      <c r="I18" s="25" t="s">
        <v>19</v>
      </c>
      <c r="J18" s="24" t="s">
        <v>42</v>
      </c>
      <c r="K18" s="12"/>
      <c r="L18" s="30" t="str">
        <f>"45,0"</f>
        <v>45,0</v>
      </c>
      <c r="M18" s="12" t="str">
        <f>"53,0235"</f>
        <v>53,0235</v>
      </c>
      <c r="N18" s="11" t="s">
        <v>144</v>
      </c>
    </row>
    <row r="19" spans="1:14">
      <c r="B19" s="5" t="s">
        <v>125</v>
      </c>
    </row>
    <row r="20" spans="1:14" ht="16">
      <c r="A20" s="33" t="s">
        <v>162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</row>
    <row r="21" spans="1:14">
      <c r="A21" s="8" t="s">
        <v>124</v>
      </c>
      <c r="B21" s="7" t="s">
        <v>163</v>
      </c>
      <c r="C21" s="7" t="s">
        <v>164</v>
      </c>
      <c r="D21" s="7" t="s">
        <v>165</v>
      </c>
      <c r="E21" s="7" t="s">
        <v>425</v>
      </c>
      <c r="F21" s="7" t="s">
        <v>379</v>
      </c>
      <c r="G21" s="7" t="s">
        <v>14</v>
      </c>
      <c r="H21" s="20" t="s">
        <v>138</v>
      </c>
      <c r="I21" s="21" t="s">
        <v>19</v>
      </c>
      <c r="J21" s="21" t="s">
        <v>19</v>
      </c>
      <c r="K21" s="8"/>
      <c r="L21" s="32" t="str">
        <f>"42,5"</f>
        <v>42,5</v>
      </c>
      <c r="M21" s="8" t="str">
        <f>"47,6892"</f>
        <v>47,6892</v>
      </c>
      <c r="N21" s="7" t="s">
        <v>166</v>
      </c>
    </row>
    <row r="22" spans="1:14">
      <c r="B22" s="5" t="s">
        <v>125</v>
      </c>
    </row>
    <row r="23" spans="1:14" ht="16">
      <c r="A23" s="33" t="s">
        <v>23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</row>
    <row r="24" spans="1:14">
      <c r="A24" s="8" t="s">
        <v>124</v>
      </c>
      <c r="B24" s="7" t="s">
        <v>167</v>
      </c>
      <c r="C24" s="7" t="s">
        <v>168</v>
      </c>
      <c r="D24" s="7" t="s">
        <v>169</v>
      </c>
      <c r="E24" s="7" t="s">
        <v>425</v>
      </c>
      <c r="F24" s="7" t="s">
        <v>380</v>
      </c>
      <c r="G24" s="7" t="s">
        <v>14</v>
      </c>
      <c r="H24" s="20" t="s">
        <v>15</v>
      </c>
      <c r="I24" s="20" t="s">
        <v>170</v>
      </c>
      <c r="J24" s="20" t="s">
        <v>20</v>
      </c>
      <c r="K24" s="8"/>
      <c r="L24" s="32" t="str">
        <f>"75,0"</f>
        <v>75,0</v>
      </c>
      <c r="M24" s="8" t="str">
        <f>"79,7850"</f>
        <v>79,7850</v>
      </c>
      <c r="N24" s="7"/>
    </row>
    <row r="25" spans="1:14">
      <c r="B25" s="5" t="s">
        <v>125</v>
      </c>
    </row>
    <row r="26" spans="1:14" ht="16">
      <c r="A26" s="33" t="s">
        <v>171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</row>
    <row r="27" spans="1:14">
      <c r="A27" s="8" t="s">
        <v>124</v>
      </c>
      <c r="B27" s="7" t="s">
        <v>172</v>
      </c>
      <c r="C27" s="7" t="s">
        <v>173</v>
      </c>
      <c r="D27" s="7" t="s">
        <v>174</v>
      </c>
      <c r="E27" s="7" t="s">
        <v>425</v>
      </c>
      <c r="F27" s="7" t="s">
        <v>27</v>
      </c>
      <c r="G27" s="7" t="s">
        <v>28</v>
      </c>
      <c r="H27" s="20" t="s">
        <v>19</v>
      </c>
      <c r="I27" s="20" t="s">
        <v>42</v>
      </c>
      <c r="J27" s="20" t="s">
        <v>32</v>
      </c>
      <c r="K27" s="8"/>
      <c r="L27" s="32" t="str">
        <f>"52,5"</f>
        <v>52,5</v>
      </c>
      <c r="M27" s="8" t="str">
        <f>"51,8752"</f>
        <v>51,8752</v>
      </c>
      <c r="N27" s="7" t="s">
        <v>36</v>
      </c>
    </row>
    <row r="28" spans="1:14">
      <c r="B28" s="5" t="s">
        <v>125</v>
      </c>
    </row>
    <row r="29" spans="1:14" ht="16">
      <c r="A29" s="33" t="s">
        <v>60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</row>
    <row r="30" spans="1:14">
      <c r="A30" s="10" t="s">
        <v>124</v>
      </c>
      <c r="B30" s="9" t="s">
        <v>175</v>
      </c>
      <c r="C30" s="9" t="s">
        <v>176</v>
      </c>
      <c r="D30" s="9" t="s">
        <v>177</v>
      </c>
      <c r="E30" s="9" t="s">
        <v>425</v>
      </c>
      <c r="F30" s="9" t="s">
        <v>27</v>
      </c>
      <c r="G30" s="9" t="s">
        <v>28</v>
      </c>
      <c r="H30" s="22" t="s">
        <v>42</v>
      </c>
      <c r="I30" s="23" t="s">
        <v>33</v>
      </c>
      <c r="J30" s="23" t="s">
        <v>33</v>
      </c>
      <c r="K30" s="10"/>
      <c r="L30" s="29" t="str">
        <f>"50,0"</f>
        <v>50,0</v>
      </c>
      <c r="M30" s="10" t="str">
        <f>"46,4500"</f>
        <v>46,4500</v>
      </c>
      <c r="N30" s="9" t="s">
        <v>36</v>
      </c>
    </row>
    <row r="31" spans="1:14">
      <c r="A31" s="12" t="s">
        <v>124</v>
      </c>
      <c r="B31" s="11" t="s">
        <v>178</v>
      </c>
      <c r="C31" s="11" t="s">
        <v>399</v>
      </c>
      <c r="D31" s="11" t="s">
        <v>179</v>
      </c>
      <c r="E31" s="11" t="s">
        <v>427</v>
      </c>
      <c r="F31" s="11" t="s">
        <v>27</v>
      </c>
      <c r="G31" s="11" t="s">
        <v>28</v>
      </c>
      <c r="H31" s="24" t="s">
        <v>19</v>
      </c>
      <c r="I31" s="25" t="s">
        <v>19</v>
      </c>
      <c r="J31" s="25" t="s">
        <v>42</v>
      </c>
      <c r="K31" s="12"/>
      <c r="L31" s="30" t="str">
        <f>"50,0"</f>
        <v>50,0</v>
      </c>
      <c r="M31" s="12" t="str">
        <f>"45,5950"</f>
        <v>45,5950</v>
      </c>
      <c r="N31" s="11" t="s">
        <v>36</v>
      </c>
    </row>
    <row r="32" spans="1:14">
      <c r="B32" s="5" t="s">
        <v>125</v>
      </c>
    </row>
    <row r="33" spans="1:14" ht="16">
      <c r="A33" s="33" t="s">
        <v>45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</row>
    <row r="34" spans="1:14">
      <c r="A34" s="8" t="s">
        <v>124</v>
      </c>
      <c r="B34" s="7" t="s">
        <v>180</v>
      </c>
      <c r="C34" s="7" t="s">
        <v>181</v>
      </c>
      <c r="D34" s="7" t="s">
        <v>182</v>
      </c>
      <c r="E34" s="7" t="s">
        <v>426</v>
      </c>
      <c r="F34" s="7" t="s">
        <v>27</v>
      </c>
      <c r="G34" s="7" t="s">
        <v>28</v>
      </c>
      <c r="H34" s="20" t="s">
        <v>143</v>
      </c>
      <c r="I34" s="20" t="s">
        <v>151</v>
      </c>
      <c r="J34" s="21" t="s">
        <v>152</v>
      </c>
      <c r="K34" s="8"/>
      <c r="L34" s="32" t="str">
        <f>"62,5"</f>
        <v>62,5</v>
      </c>
      <c r="M34" s="8" t="str">
        <f>"58,1250"</f>
        <v>58,1250</v>
      </c>
      <c r="N34" s="7" t="s">
        <v>183</v>
      </c>
    </row>
    <row r="35" spans="1:14">
      <c r="B35" s="5" t="s">
        <v>125</v>
      </c>
    </row>
    <row r="36" spans="1:14" ht="16">
      <c r="A36" s="33" t="s">
        <v>23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</row>
    <row r="37" spans="1:14">
      <c r="A37" s="10" t="s">
        <v>124</v>
      </c>
      <c r="B37" s="9" t="s">
        <v>184</v>
      </c>
      <c r="C37" s="9" t="s">
        <v>185</v>
      </c>
      <c r="D37" s="9" t="s">
        <v>186</v>
      </c>
      <c r="E37" s="9" t="s">
        <v>426</v>
      </c>
      <c r="F37" s="9" t="s">
        <v>27</v>
      </c>
      <c r="G37" s="9" t="s">
        <v>393</v>
      </c>
      <c r="H37" s="22" t="s">
        <v>40</v>
      </c>
      <c r="I37" s="22" t="s">
        <v>41</v>
      </c>
      <c r="J37" s="23" t="s">
        <v>64</v>
      </c>
      <c r="K37" s="10"/>
      <c r="L37" s="29" t="str">
        <f>"95,0"</f>
        <v>95,0</v>
      </c>
      <c r="M37" s="10" t="str">
        <f>"78,0140"</f>
        <v>78,0140</v>
      </c>
      <c r="N37" s="9" t="s">
        <v>36</v>
      </c>
    </row>
    <row r="38" spans="1:14">
      <c r="A38" s="14" t="s">
        <v>126</v>
      </c>
      <c r="B38" s="13" t="s">
        <v>187</v>
      </c>
      <c r="C38" s="13" t="s">
        <v>188</v>
      </c>
      <c r="D38" s="13" t="s">
        <v>189</v>
      </c>
      <c r="E38" s="13" t="s">
        <v>426</v>
      </c>
      <c r="F38" s="13" t="s">
        <v>382</v>
      </c>
      <c r="G38" s="13" t="s">
        <v>394</v>
      </c>
      <c r="H38" s="27" t="s">
        <v>20</v>
      </c>
      <c r="I38" s="26" t="s">
        <v>21</v>
      </c>
      <c r="J38" s="27" t="s">
        <v>190</v>
      </c>
      <c r="K38" s="14"/>
      <c r="L38" s="31" t="str">
        <f>"80,0"</f>
        <v>80,0</v>
      </c>
      <c r="M38" s="14" t="str">
        <f>"62,6560"</f>
        <v>62,6560</v>
      </c>
      <c r="N38" s="13" t="s">
        <v>52</v>
      </c>
    </row>
    <row r="39" spans="1:14">
      <c r="A39" s="14" t="s">
        <v>127</v>
      </c>
      <c r="B39" s="13" t="s">
        <v>191</v>
      </c>
      <c r="C39" s="13" t="s">
        <v>192</v>
      </c>
      <c r="D39" s="13" t="s">
        <v>26</v>
      </c>
      <c r="E39" s="13" t="s">
        <v>426</v>
      </c>
      <c r="F39" s="13" t="s">
        <v>27</v>
      </c>
      <c r="G39" s="13" t="s">
        <v>28</v>
      </c>
      <c r="H39" s="26" t="s">
        <v>137</v>
      </c>
      <c r="I39" s="26" t="s">
        <v>18</v>
      </c>
      <c r="J39" s="26" t="s">
        <v>138</v>
      </c>
      <c r="K39" s="14"/>
      <c r="L39" s="31" t="str">
        <f>"42,5"</f>
        <v>42,5</v>
      </c>
      <c r="M39" s="14" t="str">
        <f>"33,2477"</f>
        <v>33,2477</v>
      </c>
      <c r="N39" s="13" t="s">
        <v>193</v>
      </c>
    </row>
    <row r="40" spans="1:14">
      <c r="A40" s="14" t="s">
        <v>124</v>
      </c>
      <c r="B40" s="13" t="s">
        <v>194</v>
      </c>
      <c r="C40" s="13" t="s">
        <v>195</v>
      </c>
      <c r="D40" s="13" t="s">
        <v>196</v>
      </c>
      <c r="E40" s="13" t="s">
        <v>425</v>
      </c>
      <c r="F40" s="13" t="s">
        <v>142</v>
      </c>
      <c r="G40" s="13" t="s">
        <v>14</v>
      </c>
      <c r="H40" s="26" t="s">
        <v>29</v>
      </c>
      <c r="I40" s="27" t="s">
        <v>106</v>
      </c>
      <c r="J40" s="27" t="s">
        <v>106</v>
      </c>
      <c r="K40" s="14"/>
      <c r="L40" s="31" t="str">
        <f>"110,0"</f>
        <v>110,0</v>
      </c>
      <c r="M40" s="14" t="str">
        <f>"85,6350"</f>
        <v>85,6350</v>
      </c>
      <c r="N40" s="13" t="s">
        <v>144</v>
      </c>
    </row>
    <row r="41" spans="1:14">
      <c r="A41" s="14" t="s">
        <v>126</v>
      </c>
      <c r="B41" s="13" t="s">
        <v>197</v>
      </c>
      <c r="C41" s="13" t="s">
        <v>198</v>
      </c>
      <c r="D41" s="13" t="s">
        <v>199</v>
      </c>
      <c r="E41" s="13" t="s">
        <v>425</v>
      </c>
      <c r="F41" s="13" t="s">
        <v>382</v>
      </c>
      <c r="G41" s="13" t="s">
        <v>394</v>
      </c>
      <c r="H41" s="26" t="s">
        <v>21</v>
      </c>
      <c r="I41" s="26" t="s">
        <v>17</v>
      </c>
      <c r="J41" s="27" t="s">
        <v>200</v>
      </c>
      <c r="K41" s="14"/>
      <c r="L41" s="31" t="str">
        <f>"85,0"</f>
        <v>85,0</v>
      </c>
      <c r="M41" s="14" t="str">
        <f>"66,4105"</f>
        <v>66,4105</v>
      </c>
      <c r="N41" s="13" t="s">
        <v>160</v>
      </c>
    </row>
    <row r="42" spans="1:14">
      <c r="A42" s="14" t="s">
        <v>314</v>
      </c>
      <c r="B42" s="13" t="s">
        <v>201</v>
      </c>
      <c r="C42" s="13" t="s">
        <v>400</v>
      </c>
      <c r="D42" s="13" t="s">
        <v>202</v>
      </c>
      <c r="E42" s="13" t="s">
        <v>428</v>
      </c>
      <c r="F42" s="13" t="s">
        <v>380</v>
      </c>
      <c r="G42" s="13" t="s">
        <v>395</v>
      </c>
      <c r="H42" s="27" t="s">
        <v>49</v>
      </c>
      <c r="I42" s="27" t="s">
        <v>49</v>
      </c>
      <c r="J42" s="27" t="s">
        <v>49</v>
      </c>
      <c r="K42" s="14"/>
      <c r="L42" s="31">
        <v>0</v>
      </c>
      <c r="M42" s="14" t="str">
        <f>"0,0000"</f>
        <v>0,0000</v>
      </c>
      <c r="N42" s="13"/>
    </row>
    <row r="43" spans="1:14">
      <c r="A43" s="12" t="s">
        <v>124</v>
      </c>
      <c r="B43" s="11" t="s">
        <v>203</v>
      </c>
      <c r="C43" s="11" t="s">
        <v>204</v>
      </c>
      <c r="D43" s="11" t="s">
        <v>205</v>
      </c>
      <c r="E43" s="11" t="s">
        <v>429</v>
      </c>
      <c r="F43" s="11" t="s">
        <v>27</v>
      </c>
      <c r="G43" s="11" t="s">
        <v>28</v>
      </c>
      <c r="H43" s="25" t="s">
        <v>19</v>
      </c>
      <c r="I43" s="25" t="s">
        <v>42</v>
      </c>
      <c r="J43" s="25" t="s">
        <v>32</v>
      </c>
      <c r="K43" s="12"/>
      <c r="L43" s="30" t="str">
        <f>"52,5"</f>
        <v>52,5</v>
      </c>
      <c r="M43" s="12" t="str">
        <f>"88,9317"</f>
        <v>88,9317</v>
      </c>
      <c r="N43" s="11"/>
    </row>
    <row r="44" spans="1:14">
      <c r="B44" s="5" t="s">
        <v>125</v>
      </c>
    </row>
    <row r="45" spans="1:14" ht="16">
      <c r="A45" s="33" t="s">
        <v>171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4">
      <c r="A46" s="10" t="s">
        <v>124</v>
      </c>
      <c r="B46" s="9" t="s">
        <v>206</v>
      </c>
      <c r="C46" s="9" t="s">
        <v>401</v>
      </c>
      <c r="D46" s="9" t="s">
        <v>207</v>
      </c>
      <c r="E46" s="9" t="s">
        <v>430</v>
      </c>
      <c r="F46" s="9" t="s">
        <v>380</v>
      </c>
      <c r="G46" s="9" t="s">
        <v>132</v>
      </c>
      <c r="H46" s="22" t="s">
        <v>30</v>
      </c>
      <c r="I46" s="22" t="s">
        <v>208</v>
      </c>
      <c r="J46" s="22" t="s">
        <v>51</v>
      </c>
      <c r="K46" s="10"/>
      <c r="L46" s="29" t="str">
        <f>"130,0"</f>
        <v>130,0</v>
      </c>
      <c r="M46" s="10" t="str">
        <f>"93,3270"</f>
        <v>93,3270</v>
      </c>
      <c r="N46" s="9" t="s">
        <v>133</v>
      </c>
    </row>
    <row r="47" spans="1:14">
      <c r="A47" s="14" t="s">
        <v>124</v>
      </c>
      <c r="B47" s="13" t="s">
        <v>209</v>
      </c>
      <c r="C47" s="13" t="s">
        <v>210</v>
      </c>
      <c r="D47" s="13" t="s">
        <v>211</v>
      </c>
      <c r="E47" s="13" t="s">
        <v>425</v>
      </c>
      <c r="F47" s="13" t="s">
        <v>27</v>
      </c>
      <c r="G47" s="13" t="s">
        <v>28</v>
      </c>
      <c r="H47" s="26" t="s">
        <v>212</v>
      </c>
      <c r="I47" s="26" t="s">
        <v>213</v>
      </c>
      <c r="J47" s="27" t="s">
        <v>214</v>
      </c>
      <c r="K47" s="14"/>
      <c r="L47" s="31" t="str">
        <f>"155,0"</f>
        <v>155,0</v>
      </c>
      <c r="M47" s="14" t="str">
        <f>"110,5460"</f>
        <v>110,5460</v>
      </c>
      <c r="N47" s="13" t="s">
        <v>36</v>
      </c>
    </row>
    <row r="48" spans="1:14">
      <c r="A48" s="14" t="s">
        <v>126</v>
      </c>
      <c r="B48" s="13" t="s">
        <v>215</v>
      </c>
      <c r="C48" s="13" t="s">
        <v>216</v>
      </c>
      <c r="D48" s="13" t="s">
        <v>217</v>
      </c>
      <c r="E48" s="13" t="s">
        <v>425</v>
      </c>
      <c r="F48" s="13" t="s">
        <v>27</v>
      </c>
      <c r="G48" s="13" t="s">
        <v>28</v>
      </c>
      <c r="H48" s="26" t="s">
        <v>30</v>
      </c>
      <c r="I48" s="26" t="s">
        <v>208</v>
      </c>
      <c r="J48" s="26" t="s">
        <v>51</v>
      </c>
      <c r="K48" s="14"/>
      <c r="L48" s="31" t="str">
        <f>"130,0"</f>
        <v>130,0</v>
      </c>
      <c r="M48" s="14" t="str">
        <f>"92,8980"</f>
        <v>92,8980</v>
      </c>
      <c r="N48" s="13" t="s">
        <v>36</v>
      </c>
    </row>
    <row r="49" spans="1:14">
      <c r="A49" s="14" t="s">
        <v>127</v>
      </c>
      <c r="B49" s="13" t="s">
        <v>218</v>
      </c>
      <c r="C49" s="13" t="s">
        <v>219</v>
      </c>
      <c r="D49" s="13" t="s">
        <v>220</v>
      </c>
      <c r="E49" s="13" t="s">
        <v>425</v>
      </c>
      <c r="F49" s="13" t="s">
        <v>380</v>
      </c>
      <c r="G49" s="13" t="s">
        <v>393</v>
      </c>
      <c r="H49" s="26" t="s">
        <v>40</v>
      </c>
      <c r="I49" s="26" t="s">
        <v>41</v>
      </c>
      <c r="J49" s="26" t="s">
        <v>64</v>
      </c>
      <c r="K49" s="14"/>
      <c r="L49" s="31" t="str">
        <f>"100,0"</f>
        <v>100,0</v>
      </c>
      <c r="M49" s="14" t="str">
        <f>"71,7300"</f>
        <v>71,7300</v>
      </c>
      <c r="N49" s="13" t="s">
        <v>44</v>
      </c>
    </row>
    <row r="50" spans="1:14">
      <c r="A50" s="12" t="s">
        <v>124</v>
      </c>
      <c r="B50" s="11" t="s">
        <v>221</v>
      </c>
      <c r="C50" s="11" t="s">
        <v>402</v>
      </c>
      <c r="D50" s="11" t="s">
        <v>222</v>
      </c>
      <c r="E50" s="11" t="s">
        <v>431</v>
      </c>
      <c r="F50" s="11" t="s">
        <v>142</v>
      </c>
      <c r="G50" s="11" t="s">
        <v>14</v>
      </c>
      <c r="H50" s="25" t="s">
        <v>64</v>
      </c>
      <c r="I50" s="25" t="s">
        <v>34</v>
      </c>
      <c r="J50" s="24" t="s">
        <v>223</v>
      </c>
      <c r="K50" s="12"/>
      <c r="L50" s="30" t="str">
        <f>"105,0"</f>
        <v>105,0</v>
      </c>
      <c r="M50" s="12" t="str">
        <f>"89,1715"</f>
        <v>89,1715</v>
      </c>
      <c r="N50" s="11" t="s">
        <v>144</v>
      </c>
    </row>
    <row r="51" spans="1:14">
      <c r="B51" s="5" t="s">
        <v>125</v>
      </c>
    </row>
    <row r="52" spans="1:14" ht="16">
      <c r="A52" s="33" t="s">
        <v>60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</row>
    <row r="53" spans="1:14">
      <c r="A53" s="10" t="s">
        <v>124</v>
      </c>
      <c r="B53" s="9" t="s">
        <v>224</v>
      </c>
      <c r="C53" s="9" t="s">
        <v>225</v>
      </c>
      <c r="D53" s="9" t="s">
        <v>63</v>
      </c>
      <c r="E53" s="9" t="s">
        <v>425</v>
      </c>
      <c r="F53" s="9" t="s">
        <v>380</v>
      </c>
      <c r="G53" s="9" t="s">
        <v>226</v>
      </c>
      <c r="H53" s="22" t="s">
        <v>74</v>
      </c>
      <c r="I53" s="23" t="s">
        <v>75</v>
      </c>
      <c r="J53" s="23" t="s">
        <v>227</v>
      </c>
      <c r="K53" s="10"/>
      <c r="L53" s="29" t="str">
        <f>"200,0"</f>
        <v>200,0</v>
      </c>
      <c r="M53" s="10" t="str">
        <f>"135,7000"</f>
        <v>135,7000</v>
      </c>
      <c r="N53" s="9"/>
    </row>
    <row r="54" spans="1:14">
      <c r="A54" s="14" t="s">
        <v>126</v>
      </c>
      <c r="B54" s="13" t="s">
        <v>228</v>
      </c>
      <c r="C54" s="13" t="s">
        <v>229</v>
      </c>
      <c r="D54" s="13" t="s">
        <v>230</v>
      </c>
      <c r="E54" s="13" t="s">
        <v>425</v>
      </c>
      <c r="F54" s="13" t="s">
        <v>27</v>
      </c>
      <c r="G54" s="13" t="s">
        <v>28</v>
      </c>
      <c r="H54" s="26" t="s">
        <v>214</v>
      </c>
      <c r="I54" s="26" t="s">
        <v>83</v>
      </c>
      <c r="J54" s="26" t="s">
        <v>91</v>
      </c>
      <c r="K54" s="14"/>
      <c r="L54" s="31" t="str">
        <f>"175,0"</f>
        <v>175,0</v>
      </c>
      <c r="M54" s="14" t="str">
        <f>"117,6700"</f>
        <v>117,6700</v>
      </c>
      <c r="N54" s="13" t="s">
        <v>231</v>
      </c>
    </row>
    <row r="55" spans="1:14">
      <c r="A55" s="14" t="s">
        <v>127</v>
      </c>
      <c r="B55" s="13" t="s">
        <v>232</v>
      </c>
      <c r="C55" s="13" t="s">
        <v>233</v>
      </c>
      <c r="D55" s="13" t="s">
        <v>234</v>
      </c>
      <c r="E55" s="13" t="s">
        <v>425</v>
      </c>
      <c r="F55" s="13" t="s">
        <v>27</v>
      </c>
      <c r="G55" s="13" t="s">
        <v>28</v>
      </c>
      <c r="H55" s="26" t="s">
        <v>214</v>
      </c>
      <c r="I55" s="26" t="s">
        <v>83</v>
      </c>
      <c r="J55" s="27" t="s">
        <v>91</v>
      </c>
      <c r="K55" s="14"/>
      <c r="L55" s="31" t="str">
        <f>"170,0"</f>
        <v>170,0</v>
      </c>
      <c r="M55" s="14" t="str">
        <f>"114,4780"</f>
        <v>114,4780</v>
      </c>
      <c r="N55" s="13" t="s">
        <v>36</v>
      </c>
    </row>
    <row r="56" spans="1:14">
      <c r="A56" s="14" t="s">
        <v>315</v>
      </c>
      <c r="B56" s="13" t="s">
        <v>235</v>
      </c>
      <c r="C56" s="13" t="s">
        <v>236</v>
      </c>
      <c r="D56" s="13" t="s">
        <v>237</v>
      </c>
      <c r="E56" s="13" t="s">
        <v>425</v>
      </c>
      <c r="F56" s="13" t="s">
        <v>382</v>
      </c>
      <c r="G56" s="13" t="s">
        <v>394</v>
      </c>
      <c r="H56" s="26" t="s">
        <v>57</v>
      </c>
      <c r="I56" s="26" t="s">
        <v>58</v>
      </c>
      <c r="J56" s="27" t="s">
        <v>214</v>
      </c>
      <c r="K56" s="14"/>
      <c r="L56" s="31" t="str">
        <f>"150,0"</f>
        <v>150,0</v>
      </c>
      <c r="M56" s="14" t="str">
        <f>"101,3100"</f>
        <v>101,3100</v>
      </c>
      <c r="N56" s="13" t="s">
        <v>52</v>
      </c>
    </row>
    <row r="57" spans="1:14">
      <c r="A57" s="14" t="s">
        <v>316</v>
      </c>
      <c r="B57" s="13" t="s">
        <v>238</v>
      </c>
      <c r="C57" s="13" t="s">
        <v>239</v>
      </c>
      <c r="D57" s="13" t="s">
        <v>240</v>
      </c>
      <c r="E57" s="13" t="s">
        <v>425</v>
      </c>
      <c r="F57" s="13" t="s">
        <v>382</v>
      </c>
      <c r="G57" s="13" t="s">
        <v>394</v>
      </c>
      <c r="H57" s="26" t="s">
        <v>64</v>
      </c>
      <c r="I57" s="26" t="s">
        <v>34</v>
      </c>
      <c r="J57" s="27" t="s">
        <v>223</v>
      </c>
      <c r="K57" s="14"/>
      <c r="L57" s="31" t="str">
        <f>"105,0"</f>
        <v>105,0</v>
      </c>
      <c r="M57" s="14" t="str">
        <f>"73,3005"</f>
        <v>73,3005</v>
      </c>
      <c r="N57" s="13" t="s">
        <v>160</v>
      </c>
    </row>
    <row r="58" spans="1:14">
      <c r="A58" s="12" t="s">
        <v>317</v>
      </c>
      <c r="B58" s="11" t="s">
        <v>241</v>
      </c>
      <c r="C58" s="11" t="s">
        <v>242</v>
      </c>
      <c r="D58" s="11" t="s">
        <v>243</v>
      </c>
      <c r="E58" s="11" t="s">
        <v>425</v>
      </c>
      <c r="F58" s="11" t="s">
        <v>382</v>
      </c>
      <c r="G58" s="11" t="s">
        <v>394</v>
      </c>
      <c r="H58" s="25" t="s">
        <v>64</v>
      </c>
      <c r="I58" s="24" t="s">
        <v>29</v>
      </c>
      <c r="J58" s="24" t="s">
        <v>29</v>
      </c>
      <c r="K58" s="12"/>
      <c r="L58" s="30" t="str">
        <f>"100,0"</f>
        <v>100,0</v>
      </c>
      <c r="M58" s="12" t="str">
        <f>"68,8800"</f>
        <v>68,8800</v>
      </c>
      <c r="N58" s="11"/>
    </row>
    <row r="59" spans="1:14">
      <c r="B59" s="5" t="s">
        <v>125</v>
      </c>
    </row>
    <row r="60" spans="1:14" ht="16">
      <c r="A60" s="33" t="s">
        <v>65</v>
      </c>
      <c r="B60" s="33"/>
      <c r="C60" s="34"/>
      <c r="D60" s="34"/>
      <c r="E60" s="34"/>
      <c r="F60" s="34"/>
      <c r="G60" s="34"/>
      <c r="H60" s="34"/>
      <c r="I60" s="34"/>
      <c r="J60" s="34"/>
      <c r="K60" s="34"/>
    </row>
    <row r="61" spans="1:14">
      <c r="A61" s="10" t="s">
        <v>124</v>
      </c>
      <c r="B61" s="9" t="s">
        <v>244</v>
      </c>
      <c r="C61" s="9" t="s">
        <v>245</v>
      </c>
      <c r="D61" s="9" t="s">
        <v>246</v>
      </c>
      <c r="E61" s="9" t="s">
        <v>426</v>
      </c>
      <c r="F61" s="9" t="s">
        <v>27</v>
      </c>
      <c r="G61" s="9" t="s">
        <v>28</v>
      </c>
      <c r="H61" s="22" t="s">
        <v>41</v>
      </c>
      <c r="I61" s="22" t="s">
        <v>64</v>
      </c>
      <c r="J61" s="23" t="s">
        <v>223</v>
      </c>
      <c r="K61" s="10"/>
      <c r="L61" s="29" t="str">
        <f>"100,0"</f>
        <v>100,0</v>
      </c>
      <c r="M61" s="10" t="str">
        <f>"63,8800"</f>
        <v>63,8800</v>
      </c>
      <c r="N61" s="9" t="s">
        <v>36</v>
      </c>
    </row>
    <row r="62" spans="1:14">
      <c r="A62" s="14" t="s">
        <v>124</v>
      </c>
      <c r="B62" s="13" t="s">
        <v>247</v>
      </c>
      <c r="C62" s="13" t="s">
        <v>403</v>
      </c>
      <c r="D62" s="13" t="s">
        <v>248</v>
      </c>
      <c r="E62" s="13" t="s">
        <v>430</v>
      </c>
      <c r="F62" s="13" t="s">
        <v>27</v>
      </c>
      <c r="G62" s="13" t="s">
        <v>28</v>
      </c>
      <c r="H62" s="26" t="s">
        <v>106</v>
      </c>
      <c r="I62" s="26" t="s">
        <v>51</v>
      </c>
      <c r="J62" s="27" t="s">
        <v>85</v>
      </c>
      <c r="K62" s="14"/>
      <c r="L62" s="31" t="str">
        <f>"130,0"</f>
        <v>130,0</v>
      </c>
      <c r="M62" s="14" t="str">
        <f>"83,5640"</f>
        <v>83,5640</v>
      </c>
      <c r="N62" s="13" t="s">
        <v>36</v>
      </c>
    </row>
    <row r="63" spans="1:14">
      <c r="A63" s="14" t="s">
        <v>126</v>
      </c>
      <c r="B63" s="13" t="s">
        <v>249</v>
      </c>
      <c r="C63" s="13" t="s">
        <v>404</v>
      </c>
      <c r="D63" s="13" t="s">
        <v>250</v>
      </c>
      <c r="E63" s="13" t="s">
        <v>430</v>
      </c>
      <c r="F63" s="13" t="s">
        <v>27</v>
      </c>
      <c r="G63" s="13" t="s">
        <v>28</v>
      </c>
      <c r="H63" s="27" t="s">
        <v>208</v>
      </c>
      <c r="I63" s="26" t="s">
        <v>208</v>
      </c>
      <c r="J63" s="27" t="s">
        <v>57</v>
      </c>
      <c r="K63" s="14"/>
      <c r="L63" s="31" t="str">
        <f>"125,0"</f>
        <v>125,0</v>
      </c>
      <c r="M63" s="14" t="str">
        <f>"79,9750"</f>
        <v>79,9750</v>
      </c>
      <c r="N63" s="13" t="s">
        <v>36</v>
      </c>
    </row>
    <row r="64" spans="1:14">
      <c r="A64" s="14" t="s">
        <v>124</v>
      </c>
      <c r="B64" s="13" t="s">
        <v>66</v>
      </c>
      <c r="C64" s="13" t="s">
        <v>67</v>
      </c>
      <c r="D64" s="13" t="s">
        <v>68</v>
      </c>
      <c r="E64" s="13" t="s">
        <v>425</v>
      </c>
      <c r="F64" s="13" t="s">
        <v>380</v>
      </c>
      <c r="G64" s="13" t="s">
        <v>69</v>
      </c>
      <c r="H64" s="26" t="s">
        <v>73</v>
      </c>
      <c r="I64" s="26" t="s">
        <v>74</v>
      </c>
      <c r="J64" s="26" t="s">
        <v>75</v>
      </c>
      <c r="K64" s="14"/>
      <c r="L64" s="31" t="str">
        <f>"205,0"</f>
        <v>205,0</v>
      </c>
      <c r="M64" s="14" t="str">
        <f>"132,4095"</f>
        <v>132,4095</v>
      </c>
      <c r="N64" s="13" t="s">
        <v>79</v>
      </c>
    </row>
    <row r="65" spans="1:14">
      <c r="A65" s="14" t="s">
        <v>126</v>
      </c>
      <c r="B65" s="13" t="s">
        <v>251</v>
      </c>
      <c r="C65" s="13" t="s">
        <v>252</v>
      </c>
      <c r="D65" s="13" t="s">
        <v>246</v>
      </c>
      <c r="E65" s="13" t="s">
        <v>425</v>
      </c>
      <c r="F65" s="13" t="s">
        <v>142</v>
      </c>
      <c r="G65" s="13" t="s">
        <v>14</v>
      </c>
      <c r="H65" s="26" t="s">
        <v>214</v>
      </c>
      <c r="I65" s="26" t="s">
        <v>90</v>
      </c>
      <c r="J65" s="26" t="s">
        <v>83</v>
      </c>
      <c r="K65" s="14"/>
      <c r="L65" s="31" t="str">
        <f>"170,0"</f>
        <v>170,0</v>
      </c>
      <c r="M65" s="14" t="str">
        <f>"108,5960"</f>
        <v>108,5960</v>
      </c>
      <c r="N65" s="13"/>
    </row>
    <row r="66" spans="1:14">
      <c r="A66" s="14" t="s">
        <v>127</v>
      </c>
      <c r="B66" s="13" t="s">
        <v>253</v>
      </c>
      <c r="C66" s="13" t="s">
        <v>254</v>
      </c>
      <c r="D66" s="13" t="s">
        <v>255</v>
      </c>
      <c r="E66" s="13" t="s">
        <v>425</v>
      </c>
      <c r="F66" s="13" t="s">
        <v>382</v>
      </c>
      <c r="G66" s="13" t="s">
        <v>396</v>
      </c>
      <c r="H66" s="27" t="s">
        <v>214</v>
      </c>
      <c r="I66" s="27" t="s">
        <v>90</v>
      </c>
      <c r="J66" s="26" t="s">
        <v>90</v>
      </c>
      <c r="K66" s="14"/>
      <c r="L66" s="31" t="str">
        <f>"165,0"</f>
        <v>165,0</v>
      </c>
      <c r="M66" s="14" t="str">
        <f>"106,1940"</f>
        <v>106,1940</v>
      </c>
      <c r="N66" s="13" t="s">
        <v>256</v>
      </c>
    </row>
    <row r="67" spans="1:14">
      <c r="A67" s="12" t="s">
        <v>124</v>
      </c>
      <c r="B67" s="11" t="s">
        <v>257</v>
      </c>
      <c r="C67" s="11" t="s">
        <v>405</v>
      </c>
      <c r="D67" s="11" t="s">
        <v>258</v>
      </c>
      <c r="E67" s="11" t="s">
        <v>428</v>
      </c>
      <c r="F67" s="11" t="s">
        <v>379</v>
      </c>
      <c r="G67" s="11" t="s">
        <v>14</v>
      </c>
      <c r="H67" s="25" t="s">
        <v>35</v>
      </c>
      <c r="I67" s="25" t="s">
        <v>43</v>
      </c>
      <c r="J67" s="24" t="s">
        <v>30</v>
      </c>
      <c r="K67" s="12"/>
      <c r="L67" s="30" t="str">
        <f>"115,0"</f>
        <v>115,0</v>
      </c>
      <c r="M67" s="12" t="str">
        <f>"82,8713"</f>
        <v>82,8713</v>
      </c>
      <c r="N67" s="11" t="s">
        <v>259</v>
      </c>
    </row>
    <row r="68" spans="1:14">
      <c r="B68" s="5" t="s">
        <v>125</v>
      </c>
    </row>
    <row r="69" spans="1:14" ht="16">
      <c r="A69" s="33" t="s">
        <v>93</v>
      </c>
      <c r="B69" s="33"/>
      <c r="C69" s="34"/>
      <c r="D69" s="34"/>
      <c r="E69" s="34"/>
      <c r="F69" s="34"/>
      <c r="G69" s="34"/>
      <c r="H69" s="34"/>
      <c r="I69" s="34"/>
      <c r="J69" s="34"/>
      <c r="K69" s="34"/>
    </row>
    <row r="70" spans="1:14">
      <c r="A70" s="10" t="s">
        <v>124</v>
      </c>
      <c r="B70" s="9" t="s">
        <v>260</v>
      </c>
      <c r="C70" s="9" t="s">
        <v>261</v>
      </c>
      <c r="D70" s="9" t="s">
        <v>105</v>
      </c>
      <c r="E70" s="9" t="s">
        <v>426</v>
      </c>
      <c r="F70" s="9" t="s">
        <v>27</v>
      </c>
      <c r="G70" s="9" t="s">
        <v>28</v>
      </c>
      <c r="H70" s="22" t="s">
        <v>21</v>
      </c>
      <c r="I70" s="23" t="s">
        <v>17</v>
      </c>
      <c r="J70" s="22" t="s">
        <v>17</v>
      </c>
      <c r="K70" s="10"/>
      <c r="L70" s="29" t="str">
        <f>"85,0"</f>
        <v>85,0</v>
      </c>
      <c r="M70" s="10" t="str">
        <f>"52,6745"</f>
        <v>52,6745</v>
      </c>
      <c r="N70" s="9" t="s">
        <v>36</v>
      </c>
    </row>
    <row r="71" spans="1:14">
      <c r="A71" s="14" t="s">
        <v>124</v>
      </c>
      <c r="B71" s="13" t="s">
        <v>262</v>
      </c>
      <c r="C71" s="13" t="s">
        <v>263</v>
      </c>
      <c r="D71" s="13" t="s">
        <v>264</v>
      </c>
      <c r="E71" s="13" t="s">
        <v>425</v>
      </c>
      <c r="F71" s="13" t="s">
        <v>382</v>
      </c>
      <c r="G71" s="13" t="s">
        <v>396</v>
      </c>
      <c r="H71" s="26" t="s">
        <v>265</v>
      </c>
      <c r="I71" s="26" t="s">
        <v>75</v>
      </c>
      <c r="J71" s="27" t="s">
        <v>266</v>
      </c>
      <c r="K71" s="14"/>
      <c r="L71" s="31" t="str">
        <f>"205,0"</f>
        <v>205,0</v>
      </c>
      <c r="M71" s="14" t="str">
        <f>"125,2140"</f>
        <v>125,2140</v>
      </c>
      <c r="N71" s="13"/>
    </row>
    <row r="72" spans="1:14">
      <c r="A72" s="14" t="s">
        <v>126</v>
      </c>
      <c r="B72" s="13" t="s">
        <v>267</v>
      </c>
      <c r="C72" s="13" t="s">
        <v>268</v>
      </c>
      <c r="D72" s="13" t="s">
        <v>269</v>
      </c>
      <c r="E72" s="13" t="s">
        <v>425</v>
      </c>
      <c r="F72" s="13" t="s">
        <v>380</v>
      </c>
      <c r="G72" s="13" t="s">
        <v>14</v>
      </c>
      <c r="H72" s="26" t="s">
        <v>84</v>
      </c>
      <c r="I72" s="26" t="s">
        <v>73</v>
      </c>
      <c r="J72" s="27" t="s">
        <v>265</v>
      </c>
      <c r="K72" s="14"/>
      <c r="L72" s="31" t="str">
        <f>"190,0"</f>
        <v>190,0</v>
      </c>
      <c r="M72" s="14" t="str">
        <f>"117,2680"</f>
        <v>117,2680</v>
      </c>
      <c r="N72" s="13" t="s">
        <v>231</v>
      </c>
    </row>
    <row r="73" spans="1:14">
      <c r="A73" s="14" t="s">
        <v>127</v>
      </c>
      <c r="B73" s="13" t="s">
        <v>270</v>
      </c>
      <c r="C73" s="13" t="s">
        <v>271</v>
      </c>
      <c r="D73" s="13" t="s">
        <v>272</v>
      </c>
      <c r="E73" s="13" t="s">
        <v>425</v>
      </c>
      <c r="F73" s="13" t="s">
        <v>380</v>
      </c>
      <c r="G73" s="13" t="s">
        <v>396</v>
      </c>
      <c r="H73" s="26" t="s">
        <v>57</v>
      </c>
      <c r="I73" s="26" t="s">
        <v>273</v>
      </c>
      <c r="J73" s="27" t="s">
        <v>274</v>
      </c>
      <c r="K73" s="14"/>
      <c r="L73" s="31" t="str">
        <f>"145,0"</f>
        <v>145,0</v>
      </c>
      <c r="M73" s="14" t="str">
        <f>"89,8130"</f>
        <v>89,8130</v>
      </c>
      <c r="N73" s="13"/>
    </row>
    <row r="74" spans="1:14">
      <c r="A74" s="14" t="s">
        <v>315</v>
      </c>
      <c r="B74" s="13" t="s">
        <v>275</v>
      </c>
      <c r="C74" s="13" t="s">
        <v>276</v>
      </c>
      <c r="D74" s="13" t="s">
        <v>277</v>
      </c>
      <c r="E74" s="13" t="s">
        <v>425</v>
      </c>
      <c r="F74" s="13" t="s">
        <v>380</v>
      </c>
      <c r="G74" s="13" t="s">
        <v>396</v>
      </c>
      <c r="H74" s="26" t="s">
        <v>50</v>
      </c>
      <c r="I74" s="27" t="s">
        <v>51</v>
      </c>
      <c r="J74" s="27" t="s">
        <v>51</v>
      </c>
      <c r="K74" s="14"/>
      <c r="L74" s="31" t="str">
        <f>"122,5"</f>
        <v>122,5</v>
      </c>
      <c r="M74" s="14" t="str">
        <f>"74,9210"</f>
        <v>74,9210</v>
      </c>
      <c r="N74" s="13" t="s">
        <v>278</v>
      </c>
    </row>
    <row r="75" spans="1:14">
      <c r="A75" s="14" t="s">
        <v>124</v>
      </c>
      <c r="B75" s="13" t="s">
        <v>267</v>
      </c>
      <c r="C75" s="13" t="s">
        <v>406</v>
      </c>
      <c r="D75" s="13" t="s">
        <v>269</v>
      </c>
      <c r="E75" s="13" t="s">
        <v>427</v>
      </c>
      <c r="F75" s="13" t="s">
        <v>380</v>
      </c>
      <c r="G75" s="13" t="s">
        <v>14</v>
      </c>
      <c r="H75" s="26" t="s">
        <v>84</v>
      </c>
      <c r="I75" s="26" t="s">
        <v>73</v>
      </c>
      <c r="J75" s="27" t="s">
        <v>265</v>
      </c>
      <c r="K75" s="14"/>
      <c r="L75" s="31" t="str">
        <f>"190,0"</f>
        <v>190,0</v>
      </c>
      <c r="M75" s="14" t="str">
        <f>"117,2680"</f>
        <v>117,2680</v>
      </c>
      <c r="N75" s="13" t="s">
        <v>231</v>
      </c>
    </row>
    <row r="76" spans="1:14">
      <c r="A76" s="14" t="s">
        <v>126</v>
      </c>
      <c r="B76" s="13" t="s">
        <v>279</v>
      </c>
      <c r="C76" s="13" t="s">
        <v>407</v>
      </c>
      <c r="D76" s="13" t="s">
        <v>280</v>
      </c>
      <c r="E76" s="13" t="s">
        <v>427</v>
      </c>
      <c r="F76" s="13" t="s">
        <v>382</v>
      </c>
      <c r="G76" s="13" t="s">
        <v>394</v>
      </c>
      <c r="H76" s="26" t="s">
        <v>106</v>
      </c>
      <c r="I76" s="26" t="s">
        <v>51</v>
      </c>
      <c r="J76" s="27" t="s">
        <v>57</v>
      </c>
      <c r="K76" s="14"/>
      <c r="L76" s="31" t="str">
        <f>"130,0"</f>
        <v>130,0</v>
      </c>
      <c r="M76" s="14" t="str">
        <f>"80,2520"</f>
        <v>80,2520</v>
      </c>
      <c r="N76" s="13" t="s">
        <v>52</v>
      </c>
    </row>
    <row r="77" spans="1:14">
      <c r="A77" s="12" t="s">
        <v>124</v>
      </c>
      <c r="B77" s="11" t="s">
        <v>281</v>
      </c>
      <c r="C77" s="11" t="s">
        <v>408</v>
      </c>
      <c r="D77" s="11" t="s">
        <v>282</v>
      </c>
      <c r="E77" s="11" t="s">
        <v>432</v>
      </c>
      <c r="F77" s="11" t="s">
        <v>27</v>
      </c>
      <c r="G77" s="11" t="s">
        <v>28</v>
      </c>
      <c r="H77" s="24" t="s">
        <v>106</v>
      </c>
      <c r="I77" s="25" t="s">
        <v>106</v>
      </c>
      <c r="J77" s="25" t="s">
        <v>51</v>
      </c>
      <c r="K77" s="12"/>
      <c r="L77" s="30" t="str">
        <f>"130,0"</f>
        <v>130,0</v>
      </c>
      <c r="M77" s="12" t="str">
        <f>"108,3577"</f>
        <v>108,3577</v>
      </c>
      <c r="N77" s="11"/>
    </row>
    <row r="78" spans="1:14">
      <c r="B78" s="5" t="s">
        <v>125</v>
      </c>
    </row>
    <row r="79" spans="1:14" ht="16">
      <c r="A79" s="33" t="s">
        <v>283</v>
      </c>
      <c r="B79" s="33"/>
      <c r="C79" s="34"/>
      <c r="D79" s="34"/>
      <c r="E79" s="34"/>
      <c r="F79" s="34"/>
      <c r="G79" s="34"/>
      <c r="H79" s="34"/>
      <c r="I79" s="34"/>
      <c r="J79" s="34"/>
      <c r="K79" s="34"/>
    </row>
    <row r="80" spans="1:14">
      <c r="A80" s="10" t="s">
        <v>124</v>
      </c>
      <c r="B80" s="9" t="s">
        <v>284</v>
      </c>
      <c r="C80" s="9" t="s">
        <v>285</v>
      </c>
      <c r="D80" s="9" t="s">
        <v>286</v>
      </c>
      <c r="E80" s="9" t="s">
        <v>425</v>
      </c>
      <c r="F80" s="9" t="s">
        <v>382</v>
      </c>
      <c r="G80" s="9" t="s">
        <v>396</v>
      </c>
      <c r="H80" s="22" t="s">
        <v>287</v>
      </c>
      <c r="I80" s="22" t="s">
        <v>92</v>
      </c>
      <c r="J80" s="22" t="s">
        <v>288</v>
      </c>
      <c r="K80" s="10"/>
      <c r="L80" s="29" t="str">
        <f>"192,5"</f>
        <v>192,5</v>
      </c>
      <c r="M80" s="10" t="str">
        <f>"114,4413"</f>
        <v>114,4413</v>
      </c>
      <c r="N80" s="9"/>
    </row>
    <row r="81" spans="1:14">
      <c r="A81" s="14" t="s">
        <v>126</v>
      </c>
      <c r="B81" s="13" t="s">
        <v>289</v>
      </c>
      <c r="C81" s="13" t="s">
        <v>290</v>
      </c>
      <c r="D81" s="13" t="s">
        <v>291</v>
      </c>
      <c r="E81" s="13" t="s">
        <v>425</v>
      </c>
      <c r="F81" s="13" t="s">
        <v>380</v>
      </c>
      <c r="G81" s="13" t="s">
        <v>14</v>
      </c>
      <c r="H81" s="26" t="s">
        <v>214</v>
      </c>
      <c r="I81" s="27" t="s">
        <v>292</v>
      </c>
      <c r="J81" s="27" t="s">
        <v>292</v>
      </c>
      <c r="K81" s="14"/>
      <c r="L81" s="31" t="str">
        <f>"160,0"</f>
        <v>160,0</v>
      </c>
      <c r="M81" s="14" t="str">
        <f>"96,3840"</f>
        <v>96,3840</v>
      </c>
      <c r="N81" s="13" t="s">
        <v>293</v>
      </c>
    </row>
    <row r="82" spans="1:14">
      <c r="A82" s="14" t="s">
        <v>124</v>
      </c>
      <c r="B82" s="13" t="s">
        <v>284</v>
      </c>
      <c r="C82" s="13" t="s">
        <v>409</v>
      </c>
      <c r="D82" s="13" t="s">
        <v>286</v>
      </c>
      <c r="E82" s="13" t="s">
        <v>428</v>
      </c>
      <c r="F82" s="13" t="s">
        <v>382</v>
      </c>
      <c r="G82" s="13" t="s">
        <v>396</v>
      </c>
      <c r="H82" s="26" t="s">
        <v>287</v>
      </c>
      <c r="I82" s="26" t="s">
        <v>92</v>
      </c>
      <c r="J82" s="26" t="s">
        <v>288</v>
      </c>
      <c r="K82" s="14"/>
      <c r="L82" s="31" t="str">
        <f>"192,5"</f>
        <v>192,5</v>
      </c>
      <c r="M82" s="14" t="str">
        <f>"121,3077"</f>
        <v>121,3077</v>
      </c>
      <c r="N82" s="13"/>
    </row>
    <row r="83" spans="1:14">
      <c r="A83" s="12" t="s">
        <v>124</v>
      </c>
      <c r="B83" s="11" t="s">
        <v>294</v>
      </c>
      <c r="C83" s="11" t="s">
        <v>410</v>
      </c>
      <c r="D83" s="11" t="s">
        <v>295</v>
      </c>
      <c r="E83" s="11" t="s">
        <v>431</v>
      </c>
      <c r="F83" s="11" t="s">
        <v>382</v>
      </c>
      <c r="G83" s="11" t="s">
        <v>396</v>
      </c>
      <c r="H83" s="25" t="s">
        <v>83</v>
      </c>
      <c r="I83" s="24" t="s">
        <v>84</v>
      </c>
      <c r="J83" s="24" t="s">
        <v>84</v>
      </c>
      <c r="K83" s="12"/>
      <c r="L83" s="30" t="str">
        <f>"170,0"</f>
        <v>170,0</v>
      </c>
      <c r="M83" s="12" t="str">
        <f>"115,9315"</f>
        <v>115,9315</v>
      </c>
      <c r="N83" s="11"/>
    </row>
    <row r="84" spans="1:14">
      <c r="B84" s="5" t="s">
        <v>125</v>
      </c>
    </row>
    <row r="85" spans="1:14" ht="16">
      <c r="A85" s="33" t="s">
        <v>296</v>
      </c>
      <c r="B85" s="33"/>
      <c r="C85" s="34"/>
      <c r="D85" s="34"/>
      <c r="E85" s="34"/>
      <c r="F85" s="34"/>
      <c r="G85" s="34"/>
      <c r="H85" s="34"/>
      <c r="I85" s="34"/>
      <c r="J85" s="34"/>
      <c r="K85" s="34"/>
    </row>
    <row r="86" spans="1:14">
      <c r="A86" s="10" t="s">
        <v>124</v>
      </c>
      <c r="B86" s="9" t="s">
        <v>297</v>
      </c>
      <c r="C86" s="9" t="s">
        <v>298</v>
      </c>
      <c r="D86" s="9" t="s">
        <v>299</v>
      </c>
      <c r="E86" s="9" t="s">
        <v>425</v>
      </c>
      <c r="F86" s="9" t="s">
        <v>27</v>
      </c>
      <c r="G86" s="9" t="s">
        <v>28</v>
      </c>
      <c r="H86" s="22" t="s">
        <v>75</v>
      </c>
      <c r="I86" s="22" t="s">
        <v>86</v>
      </c>
      <c r="J86" s="23" t="s">
        <v>300</v>
      </c>
      <c r="K86" s="10"/>
      <c r="L86" s="29" t="str">
        <f>"210,0"</f>
        <v>210,0</v>
      </c>
      <c r="M86" s="10" t="str">
        <f>"122,1990"</f>
        <v>122,1990</v>
      </c>
      <c r="N86" s="9" t="s">
        <v>183</v>
      </c>
    </row>
    <row r="87" spans="1:14">
      <c r="A87" s="12" t="s">
        <v>124</v>
      </c>
      <c r="B87" s="11" t="s">
        <v>301</v>
      </c>
      <c r="C87" s="11" t="s">
        <v>411</v>
      </c>
      <c r="D87" s="11" t="s">
        <v>302</v>
      </c>
      <c r="E87" s="11" t="s">
        <v>427</v>
      </c>
      <c r="F87" s="11" t="s">
        <v>27</v>
      </c>
      <c r="G87" s="11" t="s">
        <v>28</v>
      </c>
      <c r="H87" s="25" t="s">
        <v>91</v>
      </c>
      <c r="I87" s="25" t="s">
        <v>84</v>
      </c>
      <c r="J87" s="25" t="s">
        <v>92</v>
      </c>
      <c r="K87" s="12"/>
      <c r="L87" s="30" t="str">
        <f>"185,0"</f>
        <v>185,0</v>
      </c>
      <c r="M87" s="12" t="str">
        <f>"109,0836"</f>
        <v>109,0836</v>
      </c>
      <c r="N87" s="11" t="s">
        <v>183</v>
      </c>
    </row>
    <row r="88" spans="1:14">
      <c r="B88" s="5" t="s">
        <v>125</v>
      </c>
    </row>
    <row r="89" spans="1:14">
      <c r="B89" s="5" t="s">
        <v>125</v>
      </c>
    </row>
    <row r="90" spans="1:14">
      <c r="B90" s="5" t="s">
        <v>125</v>
      </c>
    </row>
    <row r="91" spans="1:14" ht="18">
      <c r="B91" s="15" t="s">
        <v>107</v>
      </c>
      <c r="C91" s="15"/>
    </row>
    <row r="92" spans="1:14" ht="16">
      <c r="B92" s="16" t="s">
        <v>108</v>
      </c>
      <c r="C92" s="16"/>
    </row>
    <row r="93" spans="1:14" ht="14">
      <c r="B93" s="17"/>
      <c r="C93" s="18" t="s">
        <v>114</v>
      </c>
    </row>
    <row r="94" spans="1:14" ht="14">
      <c r="B94" s="19" t="s">
        <v>109</v>
      </c>
      <c r="C94" s="19" t="s">
        <v>110</v>
      </c>
      <c r="D94" s="19" t="s">
        <v>392</v>
      </c>
      <c r="E94" s="19" t="s">
        <v>303</v>
      </c>
      <c r="F94" s="19" t="s">
        <v>112</v>
      </c>
    </row>
    <row r="95" spans="1:14">
      <c r="B95" s="5" t="s">
        <v>167</v>
      </c>
      <c r="C95" s="5" t="s">
        <v>114</v>
      </c>
      <c r="D95" s="6" t="s">
        <v>113</v>
      </c>
      <c r="E95" s="6" t="s">
        <v>20</v>
      </c>
      <c r="F95" s="6" t="s">
        <v>304</v>
      </c>
    </row>
    <row r="96" spans="1:14">
      <c r="B96" s="5" t="s">
        <v>147</v>
      </c>
      <c r="C96" s="5" t="s">
        <v>114</v>
      </c>
      <c r="D96" s="6" t="s">
        <v>305</v>
      </c>
      <c r="E96" s="6" t="s">
        <v>151</v>
      </c>
      <c r="F96" s="6" t="s">
        <v>306</v>
      </c>
    </row>
    <row r="97" spans="2:6">
      <c r="B97" s="5" t="s">
        <v>129</v>
      </c>
      <c r="C97" s="5" t="s">
        <v>114</v>
      </c>
      <c r="D97" s="6" t="s">
        <v>307</v>
      </c>
      <c r="E97" s="6" t="s">
        <v>33</v>
      </c>
      <c r="F97" s="6" t="s">
        <v>308</v>
      </c>
    </row>
    <row r="99" spans="2:6" ht="16">
      <c r="B99" s="16" t="s">
        <v>115</v>
      </c>
      <c r="C99" s="16"/>
    </row>
    <row r="100" spans="2:6" ht="14">
      <c r="B100" s="17"/>
      <c r="C100" s="18" t="s">
        <v>114</v>
      </c>
    </row>
    <row r="101" spans="2:6" ht="14">
      <c r="B101" s="19" t="s">
        <v>109</v>
      </c>
      <c r="C101" s="19" t="s">
        <v>110</v>
      </c>
      <c r="D101" s="19" t="s">
        <v>392</v>
      </c>
      <c r="E101" s="19" t="s">
        <v>303</v>
      </c>
      <c r="F101" s="19" t="s">
        <v>112</v>
      </c>
    </row>
    <row r="102" spans="2:6">
      <c r="B102" s="5" t="s">
        <v>224</v>
      </c>
      <c r="C102" s="5" t="s">
        <v>114</v>
      </c>
      <c r="D102" s="6" t="s">
        <v>309</v>
      </c>
      <c r="E102" s="6" t="s">
        <v>74</v>
      </c>
      <c r="F102" s="6" t="s">
        <v>310</v>
      </c>
    </row>
    <row r="103" spans="2:6">
      <c r="B103" s="5" t="s">
        <v>66</v>
      </c>
      <c r="C103" s="5" t="s">
        <v>114</v>
      </c>
      <c r="D103" s="6" t="s">
        <v>119</v>
      </c>
      <c r="E103" s="6" t="s">
        <v>75</v>
      </c>
      <c r="F103" s="6" t="s">
        <v>311</v>
      </c>
    </row>
    <row r="104" spans="2:6">
      <c r="B104" s="5" t="s">
        <v>262</v>
      </c>
      <c r="C104" s="5" t="s">
        <v>114</v>
      </c>
      <c r="D104" s="6" t="s">
        <v>116</v>
      </c>
      <c r="E104" s="6" t="s">
        <v>75</v>
      </c>
      <c r="F104" s="6" t="s">
        <v>312</v>
      </c>
    </row>
  </sheetData>
  <mergeCells count="2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79:K79"/>
    <mergeCell ref="A85:K85"/>
    <mergeCell ref="B3:B4"/>
    <mergeCell ref="A33:K33"/>
    <mergeCell ref="A36:K36"/>
    <mergeCell ref="A45:K45"/>
    <mergeCell ref="A52:K52"/>
    <mergeCell ref="A60:K60"/>
    <mergeCell ref="A69:K69"/>
    <mergeCell ref="A9:K9"/>
    <mergeCell ref="A13:K13"/>
    <mergeCell ref="A20:K20"/>
    <mergeCell ref="A23:K23"/>
    <mergeCell ref="A26:K26"/>
    <mergeCell ref="A29:K29"/>
  </mergeCells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0">
    <pageSetUpPr fitToPage="1"/>
  </sheetPr>
  <dimension ref="A1:N8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9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4.83203125" style="5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15.83203125" style="5" bestFit="1" customWidth="1"/>
    <col min="15" max="16384" width="9.1640625" style="3"/>
  </cols>
  <sheetData>
    <row r="1" spans="1:14" s="2" customFormat="1" ht="29" customHeight="1">
      <c r="A1" s="41" t="s">
        <v>385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8</v>
      </c>
      <c r="I3" s="39"/>
      <c r="J3" s="39"/>
      <c r="K3" s="39"/>
      <c r="L3" s="39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53"/>
    </row>
    <row r="5" spans="1:14" ht="16">
      <c r="A5" s="37" t="s">
        <v>65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339</v>
      </c>
      <c r="C6" s="7" t="s">
        <v>340</v>
      </c>
      <c r="D6" s="7" t="s">
        <v>341</v>
      </c>
      <c r="E6" s="7" t="s">
        <v>425</v>
      </c>
      <c r="F6" s="7" t="s">
        <v>380</v>
      </c>
      <c r="G6" s="7" t="s">
        <v>377</v>
      </c>
      <c r="H6" s="20" t="s">
        <v>73</v>
      </c>
      <c r="I6" s="20" t="s">
        <v>74</v>
      </c>
      <c r="J6" s="20" t="s">
        <v>342</v>
      </c>
      <c r="K6" s="8"/>
      <c r="L6" s="8" t="str">
        <f>"220,0"</f>
        <v>220,0</v>
      </c>
      <c r="M6" s="8" t="str">
        <f>"136,5980"</f>
        <v>136,5980</v>
      </c>
      <c r="N6" s="7"/>
    </row>
    <row r="7" spans="1:14">
      <c r="B7" s="5" t="s">
        <v>125</v>
      </c>
    </row>
    <row r="8" spans="1:14">
      <c r="B8" s="5" t="s">
        <v>125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9">
    <pageSetUpPr fitToPage="1"/>
  </sheetPr>
  <dimension ref="A1:N8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8.832031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5.5" style="5" bestFit="1" customWidth="1"/>
    <col min="8" max="11" width="5.5" style="6" customWidth="1"/>
    <col min="12" max="12" width="10.5" style="6" bestFit="1" customWidth="1"/>
    <col min="13" max="13" width="8.5" style="6" bestFit="1" customWidth="1"/>
    <col min="14" max="14" width="20.1640625" style="5" customWidth="1"/>
    <col min="15" max="16384" width="9.1640625" style="3"/>
  </cols>
  <sheetData>
    <row r="1" spans="1:14" s="2" customFormat="1" ht="29" customHeight="1">
      <c r="A1" s="41" t="s">
        <v>386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8</v>
      </c>
      <c r="I3" s="39"/>
      <c r="J3" s="39"/>
      <c r="K3" s="39"/>
      <c r="L3" s="39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53"/>
    </row>
    <row r="5" spans="1:14" ht="16">
      <c r="A5" s="37" t="s">
        <v>60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224</v>
      </c>
      <c r="C6" s="7" t="s">
        <v>225</v>
      </c>
      <c r="D6" s="7" t="s">
        <v>63</v>
      </c>
      <c r="E6" s="7" t="s">
        <v>425</v>
      </c>
      <c r="F6" s="7" t="s">
        <v>380</v>
      </c>
      <c r="G6" s="7" t="s">
        <v>226</v>
      </c>
      <c r="H6" s="20" t="s">
        <v>100</v>
      </c>
      <c r="I6" s="21" t="s">
        <v>102</v>
      </c>
      <c r="J6" s="21" t="s">
        <v>343</v>
      </c>
      <c r="K6" s="8"/>
      <c r="L6" s="8" t="str">
        <f>"300,0"</f>
        <v>300,0</v>
      </c>
      <c r="M6" s="8" t="str">
        <f>"196,0350"</f>
        <v>196,0350</v>
      </c>
      <c r="N6" s="7"/>
    </row>
    <row r="7" spans="1:14">
      <c r="B7" s="5" t="s">
        <v>125</v>
      </c>
    </row>
    <row r="8" spans="1:14">
      <c r="B8" s="5" t="s">
        <v>125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>
    <pageSetUpPr fitToPage="1"/>
  </sheetPr>
  <dimension ref="A1:N10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6.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6" style="5" customWidth="1"/>
    <col min="8" max="10" width="5.5" style="6" customWidth="1"/>
    <col min="11" max="11" width="4.5" style="6" customWidth="1"/>
    <col min="12" max="12" width="10.5" style="6" bestFit="1" customWidth="1"/>
    <col min="13" max="13" width="7.5" style="6" bestFit="1" customWidth="1"/>
    <col min="14" max="14" width="18" style="5" customWidth="1"/>
    <col min="15" max="16384" width="9.1640625" style="3"/>
  </cols>
  <sheetData>
    <row r="1" spans="1:14" s="2" customFormat="1" ht="29" customHeight="1">
      <c r="A1" s="41" t="s">
        <v>387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8</v>
      </c>
      <c r="I3" s="39"/>
      <c r="J3" s="39"/>
      <c r="K3" s="39"/>
      <c r="L3" s="39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53"/>
    </row>
    <row r="5" spans="1:14" ht="16">
      <c r="A5" s="37" t="s">
        <v>171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344</v>
      </c>
      <c r="C6" s="7" t="s">
        <v>345</v>
      </c>
      <c r="D6" s="7" t="s">
        <v>346</v>
      </c>
      <c r="E6" s="7" t="s">
        <v>425</v>
      </c>
      <c r="F6" s="7" t="s">
        <v>380</v>
      </c>
      <c r="G6" s="7" t="s">
        <v>14</v>
      </c>
      <c r="H6" s="20" t="s">
        <v>17</v>
      </c>
      <c r="I6" s="21" t="s">
        <v>41</v>
      </c>
      <c r="J6" s="21" t="s">
        <v>41</v>
      </c>
      <c r="K6" s="8"/>
      <c r="L6" s="8" t="str">
        <f>"85,0"</f>
        <v>85,0</v>
      </c>
      <c r="M6" s="8" t="str">
        <f>"60,7963"</f>
        <v>60,7963</v>
      </c>
      <c r="N6" s="7" t="s">
        <v>347</v>
      </c>
    </row>
    <row r="7" spans="1:14">
      <c r="B7" s="5" t="s">
        <v>125</v>
      </c>
    </row>
    <row r="8" spans="1:14" ht="16">
      <c r="A8" s="33" t="s">
        <v>65</v>
      </c>
      <c r="B8" s="33"/>
      <c r="C8" s="34"/>
      <c r="D8" s="34"/>
      <c r="E8" s="34"/>
      <c r="F8" s="34"/>
      <c r="G8" s="34"/>
      <c r="H8" s="34"/>
      <c r="I8" s="34"/>
      <c r="J8" s="34"/>
      <c r="K8" s="34"/>
    </row>
    <row r="9" spans="1:14">
      <c r="A9" s="8" t="s">
        <v>124</v>
      </c>
      <c r="B9" s="7" t="s">
        <v>348</v>
      </c>
      <c r="C9" s="7" t="s">
        <v>349</v>
      </c>
      <c r="D9" s="7" t="s">
        <v>350</v>
      </c>
      <c r="E9" s="7" t="s">
        <v>425</v>
      </c>
      <c r="F9" s="7" t="s">
        <v>380</v>
      </c>
      <c r="G9" s="7" t="s">
        <v>56</v>
      </c>
      <c r="H9" s="20" t="s">
        <v>21</v>
      </c>
      <c r="I9" s="20" t="s">
        <v>40</v>
      </c>
      <c r="J9" s="21" t="s">
        <v>64</v>
      </c>
      <c r="K9" s="8"/>
      <c r="L9" s="8" t="str">
        <f>"90,0"</f>
        <v>90,0</v>
      </c>
      <c r="M9" s="8" t="str">
        <f>"57,1005"</f>
        <v>57,1005</v>
      </c>
      <c r="N9" s="7" t="s">
        <v>59</v>
      </c>
    </row>
    <row r="10" spans="1:14">
      <c r="B10" s="5" t="s">
        <v>125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>
    <pageSetUpPr fitToPage="1"/>
  </sheetPr>
  <dimension ref="A1:N25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5.5" style="5" bestFit="1" customWidth="1"/>
    <col min="8" max="10" width="5.5" style="6" customWidth="1"/>
    <col min="11" max="11" width="4.5" style="6" customWidth="1"/>
    <col min="12" max="12" width="10.5" style="28" bestFit="1" customWidth="1"/>
    <col min="13" max="13" width="8.5" style="6" bestFit="1" customWidth="1"/>
    <col min="14" max="14" width="20.1640625" style="5" customWidth="1"/>
    <col min="15" max="16384" width="9.1640625" style="3"/>
  </cols>
  <sheetData>
    <row r="1" spans="1:14" s="2" customFormat="1" ht="29" customHeight="1">
      <c r="A1" s="41" t="s">
        <v>388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9</v>
      </c>
      <c r="I3" s="39"/>
      <c r="J3" s="39"/>
      <c r="K3" s="39"/>
      <c r="L3" s="54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55"/>
      <c r="M4" s="40"/>
      <c r="N4" s="53"/>
    </row>
    <row r="5" spans="1:14" ht="16">
      <c r="A5" s="37" t="s">
        <v>23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318</v>
      </c>
      <c r="C6" s="7" t="s">
        <v>412</v>
      </c>
      <c r="D6" s="7" t="s">
        <v>319</v>
      </c>
      <c r="E6" s="7" t="s">
        <v>428</v>
      </c>
      <c r="F6" s="7" t="s">
        <v>27</v>
      </c>
      <c r="G6" s="7" t="s">
        <v>28</v>
      </c>
      <c r="H6" s="20" t="s">
        <v>64</v>
      </c>
      <c r="I6" s="20" t="s">
        <v>29</v>
      </c>
      <c r="J6" s="21" t="s">
        <v>43</v>
      </c>
      <c r="K6" s="8"/>
      <c r="L6" s="32" t="str">
        <f>"110,0"</f>
        <v>110,0</v>
      </c>
      <c r="M6" s="8" t="str">
        <f>"121,2836"</f>
        <v>121,2836</v>
      </c>
      <c r="N6" s="7" t="s">
        <v>183</v>
      </c>
    </row>
    <row r="7" spans="1:14">
      <c r="B7" s="5" t="s">
        <v>125</v>
      </c>
    </row>
    <row r="8" spans="1:14" ht="16">
      <c r="A8" s="33" t="s">
        <v>162</v>
      </c>
      <c r="B8" s="33"/>
      <c r="C8" s="34"/>
      <c r="D8" s="34"/>
      <c r="E8" s="34"/>
      <c r="F8" s="34"/>
      <c r="G8" s="34"/>
      <c r="H8" s="34"/>
      <c r="I8" s="34"/>
      <c r="J8" s="34"/>
      <c r="K8" s="34"/>
    </row>
    <row r="9" spans="1:14">
      <c r="A9" s="8" t="s">
        <v>124</v>
      </c>
      <c r="B9" s="7" t="s">
        <v>320</v>
      </c>
      <c r="C9" s="7" t="s">
        <v>413</v>
      </c>
      <c r="D9" s="7" t="s">
        <v>321</v>
      </c>
      <c r="E9" s="7" t="s">
        <v>432</v>
      </c>
      <c r="F9" s="7" t="s">
        <v>27</v>
      </c>
      <c r="G9" s="7" t="s">
        <v>28</v>
      </c>
      <c r="H9" s="20" t="s">
        <v>51</v>
      </c>
      <c r="I9" s="20" t="s">
        <v>57</v>
      </c>
      <c r="J9" s="20" t="s">
        <v>212</v>
      </c>
      <c r="K9" s="8"/>
      <c r="L9" s="32" t="str">
        <f>"147,5"</f>
        <v>147,5</v>
      </c>
      <c r="M9" s="8" t="str">
        <f>"211,5938"</f>
        <v>211,5938</v>
      </c>
      <c r="N9" s="7" t="s">
        <v>183</v>
      </c>
    </row>
    <row r="10" spans="1:14">
      <c r="B10" s="5" t="s">
        <v>125</v>
      </c>
    </row>
    <row r="11" spans="1:14" ht="16">
      <c r="A11" s="33" t="s">
        <v>23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4">
      <c r="A12" s="8" t="s">
        <v>124</v>
      </c>
      <c r="B12" s="7" t="s">
        <v>322</v>
      </c>
      <c r="C12" s="7" t="s">
        <v>323</v>
      </c>
      <c r="D12" s="7" t="s">
        <v>324</v>
      </c>
      <c r="E12" s="7" t="s">
        <v>426</v>
      </c>
      <c r="F12" s="7" t="s">
        <v>27</v>
      </c>
      <c r="G12" s="7" t="s">
        <v>28</v>
      </c>
      <c r="H12" s="20" t="s">
        <v>64</v>
      </c>
      <c r="I12" s="20" t="s">
        <v>34</v>
      </c>
      <c r="J12" s="20" t="s">
        <v>29</v>
      </c>
      <c r="K12" s="8"/>
      <c r="L12" s="32" t="str">
        <f>"110,0"</f>
        <v>110,0</v>
      </c>
      <c r="M12" s="8" t="str">
        <f>"89,8260"</f>
        <v>89,8260</v>
      </c>
      <c r="N12" s="7" t="s">
        <v>183</v>
      </c>
    </row>
    <row r="13" spans="1:14">
      <c r="B13" s="5" t="s">
        <v>125</v>
      </c>
    </row>
    <row r="14" spans="1:14" ht="16">
      <c r="A14" s="33" t="s">
        <v>60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</row>
    <row r="15" spans="1:14">
      <c r="A15" s="8" t="s">
        <v>314</v>
      </c>
      <c r="B15" s="7" t="s">
        <v>325</v>
      </c>
      <c r="C15" s="7" t="s">
        <v>326</v>
      </c>
      <c r="D15" s="7" t="s">
        <v>327</v>
      </c>
      <c r="E15" s="7" t="s">
        <v>425</v>
      </c>
      <c r="F15" s="7" t="s">
        <v>379</v>
      </c>
      <c r="G15" s="7" t="s">
        <v>14</v>
      </c>
      <c r="H15" s="21" t="s">
        <v>84</v>
      </c>
      <c r="I15" s="21" t="s">
        <v>84</v>
      </c>
      <c r="J15" s="21" t="s">
        <v>84</v>
      </c>
      <c r="K15" s="8"/>
      <c r="L15" s="32">
        <v>0</v>
      </c>
      <c r="M15" s="8" t="str">
        <f>"0,0000"</f>
        <v>0,0000</v>
      </c>
      <c r="N15" s="7"/>
    </row>
    <row r="16" spans="1:14">
      <c r="B16" s="5" t="s">
        <v>125</v>
      </c>
    </row>
    <row r="17" spans="1:14" ht="16">
      <c r="A17" s="33" t="s">
        <v>65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</row>
    <row r="18" spans="1:14">
      <c r="A18" s="10" t="s">
        <v>124</v>
      </c>
      <c r="B18" s="9" t="s">
        <v>66</v>
      </c>
      <c r="C18" s="9" t="s">
        <v>67</v>
      </c>
      <c r="D18" s="9" t="s">
        <v>68</v>
      </c>
      <c r="E18" s="9" t="s">
        <v>425</v>
      </c>
      <c r="F18" s="9" t="s">
        <v>380</v>
      </c>
      <c r="G18" s="9" t="s">
        <v>69</v>
      </c>
      <c r="H18" s="22" t="s">
        <v>76</v>
      </c>
      <c r="I18" s="22" t="s">
        <v>77</v>
      </c>
      <c r="J18" s="22" t="s">
        <v>78</v>
      </c>
      <c r="K18" s="10"/>
      <c r="L18" s="29" t="str">
        <f>"285,0"</f>
        <v>285,0</v>
      </c>
      <c r="M18" s="10" t="str">
        <f>"184,0815"</f>
        <v>184,0815</v>
      </c>
      <c r="N18" s="9" t="s">
        <v>79</v>
      </c>
    </row>
    <row r="19" spans="1:14">
      <c r="A19" s="12" t="s">
        <v>126</v>
      </c>
      <c r="B19" s="11" t="s">
        <v>328</v>
      </c>
      <c r="C19" s="11" t="s">
        <v>329</v>
      </c>
      <c r="D19" s="11" t="s">
        <v>330</v>
      </c>
      <c r="E19" s="11" t="s">
        <v>425</v>
      </c>
      <c r="F19" s="11" t="s">
        <v>380</v>
      </c>
      <c r="G19" s="11" t="s">
        <v>226</v>
      </c>
      <c r="H19" s="25" t="s">
        <v>83</v>
      </c>
      <c r="I19" s="25" t="s">
        <v>92</v>
      </c>
      <c r="J19" s="25" t="s">
        <v>288</v>
      </c>
      <c r="K19" s="12"/>
      <c r="L19" s="30" t="str">
        <f>"192,5"</f>
        <v>192,5</v>
      </c>
      <c r="M19" s="12" t="str">
        <f>"126,3185"</f>
        <v>126,3185</v>
      </c>
      <c r="N19" s="11" t="s">
        <v>331</v>
      </c>
    </row>
    <row r="20" spans="1:14">
      <c r="B20" s="5" t="s">
        <v>125</v>
      </c>
    </row>
    <row r="21" spans="1:14" ht="16">
      <c r="A21" s="33" t="s">
        <v>296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</row>
    <row r="22" spans="1:14">
      <c r="A22" s="10" t="s">
        <v>124</v>
      </c>
      <c r="B22" s="9" t="s">
        <v>332</v>
      </c>
      <c r="C22" s="9" t="s">
        <v>333</v>
      </c>
      <c r="D22" s="9" t="s">
        <v>334</v>
      </c>
      <c r="E22" s="9" t="s">
        <v>425</v>
      </c>
      <c r="F22" s="9" t="s">
        <v>27</v>
      </c>
      <c r="G22" s="9" t="s">
        <v>28</v>
      </c>
      <c r="H22" s="22" t="s">
        <v>335</v>
      </c>
      <c r="I22" s="22" t="s">
        <v>336</v>
      </c>
      <c r="J22" s="23" t="s">
        <v>337</v>
      </c>
      <c r="K22" s="10"/>
      <c r="L22" s="29" t="str">
        <f>"312,5"</f>
        <v>312,5</v>
      </c>
      <c r="M22" s="10" t="str">
        <f>"180,9375"</f>
        <v>180,9375</v>
      </c>
      <c r="N22" s="9" t="s">
        <v>338</v>
      </c>
    </row>
    <row r="23" spans="1:14">
      <c r="A23" s="12" t="s">
        <v>124</v>
      </c>
      <c r="B23" s="11" t="s">
        <v>332</v>
      </c>
      <c r="C23" s="11" t="s">
        <v>414</v>
      </c>
      <c r="D23" s="11" t="s">
        <v>334</v>
      </c>
      <c r="E23" s="11" t="s">
        <v>427</v>
      </c>
      <c r="F23" s="11" t="s">
        <v>27</v>
      </c>
      <c r="G23" s="11" t="s">
        <v>28</v>
      </c>
      <c r="H23" s="25" t="s">
        <v>335</v>
      </c>
      <c r="I23" s="25" t="s">
        <v>336</v>
      </c>
      <c r="J23" s="24" t="s">
        <v>337</v>
      </c>
      <c r="K23" s="12"/>
      <c r="L23" s="30" t="str">
        <f>"312,5"</f>
        <v>312,5</v>
      </c>
      <c r="M23" s="12" t="str">
        <f>"180,9375"</f>
        <v>180,9375</v>
      </c>
      <c r="N23" s="11" t="s">
        <v>338</v>
      </c>
    </row>
    <row r="24" spans="1:14">
      <c r="B24" s="5" t="s">
        <v>125</v>
      </c>
    </row>
    <row r="25" spans="1:14">
      <c r="B25" s="5" t="s">
        <v>125</v>
      </c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1:K21"/>
    <mergeCell ref="A5:K5"/>
    <mergeCell ref="A8:K8"/>
    <mergeCell ref="A11:K11"/>
    <mergeCell ref="A14:K14"/>
    <mergeCell ref="A17:K17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2">
    <pageSetUpPr fitToPage="1"/>
  </sheetPr>
  <dimension ref="A1:R13"/>
  <sheetViews>
    <sheetView workbookViewId="0">
      <selection sqref="A1:R2"/>
    </sheetView>
  </sheetViews>
  <sheetFormatPr baseColWidth="10" defaultColWidth="9.1640625" defaultRowHeight="13"/>
  <cols>
    <col min="1" max="1" width="7.1640625" style="5" bestFit="1" customWidth="1"/>
    <col min="2" max="2" width="21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6.1640625" style="5" customWidth="1"/>
    <col min="8" max="15" width="5.5" style="6" customWidth="1"/>
    <col min="16" max="16" width="7.6640625" style="6" bestFit="1" customWidth="1"/>
    <col min="17" max="17" width="7.5" style="6" bestFit="1" customWidth="1"/>
    <col min="18" max="18" width="20.5" style="5" customWidth="1"/>
    <col min="19" max="16384" width="9.1640625" style="3"/>
  </cols>
  <sheetData>
    <row r="1" spans="1:18" s="2" customFormat="1" ht="29" customHeight="1">
      <c r="A1" s="41" t="s">
        <v>389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421</v>
      </c>
      <c r="I3" s="39"/>
      <c r="J3" s="39"/>
      <c r="K3" s="39"/>
      <c r="L3" s="39" t="s">
        <v>422</v>
      </c>
      <c r="M3" s="39"/>
      <c r="N3" s="39"/>
      <c r="O3" s="39"/>
      <c r="P3" s="39" t="s">
        <v>1</v>
      </c>
      <c r="Q3" s="39" t="s">
        <v>3</v>
      </c>
      <c r="R3" s="52" t="s">
        <v>2</v>
      </c>
    </row>
    <row r="4" spans="1:18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0"/>
      <c r="Q4" s="40"/>
      <c r="R4" s="53"/>
    </row>
    <row r="5" spans="1:18" ht="16">
      <c r="A5" s="37" t="s">
        <v>162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8">
      <c r="A6" s="8" t="s">
        <v>124</v>
      </c>
      <c r="B6" s="7" t="s">
        <v>359</v>
      </c>
      <c r="C6" s="7" t="s">
        <v>360</v>
      </c>
      <c r="D6" s="7" t="s">
        <v>361</v>
      </c>
      <c r="E6" s="7" t="s">
        <v>425</v>
      </c>
      <c r="F6" s="7" t="s">
        <v>379</v>
      </c>
      <c r="G6" s="7" t="s">
        <v>14</v>
      </c>
      <c r="H6" s="20" t="s">
        <v>358</v>
      </c>
      <c r="I6" s="20" t="s">
        <v>362</v>
      </c>
      <c r="J6" s="20" t="s">
        <v>363</v>
      </c>
      <c r="K6" s="8"/>
      <c r="L6" s="20" t="s">
        <v>357</v>
      </c>
      <c r="M6" s="20" t="s">
        <v>358</v>
      </c>
      <c r="N6" s="21" t="s">
        <v>362</v>
      </c>
      <c r="O6" s="8"/>
      <c r="P6" s="8" t="str">
        <f>"57,5"</f>
        <v>57,5</v>
      </c>
      <c r="Q6" s="8" t="str">
        <f>"57,9542"</f>
        <v>57,9542</v>
      </c>
      <c r="R6" s="7" t="s">
        <v>364</v>
      </c>
    </row>
    <row r="7" spans="1:18">
      <c r="B7" s="5" t="s">
        <v>125</v>
      </c>
    </row>
    <row r="8" spans="1:18" ht="16">
      <c r="A8" s="33" t="s">
        <v>65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8">
      <c r="A9" s="8" t="s">
        <v>124</v>
      </c>
      <c r="B9" s="7" t="s">
        <v>371</v>
      </c>
      <c r="C9" s="7" t="s">
        <v>372</v>
      </c>
      <c r="D9" s="7" t="s">
        <v>373</v>
      </c>
      <c r="E9" s="7" t="s">
        <v>425</v>
      </c>
      <c r="F9" s="7" t="s">
        <v>379</v>
      </c>
      <c r="G9" s="7" t="s">
        <v>14</v>
      </c>
      <c r="H9" s="20" t="s">
        <v>15</v>
      </c>
      <c r="I9" s="20" t="s">
        <v>170</v>
      </c>
      <c r="J9" s="21" t="s">
        <v>16</v>
      </c>
      <c r="K9" s="8"/>
      <c r="L9" s="20" t="s">
        <v>143</v>
      </c>
      <c r="M9" s="20" t="s">
        <v>150</v>
      </c>
      <c r="N9" s="20" t="s">
        <v>151</v>
      </c>
      <c r="O9" s="8"/>
      <c r="P9" s="8" t="str">
        <f>"135,0"</f>
        <v>135,0</v>
      </c>
      <c r="Q9" s="8" t="str">
        <f>"83,7675"</f>
        <v>83,7675</v>
      </c>
      <c r="R9" s="7" t="s">
        <v>364</v>
      </c>
    </row>
    <row r="10" spans="1:18">
      <c r="B10" s="5" t="s">
        <v>125</v>
      </c>
    </row>
    <row r="11" spans="1:18" ht="16">
      <c r="A11" s="33" t="s">
        <v>283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8">
      <c r="A12" s="8" t="s">
        <v>124</v>
      </c>
      <c r="B12" s="7" t="s">
        <v>374</v>
      </c>
      <c r="C12" s="7" t="s">
        <v>375</v>
      </c>
      <c r="D12" s="7" t="s">
        <v>376</v>
      </c>
      <c r="E12" s="7" t="s">
        <v>425</v>
      </c>
      <c r="F12" s="7" t="s">
        <v>379</v>
      </c>
      <c r="G12" s="7" t="s">
        <v>14</v>
      </c>
      <c r="H12" s="20" t="s">
        <v>40</v>
      </c>
      <c r="I12" s="20" t="s">
        <v>41</v>
      </c>
      <c r="J12" s="21" t="s">
        <v>64</v>
      </c>
      <c r="K12" s="8"/>
      <c r="L12" s="20" t="s">
        <v>152</v>
      </c>
      <c r="M12" s="21" t="s">
        <v>15</v>
      </c>
      <c r="N12" s="21" t="s">
        <v>15</v>
      </c>
      <c r="O12" s="8"/>
      <c r="P12" s="8" t="str">
        <f>"160,0"</f>
        <v>160,0</v>
      </c>
      <c r="Q12" s="8" t="str">
        <f>"92,1040"</f>
        <v>92,1040</v>
      </c>
      <c r="R12" s="7"/>
    </row>
    <row r="13" spans="1:18">
      <c r="B13" s="5" t="s">
        <v>125</v>
      </c>
    </row>
  </sheetData>
  <mergeCells count="16"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8:O8"/>
    <mergeCell ref="A11:O11"/>
    <mergeCell ref="B3:B4"/>
    <mergeCell ref="P3:P4"/>
    <mergeCell ref="Q3:Q4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4">
    <pageSetUpPr fitToPage="1"/>
  </sheetPr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1.1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8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7.5" style="6" bestFit="1" customWidth="1"/>
    <col min="14" max="14" width="19.1640625" style="5" customWidth="1"/>
    <col min="15" max="16384" width="9.1640625" style="3"/>
  </cols>
  <sheetData>
    <row r="1" spans="1:14" s="2" customFormat="1" ht="29" customHeight="1">
      <c r="A1" s="41" t="s">
        <v>390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420</v>
      </c>
      <c r="I3" s="39"/>
      <c r="J3" s="39"/>
      <c r="K3" s="39"/>
      <c r="L3" s="39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53"/>
    </row>
    <row r="5" spans="1:14" ht="16">
      <c r="A5" s="37" t="s">
        <v>60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235</v>
      </c>
      <c r="C6" s="7" t="s">
        <v>236</v>
      </c>
      <c r="D6" s="7" t="s">
        <v>351</v>
      </c>
      <c r="E6" s="7" t="s">
        <v>425</v>
      </c>
      <c r="F6" s="7" t="s">
        <v>381</v>
      </c>
      <c r="G6" s="7" t="s">
        <v>394</v>
      </c>
      <c r="H6" s="20" t="s">
        <v>15</v>
      </c>
      <c r="I6" s="20" t="s">
        <v>21</v>
      </c>
      <c r="J6" s="20" t="s">
        <v>40</v>
      </c>
      <c r="K6" s="8"/>
      <c r="L6" s="8" t="str">
        <f>"90,0"</f>
        <v>90,0</v>
      </c>
      <c r="M6" s="8" t="str">
        <f>"58,5472"</f>
        <v>58,5472</v>
      </c>
      <c r="N6" s="7" t="s">
        <v>52</v>
      </c>
    </row>
    <row r="7" spans="1:14">
      <c r="B7" s="5" t="s">
        <v>125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pageSetUpPr fitToPage="1"/>
  </sheetPr>
  <dimension ref="A1:N36"/>
  <sheetViews>
    <sheetView tabSelected="1" workbookViewId="0">
      <selection activeCell="E35" sqref="E35"/>
    </sheetView>
  </sheetViews>
  <sheetFormatPr baseColWidth="10" defaultColWidth="9.1640625" defaultRowHeight="13"/>
  <cols>
    <col min="1" max="1" width="7.1640625" style="5" bestFit="1" customWidth="1"/>
    <col min="2" max="2" width="21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8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7.5" style="6" bestFit="1" customWidth="1"/>
    <col min="14" max="14" width="23.1640625" style="5" customWidth="1"/>
    <col min="15" max="16384" width="9.1640625" style="3"/>
  </cols>
  <sheetData>
    <row r="1" spans="1:14" s="2" customFormat="1" ht="29" customHeight="1">
      <c r="A1" s="41" t="s">
        <v>391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419</v>
      </c>
      <c r="B3" s="35" t="s">
        <v>0</v>
      </c>
      <c r="C3" s="51" t="s">
        <v>423</v>
      </c>
      <c r="D3" s="51" t="s">
        <v>6</v>
      </c>
      <c r="E3" s="39" t="s">
        <v>424</v>
      </c>
      <c r="F3" s="39"/>
      <c r="G3" s="39" t="s">
        <v>5</v>
      </c>
      <c r="H3" s="39" t="s">
        <v>420</v>
      </c>
      <c r="I3" s="39"/>
      <c r="J3" s="39"/>
      <c r="K3" s="39"/>
      <c r="L3" s="39" t="s">
        <v>313</v>
      </c>
      <c r="M3" s="39" t="s">
        <v>3</v>
      </c>
      <c r="N3" s="52" t="s">
        <v>2</v>
      </c>
    </row>
    <row r="4" spans="1:14" s="1" customFormat="1" ht="21" customHeight="1" thickBot="1">
      <c r="A4" s="50"/>
      <c r="B4" s="36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53"/>
    </row>
    <row r="5" spans="1:14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4">
      <c r="A6" s="8" t="s">
        <v>124</v>
      </c>
      <c r="B6" s="7" t="s">
        <v>139</v>
      </c>
      <c r="C6" s="7" t="s">
        <v>140</v>
      </c>
      <c r="D6" s="7" t="s">
        <v>354</v>
      </c>
      <c r="E6" s="7" t="s">
        <v>425</v>
      </c>
      <c r="F6" s="7" t="s">
        <v>142</v>
      </c>
      <c r="G6" s="7" t="s">
        <v>14</v>
      </c>
      <c r="H6" s="21" t="s">
        <v>355</v>
      </c>
      <c r="I6" s="21" t="s">
        <v>355</v>
      </c>
      <c r="J6" s="20" t="s">
        <v>355</v>
      </c>
      <c r="K6" s="8"/>
      <c r="L6" s="8" t="str">
        <f>"27,5"</f>
        <v>27,5</v>
      </c>
      <c r="M6" s="8" t="str">
        <f>"30,8577"</f>
        <v>30,8577</v>
      </c>
      <c r="N6" s="7" t="s">
        <v>144</v>
      </c>
    </row>
    <row r="7" spans="1:14">
      <c r="B7" s="5" t="s">
        <v>125</v>
      </c>
    </row>
    <row r="8" spans="1:14" ht="16">
      <c r="A8" s="33" t="s">
        <v>45</v>
      </c>
      <c r="B8" s="33"/>
      <c r="C8" s="34"/>
      <c r="D8" s="34"/>
      <c r="E8" s="34"/>
      <c r="F8" s="34"/>
      <c r="G8" s="34"/>
      <c r="H8" s="34"/>
      <c r="I8" s="34"/>
      <c r="J8" s="34"/>
      <c r="K8" s="34"/>
    </row>
    <row r="9" spans="1:14">
      <c r="A9" s="8" t="s">
        <v>124</v>
      </c>
      <c r="B9" s="7" t="s">
        <v>158</v>
      </c>
      <c r="C9" s="7" t="s">
        <v>415</v>
      </c>
      <c r="D9" s="7" t="s">
        <v>159</v>
      </c>
      <c r="E9" s="7" t="s">
        <v>427</v>
      </c>
      <c r="F9" s="7" t="s">
        <v>381</v>
      </c>
      <c r="G9" s="7" t="s">
        <v>394</v>
      </c>
      <c r="H9" s="20" t="s">
        <v>356</v>
      </c>
      <c r="I9" s="20" t="s">
        <v>357</v>
      </c>
      <c r="J9" s="21" t="s">
        <v>358</v>
      </c>
      <c r="K9" s="8"/>
      <c r="L9" s="8" t="str">
        <f>"22,5"</f>
        <v>22,5</v>
      </c>
      <c r="M9" s="8" t="str">
        <f>"24,3203"</f>
        <v>24,3203</v>
      </c>
      <c r="N9" s="7" t="s">
        <v>160</v>
      </c>
    </row>
    <row r="10" spans="1:14">
      <c r="B10" s="5" t="s">
        <v>125</v>
      </c>
    </row>
    <row r="11" spans="1:14" ht="16">
      <c r="A11" s="33" t="s">
        <v>162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4">
      <c r="A12" s="10" t="s">
        <v>124</v>
      </c>
      <c r="B12" s="9" t="s">
        <v>359</v>
      </c>
      <c r="C12" s="9" t="s">
        <v>360</v>
      </c>
      <c r="D12" s="9" t="s">
        <v>361</v>
      </c>
      <c r="E12" s="9" t="s">
        <v>425</v>
      </c>
      <c r="F12" s="9" t="s">
        <v>379</v>
      </c>
      <c r="G12" s="9" t="s">
        <v>14</v>
      </c>
      <c r="H12" s="22" t="s">
        <v>357</v>
      </c>
      <c r="I12" s="22" t="s">
        <v>358</v>
      </c>
      <c r="J12" s="23" t="s">
        <v>362</v>
      </c>
      <c r="K12" s="10"/>
      <c r="L12" s="10" t="str">
        <f>"25,0"</f>
        <v>25,0</v>
      </c>
      <c r="M12" s="10" t="str">
        <f>"25,1975"</f>
        <v>25,1975</v>
      </c>
      <c r="N12" s="9" t="s">
        <v>364</v>
      </c>
    </row>
    <row r="13" spans="1:14">
      <c r="A13" s="12" t="s">
        <v>124</v>
      </c>
      <c r="B13" s="11" t="s">
        <v>365</v>
      </c>
      <c r="C13" s="11" t="s">
        <v>416</v>
      </c>
      <c r="D13" s="11" t="s">
        <v>366</v>
      </c>
      <c r="E13" s="11" t="s">
        <v>427</v>
      </c>
      <c r="F13" s="11" t="s">
        <v>142</v>
      </c>
      <c r="G13" s="11" t="s">
        <v>14</v>
      </c>
      <c r="H13" s="25" t="s">
        <v>362</v>
      </c>
      <c r="I13" s="25" t="s">
        <v>363</v>
      </c>
      <c r="J13" s="25" t="s">
        <v>353</v>
      </c>
      <c r="K13" s="12"/>
      <c r="L13" s="12" t="str">
        <f>"35,0"</f>
        <v>35,0</v>
      </c>
      <c r="M13" s="12" t="str">
        <f>"36,9978"</f>
        <v>36,9978</v>
      </c>
      <c r="N13" s="11" t="s">
        <v>144</v>
      </c>
    </row>
    <row r="14" spans="1:14">
      <c r="B14" s="5" t="s">
        <v>125</v>
      </c>
    </row>
    <row r="15" spans="1:14" ht="16">
      <c r="A15" s="33" t="s">
        <v>23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</row>
    <row r="16" spans="1:14">
      <c r="A16" s="8" t="s">
        <v>124</v>
      </c>
      <c r="B16" s="7" t="s">
        <v>197</v>
      </c>
      <c r="C16" s="7" t="s">
        <v>198</v>
      </c>
      <c r="D16" s="7" t="s">
        <v>199</v>
      </c>
      <c r="E16" s="7" t="s">
        <v>425</v>
      </c>
      <c r="F16" s="7" t="s">
        <v>381</v>
      </c>
      <c r="G16" s="7" t="s">
        <v>394</v>
      </c>
      <c r="H16" s="20" t="s">
        <v>138</v>
      </c>
      <c r="I16" s="20" t="s">
        <v>19</v>
      </c>
      <c r="J16" s="21" t="s">
        <v>31</v>
      </c>
      <c r="K16" s="8"/>
      <c r="L16" s="8" t="str">
        <f>"45,0"</f>
        <v>45,0</v>
      </c>
      <c r="M16" s="8" t="str">
        <f>"34,1550"</f>
        <v>34,1550</v>
      </c>
      <c r="N16" s="7" t="s">
        <v>160</v>
      </c>
    </row>
    <row r="17" spans="1:14">
      <c r="B17" s="5" t="s">
        <v>125</v>
      </c>
    </row>
    <row r="18" spans="1:14" ht="16">
      <c r="A18" s="33" t="s">
        <v>171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</row>
    <row r="19" spans="1:14">
      <c r="A19" s="10" t="s">
        <v>124</v>
      </c>
      <c r="B19" s="9" t="s">
        <v>215</v>
      </c>
      <c r="C19" s="9" t="s">
        <v>216</v>
      </c>
      <c r="D19" s="9" t="s">
        <v>217</v>
      </c>
      <c r="E19" s="9" t="s">
        <v>425</v>
      </c>
      <c r="F19" s="9" t="s">
        <v>27</v>
      </c>
      <c r="G19" s="9" t="s">
        <v>28</v>
      </c>
      <c r="H19" s="22" t="s">
        <v>42</v>
      </c>
      <c r="I19" s="22" t="s">
        <v>151</v>
      </c>
      <c r="J19" s="22" t="s">
        <v>170</v>
      </c>
      <c r="K19" s="10"/>
      <c r="L19" s="10" t="str">
        <f>"72,5"</f>
        <v>72,5</v>
      </c>
      <c r="M19" s="10" t="str">
        <f>"50,0685"</f>
        <v>50,0685</v>
      </c>
      <c r="N19" s="9" t="s">
        <v>36</v>
      </c>
    </row>
    <row r="20" spans="1:14">
      <c r="A20" s="12" t="s">
        <v>126</v>
      </c>
      <c r="B20" s="11" t="s">
        <v>367</v>
      </c>
      <c r="C20" s="11" t="s">
        <v>368</v>
      </c>
      <c r="D20" s="11" t="s">
        <v>369</v>
      </c>
      <c r="E20" s="11" t="s">
        <v>425</v>
      </c>
      <c r="F20" s="11" t="s">
        <v>381</v>
      </c>
      <c r="G20" s="11" t="s">
        <v>394</v>
      </c>
      <c r="H20" s="25" t="s">
        <v>42</v>
      </c>
      <c r="I20" s="25" t="s">
        <v>33</v>
      </c>
      <c r="J20" s="25" t="s">
        <v>143</v>
      </c>
      <c r="K20" s="12"/>
      <c r="L20" s="12" t="str">
        <f>"57,5"</f>
        <v>57,5</v>
      </c>
      <c r="M20" s="12" t="str">
        <f>"39,9668"</f>
        <v>39,9668</v>
      </c>
      <c r="N20" s="11"/>
    </row>
    <row r="21" spans="1:14">
      <c r="B21" s="5" t="s">
        <v>125</v>
      </c>
    </row>
    <row r="22" spans="1:14" ht="16">
      <c r="A22" s="33" t="s">
        <v>60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</row>
    <row r="23" spans="1:14">
      <c r="A23" s="8" t="s">
        <v>124</v>
      </c>
      <c r="B23" s="7" t="s">
        <v>232</v>
      </c>
      <c r="C23" s="7" t="s">
        <v>233</v>
      </c>
      <c r="D23" s="7" t="s">
        <v>352</v>
      </c>
      <c r="E23" s="7" t="s">
        <v>425</v>
      </c>
      <c r="F23" s="7" t="s">
        <v>27</v>
      </c>
      <c r="G23" s="7" t="s">
        <v>28</v>
      </c>
      <c r="H23" s="20" t="s">
        <v>42</v>
      </c>
      <c r="I23" s="20" t="s">
        <v>150</v>
      </c>
      <c r="J23" s="20" t="s">
        <v>370</v>
      </c>
      <c r="K23" s="8"/>
      <c r="L23" s="8" t="str">
        <f>"67,5"</f>
        <v>67,5</v>
      </c>
      <c r="M23" s="8" t="str">
        <f>"43,7704"</f>
        <v>43,7704</v>
      </c>
      <c r="N23" s="7" t="s">
        <v>36</v>
      </c>
    </row>
    <row r="24" spans="1:14">
      <c r="B24" s="5" t="s">
        <v>125</v>
      </c>
    </row>
    <row r="25" spans="1:14" ht="16">
      <c r="A25" s="33" t="s">
        <v>65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</row>
    <row r="26" spans="1:14">
      <c r="A26" s="10" t="s">
        <v>124</v>
      </c>
      <c r="B26" s="9" t="s">
        <v>371</v>
      </c>
      <c r="C26" s="9" t="s">
        <v>372</v>
      </c>
      <c r="D26" s="9" t="s">
        <v>373</v>
      </c>
      <c r="E26" s="9" t="s">
        <v>425</v>
      </c>
      <c r="F26" s="9" t="s">
        <v>379</v>
      </c>
      <c r="G26" s="9" t="s">
        <v>14</v>
      </c>
      <c r="H26" s="22" t="s">
        <v>143</v>
      </c>
      <c r="I26" s="22" t="s">
        <v>150</v>
      </c>
      <c r="J26" s="22" t="s">
        <v>151</v>
      </c>
      <c r="K26" s="10"/>
      <c r="L26" s="10" t="str">
        <f>"62,5"</f>
        <v>62,5</v>
      </c>
      <c r="M26" s="10" t="str">
        <f>"38,7813"</f>
        <v>38,7813</v>
      </c>
      <c r="N26" s="9" t="s">
        <v>364</v>
      </c>
    </row>
    <row r="27" spans="1:14">
      <c r="A27" s="12" t="s">
        <v>124</v>
      </c>
      <c r="B27" s="11" t="s">
        <v>257</v>
      </c>
      <c r="C27" s="11" t="s">
        <v>417</v>
      </c>
      <c r="D27" s="11" t="s">
        <v>258</v>
      </c>
      <c r="E27" s="11" t="s">
        <v>427</v>
      </c>
      <c r="F27" s="11" t="s">
        <v>379</v>
      </c>
      <c r="G27" s="11" t="s">
        <v>14</v>
      </c>
      <c r="H27" s="25" t="s">
        <v>138</v>
      </c>
      <c r="I27" s="24" t="s">
        <v>19</v>
      </c>
      <c r="J27" s="24" t="s">
        <v>42</v>
      </c>
      <c r="K27" s="12"/>
      <c r="L27" s="12" t="str">
        <f>"42,5"</f>
        <v>42,5</v>
      </c>
      <c r="M27" s="12" t="str">
        <f>"29,0487"</f>
        <v>29,0487</v>
      </c>
      <c r="N27" s="11" t="s">
        <v>259</v>
      </c>
    </row>
    <row r="28" spans="1:14">
      <c r="B28" s="5" t="s">
        <v>125</v>
      </c>
    </row>
    <row r="29" spans="1:14" ht="16">
      <c r="A29" s="33" t="s">
        <v>93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</row>
    <row r="30" spans="1:14">
      <c r="A30" s="10" t="s">
        <v>124</v>
      </c>
      <c r="B30" s="9" t="s">
        <v>267</v>
      </c>
      <c r="C30" s="9" t="s">
        <v>268</v>
      </c>
      <c r="D30" s="9" t="s">
        <v>269</v>
      </c>
      <c r="E30" s="9" t="s">
        <v>425</v>
      </c>
      <c r="F30" s="9" t="s">
        <v>380</v>
      </c>
      <c r="G30" s="9" t="s">
        <v>14</v>
      </c>
      <c r="H30" s="22" t="s">
        <v>15</v>
      </c>
      <c r="I30" s="23" t="s">
        <v>20</v>
      </c>
      <c r="J30" s="10"/>
      <c r="K30" s="10"/>
      <c r="L30" s="10" t="str">
        <f>"70,0"</f>
        <v>70,0</v>
      </c>
      <c r="M30" s="10" t="str">
        <f>"41,2965"</f>
        <v>41,2965</v>
      </c>
      <c r="N30" s="9" t="s">
        <v>231</v>
      </c>
    </row>
    <row r="31" spans="1:14">
      <c r="A31" s="12" t="s">
        <v>124</v>
      </c>
      <c r="B31" s="11" t="s">
        <v>281</v>
      </c>
      <c r="C31" s="11" t="s">
        <v>418</v>
      </c>
      <c r="D31" s="11" t="s">
        <v>282</v>
      </c>
      <c r="E31" s="11" t="s">
        <v>428</v>
      </c>
      <c r="F31" s="11" t="s">
        <v>27</v>
      </c>
      <c r="G31" s="11" t="s">
        <v>28</v>
      </c>
      <c r="H31" s="25" t="s">
        <v>42</v>
      </c>
      <c r="I31" s="25" t="s">
        <v>150</v>
      </c>
      <c r="J31" s="24" t="s">
        <v>20</v>
      </c>
      <c r="K31" s="12"/>
      <c r="L31" s="12" t="str">
        <f>"60,0"</f>
        <v>60,0</v>
      </c>
      <c r="M31" s="12" t="str">
        <f>"46,7587"</f>
        <v>46,7587</v>
      </c>
      <c r="N31" s="11"/>
    </row>
    <row r="32" spans="1:14">
      <c r="B32" s="5" t="s">
        <v>125</v>
      </c>
    </row>
    <row r="33" spans="1:14" ht="16">
      <c r="A33" s="33" t="s">
        <v>283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</row>
    <row r="34" spans="1:14">
      <c r="A34" s="8" t="s">
        <v>124</v>
      </c>
      <c r="B34" s="7" t="s">
        <v>374</v>
      </c>
      <c r="C34" s="7" t="s">
        <v>375</v>
      </c>
      <c r="D34" s="7" t="s">
        <v>376</v>
      </c>
      <c r="E34" s="7" t="s">
        <v>425</v>
      </c>
      <c r="F34" s="7" t="s">
        <v>379</v>
      </c>
      <c r="G34" s="7" t="s">
        <v>14</v>
      </c>
      <c r="H34" s="20" t="s">
        <v>152</v>
      </c>
      <c r="I34" s="21" t="s">
        <v>15</v>
      </c>
      <c r="J34" s="21" t="s">
        <v>15</v>
      </c>
      <c r="K34" s="8"/>
      <c r="L34" s="8" t="str">
        <f>"65,0"</f>
        <v>65,0</v>
      </c>
      <c r="M34" s="8" t="str">
        <f>"37,4172"</f>
        <v>37,4172</v>
      </c>
      <c r="N34" s="7"/>
    </row>
    <row r="35" spans="1:14">
      <c r="B35" s="5" t="s">
        <v>125</v>
      </c>
    </row>
    <row r="36" spans="1:14">
      <c r="B36" s="5" t="s">
        <v>125</v>
      </c>
    </row>
  </sheetData>
  <mergeCells count="21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29:K29"/>
    <mergeCell ref="A33:K33"/>
    <mergeCell ref="B3:B4"/>
    <mergeCell ref="A8:K8"/>
    <mergeCell ref="A11:K11"/>
    <mergeCell ref="A15:K15"/>
    <mergeCell ref="A18:K18"/>
    <mergeCell ref="A22:K22"/>
    <mergeCell ref="A25:K25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IPL ПЛ без экипировки</vt:lpstr>
      <vt:lpstr>IPL Жим без экипировки</vt:lpstr>
      <vt:lpstr>СПР Жим софт однопетельная</vt:lpstr>
      <vt:lpstr>СПР Жим софт многопетельная</vt:lpstr>
      <vt:lpstr>СПР Жим СФО</vt:lpstr>
      <vt:lpstr>IPL Тяга без экипировки</vt:lpstr>
      <vt:lpstr>СПР Пауэрспорт</vt:lpstr>
      <vt:lpstr>СПР Жим стоя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2022-05-16T03:37:42Z</cp:lastPrinted>
  <dcterms:created xsi:type="dcterms:W3CDTF">2002-06-16T13:36:44Z</dcterms:created>
  <dcterms:modified xsi:type="dcterms:W3CDTF">2022-05-16T14:09:58Z</dcterms:modified>
</cp:coreProperties>
</file>