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0554925F-9949-B94C-9100-FBAEDEF3D1DB}" xr6:coauthVersionLast="45" xr6:coauthVersionMax="45" xr10:uidLastSave="{00000000-0000-0000-0000-000000000000}"/>
  <bookViews>
    <workbookView xWindow="480" yWindow="460" windowWidth="28200" windowHeight="16080" firstSheet="22" activeTab="22" xr2:uid="{00000000-000D-0000-FFFF-FFFF00000000}"/>
  </bookViews>
  <sheets>
    <sheet name="IPL ПЛ без экипировки ДК" sheetId="9" r:id="rId1"/>
    <sheet name="IPL ПЛ без экипировки" sheetId="8" r:id="rId2"/>
    <sheet name="IPL ПЛ в бинтах ДК" sheetId="11" r:id="rId3"/>
    <sheet name="IPL ПЛ в бинтах" sheetId="10" r:id="rId4"/>
    <sheet name="IPL ПЛ однослой ДК" sheetId="7" r:id="rId5"/>
    <sheet name="IPL ПЛ однослой" sheetId="6" r:id="rId6"/>
    <sheet name="IPL Двоеборье без экип ДК" sheetId="27" r:id="rId7"/>
    <sheet name="IPL Двоеборье без экип" sheetId="26" r:id="rId8"/>
    <sheet name="IPL Присед без экипировки ДК" sheetId="23" r:id="rId9"/>
    <sheet name="IPL Присед в бинтах ДК" sheetId="25" r:id="rId10"/>
    <sheet name="IPL Присед в бинтах" sheetId="24" r:id="rId11"/>
    <sheet name="IPL Жим без экипировки ДК" sheetId="13" r:id="rId12"/>
    <sheet name="IPL Жим без экипировки" sheetId="12" r:id="rId13"/>
    <sheet name="IPL Жим однослой ДК" sheetId="15" r:id="rId14"/>
    <sheet name="IPL Жим однослой" sheetId="14" r:id="rId15"/>
    <sheet name="СПР Жим софт многопетельная ДК" sheetId="81" r:id="rId16"/>
    <sheet name="СПР Жим софт многопетельная" sheetId="80" r:id="rId17"/>
    <sheet name="СПР Жим софт однопетельная ДК" sheetId="79" r:id="rId18"/>
    <sheet name="СПР Жим софт однопетельная" sheetId="78" r:id="rId19"/>
    <sheet name="СПР Жим СФО" sheetId="82" r:id="rId20"/>
    <sheet name="IPL Тяга без экипировки ДК" sheetId="19" r:id="rId21"/>
    <sheet name="IPL Тяга без экипировки" sheetId="18" r:id="rId22"/>
    <sheet name="IPL Тяга однослой" sheetId="20" r:id="rId23"/>
  </sheets>
  <calcPr calcId="152511" refMode="R1C1" calcCompleted="0"/>
</workbook>
</file>

<file path=xl/calcChain.xml><?xml version="1.0" encoding="utf-8"?>
<calcChain xmlns="http://schemas.openxmlformats.org/spreadsheetml/2006/main">
  <c r="L12" i="82" l="1"/>
  <c r="K12" i="82"/>
  <c r="L9" i="82"/>
  <c r="K9" i="82"/>
  <c r="L6" i="82"/>
  <c r="K6" i="82"/>
  <c r="L6" i="81"/>
  <c r="K6" i="81"/>
  <c r="L13" i="80"/>
  <c r="K13" i="80"/>
  <c r="L10" i="80"/>
  <c r="L7" i="80"/>
  <c r="K7" i="80"/>
  <c r="L6" i="80"/>
  <c r="K6" i="80"/>
  <c r="L13" i="79"/>
  <c r="K13" i="79"/>
  <c r="L12" i="79"/>
  <c r="K12" i="79"/>
  <c r="L9" i="79"/>
  <c r="K9" i="79"/>
  <c r="L6" i="79"/>
  <c r="K6" i="79"/>
  <c r="L23" i="78"/>
  <c r="L22" i="78"/>
  <c r="K22" i="78"/>
  <c r="L19" i="78"/>
  <c r="K19" i="78"/>
  <c r="L18" i="78"/>
  <c r="K18" i="78"/>
  <c r="L17" i="78"/>
  <c r="K17" i="78"/>
  <c r="L16" i="78"/>
  <c r="K16" i="78"/>
  <c r="L13" i="78"/>
  <c r="K13" i="78"/>
  <c r="L10" i="78"/>
  <c r="K10" i="78"/>
  <c r="L9" i="78"/>
  <c r="K9" i="78"/>
  <c r="L6" i="78"/>
  <c r="K6" i="78"/>
  <c r="P20" i="27"/>
  <c r="O20" i="27"/>
  <c r="P17" i="27"/>
  <c r="O17" i="27"/>
  <c r="P16" i="27"/>
  <c r="O16" i="27"/>
  <c r="P15" i="27"/>
  <c r="O15" i="27"/>
  <c r="P12" i="27"/>
  <c r="O12" i="27"/>
  <c r="P9" i="27"/>
  <c r="O9" i="27"/>
  <c r="P6" i="27"/>
  <c r="O6" i="27"/>
  <c r="P17" i="26"/>
  <c r="O17" i="26"/>
  <c r="P14" i="26"/>
  <c r="O14" i="26"/>
  <c r="P13" i="26"/>
  <c r="O13" i="26"/>
  <c r="P10" i="26"/>
  <c r="O10" i="26"/>
  <c r="P9" i="26"/>
  <c r="O9" i="26"/>
  <c r="P6" i="26"/>
  <c r="O6" i="26"/>
  <c r="L6" i="25"/>
  <c r="K6" i="25"/>
  <c r="L6" i="24"/>
  <c r="K6" i="24"/>
  <c r="L25" i="23"/>
  <c r="L22" i="23"/>
  <c r="K22" i="23"/>
  <c r="L19" i="23"/>
  <c r="K19" i="23"/>
  <c r="L16" i="23"/>
  <c r="L13" i="23"/>
  <c r="K13" i="23"/>
  <c r="L10" i="23"/>
  <c r="L7" i="23"/>
  <c r="K7" i="23"/>
  <c r="L6" i="23"/>
  <c r="K6" i="23"/>
  <c r="L6" i="20"/>
  <c r="K6" i="20"/>
  <c r="L96" i="19"/>
  <c r="K96" i="19"/>
  <c r="L95" i="19"/>
  <c r="K95" i="19"/>
  <c r="L92" i="19"/>
  <c r="K92" i="19"/>
  <c r="L91" i="19"/>
  <c r="K91" i="19"/>
  <c r="L90" i="19"/>
  <c r="K90" i="19"/>
  <c r="L87" i="19"/>
  <c r="K87" i="19"/>
  <c r="L86" i="19"/>
  <c r="K86" i="19"/>
  <c r="L85" i="19"/>
  <c r="K85" i="19"/>
  <c r="L84" i="19"/>
  <c r="K84" i="19"/>
  <c r="L83" i="19"/>
  <c r="K83" i="19"/>
  <c r="L82" i="19"/>
  <c r="K82" i="19"/>
  <c r="L81" i="19"/>
  <c r="K81" i="19"/>
  <c r="L80" i="19"/>
  <c r="K80" i="19"/>
  <c r="L77" i="19"/>
  <c r="K77" i="19"/>
  <c r="L76" i="19"/>
  <c r="K76" i="19"/>
  <c r="L75" i="19"/>
  <c r="K75" i="19"/>
  <c r="L74" i="19"/>
  <c r="K74" i="19"/>
  <c r="L73" i="19"/>
  <c r="K73" i="19"/>
  <c r="L72" i="19"/>
  <c r="K72" i="19"/>
  <c r="L71" i="19"/>
  <c r="K71" i="19"/>
  <c r="L68" i="19"/>
  <c r="K68" i="19"/>
  <c r="L67" i="19"/>
  <c r="K67" i="19"/>
  <c r="L66" i="19"/>
  <c r="K66" i="19"/>
  <c r="L65" i="19"/>
  <c r="K65" i="19"/>
  <c r="L64" i="19"/>
  <c r="K64" i="19"/>
  <c r="L63" i="19"/>
  <c r="K63" i="19"/>
  <c r="L62" i="19"/>
  <c r="K62" i="19"/>
  <c r="L61" i="19"/>
  <c r="K61" i="19"/>
  <c r="L60" i="19"/>
  <c r="K60" i="19"/>
  <c r="L57" i="19"/>
  <c r="K57" i="19"/>
  <c r="L56" i="19"/>
  <c r="K56" i="19"/>
  <c r="L53" i="19"/>
  <c r="K53" i="19"/>
  <c r="L52" i="19"/>
  <c r="K52" i="19"/>
  <c r="L49" i="19"/>
  <c r="K49" i="19"/>
  <c r="L46" i="19"/>
  <c r="K46" i="19"/>
  <c r="L43" i="19"/>
  <c r="K43" i="19"/>
  <c r="L42" i="19"/>
  <c r="K42" i="19"/>
  <c r="L39" i="19"/>
  <c r="K39" i="19"/>
  <c r="L38" i="19"/>
  <c r="K38" i="19"/>
  <c r="L35" i="19"/>
  <c r="K35" i="19"/>
  <c r="L34" i="19"/>
  <c r="K34" i="19"/>
  <c r="L33" i="19"/>
  <c r="K33" i="19"/>
  <c r="L32" i="19"/>
  <c r="K32" i="19"/>
  <c r="L31" i="19"/>
  <c r="K31" i="19"/>
  <c r="L30" i="19"/>
  <c r="K30" i="19"/>
  <c r="L27" i="19"/>
  <c r="K27" i="19"/>
  <c r="L26" i="19"/>
  <c r="K26" i="19"/>
  <c r="L25" i="19"/>
  <c r="K25" i="19"/>
  <c r="L24" i="19"/>
  <c r="K24" i="19"/>
  <c r="L21" i="19"/>
  <c r="K21" i="19"/>
  <c r="L20" i="19"/>
  <c r="K20" i="19"/>
  <c r="L19" i="19"/>
  <c r="K19" i="19"/>
  <c r="L18" i="19"/>
  <c r="K18" i="19"/>
  <c r="L17" i="19"/>
  <c r="K17" i="19"/>
  <c r="L14" i="19"/>
  <c r="K14" i="19"/>
  <c r="L13" i="19"/>
  <c r="K13" i="19"/>
  <c r="L12" i="19"/>
  <c r="K12" i="19"/>
  <c r="L11" i="19"/>
  <c r="K11" i="19"/>
  <c r="L10" i="19"/>
  <c r="K10" i="19"/>
  <c r="L7" i="19"/>
  <c r="K7" i="19"/>
  <c r="L6" i="19"/>
  <c r="K6" i="19"/>
  <c r="L45" i="18"/>
  <c r="K45" i="18"/>
  <c r="L42" i="18"/>
  <c r="K42" i="18"/>
  <c r="L39" i="18"/>
  <c r="K39" i="18"/>
  <c r="L36" i="18"/>
  <c r="K36" i="18"/>
  <c r="L35" i="18"/>
  <c r="K35" i="18"/>
  <c r="L34" i="18"/>
  <c r="K34" i="18"/>
  <c r="L33" i="18"/>
  <c r="K33" i="18"/>
  <c r="L30" i="18"/>
  <c r="K30" i="18"/>
  <c r="L29" i="18"/>
  <c r="K29" i="18"/>
  <c r="L28" i="18"/>
  <c r="K28" i="18"/>
  <c r="L27" i="18"/>
  <c r="K27" i="18"/>
  <c r="L26" i="18"/>
  <c r="K26" i="18"/>
  <c r="L23" i="18"/>
  <c r="K23" i="18"/>
  <c r="L22" i="18"/>
  <c r="K22" i="18"/>
  <c r="L21" i="18"/>
  <c r="K21" i="18"/>
  <c r="L20" i="18"/>
  <c r="K20" i="18"/>
  <c r="L17" i="18"/>
  <c r="K17" i="18"/>
  <c r="L14" i="18"/>
  <c r="K14" i="18"/>
  <c r="L11" i="18"/>
  <c r="K11" i="18"/>
  <c r="L10" i="18"/>
  <c r="K10" i="18"/>
  <c r="L7" i="18"/>
  <c r="K7" i="18"/>
  <c r="L6" i="18"/>
  <c r="K6" i="18"/>
  <c r="L6" i="15"/>
  <c r="K6" i="15"/>
  <c r="L9" i="14"/>
  <c r="L6" i="14"/>
  <c r="L111" i="13"/>
  <c r="K111" i="13"/>
  <c r="L110" i="13"/>
  <c r="K110" i="13"/>
  <c r="L107" i="13"/>
  <c r="K107" i="13"/>
  <c r="L106" i="13"/>
  <c r="K106" i="13"/>
  <c r="L103" i="13"/>
  <c r="L102" i="13"/>
  <c r="K102" i="13"/>
  <c r="L101" i="13"/>
  <c r="K101" i="13"/>
  <c r="L100" i="13"/>
  <c r="K100" i="13"/>
  <c r="L97" i="13"/>
  <c r="K97" i="13"/>
  <c r="L96" i="13"/>
  <c r="K96" i="13"/>
  <c r="L95" i="13"/>
  <c r="K95" i="13"/>
  <c r="L94" i="13"/>
  <c r="K94" i="13"/>
  <c r="L93" i="13"/>
  <c r="K93" i="13"/>
  <c r="L92" i="13"/>
  <c r="K92" i="13"/>
  <c r="L91" i="13"/>
  <c r="K91" i="13"/>
  <c r="L90" i="13"/>
  <c r="K90" i="13"/>
  <c r="L87" i="13"/>
  <c r="K87" i="13"/>
  <c r="L86" i="13"/>
  <c r="K86" i="13"/>
  <c r="L85" i="13"/>
  <c r="K85" i="13"/>
  <c r="L84" i="13"/>
  <c r="K84" i="13"/>
  <c r="L83" i="13"/>
  <c r="K83" i="13"/>
  <c r="L82" i="13"/>
  <c r="K82" i="13"/>
  <c r="L81" i="13"/>
  <c r="K81" i="13"/>
  <c r="L78" i="13"/>
  <c r="K78" i="13"/>
  <c r="L77" i="13"/>
  <c r="K77" i="13"/>
  <c r="L76" i="13"/>
  <c r="L75" i="13"/>
  <c r="K75" i="13"/>
  <c r="L74" i="13"/>
  <c r="L73" i="13"/>
  <c r="L72" i="13"/>
  <c r="K72" i="13"/>
  <c r="L71" i="13"/>
  <c r="K71" i="13"/>
  <c r="L70" i="13"/>
  <c r="K70" i="13"/>
  <c r="L69" i="13"/>
  <c r="K69" i="13"/>
  <c r="L68" i="13"/>
  <c r="K68" i="13"/>
  <c r="L67" i="13"/>
  <c r="K67" i="13"/>
  <c r="L66" i="13"/>
  <c r="K66" i="13"/>
  <c r="L63" i="13"/>
  <c r="K63" i="13"/>
  <c r="L62" i="13"/>
  <c r="K62" i="13"/>
  <c r="L61" i="13"/>
  <c r="L60" i="13"/>
  <c r="K60" i="13"/>
  <c r="L59" i="13"/>
  <c r="K59" i="13"/>
  <c r="L58" i="13"/>
  <c r="K58" i="13"/>
  <c r="L57" i="13"/>
  <c r="K57" i="13"/>
  <c r="L56" i="13"/>
  <c r="K56" i="13"/>
  <c r="L55" i="13"/>
  <c r="K55" i="13"/>
  <c r="L54" i="13"/>
  <c r="L53" i="13"/>
  <c r="K53" i="13"/>
  <c r="L50" i="13"/>
  <c r="K50" i="13"/>
  <c r="L49" i="13"/>
  <c r="K49" i="13"/>
  <c r="L48" i="13"/>
  <c r="K48" i="13"/>
  <c r="L47" i="13"/>
  <c r="K47" i="13"/>
  <c r="L46" i="13"/>
  <c r="K46" i="13"/>
  <c r="L45" i="13"/>
  <c r="L44" i="13"/>
  <c r="K44" i="13"/>
  <c r="L41" i="13"/>
  <c r="K41" i="13"/>
  <c r="L40" i="13"/>
  <c r="K40" i="13"/>
  <c r="L37" i="13"/>
  <c r="K37" i="13"/>
  <c r="L34" i="13"/>
  <c r="K34" i="13"/>
  <c r="L31" i="13"/>
  <c r="K31" i="13"/>
  <c r="L30" i="13"/>
  <c r="K30" i="13"/>
  <c r="L29" i="13"/>
  <c r="K29" i="13"/>
  <c r="L28" i="13"/>
  <c r="K28" i="13"/>
  <c r="L25" i="13"/>
  <c r="K25" i="13"/>
  <c r="L24" i="13"/>
  <c r="K24" i="13"/>
  <c r="L23" i="13"/>
  <c r="K23" i="13"/>
  <c r="L20" i="13"/>
  <c r="K20" i="13"/>
  <c r="L17" i="13"/>
  <c r="K17" i="13"/>
  <c r="L16" i="13"/>
  <c r="K16" i="13"/>
  <c r="L15" i="13"/>
  <c r="K15" i="13"/>
  <c r="L12" i="13"/>
  <c r="K12" i="13"/>
  <c r="L11" i="13"/>
  <c r="K11" i="13"/>
  <c r="L8" i="13"/>
  <c r="K8" i="13"/>
  <c r="L7" i="13"/>
  <c r="K7" i="13"/>
  <c r="L6" i="13"/>
  <c r="K6" i="13"/>
  <c r="L53" i="12"/>
  <c r="K53" i="12"/>
  <c r="L50" i="12"/>
  <c r="K50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0" i="12"/>
  <c r="K30" i="12"/>
  <c r="L29" i="12"/>
  <c r="K29" i="12"/>
  <c r="L28" i="12"/>
  <c r="K28" i="12"/>
  <c r="L27" i="12"/>
  <c r="K27" i="12"/>
  <c r="L24" i="12"/>
  <c r="K24" i="12"/>
  <c r="L23" i="12"/>
  <c r="K23" i="12"/>
  <c r="L20" i="12"/>
  <c r="K20" i="12"/>
  <c r="L19" i="12"/>
  <c r="K19" i="12"/>
  <c r="L18" i="12"/>
  <c r="K18" i="12"/>
  <c r="L17" i="12"/>
  <c r="K17" i="12"/>
  <c r="L14" i="12"/>
  <c r="K14" i="12"/>
  <c r="L13" i="12"/>
  <c r="K13" i="12"/>
  <c r="L12" i="12"/>
  <c r="K12" i="12"/>
  <c r="L9" i="12"/>
  <c r="K9" i="12"/>
  <c r="L6" i="12"/>
  <c r="K6" i="12"/>
  <c r="T27" i="11"/>
  <c r="S27" i="11"/>
  <c r="T24" i="11"/>
  <c r="S24" i="11"/>
  <c r="T23" i="11"/>
  <c r="S23" i="11"/>
  <c r="T20" i="11"/>
  <c r="T19" i="11"/>
  <c r="S19" i="11"/>
  <c r="T16" i="11"/>
  <c r="S16" i="11"/>
  <c r="T15" i="11"/>
  <c r="S15" i="11"/>
  <c r="T12" i="11"/>
  <c r="S12" i="11"/>
  <c r="T9" i="11"/>
  <c r="S9" i="11"/>
  <c r="T6" i="11"/>
  <c r="S6" i="11"/>
  <c r="T27" i="10"/>
  <c r="S27" i="10"/>
  <c r="T26" i="10"/>
  <c r="S26" i="10"/>
  <c r="T23" i="10"/>
  <c r="S23" i="10"/>
  <c r="T22" i="10"/>
  <c r="S22" i="10"/>
  <c r="T19" i="10"/>
  <c r="S19" i="10"/>
  <c r="T18" i="10"/>
  <c r="S18" i="10"/>
  <c r="T15" i="10"/>
  <c r="S15" i="10"/>
  <c r="T14" i="10"/>
  <c r="S14" i="10"/>
  <c r="T13" i="10"/>
  <c r="S13" i="10"/>
  <c r="T10" i="10"/>
  <c r="S10" i="10"/>
  <c r="T9" i="10"/>
  <c r="S9" i="10"/>
  <c r="T6" i="10"/>
  <c r="S6" i="10"/>
  <c r="T113" i="9"/>
  <c r="S113" i="9"/>
  <c r="T110" i="9"/>
  <c r="S110" i="9"/>
  <c r="T109" i="9"/>
  <c r="S109" i="9"/>
  <c r="T108" i="9"/>
  <c r="S108" i="9"/>
  <c r="T105" i="9"/>
  <c r="S105" i="9"/>
  <c r="T104" i="9"/>
  <c r="T103" i="9"/>
  <c r="S103" i="9"/>
  <c r="T102" i="9"/>
  <c r="S102" i="9"/>
  <c r="T101" i="9"/>
  <c r="T98" i="9"/>
  <c r="S98" i="9"/>
  <c r="T97" i="9"/>
  <c r="T96" i="9"/>
  <c r="S96" i="9"/>
  <c r="T95" i="9"/>
  <c r="S95" i="9"/>
  <c r="T94" i="9"/>
  <c r="S94" i="9"/>
  <c r="T93" i="9"/>
  <c r="S93" i="9"/>
  <c r="T92" i="9"/>
  <c r="S92" i="9"/>
  <c r="T91" i="9"/>
  <c r="S91" i="9"/>
  <c r="T90" i="9"/>
  <c r="S90" i="9"/>
  <c r="T89" i="9"/>
  <c r="S89" i="9"/>
  <c r="T88" i="9"/>
  <c r="T85" i="9"/>
  <c r="S85" i="9"/>
  <c r="T84" i="9"/>
  <c r="S84" i="9"/>
  <c r="T83" i="9"/>
  <c r="S83" i="9"/>
  <c r="T82" i="9"/>
  <c r="S82" i="9"/>
  <c r="T81" i="9"/>
  <c r="S81" i="9"/>
  <c r="T80" i="9"/>
  <c r="S80" i="9"/>
  <c r="T79" i="9"/>
  <c r="S79" i="9"/>
  <c r="T78" i="9"/>
  <c r="T77" i="9"/>
  <c r="S77" i="9"/>
  <c r="T76" i="9"/>
  <c r="S76" i="9"/>
  <c r="T75" i="9"/>
  <c r="S75" i="9"/>
  <c r="T72" i="9"/>
  <c r="T71" i="9"/>
  <c r="S71" i="9"/>
  <c r="T70" i="9"/>
  <c r="S70" i="9"/>
  <c r="T69" i="9"/>
  <c r="S69" i="9"/>
  <c r="T68" i="9"/>
  <c r="S68" i="9"/>
  <c r="T67" i="9"/>
  <c r="S67" i="9"/>
  <c r="T66" i="9"/>
  <c r="S66" i="9"/>
  <c r="T65" i="9"/>
  <c r="S65" i="9"/>
  <c r="T62" i="9"/>
  <c r="S62" i="9"/>
  <c r="T61" i="9"/>
  <c r="S61" i="9"/>
  <c r="T60" i="9"/>
  <c r="S60" i="9"/>
  <c r="T59" i="9"/>
  <c r="S59" i="9"/>
  <c r="T58" i="9"/>
  <c r="S58" i="9"/>
  <c r="T55" i="9"/>
  <c r="S55" i="9"/>
  <c r="T54" i="9"/>
  <c r="T51" i="9"/>
  <c r="S51" i="9"/>
  <c r="T50" i="9"/>
  <c r="T49" i="9"/>
  <c r="S49" i="9"/>
  <c r="T48" i="9"/>
  <c r="S48" i="9"/>
  <c r="T45" i="9"/>
  <c r="S45" i="9"/>
  <c r="T44" i="9"/>
  <c r="T43" i="9"/>
  <c r="S43" i="9"/>
  <c r="T42" i="9"/>
  <c r="S42" i="9"/>
  <c r="T41" i="9"/>
  <c r="S41" i="9"/>
  <c r="T40" i="9"/>
  <c r="S40" i="9"/>
  <c r="T39" i="9"/>
  <c r="S39" i="9"/>
  <c r="T38" i="9"/>
  <c r="S38" i="9"/>
  <c r="T35" i="9"/>
  <c r="S35" i="9"/>
  <c r="T34" i="9"/>
  <c r="S34" i="9"/>
  <c r="T33" i="9"/>
  <c r="S33" i="9"/>
  <c r="T32" i="9"/>
  <c r="S32" i="9"/>
  <c r="T31" i="9"/>
  <c r="T30" i="9"/>
  <c r="S30" i="9"/>
  <c r="T27" i="9"/>
  <c r="S27" i="9"/>
  <c r="T26" i="9"/>
  <c r="S26" i="9"/>
  <c r="T25" i="9"/>
  <c r="S25" i="9"/>
  <c r="T24" i="9"/>
  <c r="S24" i="9"/>
  <c r="T23" i="9"/>
  <c r="S23" i="9"/>
  <c r="T22" i="9"/>
  <c r="S22" i="9"/>
  <c r="T19" i="9"/>
  <c r="S19" i="9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1" i="9"/>
  <c r="S11" i="9"/>
  <c r="T10" i="9"/>
  <c r="S10" i="9"/>
  <c r="T9" i="9"/>
  <c r="S9" i="9"/>
  <c r="T6" i="9"/>
  <c r="S6" i="9"/>
  <c r="T48" i="8"/>
  <c r="S48" i="8"/>
  <c r="T45" i="8"/>
  <c r="T44" i="8"/>
  <c r="S44" i="8"/>
  <c r="T41" i="8"/>
  <c r="S41" i="8"/>
  <c r="T40" i="8"/>
  <c r="S40" i="8"/>
  <c r="T39" i="8"/>
  <c r="S39" i="8"/>
  <c r="T38" i="8"/>
  <c r="S38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T26" i="8"/>
  <c r="T25" i="8"/>
  <c r="S25" i="8"/>
  <c r="T24" i="8"/>
  <c r="S24" i="8"/>
  <c r="T23" i="8"/>
  <c r="S23" i="8"/>
  <c r="T22" i="8"/>
  <c r="S22" i="8"/>
  <c r="T21" i="8"/>
  <c r="S21" i="8"/>
  <c r="T18" i="8"/>
  <c r="S18" i="8"/>
  <c r="T17" i="8"/>
  <c r="S17" i="8"/>
  <c r="T14" i="8"/>
  <c r="S14" i="8"/>
  <c r="T13" i="8"/>
  <c r="S13" i="8"/>
  <c r="T12" i="8"/>
  <c r="S12" i="8"/>
  <c r="T9" i="8"/>
  <c r="S9" i="8"/>
  <c r="T6" i="8"/>
  <c r="S6" i="8"/>
  <c r="T6" i="7"/>
  <c r="S6" i="7"/>
  <c r="T9" i="6"/>
  <c r="T6" i="6"/>
  <c r="S6" i="6"/>
</calcChain>
</file>

<file path=xl/sharedStrings.xml><?xml version="1.0" encoding="utf-8"?>
<sst xmlns="http://schemas.openxmlformats.org/spreadsheetml/2006/main" count="4587" uniqueCount="1359">
  <si>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</si>
  <si>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</si>
  <si>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</si>
  <si>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</si>
  <si>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</si>
  <si>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</si>
  <si>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</si>
  <si>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</si>
  <si>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</si>
  <si>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</si>
  <si>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</si>
  <si>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110</t>
  </si>
  <si>
    <t>Емцев Николай</t>
  </si>
  <si>
    <t>106,20</t>
  </si>
  <si>
    <t>220,0</t>
  </si>
  <si>
    <t>240,0</t>
  </si>
  <si>
    <t>250,0</t>
  </si>
  <si>
    <t>150,0</t>
  </si>
  <si>
    <t>160,0</t>
  </si>
  <si>
    <t>245,0</t>
  </si>
  <si>
    <t>ВЕСОВАЯ КАТЕГОРИЯ   125</t>
  </si>
  <si>
    <t>Продан Анатолий</t>
  </si>
  <si>
    <t>115,20</t>
  </si>
  <si>
    <t>260,0</t>
  </si>
  <si>
    <t>270,0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</si>
  <si>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</si>
  <si>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</si>
  <si>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</si>
  <si>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</si>
  <si>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Сумма </t>
  </si>
  <si>
    <t xml:space="preserve">Wilks </t>
  </si>
  <si>
    <t>-</t>
  </si>
  <si>
    <t>ВЕСОВАЯ КАТЕГОРИЯ   100</t>
  </si>
  <si>
    <t>Родионов Евгений</t>
  </si>
  <si>
    <t>95,70</t>
  </si>
  <si>
    <t>200,0</t>
  </si>
  <si>
    <t>210,0</t>
  </si>
  <si>
    <t>215,0</t>
  </si>
  <si>
    <t>155,0</t>
  </si>
  <si>
    <t>165,0</t>
  </si>
  <si>
    <t>175,0</t>
  </si>
  <si>
    <t>230,0</t>
  </si>
  <si>
    <t xml:space="preserve">Емельянов К. </t>
  </si>
  <si>
    <t>ВЕСОВАЯ КАТЕГОРИЯ   67.5</t>
  </si>
  <si>
    <t>Мишина Алла</t>
  </si>
  <si>
    <t>Открытая (10.04.1989)/33</t>
  </si>
  <si>
    <t>63,00</t>
  </si>
  <si>
    <t>72,5</t>
  </si>
  <si>
    <t>75,0</t>
  </si>
  <si>
    <t>50,0</t>
  </si>
  <si>
    <t>52,5</t>
  </si>
  <si>
    <t>55,0</t>
  </si>
  <si>
    <t>80,0</t>
  </si>
  <si>
    <t xml:space="preserve">Прошин А. </t>
  </si>
  <si>
    <t>ВЕСОВАЯ КАТЕГОРИЯ   52</t>
  </si>
  <si>
    <t>Долбенков Виктор</t>
  </si>
  <si>
    <t>Юноши 15-19 (22.07.2003)/18</t>
  </si>
  <si>
    <t>50,50</t>
  </si>
  <si>
    <t>100,0</t>
  </si>
  <si>
    <t>112,5</t>
  </si>
  <si>
    <t>117,5</t>
  </si>
  <si>
    <t>70,0</t>
  </si>
  <si>
    <t>82,5</t>
  </si>
  <si>
    <t>130,0</t>
  </si>
  <si>
    <t>142,5</t>
  </si>
  <si>
    <t>147,5</t>
  </si>
  <si>
    <t xml:space="preserve">Тропин Г. </t>
  </si>
  <si>
    <t>ВЕСОВАЯ КАТЕГОРИЯ   75</t>
  </si>
  <si>
    <t>Минаев Александр</t>
  </si>
  <si>
    <t>Открытая (01.08.1993)/28</t>
  </si>
  <si>
    <t>75,00</t>
  </si>
  <si>
    <t>125,0</t>
  </si>
  <si>
    <t>127,5</t>
  </si>
  <si>
    <t>272,5</t>
  </si>
  <si>
    <t>Смирнов Виталий</t>
  </si>
  <si>
    <t>Открытая (17.11.1987)/34</t>
  </si>
  <si>
    <t>73,50</t>
  </si>
  <si>
    <t>180,0</t>
  </si>
  <si>
    <t>190,0</t>
  </si>
  <si>
    <t>120,0</t>
  </si>
  <si>
    <t>225,0</t>
  </si>
  <si>
    <t>Митин Андрей</t>
  </si>
  <si>
    <t>74,80</t>
  </si>
  <si>
    <t>140,0</t>
  </si>
  <si>
    <t>ВЕСОВАЯ КАТЕГОРИЯ   82.5</t>
  </si>
  <si>
    <t>Зубков Павел</t>
  </si>
  <si>
    <t>Открытая (22.12.1985)/36</t>
  </si>
  <si>
    <t>81,90</t>
  </si>
  <si>
    <t>135,0</t>
  </si>
  <si>
    <t>280,0</t>
  </si>
  <si>
    <t>300,0</t>
  </si>
  <si>
    <t>310,0</t>
  </si>
  <si>
    <t>Распопов Максим</t>
  </si>
  <si>
    <t>Открытая (11.07.1992)/29</t>
  </si>
  <si>
    <t>81,60</t>
  </si>
  <si>
    <t>170,0</t>
  </si>
  <si>
    <t>157,5</t>
  </si>
  <si>
    <t>185,0</t>
  </si>
  <si>
    <t xml:space="preserve">Луговой А. </t>
  </si>
  <si>
    <t>ВЕСОВАЯ КАТЕГОРИЯ   90</t>
  </si>
  <si>
    <t>Ким Николай</t>
  </si>
  <si>
    <t>89,80</t>
  </si>
  <si>
    <t>205,0</t>
  </si>
  <si>
    <t>145,0</t>
  </si>
  <si>
    <t xml:space="preserve">Суслов Н. </t>
  </si>
  <si>
    <t>Хоменко Роман</t>
  </si>
  <si>
    <t>Открытая (22.10.1996)/25</t>
  </si>
  <si>
    <t>90,00</t>
  </si>
  <si>
    <t>305,0</t>
  </si>
  <si>
    <t>Ковалевский Георгий</t>
  </si>
  <si>
    <t>Открытая (28.10.1997)/24</t>
  </si>
  <si>
    <t>89,40</t>
  </si>
  <si>
    <t>257,5</t>
  </si>
  <si>
    <t>167,5</t>
  </si>
  <si>
    <t>290,0</t>
  </si>
  <si>
    <t>320,0</t>
  </si>
  <si>
    <t>Спиридонов Степан</t>
  </si>
  <si>
    <t>Открытая (21.12.1993)/28</t>
  </si>
  <si>
    <t>89,20</t>
  </si>
  <si>
    <t>235,0</t>
  </si>
  <si>
    <t>182,5</t>
  </si>
  <si>
    <t>Бурковский Виктор</t>
  </si>
  <si>
    <t>Открытая (19.01.1990)/32</t>
  </si>
  <si>
    <t>89,00</t>
  </si>
  <si>
    <t>187,5</t>
  </si>
  <si>
    <t>195,0</t>
  </si>
  <si>
    <t>Марков Анатолий</t>
  </si>
  <si>
    <t>88,90</t>
  </si>
  <si>
    <t>Кочетков Кирилл</t>
  </si>
  <si>
    <t>Юноши 15-19 (27.12.2006)/15</t>
  </si>
  <si>
    <t>92,80</t>
  </si>
  <si>
    <t>Чумаев Андрей</t>
  </si>
  <si>
    <t>Открытая (26.08.1979)/42</t>
  </si>
  <si>
    <t>92,70</t>
  </si>
  <si>
    <t>275,0</t>
  </si>
  <si>
    <t>Денискин Сергей</t>
  </si>
  <si>
    <t>Открытая (28.08.1995)/26</t>
  </si>
  <si>
    <t>100,00</t>
  </si>
  <si>
    <t>Николаев Артем</t>
  </si>
  <si>
    <t>Открытая (01.06.1987)/34</t>
  </si>
  <si>
    <t>95,50</t>
  </si>
  <si>
    <t>212,5</t>
  </si>
  <si>
    <t>237,5</t>
  </si>
  <si>
    <t>162,5</t>
  </si>
  <si>
    <t>242,5</t>
  </si>
  <si>
    <t>Костоломов Дмитрий</t>
  </si>
  <si>
    <t>Открытая (12.12.1991)/30</t>
  </si>
  <si>
    <t>94,20</t>
  </si>
  <si>
    <t>227,5</t>
  </si>
  <si>
    <t>Аскеров Фарид</t>
  </si>
  <si>
    <t>Открытая (20.12.1986)/35</t>
  </si>
  <si>
    <t>93,80</t>
  </si>
  <si>
    <t>137,5</t>
  </si>
  <si>
    <t>Гринев Дмитрий</t>
  </si>
  <si>
    <t>97,40</t>
  </si>
  <si>
    <t>Соболев Станислав</t>
  </si>
  <si>
    <t>Открытая (14.12.1989)/32</t>
  </si>
  <si>
    <t>106,50</t>
  </si>
  <si>
    <t>285,0</t>
  </si>
  <si>
    <t>Геворков Арам</t>
  </si>
  <si>
    <t>Открытая (19.05.1990)/31</t>
  </si>
  <si>
    <t>108,50</t>
  </si>
  <si>
    <t>265,0</t>
  </si>
  <si>
    <t>Шмаков Иван</t>
  </si>
  <si>
    <t>Открытая (01.10.1988)/33</t>
  </si>
  <si>
    <t>101,50</t>
  </si>
  <si>
    <t>110,0</t>
  </si>
  <si>
    <t>115,0</t>
  </si>
  <si>
    <t>Ржанков Владимир</t>
  </si>
  <si>
    <t>107,50</t>
  </si>
  <si>
    <t>Черепков Алексей</t>
  </si>
  <si>
    <t>Открытая (09.06.1988)/33</t>
  </si>
  <si>
    <t>116,40</t>
  </si>
  <si>
    <t>315,0</t>
  </si>
  <si>
    <t>325,0</t>
  </si>
  <si>
    <t>Загороднюк Иван</t>
  </si>
  <si>
    <t>Открытая (02.05.1997)/25</t>
  </si>
  <si>
    <t>117,90</t>
  </si>
  <si>
    <t>295,0</t>
  </si>
  <si>
    <t>ВЕСОВАЯ КАТЕГОРИЯ   140</t>
  </si>
  <si>
    <t>Туляков Никита</t>
  </si>
  <si>
    <t>Открытая (23.02.1988)/34</t>
  </si>
  <si>
    <t>129,80</t>
  </si>
  <si>
    <t xml:space="preserve">Женщины </t>
  </si>
  <si>
    <t xml:space="preserve">Открытая </t>
  </si>
  <si>
    <t>335,0</t>
  </si>
  <si>
    <t>740,0</t>
  </si>
  <si>
    <t>725,0</t>
  </si>
  <si>
    <t>735,0</t>
  </si>
  <si>
    <t>ВЕСОВАЯ КАТЕГОРИЯ   48</t>
  </si>
  <si>
    <t>Лопухова Мария</t>
  </si>
  <si>
    <t>Открытая (07.12.1997)/24</t>
  </si>
  <si>
    <t>47,50</t>
  </si>
  <si>
    <t>95,0</t>
  </si>
  <si>
    <t>105,0</t>
  </si>
  <si>
    <t>40,0</t>
  </si>
  <si>
    <t>45,0</t>
  </si>
  <si>
    <t xml:space="preserve">Моргулец Д. </t>
  </si>
  <si>
    <t>Ших Анна</t>
  </si>
  <si>
    <t>Открытая (02.07.1989)/32</t>
  </si>
  <si>
    <t>51,30</t>
  </si>
  <si>
    <t>57,5</t>
  </si>
  <si>
    <t xml:space="preserve">Булатов А. </t>
  </si>
  <si>
    <t>Паньшина Татьяна</t>
  </si>
  <si>
    <t>Открытая (03.06.1980)/41</t>
  </si>
  <si>
    <t>51,40</t>
  </si>
  <si>
    <t>Мущинкина Елена</t>
  </si>
  <si>
    <t>Открытая (10.09.1983)/38</t>
  </si>
  <si>
    <t>52,00</t>
  </si>
  <si>
    <t>60,0</t>
  </si>
  <si>
    <t>62,5</t>
  </si>
  <si>
    <t>65,0</t>
  </si>
  <si>
    <t>Орлова Оксана</t>
  </si>
  <si>
    <t>Открытая (28.02.1993)/29</t>
  </si>
  <si>
    <t>51,20</t>
  </si>
  <si>
    <t>107,5</t>
  </si>
  <si>
    <t xml:space="preserve">Алёхин М. </t>
  </si>
  <si>
    <t>Кинжагулова Лилия</t>
  </si>
  <si>
    <t>Открытая (03.07.1973)/48</t>
  </si>
  <si>
    <t>49,10</t>
  </si>
  <si>
    <t>85,0</t>
  </si>
  <si>
    <t>90,0</t>
  </si>
  <si>
    <t xml:space="preserve">Голубев Е. </t>
  </si>
  <si>
    <t>Счастливая Вероника</t>
  </si>
  <si>
    <t>Открытая (28.11.1995)/26</t>
  </si>
  <si>
    <t>50,10</t>
  </si>
  <si>
    <t xml:space="preserve">Мустафин С. </t>
  </si>
  <si>
    <t>Захарова Ольга</t>
  </si>
  <si>
    <t>Открытая (06.03.1983)/39</t>
  </si>
  <si>
    <t>50,60</t>
  </si>
  <si>
    <t>35,0</t>
  </si>
  <si>
    <t>37,5</t>
  </si>
  <si>
    <t>102,5</t>
  </si>
  <si>
    <t xml:space="preserve">Качан С. </t>
  </si>
  <si>
    <t>Иванова Оксана</t>
  </si>
  <si>
    <t>Открытая (17.04.1987)/35</t>
  </si>
  <si>
    <t>42,5</t>
  </si>
  <si>
    <t>87,5</t>
  </si>
  <si>
    <t>Дубинина Татьяна</t>
  </si>
  <si>
    <t>50,20</t>
  </si>
  <si>
    <t>ВЕСОВАЯ КАТЕГОРИЯ   56</t>
  </si>
  <si>
    <t>Балякина Евгения</t>
  </si>
  <si>
    <t>Открытая (15.12.1990)/31</t>
  </si>
  <si>
    <t>55,70</t>
  </si>
  <si>
    <t>122,5</t>
  </si>
  <si>
    <t>172,5</t>
  </si>
  <si>
    <t>177,5</t>
  </si>
  <si>
    <t xml:space="preserve">Собко М. </t>
  </si>
  <si>
    <t>Колесникова Ольга</t>
  </si>
  <si>
    <t>Открытая (13.09.1994)/27</t>
  </si>
  <si>
    <t>54,90</t>
  </si>
  <si>
    <t xml:space="preserve">Пезиков И. </t>
  </si>
  <si>
    <t>Хуснутдинова Наталья</t>
  </si>
  <si>
    <t>Открытая (28.02.1979)/43</t>
  </si>
  <si>
    <t>55,50</t>
  </si>
  <si>
    <t>92,5</t>
  </si>
  <si>
    <t xml:space="preserve">Рощупкин А. </t>
  </si>
  <si>
    <t>Кузовова Татьяна</t>
  </si>
  <si>
    <t>Открытая (28.11.1991)/30</t>
  </si>
  <si>
    <t>47,5</t>
  </si>
  <si>
    <t>Ярмоленко Ирина</t>
  </si>
  <si>
    <t>Открытая (10.06.1985)/36</t>
  </si>
  <si>
    <t>56,00</t>
  </si>
  <si>
    <t>Параносенкова Галина</t>
  </si>
  <si>
    <t>Открытая (27.02.1992)/30</t>
  </si>
  <si>
    <t>54,60</t>
  </si>
  <si>
    <t>ВЕСОВАЯ КАТЕГОРИЯ   60</t>
  </si>
  <si>
    <t>Дубинина Анастасия</t>
  </si>
  <si>
    <t>Девушки 15-19 (13.10.2004)/17</t>
  </si>
  <si>
    <t>59,20</t>
  </si>
  <si>
    <t>Репина Анастасия</t>
  </si>
  <si>
    <t>57,60</t>
  </si>
  <si>
    <t xml:space="preserve">Репин Н. </t>
  </si>
  <si>
    <t>Богатенкова Анастасия</t>
  </si>
  <si>
    <t>Открытая (21.03.1998)/24</t>
  </si>
  <si>
    <t>59,80</t>
  </si>
  <si>
    <t>77,5</t>
  </si>
  <si>
    <t>Чупракова Екатерина</t>
  </si>
  <si>
    <t>Открытая (11.05.1982)/40</t>
  </si>
  <si>
    <t>58,10</t>
  </si>
  <si>
    <t>132,5</t>
  </si>
  <si>
    <t xml:space="preserve">Белкин Ю. </t>
  </si>
  <si>
    <t>Туманова Виктория</t>
  </si>
  <si>
    <t>Открытая (05.02.1999)/23</t>
  </si>
  <si>
    <t>57,00</t>
  </si>
  <si>
    <t>Федосейкина Надежда</t>
  </si>
  <si>
    <t>62,10</t>
  </si>
  <si>
    <t xml:space="preserve">Кафаш М. </t>
  </si>
  <si>
    <t>Лиховод Елизавета</t>
  </si>
  <si>
    <t>Открытая (21.08.1994)/27</t>
  </si>
  <si>
    <t>65,60</t>
  </si>
  <si>
    <t>Ядрихинская Мария</t>
  </si>
  <si>
    <t>Открытая (09.07.1982)/39</t>
  </si>
  <si>
    <t>66,60</t>
  </si>
  <si>
    <t>67,5</t>
  </si>
  <si>
    <t>Дурнева Дарья</t>
  </si>
  <si>
    <t>Открытая (19.11.1993)/28</t>
  </si>
  <si>
    <t>67,50</t>
  </si>
  <si>
    <t xml:space="preserve">Догадин О. </t>
  </si>
  <si>
    <t>Ржевская Ольга</t>
  </si>
  <si>
    <t>Открытая (29.08.1997)/24</t>
  </si>
  <si>
    <t>63,60</t>
  </si>
  <si>
    <t xml:space="preserve">Белов А. </t>
  </si>
  <si>
    <t>Брулева Евгения</t>
  </si>
  <si>
    <t>Открытая (19.12.1989)/32</t>
  </si>
  <si>
    <t>64,20</t>
  </si>
  <si>
    <t xml:space="preserve">Смирнов Д. </t>
  </si>
  <si>
    <t>Раскачнова Ирина</t>
  </si>
  <si>
    <t>Открытая (20.03.1973)/49</t>
  </si>
  <si>
    <t>64,60</t>
  </si>
  <si>
    <t xml:space="preserve">Раскачнов В. </t>
  </si>
  <si>
    <t>Шибанова Наталья</t>
  </si>
  <si>
    <t>65,20</t>
  </si>
  <si>
    <t>Черкасова Наталья</t>
  </si>
  <si>
    <t>Открытая (30.05.1976)/45</t>
  </si>
  <si>
    <t>72,50</t>
  </si>
  <si>
    <t xml:space="preserve">Пресняков В. </t>
  </si>
  <si>
    <t>Ильясова Елена</t>
  </si>
  <si>
    <t>Открытая (15.08.1993)/28</t>
  </si>
  <si>
    <t>69,00</t>
  </si>
  <si>
    <t>97,5</t>
  </si>
  <si>
    <t xml:space="preserve">Анисимов А. </t>
  </si>
  <si>
    <t>Гадецкая Мария</t>
  </si>
  <si>
    <t>Открытая (19.04.1987)/35</t>
  </si>
  <si>
    <t>68,90</t>
  </si>
  <si>
    <t xml:space="preserve">Козлов И. </t>
  </si>
  <si>
    <t>Гордеева Дарья</t>
  </si>
  <si>
    <t>Открытая (12.03.1994)/28</t>
  </si>
  <si>
    <t>76,10</t>
  </si>
  <si>
    <t xml:space="preserve">Борисов А. </t>
  </si>
  <si>
    <t>Шувалова Татьяна</t>
  </si>
  <si>
    <t>79,50</t>
  </si>
  <si>
    <t xml:space="preserve">Туляков Н. </t>
  </si>
  <si>
    <t>Лапшин Артём</t>
  </si>
  <si>
    <t>Юноши 15-19 (23.07.2007)/14</t>
  </si>
  <si>
    <t>67,30</t>
  </si>
  <si>
    <t xml:space="preserve">Кудряшов М. </t>
  </si>
  <si>
    <t>Гончаров Максим</t>
  </si>
  <si>
    <t>216,0</t>
  </si>
  <si>
    <t>197,5</t>
  </si>
  <si>
    <t>207,5</t>
  </si>
  <si>
    <t>Рек Александр</t>
  </si>
  <si>
    <t>Открытая (13.07.1987)/34</t>
  </si>
  <si>
    <t>66,80</t>
  </si>
  <si>
    <t>217,5</t>
  </si>
  <si>
    <t>222,5</t>
  </si>
  <si>
    <t>Открытая (01.04.2001)/21</t>
  </si>
  <si>
    <t>Молчанов Андрей</t>
  </si>
  <si>
    <t>Открытая (17.05.1989)/32</t>
  </si>
  <si>
    <t>67,10</t>
  </si>
  <si>
    <t xml:space="preserve">Дольников С. </t>
  </si>
  <si>
    <t>Рыбалкин Владислав</t>
  </si>
  <si>
    <t>Юноши 15-19 (30.06.2004)/17</t>
  </si>
  <si>
    <t>70,50</t>
  </si>
  <si>
    <t>Герасименко Андрей</t>
  </si>
  <si>
    <t>Юноши 15-19 (27.05.2004)/17</t>
  </si>
  <si>
    <t>71,10</t>
  </si>
  <si>
    <t xml:space="preserve">Дурнов Р. </t>
  </si>
  <si>
    <t>Чупров Алексей</t>
  </si>
  <si>
    <t>Юноши 15-19 (22.12.2003)/18</t>
  </si>
  <si>
    <t>70,40</t>
  </si>
  <si>
    <t xml:space="preserve">Зайцев Д. </t>
  </si>
  <si>
    <t>Кондратьев Егор</t>
  </si>
  <si>
    <t>Юноши 15-19 (26.09.2006)/15</t>
  </si>
  <si>
    <t xml:space="preserve">Зубков П. </t>
  </si>
  <si>
    <t>Карпов Евгений</t>
  </si>
  <si>
    <t>Открытая (26.10.1979)/42</t>
  </si>
  <si>
    <t>71,40</t>
  </si>
  <si>
    <t>202,5</t>
  </si>
  <si>
    <t>Арзуманов Сергей</t>
  </si>
  <si>
    <t>Открытая (28.09.1990)/31</t>
  </si>
  <si>
    <t>74,20</t>
  </si>
  <si>
    <t>192,5</t>
  </si>
  <si>
    <t>Николаев Олег</t>
  </si>
  <si>
    <t>Открытая (02.06.1989)/32</t>
  </si>
  <si>
    <t>72,10</t>
  </si>
  <si>
    <t>Доберчук Владимир</t>
  </si>
  <si>
    <t>73,00</t>
  </si>
  <si>
    <t>Загривый Егор</t>
  </si>
  <si>
    <t>Юноши 15-19 (09.12.2003)/18</t>
  </si>
  <si>
    <t>78,20</t>
  </si>
  <si>
    <t>152,5</t>
  </si>
  <si>
    <t>Желейко Алексей</t>
  </si>
  <si>
    <t>Юноши 15-19 (14.08.2002)/19</t>
  </si>
  <si>
    <t>80,80</t>
  </si>
  <si>
    <t xml:space="preserve">Пивоваров Е. </t>
  </si>
  <si>
    <t>Росляков Владислав</t>
  </si>
  <si>
    <t>79,70</t>
  </si>
  <si>
    <t>Дикопавленко Вадим</t>
  </si>
  <si>
    <t>75,90</t>
  </si>
  <si>
    <t>Елсаков Константин</t>
  </si>
  <si>
    <t>Открытая (26.05.1990)/31</t>
  </si>
  <si>
    <t>82,50</t>
  </si>
  <si>
    <t>251,0</t>
  </si>
  <si>
    <t>Иванников Сергей</t>
  </si>
  <si>
    <t>Открытая (09.11.1981)/40</t>
  </si>
  <si>
    <t>82,20</t>
  </si>
  <si>
    <t xml:space="preserve">Суриков Д. </t>
  </si>
  <si>
    <t>Костин Антон</t>
  </si>
  <si>
    <t>Открытая (05.08.1988)/33</t>
  </si>
  <si>
    <t>80,20</t>
  </si>
  <si>
    <t>Битюков Сергей</t>
  </si>
  <si>
    <t>Открытая (18.03.1981)/41</t>
  </si>
  <si>
    <t>Ширков Максим</t>
  </si>
  <si>
    <t>Открытая (24.05.1993)/28</t>
  </si>
  <si>
    <t>80,50</t>
  </si>
  <si>
    <t>Кузнецов Владислав</t>
  </si>
  <si>
    <t>Открытая (06.02.1986)/36</t>
  </si>
  <si>
    <t>Герасименко Олег</t>
  </si>
  <si>
    <t>Александров Андрей</t>
  </si>
  <si>
    <t>Юноши 15-19 (04.05.2004)/18</t>
  </si>
  <si>
    <t>85,40</t>
  </si>
  <si>
    <t xml:space="preserve">Дрозд Я. </t>
  </si>
  <si>
    <t>Алиев Рамазан-Исмаил</t>
  </si>
  <si>
    <t>89,30</t>
  </si>
  <si>
    <t>Владимиров Евгений</t>
  </si>
  <si>
    <t>Открытая (22.08.1964)/57</t>
  </si>
  <si>
    <t>87,60</t>
  </si>
  <si>
    <t>262,5</t>
  </si>
  <si>
    <t>255,0</t>
  </si>
  <si>
    <t xml:space="preserve">Никулин А. </t>
  </si>
  <si>
    <t>Куприянов Михаил</t>
  </si>
  <si>
    <t>Открытая (20.11.1985)/36</t>
  </si>
  <si>
    <t>89,60</t>
  </si>
  <si>
    <t>Першин Андрей</t>
  </si>
  <si>
    <t>Открытая (01.09.1993)/28</t>
  </si>
  <si>
    <t xml:space="preserve">Петров А. </t>
  </si>
  <si>
    <t>Открытая (12.05.1990)/32</t>
  </si>
  <si>
    <t xml:space="preserve"> </t>
  </si>
  <si>
    <t>Решетов Владимир</t>
  </si>
  <si>
    <t>88,40</t>
  </si>
  <si>
    <t xml:space="preserve">Решетов А. </t>
  </si>
  <si>
    <t>Мокин Роман</t>
  </si>
  <si>
    <t>Барбье Александр</t>
  </si>
  <si>
    <t>Абрамов Максим</t>
  </si>
  <si>
    <t>Толстых Потап</t>
  </si>
  <si>
    <t>Юноши 15-19 (14.03.2006)/16</t>
  </si>
  <si>
    <t>90,80</t>
  </si>
  <si>
    <t xml:space="preserve">Ильясов И. </t>
  </si>
  <si>
    <t>Беркун Олег</t>
  </si>
  <si>
    <t>98,20</t>
  </si>
  <si>
    <t>256,0</t>
  </si>
  <si>
    <t>Кратт Никита</t>
  </si>
  <si>
    <t>Каминский Евгений</t>
  </si>
  <si>
    <t>Открытая (07.06.1991)/30</t>
  </si>
  <si>
    <t>99,00</t>
  </si>
  <si>
    <t>Аванесов Сергей</t>
  </si>
  <si>
    <t>96,60</t>
  </si>
  <si>
    <t xml:space="preserve">Власова Н. </t>
  </si>
  <si>
    <t>Трунов Олег</t>
  </si>
  <si>
    <t>Открытая (08.08.1988)/33</t>
  </si>
  <si>
    <t>105,50</t>
  </si>
  <si>
    <t xml:space="preserve">Андреев Т. </t>
  </si>
  <si>
    <t>Воробьев Максим</t>
  </si>
  <si>
    <t>Открытая (19.04.1996)/26</t>
  </si>
  <si>
    <t>108,90</t>
  </si>
  <si>
    <t xml:space="preserve">Герман Ю. </t>
  </si>
  <si>
    <t>Малахов Алексей</t>
  </si>
  <si>
    <t>Открытая (01.07.1995)/26</t>
  </si>
  <si>
    <t>107,90</t>
  </si>
  <si>
    <t xml:space="preserve">Крылов В. </t>
  </si>
  <si>
    <t>Бычков Алексей</t>
  </si>
  <si>
    <t>Открытая (21.03.1983)/39</t>
  </si>
  <si>
    <t>116,30</t>
  </si>
  <si>
    <t>365,0</t>
  </si>
  <si>
    <t>317,5</t>
  </si>
  <si>
    <t>312,5</t>
  </si>
  <si>
    <t>565,0</t>
  </si>
  <si>
    <t>677,5</t>
  </si>
  <si>
    <t>652,5</t>
  </si>
  <si>
    <t>тест</t>
  </si>
  <si>
    <t>Казарина Елена</t>
  </si>
  <si>
    <t>73,90</t>
  </si>
  <si>
    <t>Паршков Виталий</t>
  </si>
  <si>
    <t>Юноши 15-19 (02.11.2004)/17</t>
  </si>
  <si>
    <t>73,40</t>
  </si>
  <si>
    <t>Ромашев Павел</t>
  </si>
  <si>
    <t>Открытая (24.04.1989)/33</t>
  </si>
  <si>
    <t>73,80</t>
  </si>
  <si>
    <t>Фомин Владимр</t>
  </si>
  <si>
    <t>Открытая (01.06.1989)/32</t>
  </si>
  <si>
    <t>282,5</t>
  </si>
  <si>
    <t>Тихонов Александр</t>
  </si>
  <si>
    <t>Открытая (20.03.1987)/35</t>
  </si>
  <si>
    <t>77,20</t>
  </si>
  <si>
    <t>Наршиев Бахытжан</t>
  </si>
  <si>
    <t>Открытая (03.01.1991)/31</t>
  </si>
  <si>
    <t>81,70</t>
  </si>
  <si>
    <t>Киселев Дмитрий</t>
  </si>
  <si>
    <t>Открытая (25.12.1985)/36</t>
  </si>
  <si>
    <t>Постика Владимир</t>
  </si>
  <si>
    <t>89,50</t>
  </si>
  <si>
    <t>247,5</t>
  </si>
  <si>
    <t>Карпович Максим</t>
  </si>
  <si>
    <t>Открытая (13.07.1993)/28</t>
  </si>
  <si>
    <t>99,80</t>
  </si>
  <si>
    <t>322,5</t>
  </si>
  <si>
    <t>Сувернев Виктор</t>
  </si>
  <si>
    <t>Мамцев Евгений</t>
  </si>
  <si>
    <t>Открытая (01.02.1987)/35</t>
  </si>
  <si>
    <t>109,10</t>
  </si>
  <si>
    <t>Лебедев Михаил</t>
  </si>
  <si>
    <t>Открытая (01.02.1996)/26</t>
  </si>
  <si>
    <t>104,00</t>
  </si>
  <si>
    <t>717,5</t>
  </si>
  <si>
    <t>730,0</t>
  </si>
  <si>
    <t>722,5</t>
  </si>
  <si>
    <t>Серова Ольга</t>
  </si>
  <si>
    <t>Открытая (05.11.1987)/34</t>
  </si>
  <si>
    <t>50,40</t>
  </si>
  <si>
    <t xml:space="preserve">Салпагаров Д. </t>
  </si>
  <si>
    <t>Насырова Анжелика</t>
  </si>
  <si>
    <t>Открытая (13.06.1995)/26</t>
  </si>
  <si>
    <t>59,40</t>
  </si>
  <si>
    <t>Виноградова Дарья</t>
  </si>
  <si>
    <t>Открытая (21.01.1989)/33</t>
  </si>
  <si>
    <t>79,90</t>
  </si>
  <si>
    <t xml:space="preserve">Танаев М. </t>
  </si>
  <si>
    <t>Раскачнов Владимир</t>
  </si>
  <si>
    <t>Открытая (27.04.1996)/26</t>
  </si>
  <si>
    <t>Галактионов Дмитрий</t>
  </si>
  <si>
    <t>Открытая (10.01.1983)/39</t>
  </si>
  <si>
    <t>87,90</t>
  </si>
  <si>
    <t>Николаев Андрей</t>
  </si>
  <si>
    <t>95,00</t>
  </si>
  <si>
    <t>Потехин Сергей</t>
  </si>
  <si>
    <t>Открытая (27.09.1996)/25</t>
  </si>
  <si>
    <t>108,00</t>
  </si>
  <si>
    <t xml:space="preserve">Муфазданов Р. </t>
  </si>
  <si>
    <t>Решетников Богдан</t>
  </si>
  <si>
    <t>Открытая (04.06.1997)/24</t>
  </si>
  <si>
    <t>106,70</t>
  </si>
  <si>
    <t>Одегов Сергей</t>
  </si>
  <si>
    <t>Открытая (02.10.1976)/45</t>
  </si>
  <si>
    <t>124,10</t>
  </si>
  <si>
    <t>Долгих Андрей</t>
  </si>
  <si>
    <t>Открытая (06.11.1987)/34</t>
  </si>
  <si>
    <t>123,70</t>
  </si>
  <si>
    <t>Горбанев Александр</t>
  </si>
  <si>
    <t>Открытая (12.08.1983)/38</t>
  </si>
  <si>
    <t>138,60</t>
  </si>
  <si>
    <t>232,5</t>
  </si>
  <si>
    <t>292,5</t>
  </si>
  <si>
    <t>Алексеева Ирина</t>
  </si>
  <si>
    <t>Открытая (05.05.1984)/38</t>
  </si>
  <si>
    <t>57,80</t>
  </si>
  <si>
    <t>Румянцева Светлана</t>
  </si>
  <si>
    <t>Открытая (16.05.1988)/33</t>
  </si>
  <si>
    <t>Зиньковский Роман</t>
  </si>
  <si>
    <t>Открытая (01.10.1967)/54</t>
  </si>
  <si>
    <t>Лотарев Дмитрий</t>
  </si>
  <si>
    <t>Открытая (02.03.1978)/44</t>
  </si>
  <si>
    <t>69,40</t>
  </si>
  <si>
    <t>Сычёв Сергей</t>
  </si>
  <si>
    <t>Открытая (18.07.1978)/43</t>
  </si>
  <si>
    <t>78,00</t>
  </si>
  <si>
    <t>Соков Денис</t>
  </si>
  <si>
    <t>Открытая (26.12.1985)/36</t>
  </si>
  <si>
    <t>80,30</t>
  </si>
  <si>
    <t>Кокорев Илья</t>
  </si>
  <si>
    <t>Открытая (19.01.1973)/49</t>
  </si>
  <si>
    <t>Чугунов Виталий</t>
  </si>
  <si>
    <t>89,70</t>
  </si>
  <si>
    <t>Багиров Тимур</t>
  </si>
  <si>
    <t>88,60</t>
  </si>
  <si>
    <t>Федоренко Роман</t>
  </si>
  <si>
    <t>Открытая (28.05.1988)/33</t>
  </si>
  <si>
    <t>95,20</t>
  </si>
  <si>
    <t xml:space="preserve">Коваленко К. </t>
  </si>
  <si>
    <t>Николаев Максим</t>
  </si>
  <si>
    <t>Открытая (09.08.1983)/38</t>
  </si>
  <si>
    <t>98,10</t>
  </si>
  <si>
    <t>Царёв Иван</t>
  </si>
  <si>
    <t>Открытая (09.01.1985)/37</t>
  </si>
  <si>
    <t>Чибисов Степан</t>
  </si>
  <si>
    <t>Открытая (06.03.1989)/33</t>
  </si>
  <si>
    <t>99,20</t>
  </si>
  <si>
    <t>Бондарев Евгений</t>
  </si>
  <si>
    <t>Открытая (21.09.1985)/36</t>
  </si>
  <si>
    <t>107,80</t>
  </si>
  <si>
    <t>Мусаев Ахмед</t>
  </si>
  <si>
    <t>Открытая (10.10.1980)/41</t>
  </si>
  <si>
    <t>102,00</t>
  </si>
  <si>
    <t>Клещев Михаил</t>
  </si>
  <si>
    <t>Открытая (05.03.1986)/36</t>
  </si>
  <si>
    <t>104,30</t>
  </si>
  <si>
    <t xml:space="preserve">Беловал Е. </t>
  </si>
  <si>
    <t>Сидорук Алексей</t>
  </si>
  <si>
    <t>Открытая (24.11.1977)/44</t>
  </si>
  <si>
    <t>107,60</t>
  </si>
  <si>
    <t>Моисеев Артем</t>
  </si>
  <si>
    <t>Открытая (16.03.1990)/32</t>
  </si>
  <si>
    <t>104,80</t>
  </si>
  <si>
    <t>Карчевский Аркадий</t>
  </si>
  <si>
    <t xml:space="preserve">Романов Ю. </t>
  </si>
  <si>
    <t>Демидов Дмитрий</t>
  </si>
  <si>
    <t>122,60</t>
  </si>
  <si>
    <t>Коблик Дмитрий</t>
  </si>
  <si>
    <t>Открытая (20.08.1993)/28</t>
  </si>
  <si>
    <t>114,20</t>
  </si>
  <si>
    <t xml:space="preserve">Коваленко А. </t>
  </si>
  <si>
    <t>Простяков Кирилл</t>
  </si>
  <si>
    <t>Открытая (24.06.1985)/36</t>
  </si>
  <si>
    <t>119,40</t>
  </si>
  <si>
    <t>Новиков Евгений</t>
  </si>
  <si>
    <t>Открытая (10.07.1992)/29</t>
  </si>
  <si>
    <t>119,50</t>
  </si>
  <si>
    <t>Мальков Олег</t>
  </si>
  <si>
    <t>123,60</t>
  </si>
  <si>
    <t>Аствацатуров Александр</t>
  </si>
  <si>
    <t>114,00</t>
  </si>
  <si>
    <t>Гаджиев Магомед</t>
  </si>
  <si>
    <t>Открытая (22.01.1991)/31</t>
  </si>
  <si>
    <t>140,00</t>
  </si>
  <si>
    <t>ВЕСОВАЯ КАТЕГОРИЯ   140+</t>
  </si>
  <si>
    <t>Горбунов Александр</t>
  </si>
  <si>
    <t>Открытая (15.09.1986)/35</t>
  </si>
  <si>
    <t>146,00</t>
  </si>
  <si>
    <t xml:space="preserve">Результат </t>
  </si>
  <si>
    <t>Результат</t>
  </si>
  <si>
    <t>Балясина Евгения</t>
  </si>
  <si>
    <t>Открытая (21.05.1989)/32</t>
  </si>
  <si>
    <t>47,90</t>
  </si>
  <si>
    <t xml:space="preserve">Беляев Р. </t>
  </si>
  <si>
    <t>Флёрова Анна</t>
  </si>
  <si>
    <t>Открытая (31.07.2009)/12</t>
  </si>
  <si>
    <t>47,60</t>
  </si>
  <si>
    <t xml:space="preserve">Флёров </t>
  </si>
  <si>
    <t>Зулпукарова Олмаскан</t>
  </si>
  <si>
    <t>Открытая (30.05.1989)/32</t>
  </si>
  <si>
    <t>Аверина Мария</t>
  </si>
  <si>
    <t>Открытая (23.12.1977)/44</t>
  </si>
  <si>
    <t xml:space="preserve">Боев В. </t>
  </si>
  <si>
    <t>Красильникова Яна</t>
  </si>
  <si>
    <t>Открытая (28.06.1983)/38</t>
  </si>
  <si>
    <t>Попова Любовь</t>
  </si>
  <si>
    <t>Жилина Яна</t>
  </si>
  <si>
    <t>Открытая (30.10.1990)/31</t>
  </si>
  <si>
    <t>54,80</t>
  </si>
  <si>
    <t xml:space="preserve">Алышев Н. </t>
  </si>
  <si>
    <t>Пэдурец Алена</t>
  </si>
  <si>
    <t>Открытая (09.05.1998)/24</t>
  </si>
  <si>
    <t>54,00</t>
  </si>
  <si>
    <t xml:space="preserve">Пэдурец Е. </t>
  </si>
  <si>
    <t>Кузнецова Луиза</t>
  </si>
  <si>
    <t>Открытая (21.12.1994)/27</t>
  </si>
  <si>
    <t>59,60</t>
  </si>
  <si>
    <t xml:space="preserve">Медведева Е. </t>
  </si>
  <si>
    <t>Григорьева Светлана</t>
  </si>
  <si>
    <t>Открытая (15.07.1982)/39</t>
  </si>
  <si>
    <t>65,90</t>
  </si>
  <si>
    <t>Лопатина Елена</t>
  </si>
  <si>
    <t>Открытая (19.06.1977)/44</t>
  </si>
  <si>
    <t>63,10</t>
  </si>
  <si>
    <t xml:space="preserve">Карпов Е. </t>
  </si>
  <si>
    <t>Маскаева Виталия</t>
  </si>
  <si>
    <t>Девушки 15-19 (16.09.2004)/17</t>
  </si>
  <si>
    <t>73,20</t>
  </si>
  <si>
    <t>30,0</t>
  </si>
  <si>
    <t>Рыльская Ирина</t>
  </si>
  <si>
    <t>Открытая (06.05.1980)/42</t>
  </si>
  <si>
    <t>69,50</t>
  </si>
  <si>
    <t>Чернышева Екатерина</t>
  </si>
  <si>
    <t>Открытая (25.07.1983)/38</t>
  </si>
  <si>
    <t>67,60</t>
  </si>
  <si>
    <t>Харина Валентина</t>
  </si>
  <si>
    <t xml:space="preserve">Прокопов М. </t>
  </si>
  <si>
    <t>Марченко Ольга</t>
  </si>
  <si>
    <t>77,40</t>
  </si>
  <si>
    <t>Федосов Евгений</t>
  </si>
  <si>
    <t>Юноши 15-19 (28.09.2009)/12</t>
  </si>
  <si>
    <t>43,80</t>
  </si>
  <si>
    <t>Суханов Игорь</t>
  </si>
  <si>
    <t>66,50</t>
  </si>
  <si>
    <t>Бакалов Глеб</t>
  </si>
  <si>
    <t>Юноши 15-19 (12.08.2005)/16</t>
  </si>
  <si>
    <t>Парфёнов Дмитрий</t>
  </si>
  <si>
    <t>Юноши 15-19 (19.03.2003)/19</t>
  </si>
  <si>
    <t>72,30</t>
  </si>
  <si>
    <t>Сокуров Георгий</t>
  </si>
  <si>
    <t>Сидоркин Дмитрий</t>
  </si>
  <si>
    <t>Открытая (04.02.1993)/29</t>
  </si>
  <si>
    <t xml:space="preserve">Суджан А. </t>
  </si>
  <si>
    <t>Кузьмин Алексей</t>
  </si>
  <si>
    <t>Открытая (29.07.1995)/26</t>
  </si>
  <si>
    <t>Масленников Николай</t>
  </si>
  <si>
    <t>Открытая (18.12.1992)/29</t>
  </si>
  <si>
    <t>74,00</t>
  </si>
  <si>
    <t>Крикунов Юрий</t>
  </si>
  <si>
    <t>69,70</t>
  </si>
  <si>
    <t>Кокташ Алексей</t>
  </si>
  <si>
    <t>Шпак Ярослав</t>
  </si>
  <si>
    <t>Рыжков Евгений</t>
  </si>
  <si>
    <t>Открытая (23.12.1989)/32</t>
  </si>
  <si>
    <t>80,10</t>
  </si>
  <si>
    <t xml:space="preserve">Бурлаков М. </t>
  </si>
  <si>
    <t>Открытая (21.03.2002)/20</t>
  </si>
  <si>
    <t>Кривошеин Даниил</t>
  </si>
  <si>
    <t>Открытая (20.12.1995)/26</t>
  </si>
  <si>
    <t>79,40</t>
  </si>
  <si>
    <t>Евсеев Игорь</t>
  </si>
  <si>
    <t>Открытая (30.07.1988)/33</t>
  </si>
  <si>
    <t xml:space="preserve">Скорятин А. </t>
  </si>
  <si>
    <t>Крылов Аркадий</t>
  </si>
  <si>
    <t>Открытая (25.10.1990)/31</t>
  </si>
  <si>
    <t>81,10</t>
  </si>
  <si>
    <t>Булатов Денис</t>
  </si>
  <si>
    <t>Открытая (10.07.1996)/25</t>
  </si>
  <si>
    <t>81,00</t>
  </si>
  <si>
    <t>Сычев Олег</t>
  </si>
  <si>
    <t>80,90</t>
  </si>
  <si>
    <t xml:space="preserve">Мелин А. </t>
  </si>
  <si>
    <t>Желябовский Дмитрий</t>
  </si>
  <si>
    <t>Чернейкин Сергей</t>
  </si>
  <si>
    <t>79,10</t>
  </si>
  <si>
    <t xml:space="preserve">Одегов С. </t>
  </si>
  <si>
    <t>Поликарпов Александр</t>
  </si>
  <si>
    <t>Юноши 15-19 (29.05.2002)/19</t>
  </si>
  <si>
    <t>83,30</t>
  </si>
  <si>
    <t>Сенькин Станислав</t>
  </si>
  <si>
    <t>Открытая (22.01.1996)/26</t>
  </si>
  <si>
    <t>83,60</t>
  </si>
  <si>
    <t xml:space="preserve">Сенькин Д. </t>
  </si>
  <si>
    <t>Сокол Андрей</t>
  </si>
  <si>
    <t>Открытая (22.05.1987)/34</t>
  </si>
  <si>
    <t>88,20</t>
  </si>
  <si>
    <t>Корнилов Алексей</t>
  </si>
  <si>
    <t>Открытая (05.08.1990)/31</t>
  </si>
  <si>
    <t>Грищенко Дмитрий</t>
  </si>
  <si>
    <t>Открытая (24.07.1994)/27</t>
  </si>
  <si>
    <t xml:space="preserve">Ильин Б. </t>
  </si>
  <si>
    <t>Рябов Вадим</t>
  </si>
  <si>
    <t>Открытая (16.08.1986)/35</t>
  </si>
  <si>
    <t>88,00</t>
  </si>
  <si>
    <t>Мельников Алексей</t>
  </si>
  <si>
    <t>Открытая (18.05.1983)/38</t>
  </si>
  <si>
    <t>86,60</t>
  </si>
  <si>
    <t>Тихиенко Антон</t>
  </si>
  <si>
    <t>Открытая (04.06.1987)/34</t>
  </si>
  <si>
    <t>85,10</t>
  </si>
  <si>
    <t>Литвинов Виктор</t>
  </si>
  <si>
    <t>Открытая (09.10.1995)/26</t>
  </si>
  <si>
    <t>Панин Александр</t>
  </si>
  <si>
    <t xml:space="preserve">Харчиков А. </t>
  </si>
  <si>
    <t>Омаров Магомед</t>
  </si>
  <si>
    <t>Федотов Олег</t>
  </si>
  <si>
    <t>86,10</t>
  </si>
  <si>
    <t>Клименко Владимир</t>
  </si>
  <si>
    <t>87,00</t>
  </si>
  <si>
    <t xml:space="preserve">Наумов А. </t>
  </si>
  <si>
    <t>Богачев Андрей</t>
  </si>
  <si>
    <t>Открытая (29.04.1994)/28</t>
  </si>
  <si>
    <t>99,30</t>
  </si>
  <si>
    <t>Плотников Герман</t>
  </si>
  <si>
    <t>Открытая (08.05.1976)/46</t>
  </si>
  <si>
    <t>97,50</t>
  </si>
  <si>
    <t xml:space="preserve">Кучин И. </t>
  </si>
  <si>
    <t>Емельянов Кирилл</t>
  </si>
  <si>
    <t>Открытая (02.06.1986)/35</t>
  </si>
  <si>
    <t>96,70</t>
  </si>
  <si>
    <t>Арутюнян Георгий</t>
  </si>
  <si>
    <t>Открытая (12.02.1987)/35</t>
  </si>
  <si>
    <t>99,10</t>
  </si>
  <si>
    <t xml:space="preserve">Сидельников М. </t>
  </si>
  <si>
    <t>Новиков Дмитрий</t>
  </si>
  <si>
    <t>Открытая (11.12.1993)/28</t>
  </si>
  <si>
    <t>96,40</t>
  </si>
  <si>
    <t>Шабалин Александр</t>
  </si>
  <si>
    <t>Шамин Георгий</t>
  </si>
  <si>
    <t>Юноши 15-19 (02.10.2007)/14</t>
  </si>
  <si>
    <t>107,00</t>
  </si>
  <si>
    <t>Телепнев Владислав</t>
  </si>
  <si>
    <t>Гаврин Никита</t>
  </si>
  <si>
    <t xml:space="preserve">Мучлер А. </t>
  </si>
  <si>
    <t>Буланов Алексей</t>
  </si>
  <si>
    <t>Открытая (11.04.1992)/30</t>
  </si>
  <si>
    <t>Клочков Виктор</t>
  </si>
  <si>
    <t>Открытая (14.02.1996)/26</t>
  </si>
  <si>
    <t>109,40</t>
  </si>
  <si>
    <t>Крюков Владислав</t>
  </si>
  <si>
    <t>109,60</t>
  </si>
  <si>
    <t>Крипак Сергей</t>
  </si>
  <si>
    <t>110,00</t>
  </si>
  <si>
    <t>Яковенко Владимир</t>
  </si>
  <si>
    <t>Намазов Руслан</t>
  </si>
  <si>
    <t>Открытая (07.01.1994)/28</t>
  </si>
  <si>
    <t>113,40</t>
  </si>
  <si>
    <t>Иващенко Алексей</t>
  </si>
  <si>
    <t>Открытая (08.08.1983)/38</t>
  </si>
  <si>
    <t>121,70</t>
  </si>
  <si>
    <t>Шпагин Максим</t>
  </si>
  <si>
    <t>Открытая (04.01.1979)/43</t>
  </si>
  <si>
    <t>124,40</t>
  </si>
  <si>
    <t>Сорокин Павел</t>
  </si>
  <si>
    <t>Открытая (03.01.1984)/38</t>
  </si>
  <si>
    <t>124,50</t>
  </si>
  <si>
    <t xml:space="preserve">Кондратенко Д. </t>
  </si>
  <si>
    <t>Бадер Максим</t>
  </si>
  <si>
    <t>Юноши 15-19 (31.10.2005)/16</t>
  </si>
  <si>
    <t>130,60</t>
  </si>
  <si>
    <t>Чубаров Владимир</t>
  </si>
  <si>
    <t>133,60</t>
  </si>
  <si>
    <t>Никифоров Александр</t>
  </si>
  <si>
    <t>Открытая (18.10.1973)/48</t>
  </si>
  <si>
    <t>146,50</t>
  </si>
  <si>
    <t>Чурин Юрий</t>
  </si>
  <si>
    <t>74,30</t>
  </si>
  <si>
    <t>Новиков Олег</t>
  </si>
  <si>
    <t xml:space="preserve">Семенихин И. </t>
  </si>
  <si>
    <t>Краснобаев Даниил</t>
  </si>
  <si>
    <t xml:space="preserve">Кровиков А. </t>
  </si>
  <si>
    <t>Садовниченко Карина</t>
  </si>
  <si>
    <t>Открытая (16.08.1989)/32</t>
  </si>
  <si>
    <t>50,80</t>
  </si>
  <si>
    <t>Кузьмина Ирина</t>
  </si>
  <si>
    <t>50,90</t>
  </si>
  <si>
    <t>Лапина Ксения</t>
  </si>
  <si>
    <t>Девушки 15-19 (07.12.2006)/15</t>
  </si>
  <si>
    <t>56,70</t>
  </si>
  <si>
    <t>Шишкина Кира</t>
  </si>
  <si>
    <t>Открытая (23.08.1982)/39</t>
  </si>
  <si>
    <t>58,00</t>
  </si>
  <si>
    <t xml:space="preserve">Минаев А. </t>
  </si>
  <si>
    <t>Лапин Данил</t>
  </si>
  <si>
    <t>Юноши 15-19 (15.04.2010)/12</t>
  </si>
  <si>
    <t>Лапин Артем</t>
  </si>
  <si>
    <t>Юноши 15-19 (28.08.2008)/13</t>
  </si>
  <si>
    <t>66,90</t>
  </si>
  <si>
    <t>Анищенко Артём</t>
  </si>
  <si>
    <t>Юноши 15-19 (07.11.2007)/14</t>
  </si>
  <si>
    <t>Открытая (02.11.2004)/17</t>
  </si>
  <si>
    <t>Шейкин Алексей</t>
  </si>
  <si>
    <t>Открытая (24.03.1988)/34</t>
  </si>
  <si>
    <t>Перевезенцев Владислав</t>
  </si>
  <si>
    <t>Открытая (24.06.1995)/26</t>
  </si>
  <si>
    <t>88,10</t>
  </si>
  <si>
    <t>Мисиюк Вячеслав</t>
  </si>
  <si>
    <t>Открытая (11.11.1984)/37</t>
  </si>
  <si>
    <t>Коротков Сергей</t>
  </si>
  <si>
    <t>Рыбин Александр</t>
  </si>
  <si>
    <t>98,60</t>
  </si>
  <si>
    <t xml:space="preserve">Тагиев Н. </t>
  </si>
  <si>
    <t>Катков Александр</t>
  </si>
  <si>
    <t>Открытая (11.01.1987)/35</t>
  </si>
  <si>
    <t>99,90</t>
  </si>
  <si>
    <t>252,5</t>
  </si>
  <si>
    <t xml:space="preserve">Суджян А. </t>
  </si>
  <si>
    <t>Усачев Игорь</t>
  </si>
  <si>
    <t>95,30</t>
  </si>
  <si>
    <t>91,60</t>
  </si>
  <si>
    <t>Худиев Руслан</t>
  </si>
  <si>
    <t>Открытая (17.04.1992)/30</t>
  </si>
  <si>
    <t>106,40</t>
  </si>
  <si>
    <t>Патрин Олег</t>
  </si>
  <si>
    <t>Открытая (31.10.1989)/32</t>
  </si>
  <si>
    <t>121,90</t>
  </si>
  <si>
    <t>Ширяев Сергей</t>
  </si>
  <si>
    <t>125,90</t>
  </si>
  <si>
    <t>330,0</t>
  </si>
  <si>
    <t>Ларькина Елизавета</t>
  </si>
  <si>
    <t>Открытая (24.03.1998)/24</t>
  </si>
  <si>
    <t xml:space="preserve">Горбачев П. </t>
  </si>
  <si>
    <t>Тельнова Мария</t>
  </si>
  <si>
    <t>Открытая (17.04.2001)/21</t>
  </si>
  <si>
    <t>51,80</t>
  </si>
  <si>
    <t xml:space="preserve">Папян А. </t>
  </si>
  <si>
    <t>Смольянинова Надежда</t>
  </si>
  <si>
    <t>Открытая (21.10.1990)/31</t>
  </si>
  <si>
    <t xml:space="preserve">Шишлянников Д. </t>
  </si>
  <si>
    <t>Якунова Василиса</t>
  </si>
  <si>
    <t>Девушки 15-19 (21.03.2007)/15</t>
  </si>
  <si>
    <t>Цветкова Светлана</t>
  </si>
  <si>
    <t>Открытая (10.03.1980)/42</t>
  </si>
  <si>
    <t>55,80</t>
  </si>
  <si>
    <t>Яковлева Ксения</t>
  </si>
  <si>
    <t>Открытая (14.06.1992)/29</t>
  </si>
  <si>
    <t>52,80</t>
  </si>
  <si>
    <t xml:space="preserve">Елистратова О. </t>
  </si>
  <si>
    <t>Шульгина Ольга</t>
  </si>
  <si>
    <t xml:space="preserve">Самохвалов Д. </t>
  </si>
  <si>
    <t>Кустова Мария</t>
  </si>
  <si>
    <t>Девушки 15-19 (24.08.2005)/16</t>
  </si>
  <si>
    <t>59,10</t>
  </si>
  <si>
    <t xml:space="preserve">Шатило И. </t>
  </si>
  <si>
    <t>Зиннатуллина Диана</t>
  </si>
  <si>
    <t>Открытая (03.02.1997)/25</t>
  </si>
  <si>
    <t>60,00</t>
  </si>
  <si>
    <t xml:space="preserve">Самойлов М. </t>
  </si>
  <si>
    <t>Чигарева Елена</t>
  </si>
  <si>
    <t>Открытая (27.12.1984)/37</t>
  </si>
  <si>
    <t>59,00</t>
  </si>
  <si>
    <t>Привалова Екатерина</t>
  </si>
  <si>
    <t xml:space="preserve">Мякишева Г. </t>
  </si>
  <si>
    <t>Чернова Анастасия</t>
  </si>
  <si>
    <t>Открытая (20.02.2001)/21</t>
  </si>
  <si>
    <t>65,40</t>
  </si>
  <si>
    <t xml:space="preserve">Чичин А. </t>
  </si>
  <si>
    <t>Кустикова Марина</t>
  </si>
  <si>
    <t>Открытая (18.10.1984)/37</t>
  </si>
  <si>
    <t>63,20</t>
  </si>
  <si>
    <t>Вышинская Елена</t>
  </si>
  <si>
    <t>Открытая (23.06.1983)/38</t>
  </si>
  <si>
    <t>65,00</t>
  </si>
  <si>
    <t>Кудряшова Ирина</t>
  </si>
  <si>
    <t>Оридорога Ольга</t>
  </si>
  <si>
    <t>66,70</t>
  </si>
  <si>
    <t>Иванцова Татьяна</t>
  </si>
  <si>
    <t>Открытая (22.06.1979)/42</t>
  </si>
  <si>
    <t>74,90</t>
  </si>
  <si>
    <t xml:space="preserve">Петруньков Д. </t>
  </si>
  <si>
    <t>Кузьмина Юлия</t>
  </si>
  <si>
    <t>Открытая (02.09.1989)/32</t>
  </si>
  <si>
    <t>74,50</t>
  </si>
  <si>
    <t xml:space="preserve">Прусов И. </t>
  </si>
  <si>
    <t>Никитина Мария</t>
  </si>
  <si>
    <t>Открытая (18.08.1987)/34</t>
  </si>
  <si>
    <t>77,70</t>
  </si>
  <si>
    <t>Котов Глеб</t>
  </si>
  <si>
    <t>Юноши 15-19 (14.06.2011)/10</t>
  </si>
  <si>
    <t>45,00</t>
  </si>
  <si>
    <t>Осипян Арсен</t>
  </si>
  <si>
    <t>Открытая (14.04.1997)/25</t>
  </si>
  <si>
    <t>58,30</t>
  </si>
  <si>
    <t xml:space="preserve">Филимонов О. </t>
  </si>
  <si>
    <t>Шокало Александр</t>
  </si>
  <si>
    <t>Юноши 15-19 (08.07.2002)/19</t>
  </si>
  <si>
    <t>66,00</t>
  </si>
  <si>
    <t xml:space="preserve">Прокопьев В. </t>
  </si>
  <si>
    <t>Щербаков Дмитрий</t>
  </si>
  <si>
    <t>Открытая (27.04.1984)/38</t>
  </si>
  <si>
    <t>64,70</t>
  </si>
  <si>
    <t>Шуклин Артём</t>
  </si>
  <si>
    <t>Юноши 15-19 (06.09.2008)/13</t>
  </si>
  <si>
    <t>67,80</t>
  </si>
  <si>
    <t>Мурзин Антон</t>
  </si>
  <si>
    <t>Открытая (03.02.1998)/24</t>
  </si>
  <si>
    <t>Макаров Егор</t>
  </si>
  <si>
    <t>Юноши 15-19 (07.06.2002)/19</t>
  </si>
  <si>
    <t>Шабельник Артур</t>
  </si>
  <si>
    <t>Юноши 15-19 (17.01.2004)/18</t>
  </si>
  <si>
    <t>79,60</t>
  </si>
  <si>
    <t>Дольников Сергей</t>
  </si>
  <si>
    <t>Открытая (05.05.1986)/36</t>
  </si>
  <si>
    <t>80,00</t>
  </si>
  <si>
    <t>Баенов Чумабек</t>
  </si>
  <si>
    <t>Открытая (19.02.1990)/32</t>
  </si>
  <si>
    <t>82,00</t>
  </si>
  <si>
    <t>Айсаев Мухтар</t>
  </si>
  <si>
    <t>Открытая (21.01.1998)/24</t>
  </si>
  <si>
    <t>82,40</t>
  </si>
  <si>
    <t>Скорятин Андрей</t>
  </si>
  <si>
    <t>Открытая (16.10.1992)/29</t>
  </si>
  <si>
    <t>Скокин Виктор</t>
  </si>
  <si>
    <t>76,60</t>
  </si>
  <si>
    <t>Троицкий Артем</t>
  </si>
  <si>
    <t>Открытая (17.12.2000)/21</t>
  </si>
  <si>
    <t>87,40</t>
  </si>
  <si>
    <t>Мотов Дмитрий</t>
  </si>
  <si>
    <t>Открытая (06.12.1983)/38</t>
  </si>
  <si>
    <t>86,50</t>
  </si>
  <si>
    <t>Зотов Владимир</t>
  </si>
  <si>
    <t>88,30</t>
  </si>
  <si>
    <t>Анцупов Сергей</t>
  </si>
  <si>
    <t>Зайцев Вадим</t>
  </si>
  <si>
    <t>86,20</t>
  </si>
  <si>
    <t>Тимохин Сергей</t>
  </si>
  <si>
    <t xml:space="preserve">Грунтов В. </t>
  </si>
  <si>
    <t>Хватов Ярослав</t>
  </si>
  <si>
    <t>Открытая (09.03.1994)/28</t>
  </si>
  <si>
    <t>97,70</t>
  </si>
  <si>
    <t>Открытая (06.06.1965)/56</t>
  </si>
  <si>
    <t>Зайцев Дмитрий</t>
  </si>
  <si>
    <t>95,40</t>
  </si>
  <si>
    <t>Дурандин Сергей</t>
  </si>
  <si>
    <t>99,70</t>
  </si>
  <si>
    <t>Григорьев Юрий</t>
  </si>
  <si>
    <t>Макаров Владимир</t>
  </si>
  <si>
    <t>97,30</t>
  </si>
  <si>
    <t>Машков Артем</t>
  </si>
  <si>
    <t>Открытая (16.10.1996)/25</t>
  </si>
  <si>
    <t>105,30</t>
  </si>
  <si>
    <t xml:space="preserve">Бебенин Г. </t>
  </si>
  <si>
    <t>Гринько Михаил</t>
  </si>
  <si>
    <t>102,60</t>
  </si>
  <si>
    <t>Старов Дмитрий</t>
  </si>
  <si>
    <t>120,70</t>
  </si>
  <si>
    <t>Бабин Евгений</t>
  </si>
  <si>
    <t>118,90</t>
  </si>
  <si>
    <t xml:space="preserve">Петров С. </t>
  </si>
  <si>
    <t>Краснопёров Платон</t>
  </si>
  <si>
    <t>Юноши 15-19 (12.01.2010)/12</t>
  </si>
  <si>
    <t>38,00</t>
  </si>
  <si>
    <t>Савицкая Марина</t>
  </si>
  <si>
    <t>Открытая (14.10.1989)/32</t>
  </si>
  <si>
    <t>56,50</t>
  </si>
  <si>
    <t>Агеев Андрей</t>
  </si>
  <si>
    <t>Открытая (23.05.1995)/26</t>
  </si>
  <si>
    <t>Вышинский Никита</t>
  </si>
  <si>
    <t>Юноши 15-19 (30.11.2007)/14</t>
  </si>
  <si>
    <t>55,10</t>
  </si>
  <si>
    <t xml:space="preserve">Мякишев С. </t>
  </si>
  <si>
    <t>Боровков Владимир</t>
  </si>
  <si>
    <t>Открытая (13.11.1992)/29</t>
  </si>
  <si>
    <t>71,30</t>
  </si>
  <si>
    <t>340,0</t>
  </si>
  <si>
    <t>Прошин Алексей</t>
  </si>
  <si>
    <t>Открытая (10.04.1984)/38</t>
  </si>
  <si>
    <t>Капутина Анна</t>
  </si>
  <si>
    <t>Открытая (17.05.1982)/39</t>
  </si>
  <si>
    <t>55,20</t>
  </si>
  <si>
    <t xml:space="preserve">Капутин Д. </t>
  </si>
  <si>
    <t>Турковская Ольга</t>
  </si>
  <si>
    <t>71,20</t>
  </si>
  <si>
    <t xml:space="preserve">Лазариди Г. </t>
  </si>
  <si>
    <t>Овсянников Денис</t>
  </si>
  <si>
    <t>74,70</t>
  </si>
  <si>
    <t>Капутин Денис</t>
  </si>
  <si>
    <t>Открытая (03.05.1988)/34</t>
  </si>
  <si>
    <t>Винокуров Роман</t>
  </si>
  <si>
    <t>Открытая (26.05.1984)/37</t>
  </si>
  <si>
    <t>355,0</t>
  </si>
  <si>
    <t>Шишикин Владимир</t>
  </si>
  <si>
    <t>51,90</t>
  </si>
  <si>
    <t>Акулич Александр</t>
  </si>
  <si>
    <t>Открытая (17.11.1981)/40</t>
  </si>
  <si>
    <t>72,80</t>
  </si>
  <si>
    <t>Вахрамеев Владислав</t>
  </si>
  <si>
    <t>Открытая (01.05.1989)/33</t>
  </si>
  <si>
    <t>70,30</t>
  </si>
  <si>
    <t xml:space="preserve">Постнов Д. </t>
  </si>
  <si>
    <t>Матвеев Александр</t>
  </si>
  <si>
    <t>Открытая (17.11.1994)/27</t>
  </si>
  <si>
    <t>78,30</t>
  </si>
  <si>
    <t>Жигулин Константин</t>
  </si>
  <si>
    <t>Открытая (03.10.1987)/34</t>
  </si>
  <si>
    <t>293,0</t>
  </si>
  <si>
    <t>Решетник Константин</t>
  </si>
  <si>
    <t>Открытая (10.03.1987)/35</t>
  </si>
  <si>
    <t>Щиголь Алексей</t>
  </si>
  <si>
    <t>Открытая (05.11.1985)/36</t>
  </si>
  <si>
    <t>98,30</t>
  </si>
  <si>
    <t>Наумов Дмитрий</t>
  </si>
  <si>
    <t>Открытая (03.04.1992)/30</t>
  </si>
  <si>
    <t>Харыбин Денис</t>
  </si>
  <si>
    <t xml:space="preserve">Грудев А. </t>
  </si>
  <si>
    <t>Черствов Алексей</t>
  </si>
  <si>
    <t>Открытая (16.04.1981)/41</t>
  </si>
  <si>
    <t>116,70</t>
  </si>
  <si>
    <t>Марчук Александр</t>
  </si>
  <si>
    <t>121,20</t>
  </si>
  <si>
    <t>Щукина Ирина</t>
  </si>
  <si>
    <t>Открытая (14.11.1985)/36</t>
  </si>
  <si>
    <t>Лашков Дмитрий</t>
  </si>
  <si>
    <t xml:space="preserve">Самардин А. </t>
  </si>
  <si>
    <t>Сухарев Андрей</t>
  </si>
  <si>
    <t>105,90</t>
  </si>
  <si>
    <t>261,0</t>
  </si>
  <si>
    <t>Ярков Василий</t>
  </si>
  <si>
    <t>109,20</t>
  </si>
  <si>
    <t>Николаева Екатерина</t>
  </si>
  <si>
    <t>Открытая (07.06.1984)/37</t>
  </si>
  <si>
    <t xml:space="preserve">Егорова Е. </t>
  </si>
  <si>
    <t>Егорова Евгения</t>
  </si>
  <si>
    <t>Открытая (28.11.1990)/31</t>
  </si>
  <si>
    <t xml:space="preserve">Николаева Е. </t>
  </si>
  <si>
    <t>Боев Виталий</t>
  </si>
  <si>
    <t>Открытая (27.06.1984)/37</t>
  </si>
  <si>
    <t>97,45</t>
  </si>
  <si>
    <t>352,5</t>
  </si>
  <si>
    <t>Борисов Артур</t>
  </si>
  <si>
    <t>Открытая (29.12.1997)/24</t>
  </si>
  <si>
    <t>123,20</t>
  </si>
  <si>
    <t>362,5</t>
  </si>
  <si>
    <t>Верзилов Сергей</t>
  </si>
  <si>
    <t>Открытая (15.10.1986)/35</t>
  </si>
  <si>
    <t>104,50</t>
  </si>
  <si>
    <t>Нашатыркин Александр</t>
  </si>
  <si>
    <t>Мастера 40-49 (20.02.1980)/42</t>
  </si>
  <si>
    <t>74,40</t>
  </si>
  <si>
    <t xml:space="preserve">Петрокович Н. </t>
  </si>
  <si>
    <t>Петрокович Николай</t>
  </si>
  <si>
    <t>Мастера 40-49 (17.08.1979)/42</t>
  </si>
  <si>
    <t>88,80</t>
  </si>
  <si>
    <t>Юниоры 20-23 (24.03.1999)/23</t>
  </si>
  <si>
    <t>Юноши 13-19 (15.07.2003)/18</t>
  </si>
  <si>
    <t>Мастера 40-49 (22.07.1974)/47</t>
  </si>
  <si>
    <t>Мастера 50-59 (20.06.1970)/51</t>
  </si>
  <si>
    <t>Мастера 40-49 (12.07.1980)/41</t>
  </si>
  <si>
    <t>Мастера 40-49 (29.01.1982)/40</t>
  </si>
  <si>
    <t xml:space="preserve">Мастера 40-44 </t>
  </si>
  <si>
    <t xml:space="preserve">Мастера 60-64 </t>
  </si>
  <si>
    <t>Мастера 50-54 (05.06.1967)/54</t>
  </si>
  <si>
    <t>Юниоры 20-23 (27.10.1998)/23</t>
  </si>
  <si>
    <t>Мастера 45-49 (25.08.1976)/45</t>
  </si>
  <si>
    <t xml:space="preserve">Мастера 45-49 </t>
  </si>
  <si>
    <t>Юниорки 20-23 (25.08.1999)/22</t>
  </si>
  <si>
    <t>Мастера 45-49 (24.10.1975)/46</t>
  </si>
  <si>
    <t>Мастера 45-49 (04.05.1974)/48</t>
  </si>
  <si>
    <t>Мастера 50-54 (18.10.1971)/50</t>
  </si>
  <si>
    <t>Мастера 40-44 (23.09.1980)/41</t>
  </si>
  <si>
    <t>Мастера 40-44 (29.12.1979)/42</t>
  </si>
  <si>
    <t>Мастера 40-44 (11.10.1978)/43</t>
  </si>
  <si>
    <t>Мастера 45-49 (20.03.1973)/49</t>
  </si>
  <si>
    <t>Юниоры 20-23 (11.05.2000)/22</t>
  </si>
  <si>
    <t>Мастера 45-49 (19.05.1973)/48</t>
  </si>
  <si>
    <t>Мастера 60-64 (20.06.1957)/64</t>
  </si>
  <si>
    <t>Мастера 40-44 (19.11.1980)/41</t>
  </si>
  <si>
    <t>Мастера 45-49 (30.05.1974)/47</t>
  </si>
  <si>
    <t>Мастера 60-64 (26.08.1960)/61</t>
  </si>
  <si>
    <t>Мастера 60-64 (27.10.1961)/60</t>
  </si>
  <si>
    <t>Мастера 45-49 (16.10.1976)/45</t>
  </si>
  <si>
    <t>Мастера 45-49 (19.03.1977)/45</t>
  </si>
  <si>
    <t>Мастера 50-54 (30.12.1970)/51</t>
  </si>
  <si>
    <t>Мастера 55-59 (06.06.1965)/56</t>
  </si>
  <si>
    <t>Мастера 75-79 (25.07.1946)/75</t>
  </si>
  <si>
    <t>Мастера 40-44 (04.02.1978)/44</t>
  </si>
  <si>
    <t>Мастера 45-49 (01.02.1973)/49</t>
  </si>
  <si>
    <t>Мастера 50-54 (17.04.1971)/51</t>
  </si>
  <si>
    <t xml:space="preserve">Мастера 75-79 </t>
  </si>
  <si>
    <t>Мастера 45-49 (19.08.1973)/48</t>
  </si>
  <si>
    <t>Мастера 50-54 (04.04.1970)/52</t>
  </si>
  <si>
    <t>Мастера 55-59 (07.10.1963)/58</t>
  </si>
  <si>
    <t>Юниоры 20-23 (31.05.1999)/22</t>
  </si>
  <si>
    <t>Мастера 65-69 (18.07.1956)/65</t>
  </si>
  <si>
    <t>Мастера 45-49 (15.07.1975)/46</t>
  </si>
  <si>
    <t xml:space="preserve">Мастера 55-59 </t>
  </si>
  <si>
    <t>Мастера 40-44 (18.05.1981)/40</t>
  </si>
  <si>
    <t>Мастера 50-54 (09.06.1971)/50</t>
  </si>
  <si>
    <t>Юниорки 20-23 (30.01.2000)/22</t>
  </si>
  <si>
    <t>Мастера 40-44 (19.06.1977)/44</t>
  </si>
  <si>
    <t>Мастера 40-44 (24.12.1977)/44</t>
  </si>
  <si>
    <t>Мастера 45-49 (21.05.1976)/45</t>
  </si>
  <si>
    <t>Мастера 55-59 (01.11.1966)/55</t>
  </si>
  <si>
    <t>Юниоры 20-23 (15.02.2000)/22</t>
  </si>
  <si>
    <t>Мастера 60-64 (25.05.1957)/64</t>
  </si>
  <si>
    <t>Юниоры 20-23 (21.03.2002)/20</t>
  </si>
  <si>
    <t>Юниоры 20-23 (01.02.2002)/20</t>
  </si>
  <si>
    <t>Мастера 40-44 (02.10.1978)/43</t>
  </si>
  <si>
    <t>Мастера 40-44 (07.11.1979)/42</t>
  </si>
  <si>
    <t>Мастера 55-59 (30.05.1963)/58</t>
  </si>
  <si>
    <t>Мастера 60-64 (27.08.1961)/60</t>
  </si>
  <si>
    <t>Мастера 75-79 (12.03.1945)/77</t>
  </si>
  <si>
    <t>Мастера 45-49 (08.05.1976)/46</t>
  </si>
  <si>
    <t>Мастера 50-54 (07.09.1971)/50</t>
  </si>
  <si>
    <t>Юниоры 20-23 (29.03.1999)/23</t>
  </si>
  <si>
    <t>Юниоры 20-23 (03.03.2000)/22</t>
  </si>
  <si>
    <t>Мастера 45-49 (08.03.1975)/47</t>
  </si>
  <si>
    <t>Мастера 55-59 (26.08.1962)/59</t>
  </si>
  <si>
    <t>Мастера 60-64 (27.03.1959)/63</t>
  </si>
  <si>
    <t>Мастера 55-59 (03.04.1964)/58</t>
  </si>
  <si>
    <t>Мастера 45-49 (18.10.1973)/48</t>
  </si>
  <si>
    <t>Мастера 40-44 (02.03.1978)/44</t>
  </si>
  <si>
    <t>Мастера 45-49 (19.01.1973)/49</t>
  </si>
  <si>
    <t>Мастера 40-44 (12.12.1980)/41</t>
  </si>
  <si>
    <t>Мастера 40-44 (26.04.1982)/40</t>
  </si>
  <si>
    <t>Мастера 40-44 (24.11.1977)/44</t>
  </si>
  <si>
    <t>Мастера 45-49 (28.04.1975)/47</t>
  </si>
  <si>
    <t>Юниоры 20-23 (04.10.1998)/23</t>
  </si>
  <si>
    <t>Мастера 40-44 (27.02.1980)/42</t>
  </si>
  <si>
    <t>Мастера 60-64 (11.04.1959)/63</t>
  </si>
  <si>
    <t>Мастера 40-44 (14.10.1980)/41</t>
  </si>
  <si>
    <t>Мастера 40-44 (20.07.1979)/42</t>
  </si>
  <si>
    <t>Мастера 45-49 (25.02.1977)/45</t>
  </si>
  <si>
    <t>Мастера 40-44 (03.06.1980)/41</t>
  </si>
  <si>
    <t>Мастера 40-44 (06.08.1978)/43</t>
  </si>
  <si>
    <t>Мастера 45-49 (03.07.1973)/48</t>
  </si>
  <si>
    <t>Мастера 40-44 (11.05.1982)/40</t>
  </si>
  <si>
    <t>Юниорки 20-23 (11.10.1999)/22</t>
  </si>
  <si>
    <t>Мастера 45-49 (30.05.1976)/45</t>
  </si>
  <si>
    <t>Мастера 45-49 (05.01.1975)/47</t>
  </si>
  <si>
    <t>Юниоры 20-23 (01.04.2001)/21</t>
  </si>
  <si>
    <t>Мастера 40-44 (30.08.1979)/42</t>
  </si>
  <si>
    <t>Юниоры 20-23 (10.06.2000)/21</t>
  </si>
  <si>
    <t>Мастера 45-49 (20.11.1975)/46</t>
  </si>
  <si>
    <t>Юниоры 20-23 (21.12.1999)/22</t>
  </si>
  <si>
    <t>Мастера 45-49 (07.07.1975)/46</t>
  </si>
  <si>
    <t>Мастера 45-49 (06.10.1973)/48</t>
  </si>
  <si>
    <t>Мастера 50-54 (07.02.1969)/53</t>
  </si>
  <si>
    <t>Мастера 55-59 (22.08.1964)/57</t>
  </si>
  <si>
    <t>Юниоры 20-23 (10.09.1998)/23</t>
  </si>
  <si>
    <t>Юниоры 20-23 (08.11.2000)/21</t>
  </si>
  <si>
    <t>Мастера 40-44 (01.06.1979)/42</t>
  </si>
  <si>
    <t>Юниоры 20-23 (01.01.2000)/22</t>
  </si>
  <si>
    <t>Мастера 70-74 (13.01.1951)/71</t>
  </si>
  <si>
    <t>Мастера 40-44 (16.05.1977)/44</t>
  </si>
  <si>
    <t>Мастера 60-64 (03.05.1962)/60</t>
  </si>
  <si>
    <t>Мастера 40-44 (21.09.1981)/40</t>
  </si>
  <si>
    <t>Мастера 50-54 (23.05.1967)/54</t>
  </si>
  <si>
    <t>Мастера 60-64 (02.06.1961)/60</t>
  </si>
  <si>
    <t>Чемпионат Европы и Отборочный турнир на Olympia Pro
СПР Жим лежа среди спортсменов с физическими особенностями
Долгопрудный/Московская область, 14-15 мая 2022 года</t>
  </si>
  <si>
    <t>Чемпионат Европы и Отборочный турнир на Olympia Pro
СПР Жим лежа в многопетельной софт экипировке ДК
Долгопрудный/Московская область, 14-15 мая 2022 года</t>
  </si>
  <si>
    <t>Чемпионат Европы и Отборочный турнир на Olympia Pro
СПР Жим лежа в многопетельной софт экипировке
Долгопрудный/Московская область, 14-15 мая 2022 года</t>
  </si>
  <si>
    <t>Чемпионат Европы и Отборочный турнир на Olympia Pro
СПР Жим лежа в однопетельной софт экипировке ДК
Долгопрудный/Московская область, 14-15 мая 2022 года</t>
  </si>
  <si>
    <t>Чемпионат Европы и Отборочный турнир на Olympia Pro
СПР Жим лежа в однопетельной софт экипировке
Долгопрудный/Московская область, 14-15 мая 2022 года</t>
  </si>
  <si>
    <t>Чемпионат Европы и Отборочный турнир на Olympia Pro
IPL Силовое двоеборье без экипировки ДК
Долгопрудный/Московская область, 14-15 мая 2022 года</t>
  </si>
  <si>
    <t>Чемпионат Европы и Отборочный турнир на Olympia Pro
IPL Силовое двоеборье без экипировки
Долгопрудный/Московская область, 14-15 мая 2022 года</t>
  </si>
  <si>
    <t>Чемпионат Европы и Отборочный турнир на Olympia Pro
IPL Присед в бинтах ДК
Долгопрудный/Московская область, 14-15 мая 2022 года</t>
  </si>
  <si>
    <t>Чемпионат Европы и Отборочный турнир на Olympia Pro
IPL Присед в бинтах
Долгопрудный/Московская область, 14-15 мая 2022 года</t>
  </si>
  <si>
    <t>Чемпионат Европы и Отборочный турнир на Olympia Pro
IPL Присед без экипировки ДК
Долгопрудный/Московская область, 14-15 мая 2022 года</t>
  </si>
  <si>
    <t>Чемпионат Европы и Отборочный турнир на Olympia Pro
IPL Становая тяга в однослойной экипировке
Долгопрудный/Московская область, 14-15 мая 2022 года</t>
  </si>
  <si>
    <t>Чемпионат Европы и Отборочный турнир на Olympia Pro
IPL Становая тяга без экипировки ДК
Долгопрудный/Московская область, 14-15 мая 2022 года</t>
  </si>
  <si>
    <t>Чемпионат Европы и Отборочный турнир на Olympia Pro
IPL Становая тяга без экипировки
Долгопрудный/Московская область, 14-15 мая 2022 года</t>
  </si>
  <si>
    <t>Чемпионат Европы и Отборочный турнир на Olympia Pro
IPL Жим лежа в однослойной экипировке ДК
Долгопрудный/Московская область, 14-15 мая 2022 года</t>
  </si>
  <si>
    <t>Чемпионат Европы и Отборочный турнир на Olympia Pro
IPL Жим лежа в однослойной экипировке
Долгопрудный/Московская область, 14-15 мая 2022 года</t>
  </si>
  <si>
    <t>Чемпионат Европы и Отборочный турнир на Olympia Pro
IPL Жим лежа без экипировки ДК
Долгопрудный/Московская область, 14-15 мая 2022 года</t>
  </si>
  <si>
    <t>Чемпионат Европы и Отборочный турнир на Olympia Pro
IPL Жим лежа без экипировки
Долгопрудный/Московская область, 14-15 мая 2022 года</t>
  </si>
  <si>
    <t>Чемпионат Европы и Отборочный турнир на Olympia Pro
IPL Пауэрлифтинг в бинтах ДК
Долгопрудный/Московская область, 14-15 мая 2022 года</t>
  </si>
  <si>
    <t>Чемпионат Европы и Отборочный турнир на Olympia Pro
IPL Пауэрлифтинг в бинтах
Долгопрудный/Московская область, 14-15 мая 2022 года</t>
  </si>
  <si>
    <t>Чемпионат Европы и Отборочный турнир на Olympia Pro
IPL Пауэрлифтинг без экипировки ДК
Долгопрудный/Московская область, 14-15 мая 2022 года</t>
  </si>
  <si>
    <t>Чемпионат Европы и Отборочный турнир на Olympia Pro
IPL Пауэрлифтинг без экипировки
Долгопрудный/Московская область, 14-15 мая 2022 года</t>
  </si>
  <si>
    <t>Чемпионат Европы и Отборочный турнир на Olympia Pro
IPL Пауэрлифтинг в однослойной экипировке ДК
Долгопрудный/Московская область, 14-15 мая 2022 года</t>
  </si>
  <si>
    <t>Чемпионат Европы и Отборочный турнир на Olympia Pro
IPL Пауэрлифтинг в однослойной экипировке
Долгопрудный/Московская область, 14-15 мая 2022 года</t>
  </si>
  <si>
    <t xml:space="preserve">Раков И. </t>
  </si>
  <si>
    <t xml:space="preserve">Варава И. </t>
  </si>
  <si>
    <t>Весовая категория</t>
  </si>
  <si>
    <t xml:space="preserve">Сорокин С. </t>
  </si>
  <si>
    <t xml:space="preserve">Майоров В. </t>
  </si>
  <si>
    <t xml:space="preserve">Румянцев С. </t>
  </si>
  <si>
    <t xml:space="preserve">Прадед А. </t>
  </si>
  <si>
    <t xml:space="preserve">Богатов И. </t>
  </si>
  <si>
    <t xml:space="preserve">Литвинов А. </t>
  </si>
  <si>
    <t xml:space="preserve">Константинов Р. </t>
  </si>
  <si>
    <t xml:space="preserve">Долгушин Е. </t>
  </si>
  <si>
    <t xml:space="preserve">Парджиани А. </t>
  </si>
  <si>
    <t xml:space="preserve">Анищенко В. </t>
  </si>
  <si>
    <t xml:space="preserve">Руруа О. </t>
  </si>
  <si>
    <t xml:space="preserve">Панферова М. </t>
  </si>
  <si>
    <t xml:space="preserve">Козырев О. </t>
  </si>
  <si>
    <t xml:space="preserve">Павлов П. </t>
  </si>
  <si>
    <t xml:space="preserve">Коблик Д., Мыцев И. </t>
  </si>
  <si>
    <t xml:space="preserve">Велес Е. </t>
  </si>
  <si>
    <t xml:space="preserve">Евдокимов И. </t>
  </si>
  <si>
    <t xml:space="preserve">Сидоренко А. </t>
  </si>
  <si>
    <t xml:space="preserve">Паринов И. </t>
  </si>
  <si>
    <t xml:space="preserve">Зайцев В. </t>
  </si>
  <si>
    <t xml:space="preserve">Сизов Е. </t>
  </si>
  <si>
    <t xml:space="preserve">Савченко К. </t>
  </si>
  <si>
    <t xml:space="preserve">Николаев М. </t>
  </si>
  <si>
    <t>Дроздов А.</t>
  </si>
  <si>
    <t xml:space="preserve">Панин М. </t>
  </si>
  <si>
    <t xml:space="preserve">Григорьев Ю. </t>
  </si>
  <si>
    <t xml:space="preserve">Хламков А. </t>
  </si>
  <si>
    <t xml:space="preserve">Щиголь А. </t>
  </si>
  <si>
    <t>№</t>
  </si>
  <si>
    <t xml:space="preserve">Москва </t>
  </si>
  <si>
    <t xml:space="preserve">Дмитров </t>
  </si>
  <si>
    <t xml:space="preserve">Норильск </t>
  </si>
  <si>
    <t xml:space="preserve">Егорьевск </t>
  </si>
  <si>
    <t xml:space="preserve">Орёл </t>
  </si>
  <si>
    <t xml:space="preserve">Кемерово </t>
  </si>
  <si>
    <t xml:space="preserve">Жиздра </t>
  </si>
  <si>
    <t xml:space="preserve">Серпухов </t>
  </si>
  <si>
    <t xml:space="preserve">Меленки </t>
  </si>
  <si>
    <t xml:space="preserve">Солнечногорск </t>
  </si>
  <si>
    <t xml:space="preserve">Хабаровск </t>
  </si>
  <si>
    <t xml:space="preserve">Снежинск </t>
  </si>
  <si>
    <t xml:space="preserve">Химки </t>
  </si>
  <si>
    <t xml:space="preserve">Прокопьевск </t>
  </si>
  <si>
    <t xml:space="preserve">Заречный </t>
  </si>
  <si>
    <t xml:space="preserve">Домодедово </t>
  </si>
  <si>
    <t xml:space="preserve">Клин </t>
  </si>
  <si>
    <t xml:space="preserve">Казань </t>
  </si>
  <si>
    <t xml:space="preserve">Старая Купавна </t>
  </si>
  <si>
    <t xml:space="preserve">Киреевск </t>
  </si>
  <si>
    <t xml:space="preserve">Раменское </t>
  </si>
  <si>
    <t xml:space="preserve">Сочи </t>
  </si>
  <si>
    <t xml:space="preserve">Тула </t>
  </si>
  <si>
    <t xml:space="preserve">Брянск </t>
  </si>
  <si>
    <t xml:space="preserve">Махачкала </t>
  </si>
  <si>
    <t xml:space="preserve">Билибино </t>
  </si>
  <si>
    <t xml:space="preserve">Покров </t>
  </si>
  <si>
    <t xml:space="preserve">Рязань </t>
  </si>
  <si>
    <t xml:space="preserve">Лобня </t>
  </si>
  <si>
    <t xml:space="preserve">Сыктывкар </t>
  </si>
  <si>
    <t xml:space="preserve">Кубинка </t>
  </si>
  <si>
    <t xml:space="preserve">Смоленск </t>
  </si>
  <si>
    <t xml:space="preserve">Подольск </t>
  </si>
  <si>
    <t xml:space="preserve">Радужный </t>
  </si>
  <si>
    <t xml:space="preserve">Электросталь </t>
  </si>
  <si>
    <t xml:space="preserve">Люберцы </t>
  </si>
  <si>
    <t xml:space="preserve">Рыбинск </t>
  </si>
  <si>
    <t xml:space="preserve">Тольятти </t>
  </si>
  <si>
    <t xml:space="preserve">Монино </t>
  </si>
  <si>
    <t xml:space="preserve">Ногинск </t>
  </si>
  <si>
    <t xml:space="preserve">Тверь </t>
  </si>
  <si>
    <t xml:space="preserve">Истра </t>
  </si>
  <si>
    <t xml:space="preserve">Белгород </t>
  </si>
  <si>
    <t xml:space="preserve">Соликамск </t>
  </si>
  <si>
    <t xml:space="preserve">Кондопога </t>
  </si>
  <si>
    <t xml:space="preserve">Ставрополь </t>
  </si>
  <si>
    <t xml:space="preserve">Ковров </t>
  </si>
  <si>
    <t xml:space="preserve">Кулунда </t>
  </si>
  <si>
    <t xml:space="preserve">Пермь </t>
  </si>
  <si>
    <t xml:space="preserve">Щёлково </t>
  </si>
  <si>
    <t xml:space="preserve">Королёв </t>
  </si>
  <si>
    <t xml:space="preserve">Курск </t>
  </si>
  <si>
    <t xml:space="preserve">Торжок </t>
  </si>
  <si>
    <t xml:space="preserve">Одинцово </t>
  </si>
  <si>
    <t xml:space="preserve">Зеленоград </t>
  </si>
  <si>
    <t xml:space="preserve">Балашиха </t>
  </si>
  <si>
    <t xml:space="preserve">Ярославль </t>
  </si>
  <si>
    <t xml:space="preserve">Кувшиново </t>
  </si>
  <si>
    <t xml:space="preserve">Реутов </t>
  </si>
  <si>
    <t xml:space="preserve">Красково </t>
  </si>
  <si>
    <t xml:space="preserve">Кстово </t>
  </si>
  <si>
    <t xml:space="preserve">Кострома </t>
  </si>
  <si>
    <t xml:space="preserve">Нижний Новгород </t>
  </si>
  <si>
    <t xml:space="preserve">Саратов </t>
  </si>
  <si>
    <t xml:space="preserve">Чехов </t>
  </si>
  <si>
    <t xml:space="preserve">Владикавказ </t>
  </si>
  <si>
    <t xml:space="preserve">Наро-Фоминск </t>
  </si>
  <si>
    <t xml:space="preserve">Владивосток </t>
  </si>
  <si>
    <t xml:space="preserve">Видное </t>
  </si>
  <si>
    <t xml:space="preserve">Нахабино </t>
  </si>
  <si>
    <t xml:space="preserve">Волгодонск </t>
  </si>
  <si>
    <t xml:space="preserve">Сызрань </t>
  </si>
  <si>
    <t xml:space="preserve">Долгопрудный </t>
  </si>
  <si>
    <t xml:space="preserve">Большой Камень </t>
  </si>
  <si>
    <t xml:space="preserve">Бугульма </t>
  </si>
  <si>
    <t xml:space="preserve">Можайск </t>
  </si>
  <si>
    <t xml:space="preserve">Калуга </t>
  </si>
  <si>
    <t xml:space="preserve">Архангельск </t>
  </si>
  <si>
    <t xml:space="preserve">Ярцево </t>
  </si>
  <si>
    <t xml:space="preserve">Дербент </t>
  </si>
  <si>
    <t xml:space="preserve">Астрахань </t>
  </si>
  <si>
    <t xml:space="preserve">Орехово-Зуево </t>
  </si>
  <si>
    <t xml:space="preserve">Чебоксары </t>
  </si>
  <si>
    <t xml:space="preserve">Лыткарино </t>
  </si>
  <si>
    <t xml:space="preserve">Изобильный </t>
  </si>
  <si>
    <t xml:space="preserve">Сергиев Посад </t>
  </si>
  <si>
    <t xml:space="preserve">Череповец </t>
  </si>
  <si>
    <t xml:space="preserve">Талдом </t>
  </si>
  <si>
    <t xml:space="preserve">Владимир </t>
  </si>
  <si>
    <t xml:space="preserve">Зеленокумск </t>
  </si>
  <si>
    <t xml:space="preserve">Пушкино </t>
  </si>
  <si>
    <t xml:space="preserve">Киров </t>
  </si>
  <si>
    <t xml:space="preserve">Павловский Посад </t>
  </si>
  <si>
    <t xml:space="preserve">Красногорск </t>
  </si>
  <si>
    <t xml:space="preserve">Воскресенск </t>
  </si>
  <si>
    <t xml:space="preserve">Андреевка </t>
  </si>
  <si>
    <t xml:space="preserve">Петрозаводск </t>
  </si>
  <si>
    <t xml:space="preserve">Собинка </t>
  </si>
  <si>
    <t xml:space="preserve">Дзержинск </t>
  </si>
  <si>
    <t xml:space="preserve">Бобруйск </t>
  </si>
  <si>
    <t xml:space="preserve">Уральск </t>
  </si>
  <si>
    <t xml:space="preserve">
Дата рождения/Возраст</t>
  </si>
  <si>
    <t>Возрастная группа</t>
  </si>
  <si>
    <t>O</t>
  </si>
  <si>
    <t>M1</t>
  </si>
  <si>
    <t>M2</t>
  </si>
  <si>
    <t>T</t>
  </si>
  <si>
    <t>J</t>
  </si>
  <si>
    <t>M3</t>
  </si>
  <si>
    <t>M4</t>
  </si>
  <si>
    <t>M7</t>
  </si>
  <si>
    <t>M5</t>
  </si>
  <si>
    <t>M8</t>
  </si>
  <si>
    <t>Дата рождения/Возраст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</si>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</sst>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6\4"/>
    <numFmt numFmtId="165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Лист1"/>
  <dimension ref="A1:U136"/>
  <sheetViews>
    <sheetView topLeftCell="A83" workbookViewId="0">
      <selection activeCell="E114" sqref="E114"/>
    </sheetView>
  </sheetViews>
  <sheetFormatPr baseColWidth="10" defaultColWidth="9.1640625" defaultRowHeight="13"/>
  <cols>
    <col min="1" max="1" width="7.1640625" style="24" bestFit="1" customWidth="1"/>
    <col min="2" max="2" width="21.83203125" style="24" bestFit="1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5.5" style="24" customWidth="1"/>
    <col min="7" max="13" width="5.5" style="28" customWidth="1"/>
    <col min="14" max="14" width="4.5" style="28" customWidth="1"/>
    <col min="15" max="18" width="5.5" style="28" customWidth="1"/>
    <col min="19" max="19" width="7.6640625" style="31" bestFit="1" customWidth="1"/>
    <col min="20" max="20" width="8.5" style="28" bestFit="1" customWidth="1"/>
    <col min="21" max="21" width="22.83203125" style="24" customWidth="1"/>
    <col min="22" max="16384" width="9.1640625" style="3"/>
  </cols>
  <sheetData>
    <row r="1" spans="1:21" s="2" customFormat="1" ht="29" customHeight="1">
      <c r="A1" s="78" t="s">
        <v>1208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0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1"/>
      <c r="T4" s="73"/>
      <c r="U4" s="75"/>
    </row>
    <row r="5" spans="1:21" ht="16">
      <c r="A5" s="76" t="s">
        <v>189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190</v>
      </c>
      <c r="C6" s="26" t="s">
        <v>191</v>
      </c>
      <c r="D6" s="26" t="s">
        <v>192</v>
      </c>
      <c r="E6" s="26" t="s">
        <v>1347</v>
      </c>
      <c r="F6" s="26" t="s">
        <v>1244</v>
      </c>
      <c r="G6" s="43" t="s">
        <v>193</v>
      </c>
      <c r="H6" s="43" t="s">
        <v>58</v>
      </c>
      <c r="I6" s="44" t="s">
        <v>194</v>
      </c>
      <c r="J6" s="23"/>
      <c r="K6" s="43" t="s">
        <v>195</v>
      </c>
      <c r="L6" s="44" t="s">
        <v>196</v>
      </c>
      <c r="M6" s="43" t="s">
        <v>196</v>
      </c>
      <c r="N6" s="23"/>
      <c r="O6" s="44" t="s">
        <v>71</v>
      </c>
      <c r="P6" s="43" t="s">
        <v>63</v>
      </c>
      <c r="Q6" s="44" t="s">
        <v>88</v>
      </c>
      <c r="R6" s="23"/>
      <c r="S6" s="34" t="str">
        <f>"275,0"</f>
        <v>275,0</v>
      </c>
      <c r="T6" s="23" t="str">
        <f>"367,0150"</f>
        <v>367,0150</v>
      </c>
      <c r="U6" s="26" t="s">
        <v>197</v>
      </c>
    </row>
    <row r="8" spans="1:21" ht="16">
      <c r="A8" s="66" t="s">
        <v>54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29">
        <v>1</v>
      </c>
      <c r="B9" s="37" t="s">
        <v>198</v>
      </c>
      <c r="C9" s="37" t="s">
        <v>199</v>
      </c>
      <c r="D9" s="37" t="s">
        <v>200</v>
      </c>
      <c r="E9" s="37" t="s">
        <v>1347</v>
      </c>
      <c r="F9" s="37" t="s">
        <v>1245</v>
      </c>
      <c r="G9" s="38" t="s">
        <v>79</v>
      </c>
      <c r="H9" s="39" t="s">
        <v>72</v>
      </c>
      <c r="I9" s="39" t="s">
        <v>72</v>
      </c>
      <c r="J9" s="29"/>
      <c r="K9" s="38" t="s">
        <v>49</v>
      </c>
      <c r="L9" s="38" t="s">
        <v>51</v>
      </c>
      <c r="M9" s="39" t="s">
        <v>201</v>
      </c>
      <c r="N9" s="29"/>
      <c r="O9" s="38" t="s">
        <v>88</v>
      </c>
      <c r="P9" s="38" t="s">
        <v>64</v>
      </c>
      <c r="Q9" s="39" t="s">
        <v>17</v>
      </c>
      <c r="R9" s="29"/>
      <c r="S9" s="32" t="str">
        <f>"317,5"</f>
        <v>317,5</v>
      </c>
      <c r="T9" s="29" t="str">
        <f>"399,9547"</f>
        <v>399,9547</v>
      </c>
      <c r="U9" s="37" t="s">
        <v>202</v>
      </c>
    </row>
    <row r="10" spans="1:21">
      <c r="A10" s="35">
        <v>2</v>
      </c>
      <c r="B10" s="50" t="s">
        <v>203</v>
      </c>
      <c r="C10" s="50" t="s">
        <v>204</v>
      </c>
      <c r="D10" s="50" t="s">
        <v>205</v>
      </c>
      <c r="E10" s="50" t="s">
        <v>1347</v>
      </c>
      <c r="F10" s="50" t="s">
        <v>1246</v>
      </c>
      <c r="G10" s="51" t="s">
        <v>166</v>
      </c>
      <c r="H10" s="52" t="s">
        <v>167</v>
      </c>
      <c r="I10" s="51" t="s">
        <v>167</v>
      </c>
      <c r="J10" s="35"/>
      <c r="K10" s="52" t="s">
        <v>49</v>
      </c>
      <c r="L10" s="51" t="s">
        <v>49</v>
      </c>
      <c r="M10" s="51" t="s">
        <v>51</v>
      </c>
      <c r="N10" s="35"/>
      <c r="O10" s="51" t="s">
        <v>79</v>
      </c>
      <c r="P10" s="51" t="s">
        <v>72</v>
      </c>
      <c r="Q10" s="51" t="s">
        <v>88</v>
      </c>
      <c r="R10" s="35"/>
      <c r="S10" s="36" t="str">
        <f>"305,0"</f>
        <v>305,0</v>
      </c>
      <c r="T10" s="35" t="str">
        <f>"383,6290"</f>
        <v>383,6290</v>
      </c>
      <c r="U10" s="50" t="s">
        <v>202</v>
      </c>
    </row>
    <row r="11" spans="1:21">
      <c r="A11" s="35">
        <v>3</v>
      </c>
      <c r="B11" s="50" t="s">
        <v>206</v>
      </c>
      <c r="C11" s="50" t="s">
        <v>207</v>
      </c>
      <c r="D11" s="50" t="s">
        <v>208</v>
      </c>
      <c r="E11" s="50" t="s">
        <v>1347</v>
      </c>
      <c r="F11" s="50" t="s">
        <v>1247</v>
      </c>
      <c r="G11" s="51" t="s">
        <v>194</v>
      </c>
      <c r="H11" s="51" t="s">
        <v>166</v>
      </c>
      <c r="I11" s="51" t="s">
        <v>167</v>
      </c>
      <c r="J11" s="35"/>
      <c r="K11" s="51" t="s">
        <v>209</v>
      </c>
      <c r="L11" s="51" t="s">
        <v>210</v>
      </c>
      <c r="M11" s="52" t="s">
        <v>211</v>
      </c>
      <c r="N11" s="35"/>
      <c r="O11" s="51" t="s">
        <v>194</v>
      </c>
      <c r="P11" s="51" t="s">
        <v>166</v>
      </c>
      <c r="Q11" s="52" t="s">
        <v>59</v>
      </c>
      <c r="R11" s="35"/>
      <c r="S11" s="36" t="str">
        <f>"287,5"</f>
        <v>287,5</v>
      </c>
      <c r="T11" s="35" t="str">
        <f>"358,3975"</f>
        <v>358,3975</v>
      </c>
      <c r="U11" s="50"/>
    </row>
    <row r="12" spans="1:21">
      <c r="A12" s="35">
        <v>4</v>
      </c>
      <c r="B12" s="50" t="s">
        <v>212</v>
      </c>
      <c r="C12" s="50" t="s">
        <v>213</v>
      </c>
      <c r="D12" s="50" t="s">
        <v>214</v>
      </c>
      <c r="E12" s="50" t="s">
        <v>1347</v>
      </c>
      <c r="F12" s="50" t="s">
        <v>1248</v>
      </c>
      <c r="G12" s="51" t="s">
        <v>58</v>
      </c>
      <c r="H12" s="51" t="s">
        <v>194</v>
      </c>
      <c r="I12" s="52" t="s">
        <v>215</v>
      </c>
      <c r="J12" s="35"/>
      <c r="K12" s="51" t="s">
        <v>49</v>
      </c>
      <c r="L12" s="51" t="s">
        <v>50</v>
      </c>
      <c r="M12" s="51" t="s">
        <v>51</v>
      </c>
      <c r="N12" s="35"/>
      <c r="O12" s="51" t="s">
        <v>58</v>
      </c>
      <c r="P12" s="51" t="s">
        <v>194</v>
      </c>
      <c r="Q12" s="51" t="s">
        <v>215</v>
      </c>
      <c r="R12" s="35"/>
      <c r="S12" s="36" t="str">
        <f>"267,5"</f>
        <v>267,5</v>
      </c>
      <c r="T12" s="35" t="str">
        <f>"337,4780"</f>
        <v>337,4780</v>
      </c>
      <c r="U12" s="50" t="s">
        <v>216</v>
      </c>
    </row>
    <row r="13" spans="1:21">
      <c r="A13" s="35">
        <v>5</v>
      </c>
      <c r="B13" s="50" t="s">
        <v>217</v>
      </c>
      <c r="C13" s="50" t="s">
        <v>218</v>
      </c>
      <c r="D13" s="50" t="s">
        <v>219</v>
      </c>
      <c r="E13" s="50" t="s">
        <v>1347</v>
      </c>
      <c r="F13" s="50" t="s">
        <v>1244</v>
      </c>
      <c r="G13" s="51" t="s">
        <v>220</v>
      </c>
      <c r="H13" s="51" t="s">
        <v>221</v>
      </c>
      <c r="I13" s="51" t="s">
        <v>193</v>
      </c>
      <c r="J13" s="35"/>
      <c r="K13" s="51" t="s">
        <v>49</v>
      </c>
      <c r="L13" s="52" t="s">
        <v>51</v>
      </c>
      <c r="M13" s="51" t="s">
        <v>51</v>
      </c>
      <c r="N13" s="35"/>
      <c r="O13" s="51" t="s">
        <v>167</v>
      </c>
      <c r="P13" s="52" t="s">
        <v>79</v>
      </c>
      <c r="Q13" s="35"/>
      <c r="R13" s="35"/>
      <c r="S13" s="36" t="str">
        <f>"265,0"</f>
        <v>265,0</v>
      </c>
      <c r="T13" s="35" t="str">
        <f>"345,1095"</f>
        <v>345,1095</v>
      </c>
      <c r="U13" s="50" t="s">
        <v>222</v>
      </c>
    </row>
    <row r="14" spans="1:21">
      <c r="A14" s="35">
        <v>6</v>
      </c>
      <c r="B14" s="50" t="s">
        <v>223</v>
      </c>
      <c r="C14" s="50" t="s">
        <v>224</v>
      </c>
      <c r="D14" s="50" t="s">
        <v>225</v>
      </c>
      <c r="E14" s="50" t="s">
        <v>1347</v>
      </c>
      <c r="F14" s="50" t="s">
        <v>1245</v>
      </c>
      <c r="G14" s="52" t="s">
        <v>58</v>
      </c>
      <c r="H14" s="51" t="s">
        <v>58</v>
      </c>
      <c r="I14" s="52" t="s">
        <v>194</v>
      </c>
      <c r="J14" s="35"/>
      <c r="K14" s="51" t="s">
        <v>209</v>
      </c>
      <c r="L14" s="52" t="s">
        <v>210</v>
      </c>
      <c r="M14" s="52" t="s">
        <v>210</v>
      </c>
      <c r="N14" s="35"/>
      <c r="O14" s="51" t="s">
        <v>221</v>
      </c>
      <c r="P14" s="52" t="s">
        <v>58</v>
      </c>
      <c r="Q14" s="52" t="s">
        <v>58</v>
      </c>
      <c r="R14" s="35"/>
      <c r="S14" s="36" t="str">
        <f>"250,0"</f>
        <v>250,0</v>
      </c>
      <c r="T14" s="35" t="str">
        <f>"320,6750"</f>
        <v>320,6750</v>
      </c>
      <c r="U14" s="50" t="s">
        <v>226</v>
      </c>
    </row>
    <row r="15" spans="1:21">
      <c r="A15" s="35">
        <v>7</v>
      </c>
      <c r="B15" s="50" t="s">
        <v>227</v>
      </c>
      <c r="C15" s="50" t="s">
        <v>228</v>
      </c>
      <c r="D15" s="50" t="s">
        <v>229</v>
      </c>
      <c r="E15" s="50" t="s">
        <v>1347</v>
      </c>
      <c r="F15" s="50" t="s">
        <v>1244</v>
      </c>
      <c r="G15" s="51" t="s">
        <v>209</v>
      </c>
      <c r="H15" s="51" t="s">
        <v>211</v>
      </c>
      <c r="I15" s="51" t="s">
        <v>61</v>
      </c>
      <c r="J15" s="35"/>
      <c r="K15" s="51" t="s">
        <v>230</v>
      </c>
      <c r="L15" s="51" t="s">
        <v>231</v>
      </c>
      <c r="M15" s="52" t="s">
        <v>195</v>
      </c>
      <c r="N15" s="35"/>
      <c r="O15" s="51" t="s">
        <v>193</v>
      </c>
      <c r="P15" s="51" t="s">
        <v>232</v>
      </c>
      <c r="Q15" s="35"/>
      <c r="R15" s="35"/>
      <c r="S15" s="36" t="str">
        <f>"210,0"</f>
        <v>210,0</v>
      </c>
      <c r="T15" s="35" t="str">
        <f>"267,3300"</f>
        <v>267,3300</v>
      </c>
      <c r="U15" s="50" t="s">
        <v>233</v>
      </c>
    </row>
    <row r="16" spans="1:21">
      <c r="A16" s="35">
        <v>8</v>
      </c>
      <c r="B16" s="50" t="s">
        <v>234</v>
      </c>
      <c r="C16" s="50" t="s">
        <v>235</v>
      </c>
      <c r="D16" s="50" t="s">
        <v>200</v>
      </c>
      <c r="E16" s="50" t="s">
        <v>1347</v>
      </c>
      <c r="F16" s="50" t="s">
        <v>1244</v>
      </c>
      <c r="G16" s="51" t="s">
        <v>211</v>
      </c>
      <c r="H16" s="51" t="s">
        <v>61</v>
      </c>
      <c r="I16" s="52" t="s">
        <v>48</v>
      </c>
      <c r="J16" s="35"/>
      <c r="K16" s="51" t="s">
        <v>231</v>
      </c>
      <c r="L16" s="51" t="s">
        <v>195</v>
      </c>
      <c r="M16" s="51" t="s">
        <v>236</v>
      </c>
      <c r="N16" s="35"/>
      <c r="O16" s="51" t="s">
        <v>220</v>
      </c>
      <c r="P16" s="51" t="s">
        <v>237</v>
      </c>
      <c r="Q16" s="51" t="s">
        <v>221</v>
      </c>
      <c r="R16" s="35"/>
      <c r="S16" s="36" t="str">
        <f>"202,5"</f>
        <v>202,5</v>
      </c>
      <c r="T16" s="35" t="str">
        <f>"255,0892"</f>
        <v>255,0892</v>
      </c>
      <c r="U16" s="50" t="s">
        <v>233</v>
      </c>
    </row>
    <row r="17" spans="1:21">
      <c r="A17" s="35">
        <v>1</v>
      </c>
      <c r="B17" s="50" t="s">
        <v>203</v>
      </c>
      <c r="C17" s="50" t="s">
        <v>1163</v>
      </c>
      <c r="D17" s="50" t="s">
        <v>205</v>
      </c>
      <c r="E17" s="50" t="s">
        <v>1348</v>
      </c>
      <c r="F17" s="50" t="s">
        <v>1246</v>
      </c>
      <c r="G17" s="51" t="s">
        <v>166</v>
      </c>
      <c r="H17" s="52" t="s">
        <v>167</v>
      </c>
      <c r="I17" s="51" t="s">
        <v>167</v>
      </c>
      <c r="J17" s="35"/>
      <c r="K17" s="52" t="s">
        <v>49</v>
      </c>
      <c r="L17" s="51" t="s">
        <v>49</v>
      </c>
      <c r="M17" s="51" t="s">
        <v>51</v>
      </c>
      <c r="N17" s="35"/>
      <c r="O17" s="51" t="s">
        <v>79</v>
      </c>
      <c r="P17" s="51" t="s">
        <v>72</v>
      </c>
      <c r="Q17" s="51" t="s">
        <v>88</v>
      </c>
      <c r="R17" s="35"/>
      <c r="S17" s="36" t="str">
        <f>"305,0"</f>
        <v>305,0</v>
      </c>
      <c r="T17" s="35" t="str">
        <f>"385,5471"</f>
        <v>385,5471</v>
      </c>
      <c r="U17" s="50" t="s">
        <v>202</v>
      </c>
    </row>
    <row r="18" spans="1:21">
      <c r="A18" s="35">
        <v>2</v>
      </c>
      <c r="B18" s="50" t="s">
        <v>238</v>
      </c>
      <c r="C18" s="50" t="s">
        <v>1164</v>
      </c>
      <c r="D18" s="50" t="s">
        <v>239</v>
      </c>
      <c r="E18" s="50" t="s">
        <v>1348</v>
      </c>
      <c r="F18" s="50" t="s">
        <v>1244</v>
      </c>
      <c r="G18" s="52" t="s">
        <v>209</v>
      </c>
      <c r="H18" s="51" t="s">
        <v>209</v>
      </c>
      <c r="I18" s="52" t="s">
        <v>211</v>
      </c>
      <c r="J18" s="35"/>
      <c r="K18" s="52" t="s">
        <v>196</v>
      </c>
      <c r="L18" s="51" t="s">
        <v>196</v>
      </c>
      <c r="M18" s="52" t="s">
        <v>49</v>
      </c>
      <c r="N18" s="35"/>
      <c r="O18" s="52" t="s">
        <v>58</v>
      </c>
      <c r="P18" s="52" t="s">
        <v>58</v>
      </c>
      <c r="Q18" s="51" t="s">
        <v>166</v>
      </c>
      <c r="R18" s="35"/>
      <c r="S18" s="36" t="str">
        <f>"215,0"</f>
        <v>215,0</v>
      </c>
      <c r="T18" s="35" t="str">
        <f>"283,0824"</f>
        <v>283,0824</v>
      </c>
      <c r="U18" s="50"/>
    </row>
    <row r="19" spans="1:21">
      <c r="A19" s="30">
        <v>1</v>
      </c>
      <c r="B19" s="40" t="s">
        <v>217</v>
      </c>
      <c r="C19" s="40" t="s">
        <v>1165</v>
      </c>
      <c r="D19" s="40" t="s">
        <v>219</v>
      </c>
      <c r="E19" s="40" t="s">
        <v>1349</v>
      </c>
      <c r="F19" s="40" t="s">
        <v>1244</v>
      </c>
      <c r="G19" s="41" t="s">
        <v>220</v>
      </c>
      <c r="H19" s="41" t="s">
        <v>221</v>
      </c>
      <c r="I19" s="41" t="s">
        <v>193</v>
      </c>
      <c r="J19" s="30"/>
      <c r="K19" s="41" t="s">
        <v>49</v>
      </c>
      <c r="L19" s="42" t="s">
        <v>51</v>
      </c>
      <c r="M19" s="41" t="s">
        <v>51</v>
      </c>
      <c r="N19" s="30"/>
      <c r="O19" s="41" t="s">
        <v>167</v>
      </c>
      <c r="P19" s="42" t="s">
        <v>79</v>
      </c>
      <c r="Q19" s="30"/>
      <c r="R19" s="30"/>
      <c r="S19" s="33" t="str">
        <f>"265,0"</f>
        <v>265,0</v>
      </c>
      <c r="T19" s="30" t="str">
        <f>"384,4520"</f>
        <v>384,4520</v>
      </c>
      <c r="U19" s="40" t="s">
        <v>222</v>
      </c>
    </row>
    <row r="21" spans="1:21" ht="16">
      <c r="A21" s="66" t="s">
        <v>240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21">
      <c r="A22" s="29">
        <v>1</v>
      </c>
      <c r="B22" s="37" t="s">
        <v>241</v>
      </c>
      <c r="C22" s="37" t="s">
        <v>242</v>
      </c>
      <c r="D22" s="37" t="s">
        <v>243</v>
      </c>
      <c r="E22" s="37" t="s">
        <v>1347</v>
      </c>
      <c r="F22" s="37" t="s">
        <v>1244</v>
      </c>
      <c r="G22" s="38" t="s">
        <v>59</v>
      </c>
      <c r="H22" s="38" t="s">
        <v>60</v>
      </c>
      <c r="I22" s="39" t="s">
        <v>244</v>
      </c>
      <c r="J22" s="29"/>
      <c r="K22" s="38" t="s">
        <v>47</v>
      </c>
      <c r="L22" s="39" t="s">
        <v>48</v>
      </c>
      <c r="M22" s="38" t="s">
        <v>48</v>
      </c>
      <c r="N22" s="29"/>
      <c r="O22" s="38" t="s">
        <v>39</v>
      </c>
      <c r="P22" s="38" t="s">
        <v>245</v>
      </c>
      <c r="Q22" s="39" t="s">
        <v>246</v>
      </c>
      <c r="R22" s="29"/>
      <c r="S22" s="32" t="str">
        <f>"365,0"</f>
        <v>365,0</v>
      </c>
      <c r="T22" s="29" t="str">
        <f>"431,2840"</f>
        <v>431,2840</v>
      </c>
      <c r="U22" s="37" t="s">
        <v>247</v>
      </c>
    </row>
    <row r="23" spans="1:21">
      <c r="A23" s="35">
        <v>2</v>
      </c>
      <c r="B23" s="50" t="s">
        <v>248</v>
      </c>
      <c r="C23" s="50" t="s">
        <v>249</v>
      </c>
      <c r="D23" s="50" t="s">
        <v>250</v>
      </c>
      <c r="E23" s="50" t="s">
        <v>1347</v>
      </c>
      <c r="F23" s="50" t="s">
        <v>1244</v>
      </c>
      <c r="G23" s="51" t="s">
        <v>220</v>
      </c>
      <c r="H23" s="51" t="s">
        <v>237</v>
      </c>
      <c r="I23" s="51" t="s">
        <v>221</v>
      </c>
      <c r="J23" s="35"/>
      <c r="K23" s="51" t="s">
        <v>50</v>
      </c>
      <c r="L23" s="51" t="s">
        <v>51</v>
      </c>
      <c r="M23" s="52" t="s">
        <v>201</v>
      </c>
      <c r="N23" s="35"/>
      <c r="O23" s="51" t="s">
        <v>58</v>
      </c>
      <c r="P23" s="51" t="s">
        <v>194</v>
      </c>
      <c r="Q23" s="51" t="s">
        <v>166</v>
      </c>
      <c r="R23" s="35"/>
      <c r="S23" s="36" t="str">
        <f>"255,0"</f>
        <v>255,0</v>
      </c>
      <c r="T23" s="35" t="str">
        <f>"304,7250"</f>
        <v>304,7250</v>
      </c>
      <c r="U23" s="50" t="s">
        <v>251</v>
      </c>
    </row>
    <row r="24" spans="1:21">
      <c r="A24" s="35">
        <v>3</v>
      </c>
      <c r="B24" s="50" t="s">
        <v>252</v>
      </c>
      <c r="C24" s="50" t="s">
        <v>253</v>
      </c>
      <c r="D24" s="50" t="s">
        <v>254</v>
      </c>
      <c r="E24" s="50" t="s">
        <v>1347</v>
      </c>
      <c r="F24" s="50" t="s">
        <v>1249</v>
      </c>
      <c r="G24" s="51" t="s">
        <v>220</v>
      </c>
      <c r="H24" s="51" t="s">
        <v>221</v>
      </c>
      <c r="I24" s="52" t="s">
        <v>255</v>
      </c>
      <c r="J24" s="35"/>
      <c r="K24" s="51" t="s">
        <v>196</v>
      </c>
      <c r="L24" s="51" t="s">
        <v>49</v>
      </c>
      <c r="M24" s="52" t="s">
        <v>50</v>
      </c>
      <c r="N24" s="35"/>
      <c r="O24" s="51" t="s">
        <v>194</v>
      </c>
      <c r="P24" s="51" t="s">
        <v>166</v>
      </c>
      <c r="Q24" s="51" t="s">
        <v>167</v>
      </c>
      <c r="R24" s="35"/>
      <c r="S24" s="36" t="str">
        <f>"255,0"</f>
        <v>255,0</v>
      </c>
      <c r="T24" s="35" t="str">
        <f>"302,1495"</f>
        <v>302,1495</v>
      </c>
      <c r="U24" s="50" t="s">
        <v>256</v>
      </c>
    </row>
    <row r="25" spans="1:21">
      <c r="A25" s="35">
        <v>4</v>
      </c>
      <c r="B25" s="50" t="s">
        <v>257</v>
      </c>
      <c r="C25" s="50" t="s">
        <v>258</v>
      </c>
      <c r="D25" s="50" t="s">
        <v>243</v>
      </c>
      <c r="E25" s="50" t="s">
        <v>1347</v>
      </c>
      <c r="F25" s="50" t="s">
        <v>1248</v>
      </c>
      <c r="G25" s="51" t="s">
        <v>220</v>
      </c>
      <c r="H25" s="51" t="s">
        <v>221</v>
      </c>
      <c r="I25" s="52" t="s">
        <v>255</v>
      </c>
      <c r="J25" s="35"/>
      <c r="K25" s="51" t="s">
        <v>196</v>
      </c>
      <c r="L25" s="51" t="s">
        <v>259</v>
      </c>
      <c r="M25" s="52" t="s">
        <v>49</v>
      </c>
      <c r="N25" s="35"/>
      <c r="O25" s="51" t="s">
        <v>58</v>
      </c>
      <c r="P25" s="51" t="s">
        <v>194</v>
      </c>
      <c r="Q25" s="51" t="s">
        <v>59</v>
      </c>
      <c r="R25" s="35"/>
      <c r="S25" s="36" t="str">
        <f>"250,0"</f>
        <v>250,0</v>
      </c>
      <c r="T25" s="35" t="str">
        <f>"295,4000"</f>
        <v>295,4000</v>
      </c>
      <c r="U25" s="50" t="s">
        <v>216</v>
      </c>
    </row>
    <row r="26" spans="1:21">
      <c r="A26" s="35">
        <v>5</v>
      </c>
      <c r="B26" s="50" t="s">
        <v>260</v>
      </c>
      <c r="C26" s="50" t="s">
        <v>261</v>
      </c>
      <c r="D26" s="50" t="s">
        <v>262</v>
      </c>
      <c r="E26" s="50" t="s">
        <v>1347</v>
      </c>
      <c r="F26" s="50" t="s">
        <v>1244</v>
      </c>
      <c r="G26" s="51" t="s">
        <v>48</v>
      </c>
      <c r="H26" s="51" t="s">
        <v>52</v>
      </c>
      <c r="I26" s="52" t="s">
        <v>220</v>
      </c>
      <c r="J26" s="35"/>
      <c r="K26" s="51" t="s">
        <v>231</v>
      </c>
      <c r="L26" s="52" t="s">
        <v>195</v>
      </c>
      <c r="M26" s="52" t="s">
        <v>195</v>
      </c>
      <c r="N26" s="35"/>
      <c r="O26" s="51" t="s">
        <v>167</v>
      </c>
      <c r="P26" s="51" t="s">
        <v>71</v>
      </c>
      <c r="Q26" s="51" t="s">
        <v>72</v>
      </c>
      <c r="R26" s="35"/>
      <c r="S26" s="36" t="str">
        <f>"245,0"</f>
        <v>245,0</v>
      </c>
      <c r="T26" s="35" t="str">
        <f>"288,2670"</f>
        <v>288,2670</v>
      </c>
      <c r="U26" s="50"/>
    </row>
    <row r="27" spans="1:21">
      <c r="A27" s="30">
        <v>6</v>
      </c>
      <c r="B27" s="40" t="s">
        <v>263</v>
      </c>
      <c r="C27" s="40" t="s">
        <v>264</v>
      </c>
      <c r="D27" s="40" t="s">
        <v>265</v>
      </c>
      <c r="E27" s="40" t="s">
        <v>1347</v>
      </c>
      <c r="F27" s="40" t="s">
        <v>1250</v>
      </c>
      <c r="G27" s="41" t="s">
        <v>61</v>
      </c>
      <c r="H27" s="42" t="s">
        <v>52</v>
      </c>
      <c r="I27" s="42" t="s">
        <v>52</v>
      </c>
      <c r="J27" s="30"/>
      <c r="K27" s="42" t="s">
        <v>196</v>
      </c>
      <c r="L27" s="41" t="s">
        <v>196</v>
      </c>
      <c r="M27" s="42" t="s">
        <v>49</v>
      </c>
      <c r="N27" s="30"/>
      <c r="O27" s="41" t="s">
        <v>221</v>
      </c>
      <c r="P27" s="42" t="s">
        <v>193</v>
      </c>
      <c r="Q27" s="42" t="s">
        <v>193</v>
      </c>
      <c r="R27" s="30"/>
      <c r="S27" s="33" t="str">
        <f>"205,0"</f>
        <v>205,0</v>
      </c>
      <c r="T27" s="30" t="str">
        <f>"246,0410"</f>
        <v>246,0410</v>
      </c>
      <c r="U27" s="40"/>
    </row>
    <row r="29" spans="1:21" ht="16">
      <c r="A29" s="66" t="s">
        <v>266</v>
      </c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21">
      <c r="A30" s="29">
        <v>1</v>
      </c>
      <c r="B30" s="37" t="s">
        <v>267</v>
      </c>
      <c r="C30" s="37" t="s">
        <v>268</v>
      </c>
      <c r="D30" s="37" t="s">
        <v>269</v>
      </c>
      <c r="E30" s="37" t="s">
        <v>1350</v>
      </c>
      <c r="F30" s="37" t="s">
        <v>1244</v>
      </c>
      <c r="G30" s="38" t="s">
        <v>52</v>
      </c>
      <c r="H30" s="38" t="s">
        <v>221</v>
      </c>
      <c r="I30" s="39" t="s">
        <v>58</v>
      </c>
      <c r="J30" s="29"/>
      <c r="K30" s="38" t="s">
        <v>209</v>
      </c>
      <c r="L30" s="39" t="s">
        <v>211</v>
      </c>
      <c r="M30" s="39" t="s">
        <v>211</v>
      </c>
      <c r="N30" s="29"/>
      <c r="O30" s="38" t="s">
        <v>79</v>
      </c>
      <c r="P30" s="38" t="s">
        <v>63</v>
      </c>
      <c r="Q30" s="39" t="s">
        <v>83</v>
      </c>
      <c r="R30" s="29"/>
      <c r="S30" s="32" t="str">
        <f>"280,0"</f>
        <v>280,0</v>
      </c>
      <c r="T30" s="29" t="str">
        <f>"315,4480"</f>
        <v>315,4480</v>
      </c>
      <c r="U30" s="37"/>
    </row>
    <row r="31" spans="1:21">
      <c r="A31" s="35" t="s">
        <v>31</v>
      </c>
      <c r="B31" s="50" t="s">
        <v>270</v>
      </c>
      <c r="C31" s="50" t="s">
        <v>1095</v>
      </c>
      <c r="D31" s="50" t="s">
        <v>271</v>
      </c>
      <c r="E31" s="50" t="s">
        <v>1351</v>
      </c>
      <c r="F31" s="50" t="s">
        <v>1251</v>
      </c>
      <c r="G31" s="52" t="s">
        <v>58</v>
      </c>
      <c r="H31" s="52" t="s">
        <v>194</v>
      </c>
      <c r="I31" s="52" t="s">
        <v>194</v>
      </c>
      <c r="J31" s="35"/>
      <c r="K31" s="52"/>
      <c r="L31" s="35"/>
      <c r="M31" s="35"/>
      <c r="N31" s="35"/>
      <c r="O31" s="52"/>
      <c r="P31" s="35"/>
      <c r="Q31" s="35"/>
      <c r="R31" s="35"/>
      <c r="S31" s="36">
        <v>0</v>
      </c>
      <c r="T31" s="35" t="str">
        <f>"0,0000"</f>
        <v>0,0000</v>
      </c>
      <c r="U31" s="50" t="s">
        <v>272</v>
      </c>
    </row>
    <row r="32" spans="1:21">
      <c r="A32" s="35">
        <v>1</v>
      </c>
      <c r="B32" s="50" t="s">
        <v>273</v>
      </c>
      <c r="C32" s="50" t="s">
        <v>274</v>
      </c>
      <c r="D32" s="50" t="s">
        <v>275</v>
      </c>
      <c r="E32" s="50" t="s">
        <v>1347</v>
      </c>
      <c r="F32" s="50" t="s">
        <v>1252</v>
      </c>
      <c r="G32" s="51" t="s">
        <v>63</v>
      </c>
      <c r="H32" s="51" t="s">
        <v>88</v>
      </c>
      <c r="I32" s="52" t="s">
        <v>83</v>
      </c>
      <c r="J32" s="35"/>
      <c r="K32" s="51" t="s">
        <v>47</v>
      </c>
      <c r="L32" s="51" t="s">
        <v>276</v>
      </c>
      <c r="M32" s="52" t="s">
        <v>62</v>
      </c>
      <c r="N32" s="35"/>
      <c r="O32" s="51" t="s">
        <v>166</v>
      </c>
      <c r="P32" s="51" t="s">
        <v>79</v>
      </c>
      <c r="Q32" s="51" t="s">
        <v>72</v>
      </c>
      <c r="R32" s="35"/>
      <c r="S32" s="36" t="str">
        <f>"340,0"</f>
        <v>340,0</v>
      </c>
      <c r="T32" s="35" t="str">
        <f>"380,0520"</f>
        <v>380,0520</v>
      </c>
      <c r="U32" s="50"/>
    </row>
    <row r="33" spans="1:21">
      <c r="A33" s="35">
        <v>2</v>
      </c>
      <c r="B33" s="50" t="s">
        <v>277</v>
      </c>
      <c r="C33" s="50" t="s">
        <v>278</v>
      </c>
      <c r="D33" s="50" t="s">
        <v>279</v>
      </c>
      <c r="E33" s="50" t="s">
        <v>1347</v>
      </c>
      <c r="F33" s="50" t="s">
        <v>1244</v>
      </c>
      <c r="G33" s="51" t="s">
        <v>79</v>
      </c>
      <c r="H33" s="51" t="s">
        <v>72</v>
      </c>
      <c r="I33" s="52" t="s">
        <v>280</v>
      </c>
      <c r="J33" s="35"/>
      <c r="K33" s="51" t="s">
        <v>209</v>
      </c>
      <c r="L33" s="52" t="s">
        <v>211</v>
      </c>
      <c r="M33" s="52" t="s">
        <v>211</v>
      </c>
      <c r="N33" s="35"/>
      <c r="O33" s="51" t="s">
        <v>71</v>
      </c>
      <c r="P33" s="52" t="s">
        <v>63</v>
      </c>
      <c r="Q33" s="52" t="s">
        <v>63</v>
      </c>
      <c r="R33" s="35"/>
      <c r="S33" s="36" t="str">
        <f>"312,5"</f>
        <v>312,5</v>
      </c>
      <c r="T33" s="35" t="str">
        <f>"357,2500"</f>
        <v>357,2500</v>
      </c>
      <c r="U33" s="50" t="s">
        <v>281</v>
      </c>
    </row>
    <row r="34" spans="1:21">
      <c r="A34" s="35">
        <v>3</v>
      </c>
      <c r="B34" s="50" t="s">
        <v>282</v>
      </c>
      <c r="C34" s="50" t="s">
        <v>283</v>
      </c>
      <c r="D34" s="50" t="s">
        <v>284</v>
      </c>
      <c r="E34" s="50" t="s">
        <v>1347</v>
      </c>
      <c r="F34" s="50" t="s">
        <v>1253</v>
      </c>
      <c r="G34" s="51" t="s">
        <v>51</v>
      </c>
      <c r="H34" s="51" t="s">
        <v>209</v>
      </c>
      <c r="I34" s="52" t="s">
        <v>210</v>
      </c>
      <c r="J34" s="35"/>
      <c r="K34" s="51" t="s">
        <v>230</v>
      </c>
      <c r="L34" s="51" t="s">
        <v>231</v>
      </c>
      <c r="M34" s="52" t="s">
        <v>195</v>
      </c>
      <c r="N34" s="35"/>
      <c r="O34" s="51" t="s">
        <v>209</v>
      </c>
      <c r="P34" s="51" t="s">
        <v>211</v>
      </c>
      <c r="Q34" s="51" t="s">
        <v>61</v>
      </c>
      <c r="R34" s="35"/>
      <c r="S34" s="36" t="str">
        <f>"167,5"</f>
        <v>167,5</v>
      </c>
      <c r="T34" s="35" t="str">
        <f>"194,3670"</f>
        <v>194,3670</v>
      </c>
      <c r="U34" s="50" t="s">
        <v>325</v>
      </c>
    </row>
    <row r="35" spans="1:21">
      <c r="A35" s="30">
        <v>1</v>
      </c>
      <c r="B35" s="40" t="s">
        <v>277</v>
      </c>
      <c r="C35" s="40" t="s">
        <v>1166</v>
      </c>
      <c r="D35" s="40" t="s">
        <v>279</v>
      </c>
      <c r="E35" s="40" t="s">
        <v>1348</v>
      </c>
      <c r="F35" s="40" t="s">
        <v>1244</v>
      </c>
      <c r="G35" s="41" t="s">
        <v>79</v>
      </c>
      <c r="H35" s="41" t="s">
        <v>72</v>
      </c>
      <c r="I35" s="42" t="s">
        <v>280</v>
      </c>
      <c r="J35" s="30"/>
      <c r="K35" s="41" t="s">
        <v>209</v>
      </c>
      <c r="L35" s="42" t="s">
        <v>211</v>
      </c>
      <c r="M35" s="42" t="s">
        <v>211</v>
      </c>
      <c r="N35" s="30"/>
      <c r="O35" s="41" t="s">
        <v>71</v>
      </c>
      <c r="P35" s="42" t="s">
        <v>63</v>
      </c>
      <c r="Q35" s="42" t="s">
        <v>63</v>
      </c>
      <c r="R35" s="30"/>
      <c r="S35" s="33" t="str">
        <f>"312,5"</f>
        <v>312,5</v>
      </c>
      <c r="T35" s="30" t="str">
        <f>"357,2500"</f>
        <v>357,2500</v>
      </c>
      <c r="U35" s="40" t="s">
        <v>281</v>
      </c>
    </row>
    <row r="37" spans="1:21" ht="16">
      <c r="A37" s="66" t="s">
        <v>43</v>
      </c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21">
      <c r="A38" s="29">
        <v>1</v>
      </c>
      <c r="B38" s="37" t="s">
        <v>285</v>
      </c>
      <c r="C38" s="37" t="s">
        <v>1167</v>
      </c>
      <c r="D38" s="37" t="s">
        <v>286</v>
      </c>
      <c r="E38" s="37" t="s">
        <v>1351</v>
      </c>
      <c r="F38" s="37" t="s">
        <v>1244</v>
      </c>
      <c r="G38" s="39" t="s">
        <v>210</v>
      </c>
      <c r="H38" s="38" t="s">
        <v>210</v>
      </c>
      <c r="I38" s="39" t="s">
        <v>61</v>
      </c>
      <c r="J38" s="29"/>
      <c r="K38" s="38" t="s">
        <v>195</v>
      </c>
      <c r="L38" s="39" t="s">
        <v>236</v>
      </c>
      <c r="M38" s="39" t="s">
        <v>236</v>
      </c>
      <c r="N38" s="29"/>
      <c r="O38" s="38" t="s">
        <v>48</v>
      </c>
      <c r="P38" s="38" t="s">
        <v>220</v>
      </c>
      <c r="Q38" s="38" t="s">
        <v>193</v>
      </c>
      <c r="R38" s="29"/>
      <c r="S38" s="32" t="str">
        <f>"197,5"</f>
        <v>197,5</v>
      </c>
      <c r="T38" s="29" t="str">
        <f>"214,4455"</f>
        <v>214,4455</v>
      </c>
      <c r="U38" s="37" t="s">
        <v>287</v>
      </c>
    </row>
    <row r="39" spans="1:21">
      <c r="A39" s="35">
        <v>1</v>
      </c>
      <c r="B39" s="50" t="s">
        <v>288</v>
      </c>
      <c r="C39" s="50" t="s">
        <v>289</v>
      </c>
      <c r="D39" s="50" t="s">
        <v>290</v>
      </c>
      <c r="E39" s="50" t="s">
        <v>1347</v>
      </c>
      <c r="F39" s="50" t="s">
        <v>1254</v>
      </c>
      <c r="G39" s="52" t="s">
        <v>166</v>
      </c>
      <c r="H39" s="51" t="s">
        <v>166</v>
      </c>
      <c r="I39" s="52" t="s">
        <v>79</v>
      </c>
      <c r="J39" s="35"/>
      <c r="K39" s="51" t="s">
        <v>211</v>
      </c>
      <c r="L39" s="51" t="s">
        <v>61</v>
      </c>
      <c r="M39" s="52" t="s">
        <v>47</v>
      </c>
      <c r="N39" s="35"/>
      <c r="O39" s="52" t="s">
        <v>83</v>
      </c>
      <c r="P39" s="51" t="s">
        <v>83</v>
      </c>
      <c r="Q39" s="51" t="s">
        <v>17</v>
      </c>
      <c r="R39" s="35"/>
      <c r="S39" s="36" t="str">
        <f>"330,0"</f>
        <v>330,0</v>
      </c>
      <c r="T39" s="35" t="str">
        <f>"343,8600"</f>
        <v>343,8600</v>
      </c>
      <c r="U39" s="50"/>
    </row>
    <row r="40" spans="1:21">
      <c r="A40" s="35">
        <v>2</v>
      </c>
      <c r="B40" s="50" t="s">
        <v>291</v>
      </c>
      <c r="C40" s="50" t="s">
        <v>292</v>
      </c>
      <c r="D40" s="50" t="s">
        <v>293</v>
      </c>
      <c r="E40" s="50" t="s">
        <v>1347</v>
      </c>
      <c r="F40" s="50" t="s">
        <v>1255</v>
      </c>
      <c r="G40" s="51" t="s">
        <v>71</v>
      </c>
      <c r="H40" s="52" t="s">
        <v>280</v>
      </c>
      <c r="I40" s="52" t="s">
        <v>280</v>
      </c>
      <c r="J40" s="35"/>
      <c r="K40" s="52" t="s">
        <v>294</v>
      </c>
      <c r="L40" s="52" t="s">
        <v>294</v>
      </c>
      <c r="M40" s="51" t="s">
        <v>294</v>
      </c>
      <c r="N40" s="35"/>
      <c r="O40" s="52" t="s">
        <v>280</v>
      </c>
      <c r="P40" s="51" t="s">
        <v>280</v>
      </c>
      <c r="Q40" s="52" t="s">
        <v>152</v>
      </c>
      <c r="R40" s="35"/>
      <c r="S40" s="36" t="str">
        <f>"325,0"</f>
        <v>325,0</v>
      </c>
      <c r="T40" s="35" t="str">
        <f>"334,9450"</f>
        <v>334,9450</v>
      </c>
      <c r="U40" s="50" t="s">
        <v>281</v>
      </c>
    </row>
    <row r="41" spans="1:21">
      <c r="A41" s="35">
        <v>3</v>
      </c>
      <c r="B41" s="50" t="s">
        <v>295</v>
      </c>
      <c r="C41" s="50" t="s">
        <v>296</v>
      </c>
      <c r="D41" s="50" t="s">
        <v>297</v>
      </c>
      <c r="E41" s="50" t="s">
        <v>1347</v>
      </c>
      <c r="F41" s="50" t="s">
        <v>1256</v>
      </c>
      <c r="G41" s="52" t="s">
        <v>166</v>
      </c>
      <c r="H41" s="51" t="s">
        <v>60</v>
      </c>
      <c r="I41" s="51" t="s">
        <v>71</v>
      </c>
      <c r="J41" s="35"/>
      <c r="K41" s="51" t="s">
        <v>201</v>
      </c>
      <c r="L41" s="52" t="s">
        <v>210</v>
      </c>
      <c r="M41" s="51" t="s">
        <v>210</v>
      </c>
      <c r="N41" s="35"/>
      <c r="O41" s="51" t="s">
        <v>60</v>
      </c>
      <c r="P41" s="51" t="s">
        <v>71</v>
      </c>
      <c r="Q41" s="52" t="s">
        <v>280</v>
      </c>
      <c r="R41" s="35"/>
      <c r="S41" s="36" t="str">
        <f>"312,5"</f>
        <v>312,5</v>
      </c>
      <c r="T41" s="35" t="str">
        <f>"318,9375"</f>
        <v>318,9375</v>
      </c>
      <c r="U41" s="50" t="s">
        <v>298</v>
      </c>
    </row>
    <row r="42" spans="1:21">
      <c r="A42" s="35">
        <v>4</v>
      </c>
      <c r="B42" s="50" t="s">
        <v>299</v>
      </c>
      <c r="C42" s="50" t="s">
        <v>300</v>
      </c>
      <c r="D42" s="50" t="s">
        <v>301</v>
      </c>
      <c r="E42" s="50" t="s">
        <v>1347</v>
      </c>
      <c r="F42" s="50" t="s">
        <v>1244</v>
      </c>
      <c r="G42" s="51" t="s">
        <v>221</v>
      </c>
      <c r="H42" s="52" t="s">
        <v>58</v>
      </c>
      <c r="I42" s="51" t="s">
        <v>58</v>
      </c>
      <c r="J42" s="35"/>
      <c r="K42" s="51" t="s">
        <v>49</v>
      </c>
      <c r="L42" s="52" t="s">
        <v>201</v>
      </c>
      <c r="M42" s="52" t="s">
        <v>210</v>
      </c>
      <c r="N42" s="35"/>
      <c r="O42" s="52" t="s">
        <v>167</v>
      </c>
      <c r="P42" s="51" t="s">
        <v>71</v>
      </c>
      <c r="Q42" s="52" t="s">
        <v>88</v>
      </c>
      <c r="R42" s="35"/>
      <c r="S42" s="36" t="str">
        <f>"275,0"</f>
        <v>275,0</v>
      </c>
      <c r="T42" s="35" t="str">
        <f>"293,2325"</f>
        <v>293,2325</v>
      </c>
      <c r="U42" s="50" t="s">
        <v>302</v>
      </c>
    </row>
    <row r="43" spans="1:21">
      <c r="A43" s="35">
        <v>5</v>
      </c>
      <c r="B43" s="50" t="s">
        <v>303</v>
      </c>
      <c r="C43" s="50" t="s">
        <v>304</v>
      </c>
      <c r="D43" s="50" t="s">
        <v>305</v>
      </c>
      <c r="E43" s="50" t="s">
        <v>1347</v>
      </c>
      <c r="F43" s="50" t="s">
        <v>1244</v>
      </c>
      <c r="G43" s="51" t="s">
        <v>220</v>
      </c>
      <c r="H43" s="51" t="s">
        <v>193</v>
      </c>
      <c r="I43" s="51" t="s">
        <v>194</v>
      </c>
      <c r="J43" s="35"/>
      <c r="K43" s="51" t="s">
        <v>50</v>
      </c>
      <c r="L43" s="51" t="s">
        <v>201</v>
      </c>
      <c r="M43" s="52" t="s">
        <v>211</v>
      </c>
      <c r="N43" s="35"/>
      <c r="O43" s="51" t="s">
        <v>221</v>
      </c>
      <c r="P43" s="51" t="s">
        <v>194</v>
      </c>
      <c r="Q43" s="52" t="s">
        <v>59</v>
      </c>
      <c r="R43" s="35"/>
      <c r="S43" s="36" t="str">
        <f>"267,5"</f>
        <v>267,5</v>
      </c>
      <c r="T43" s="35" t="str">
        <f>"283,2290"</f>
        <v>283,2290</v>
      </c>
      <c r="U43" s="50" t="s">
        <v>306</v>
      </c>
    </row>
    <row r="44" spans="1:21">
      <c r="A44" s="35" t="s">
        <v>31</v>
      </c>
      <c r="B44" s="50" t="s">
        <v>307</v>
      </c>
      <c r="C44" s="50" t="s">
        <v>308</v>
      </c>
      <c r="D44" s="50" t="s">
        <v>309</v>
      </c>
      <c r="E44" s="50" t="s">
        <v>1347</v>
      </c>
      <c r="F44" s="50" t="s">
        <v>1257</v>
      </c>
      <c r="G44" s="52" t="s">
        <v>166</v>
      </c>
      <c r="H44" s="52" t="s">
        <v>167</v>
      </c>
      <c r="I44" s="52" t="s">
        <v>167</v>
      </c>
      <c r="J44" s="35"/>
      <c r="K44" s="52"/>
      <c r="L44" s="35"/>
      <c r="M44" s="35"/>
      <c r="N44" s="35"/>
      <c r="O44" s="52"/>
      <c r="P44" s="35"/>
      <c r="Q44" s="35"/>
      <c r="R44" s="35"/>
      <c r="S44" s="36">
        <v>0</v>
      </c>
      <c r="T44" s="35" t="str">
        <f>"0,0000"</f>
        <v>0,0000</v>
      </c>
      <c r="U44" s="50" t="s">
        <v>310</v>
      </c>
    </row>
    <row r="45" spans="1:21">
      <c r="A45" s="30">
        <v>1</v>
      </c>
      <c r="B45" s="40" t="s">
        <v>311</v>
      </c>
      <c r="C45" s="40" t="s">
        <v>1096</v>
      </c>
      <c r="D45" s="40" t="s">
        <v>312</v>
      </c>
      <c r="E45" s="40" t="s">
        <v>1349</v>
      </c>
      <c r="F45" s="40" t="s">
        <v>1258</v>
      </c>
      <c r="G45" s="41" t="s">
        <v>232</v>
      </c>
      <c r="H45" s="41" t="s">
        <v>194</v>
      </c>
      <c r="I45" s="41" t="s">
        <v>166</v>
      </c>
      <c r="J45" s="30"/>
      <c r="K45" s="41" t="s">
        <v>196</v>
      </c>
      <c r="L45" s="41" t="s">
        <v>49</v>
      </c>
      <c r="M45" s="42" t="s">
        <v>50</v>
      </c>
      <c r="N45" s="30"/>
      <c r="O45" s="41" t="s">
        <v>58</v>
      </c>
      <c r="P45" s="41" t="s">
        <v>166</v>
      </c>
      <c r="Q45" s="42" t="s">
        <v>167</v>
      </c>
      <c r="R45" s="30"/>
      <c r="S45" s="33" t="str">
        <f>"270,0"</f>
        <v>270,0</v>
      </c>
      <c r="T45" s="30" t="str">
        <f>"304,6525"</f>
        <v>304,6525</v>
      </c>
      <c r="U45" s="40"/>
    </row>
    <row r="47" spans="1:21" ht="16">
      <c r="A47" s="66" t="s">
        <v>67</v>
      </c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1:21">
      <c r="A48" s="29">
        <v>1</v>
      </c>
      <c r="B48" s="37" t="s">
        <v>313</v>
      </c>
      <c r="C48" s="37" t="s">
        <v>314</v>
      </c>
      <c r="D48" s="37" t="s">
        <v>315</v>
      </c>
      <c r="E48" s="37" t="s">
        <v>1347</v>
      </c>
      <c r="F48" s="37" t="s">
        <v>1244</v>
      </c>
      <c r="G48" s="39" t="s">
        <v>58</v>
      </c>
      <c r="H48" s="38" t="s">
        <v>58</v>
      </c>
      <c r="I48" s="39" t="s">
        <v>167</v>
      </c>
      <c r="J48" s="29"/>
      <c r="K48" s="38" t="s">
        <v>201</v>
      </c>
      <c r="L48" s="38" t="s">
        <v>209</v>
      </c>
      <c r="M48" s="39" t="s">
        <v>211</v>
      </c>
      <c r="N48" s="29"/>
      <c r="O48" s="38" t="s">
        <v>79</v>
      </c>
      <c r="P48" s="38" t="s">
        <v>63</v>
      </c>
      <c r="Q48" s="39" t="s">
        <v>152</v>
      </c>
      <c r="R48" s="29"/>
      <c r="S48" s="32" t="str">
        <f>"290,0"</f>
        <v>290,0</v>
      </c>
      <c r="T48" s="29" t="str">
        <f>"281,7640"</f>
        <v>281,7640</v>
      </c>
      <c r="U48" s="37" t="s">
        <v>316</v>
      </c>
    </row>
    <row r="49" spans="1:21">
      <c r="A49" s="35">
        <v>2</v>
      </c>
      <c r="B49" s="50" t="s">
        <v>317</v>
      </c>
      <c r="C49" s="50" t="s">
        <v>318</v>
      </c>
      <c r="D49" s="50" t="s">
        <v>319</v>
      </c>
      <c r="E49" s="50" t="s">
        <v>1347</v>
      </c>
      <c r="F49" s="50" t="s">
        <v>1259</v>
      </c>
      <c r="G49" s="51" t="s">
        <v>61</v>
      </c>
      <c r="H49" s="52" t="s">
        <v>276</v>
      </c>
      <c r="I49" s="51" t="s">
        <v>52</v>
      </c>
      <c r="J49" s="35"/>
      <c r="K49" s="51" t="s">
        <v>196</v>
      </c>
      <c r="L49" s="52" t="s">
        <v>259</v>
      </c>
      <c r="M49" s="52" t="s">
        <v>49</v>
      </c>
      <c r="N49" s="35"/>
      <c r="O49" s="51" t="s">
        <v>220</v>
      </c>
      <c r="P49" s="51" t="s">
        <v>255</v>
      </c>
      <c r="Q49" s="51" t="s">
        <v>320</v>
      </c>
      <c r="R49" s="35"/>
      <c r="S49" s="36" t="str">
        <f>"222,5"</f>
        <v>222,5</v>
      </c>
      <c r="T49" s="35" t="str">
        <f>"223,5680"</f>
        <v>223,5680</v>
      </c>
      <c r="U49" s="50" t="s">
        <v>321</v>
      </c>
    </row>
    <row r="50" spans="1:21">
      <c r="A50" s="35" t="s">
        <v>31</v>
      </c>
      <c r="B50" s="50" t="s">
        <v>322</v>
      </c>
      <c r="C50" s="50" t="s">
        <v>323</v>
      </c>
      <c r="D50" s="50" t="s">
        <v>324</v>
      </c>
      <c r="E50" s="50" t="s">
        <v>1347</v>
      </c>
      <c r="F50" s="50" t="s">
        <v>1260</v>
      </c>
      <c r="G50" s="52" t="s">
        <v>166</v>
      </c>
      <c r="H50" s="52" t="s">
        <v>167</v>
      </c>
      <c r="I50" s="52" t="s">
        <v>167</v>
      </c>
      <c r="J50" s="35"/>
      <c r="K50" s="52"/>
      <c r="L50" s="35"/>
      <c r="M50" s="35"/>
      <c r="N50" s="35"/>
      <c r="O50" s="52"/>
      <c r="P50" s="35"/>
      <c r="Q50" s="35"/>
      <c r="R50" s="35"/>
      <c r="S50" s="36">
        <v>0</v>
      </c>
      <c r="T50" s="35" t="str">
        <f>"0,0000"</f>
        <v>0,0000</v>
      </c>
      <c r="U50" s="50" t="s">
        <v>325</v>
      </c>
    </row>
    <row r="51" spans="1:21">
      <c r="A51" s="30">
        <v>1</v>
      </c>
      <c r="B51" s="40" t="s">
        <v>313</v>
      </c>
      <c r="C51" s="40" t="s">
        <v>1168</v>
      </c>
      <c r="D51" s="40" t="s">
        <v>315</v>
      </c>
      <c r="E51" s="40" t="s">
        <v>1349</v>
      </c>
      <c r="F51" s="40" t="s">
        <v>1244</v>
      </c>
      <c r="G51" s="42" t="s">
        <v>58</v>
      </c>
      <c r="H51" s="41" t="s">
        <v>58</v>
      </c>
      <c r="I51" s="42" t="s">
        <v>167</v>
      </c>
      <c r="J51" s="30"/>
      <c r="K51" s="41" t="s">
        <v>201</v>
      </c>
      <c r="L51" s="41" t="s">
        <v>209</v>
      </c>
      <c r="M51" s="42" t="s">
        <v>211</v>
      </c>
      <c r="N51" s="30"/>
      <c r="O51" s="41" t="s">
        <v>79</v>
      </c>
      <c r="P51" s="41" t="s">
        <v>63</v>
      </c>
      <c r="Q51" s="42" t="s">
        <v>152</v>
      </c>
      <c r="R51" s="30"/>
      <c r="S51" s="33" t="str">
        <f>"290,0"</f>
        <v>290,0</v>
      </c>
      <c r="T51" s="30" t="str">
        <f>"298,6698"</f>
        <v>298,6698</v>
      </c>
      <c r="U51" s="40" t="s">
        <v>316</v>
      </c>
    </row>
    <row r="53" spans="1:21" ht="16">
      <c r="A53" s="66" t="s">
        <v>84</v>
      </c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1:21">
      <c r="A54" s="29" t="s">
        <v>31</v>
      </c>
      <c r="B54" s="37" t="s">
        <v>326</v>
      </c>
      <c r="C54" s="37" t="s">
        <v>327</v>
      </c>
      <c r="D54" s="37" t="s">
        <v>328</v>
      </c>
      <c r="E54" s="37" t="s">
        <v>1347</v>
      </c>
      <c r="F54" s="37" t="s">
        <v>1261</v>
      </c>
      <c r="G54" s="38" t="s">
        <v>79</v>
      </c>
      <c r="H54" s="38" t="s">
        <v>71</v>
      </c>
      <c r="I54" s="38" t="s">
        <v>280</v>
      </c>
      <c r="J54" s="29"/>
      <c r="K54" s="39"/>
      <c r="L54" s="39"/>
      <c r="M54" s="39"/>
      <c r="N54" s="29"/>
      <c r="O54" s="29"/>
      <c r="P54" s="39"/>
      <c r="Q54" s="39"/>
      <c r="R54" s="29"/>
      <c r="S54" s="32">
        <v>0</v>
      </c>
      <c r="T54" s="29" t="str">
        <f>"0,0000"</f>
        <v>0,0000</v>
      </c>
      <c r="U54" s="37" t="s">
        <v>329</v>
      </c>
    </row>
    <row r="55" spans="1:21">
      <c r="A55" s="30">
        <v>1</v>
      </c>
      <c r="B55" s="40" t="s">
        <v>330</v>
      </c>
      <c r="C55" s="40" t="s">
        <v>1169</v>
      </c>
      <c r="D55" s="40" t="s">
        <v>331</v>
      </c>
      <c r="E55" s="40" t="s">
        <v>1349</v>
      </c>
      <c r="F55" s="40" t="s">
        <v>1244</v>
      </c>
      <c r="G55" s="41" t="s">
        <v>232</v>
      </c>
      <c r="H55" s="42" t="s">
        <v>59</v>
      </c>
      <c r="I55" s="42" t="s">
        <v>59</v>
      </c>
      <c r="J55" s="30"/>
      <c r="K55" s="41" t="s">
        <v>51</v>
      </c>
      <c r="L55" s="41" t="s">
        <v>209</v>
      </c>
      <c r="M55" s="42" t="s">
        <v>210</v>
      </c>
      <c r="N55" s="30"/>
      <c r="O55" s="41" t="s">
        <v>79</v>
      </c>
      <c r="P55" s="41" t="s">
        <v>72</v>
      </c>
      <c r="Q55" s="42" t="s">
        <v>280</v>
      </c>
      <c r="R55" s="30"/>
      <c r="S55" s="33" t="str">
        <f>"290,0"</f>
        <v>290,0</v>
      </c>
      <c r="T55" s="30" t="str">
        <f>"291,8407"</f>
        <v>291,8407</v>
      </c>
      <c r="U55" s="40" t="s">
        <v>332</v>
      </c>
    </row>
    <row r="57" spans="1:21" ht="16">
      <c r="A57" s="66" t="s">
        <v>43</v>
      </c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21">
      <c r="A58" s="29">
        <v>1</v>
      </c>
      <c r="B58" s="37" t="s">
        <v>333</v>
      </c>
      <c r="C58" s="37" t="s">
        <v>334</v>
      </c>
      <c r="D58" s="37" t="s">
        <v>335</v>
      </c>
      <c r="E58" s="37" t="s">
        <v>1350</v>
      </c>
      <c r="F58" s="37" t="s">
        <v>1262</v>
      </c>
      <c r="G58" s="38" t="s">
        <v>193</v>
      </c>
      <c r="H58" s="38" t="s">
        <v>232</v>
      </c>
      <c r="I58" s="39" t="s">
        <v>215</v>
      </c>
      <c r="J58" s="29"/>
      <c r="K58" s="38" t="s">
        <v>294</v>
      </c>
      <c r="L58" s="38" t="s">
        <v>61</v>
      </c>
      <c r="M58" s="38" t="s">
        <v>47</v>
      </c>
      <c r="N58" s="29"/>
      <c r="O58" s="38" t="s">
        <v>166</v>
      </c>
      <c r="P58" s="38" t="s">
        <v>167</v>
      </c>
      <c r="Q58" s="38" t="s">
        <v>79</v>
      </c>
      <c r="R58" s="29"/>
      <c r="S58" s="32" t="str">
        <f>"295,0"</f>
        <v>295,0</v>
      </c>
      <c r="T58" s="29" t="str">
        <f>"228,0055"</f>
        <v>228,0055</v>
      </c>
      <c r="U58" s="37" t="s">
        <v>336</v>
      </c>
    </row>
    <row r="59" spans="1:21">
      <c r="A59" s="35">
        <v>1</v>
      </c>
      <c r="B59" s="50" t="s">
        <v>337</v>
      </c>
      <c r="C59" s="50" t="s">
        <v>1170</v>
      </c>
      <c r="D59" s="50" t="s">
        <v>297</v>
      </c>
      <c r="E59" s="50" t="s">
        <v>1351</v>
      </c>
      <c r="F59" s="50" t="s">
        <v>1244</v>
      </c>
      <c r="G59" s="51" t="s">
        <v>35</v>
      </c>
      <c r="H59" s="51" t="s">
        <v>36</v>
      </c>
      <c r="I59" s="51" t="s">
        <v>338</v>
      </c>
      <c r="J59" s="35"/>
      <c r="K59" s="51" t="s">
        <v>83</v>
      </c>
      <c r="L59" s="52" t="s">
        <v>103</v>
      </c>
      <c r="M59" s="52" t="s">
        <v>103</v>
      </c>
      <c r="N59" s="35"/>
      <c r="O59" s="51" t="s">
        <v>339</v>
      </c>
      <c r="P59" s="51" t="s">
        <v>340</v>
      </c>
      <c r="Q59" s="52" t="s">
        <v>36</v>
      </c>
      <c r="R59" s="35"/>
      <c r="S59" s="36" t="str">
        <f>"563,5"</f>
        <v>563,5</v>
      </c>
      <c r="T59" s="35" t="str">
        <f>"434,4585"</f>
        <v>434,4585</v>
      </c>
      <c r="U59" s="50"/>
    </row>
    <row r="60" spans="1:21">
      <c r="A60" s="35">
        <v>1</v>
      </c>
      <c r="B60" s="50" t="s">
        <v>341</v>
      </c>
      <c r="C60" s="50" t="s">
        <v>342</v>
      </c>
      <c r="D60" s="50" t="s">
        <v>343</v>
      </c>
      <c r="E60" s="50" t="s">
        <v>1347</v>
      </c>
      <c r="F60" s="50" t="s">
        <v>1244</v>
      </c>
      <c r="G60" s="51" t="s">
        <v>35</v>
      </c>
      <c r="H60" s="51" t="s">
        <v>36</v>
      </c>
      <c r="I60" s="51" t="s">
        <v>344</v>
      </c>
      <c r="J60" s="35"/>
      <c r="K60" s="51" t="s">
        <v>79</v>
      </c>
      <c r="L60" s="52" t="s">
        <v>71</v>
      </c>
      <c r="M60" s="51" t="s">
        <v>71</v>
      </c>
      <c r="N60" s="35"/>
      <c r="O60" s="51" t="s">
        <v>36</v>
      </c>
      <c r="P60" s="51" t="s">
        <v>345</v>
      </c>
      <c r="Q60" s="52" t="s">
        <v>148</v>
      </c>
      <c r="R60" s="35"/>
      <c r="S60" s="36" t="str">
        <f>"565,0"</f>
        <v>565,0</v>
      </c>
      <c r="T60" s="35" t="str">
        <f>"439,2875"</f>
        <v>439,2875</v>
      </c>
      <c r="U60" s="50"/>
    </row>
    <row r="61" spans="1:21">
      <c r="A61" s="35">
        <v>2</v>
      </c>
      <c r="B61" s="50" t="s">
        <v>337</v>
      </c>
      <c r="C61" s="50" t="s">
        <v>346</v>
      </c>
      <c r="D61" s="50" t="s">
        <v>297</v>
      </c>
      <c r="E61" s="50" t="s">
        <v>1347</v>
      </c>
      <c r="F61" s="50" t="s">
        <v>1244</v>
      </c>
      <c r="G61" s="51" t="s">
        <v>35</v>
      </c>
      <c r="H61" s="51" t="s">
        <v>36</v>
      </c>
      <c r="I61" s="51" t="s">
        <v>338</v>
      </c>
      <c r="J61" s="35"/>
      <c r="K61" s="51" t="s">
        <v>83</v>
      </c>
      <c r="L61" s="52" t="s">
        <v>103</v>
      </c>
      <c r="M61" s="52" t="s">
        <v>103</v>
      </c>
      <c r="N61" s="35"/>
      <c r="O61" s="51" t="s">
        <v>339</v>
      </c>
      <c r="P61" s="51" t="s">
        <v>340</v>
      </c>
      <c r="Q61" s="52" t="s">
        <v>36</v>
      </c>
      <c r="R61" s="35"/>
      <c r="S61" s="36" t="str">
        <f>"563,5"</f>
        <v>563,5</v>
      </c>
      <c r="T61" s="35" t="str">
        <f>"434,4585"</f>
        <v>434,4585</v>
      </c>
      <c r="U61" s="50"/>
    </row>
    <row r="62" spans="1:21">
      <c r="A62" s="30">
        <v>3</v>
      </c>
      <c r="B62" s="40" t="s">
        <v>347</v>
      </c>
      <c r="C62" s="40" t="s">
        <v>348</v>
      </c>
      <c r="D62" s="40" t="s">
        <v>349</v>
      </c>
      <c r="E62" s="40" t="s">
        <v>1347</v>
      </c>
      <c r="F62" s="40" t="s">
        <v>1244</v>
      </c>
      <c r="G62" s="41" t="s">
        <v>17</v>
      </c>
      <c r="H62" s="41" t="s">
        <v>18</v>
      </c>
      <c r="I62" s="41" t="s">
        <v>95</v>
      </c>
      <c r="J62" s="30"/>
      <c r="K62" s="41" t="s">
        <v>71</v>
      </c>
      <c r="L62" s="42" t="s">
        <v>63</v>
      </c>
      <c r="M62" s="42" t="s">
        <v>63</v>
      </c>
      <c r="N62" s="30"/>
      <c r="O62" s="41" t="s">
        <v>77</v>
      </c>
      <c r="P62" s="42" t="s">
        <v>125</v>
      </c>
      <c r="Q62" s="42" t="s">
        <v>125</v>
      </c>
      <c r="R62" s="30"/>
      <c r="S62" s="33" t="str">
        <f>"475,0"</f>
        <v>475,0</v>
      </c>
      <c r="T62" s="30" t="str">
        <f>"367,9825"</f>
        <v>367,9825</v>
      </c>
      <c r="U62" s="40" t="s">
        <v>350</v>
      </c>
    </row>
    <row r="64" spans="1:21" ht="16">
      <c r="A64" s="66" t="s">
        <v>67</v>
      </c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1:21">
      <c r="A65" s="29">
        <v>1</v>
      </c>
      <c r="B65" s="37" t="s">
        <v>351</v>
      </c>
      <c r="C65" s="37" t="s">
        <v>352</v>
      </c>
      <c r="D65" s="37" t="s">
        <v>353</v>
      </c>
      <c r="E65" s="37" t="s">
        <v>1350</v>
      </c>
      <c r="F65" s="37" t="s">
        <v>1263</v>
      </c>
      <c r="G65" s="38" t="s">
        <v>152</v>
      </c>
      <c r="H65" s="38" t="s">
        <v>83</v>
      </c>
      <c r="I65" s="38" t="s">
        <v>103</v>
      </c>
      <c r="J65" s="29"/>
      <c r="K65" s="38" t="s">
        <v>220</v>
      </c>
      <c r="L65" s="39" t="s">
        <v>237</v>
      </c>
      <c r="M65" s="39" t="s">
        <v>237</v>
      </c>
      <c r="N65" s="29"/>
      <c r="O65" s="38" t="s">
        <v>38</v>
      </c>
      <c r="P65" s="38" t="s">
        <v>96</v>
      </c>
      <c r="Q65" s="38" t="s">
        <v>18</v>
      </c>
      <c r="R65" s="29"/>
      <c r="S65" s="32" t="str">
        <f>"390,0"</f>
        <v>390,0</v>
      </c>
      <c r="T65" s="29" t="str">
        <f>"290,6670"</f>
        <v>290,6670</v>
      </c>
      <c r="U65" s="37"/>
    </row>
    <row r="66" spans="1:21">
      <c r="A66" s="35">
        <v>2</v>
      </c>
      <c r="B66" s="50" t="s">
        <v>354</v>
      </c>
      <c r="C66" s="50" t="s">
        <v>355</v>
      </c>
      <c r="D66" s="50" t="s">
        <v>356</v>
      </c>
      <c r="E66" s="50" t="s">
        <v>1350</v>
      </c>
      <c r="F66" s="50" t="s">
        <v>1244</v>
      </c>
      <c r="G66" s="51" t="s">
        <v>79</v>
      </c>
      <c r="H66" s="51" t="s">
        <v>63</v>
      </c>
      <c r="I66" s="52" t="s">
        <v>83</v>
      </c>
      <c r="J66" s="35"/>
      <c r="K66" s="51" t="s">
        <v>48</v>
      </c>
      <c r="L66" s="51" t="s">
        <v>276</v>
      </c>
      <c r="M66" s="51" t="s">
        <v>62</v>
      </c>
      <c r="N66" s="35"/>
      <c r="O66" s="51" t="s">
        <v>79</v>
      </c>
      <c r="P66" s="51" t="s">
        <v>88</v>
      </c>
      <c r="Q66" s="52" t="s">
        <v>64</v>
      </c>
      <c r="R66" s="35"/>
      <c r="S66" s="36" t="str">
        <f>"347,5"</f>
        <v>347,5</v>
      </c>
      <c r="T66" s="35" t="str">
        <f>"257,3585"</f>
        <v>257,3585</v>
      </c>
      <c r="U66" s="50" t="s">
        <v>357</v>
      </c>
    </row>
    <row r="67" spans="1:21">
      <c r="A67" s="35">
        <v>3</v>
      </c>
      <c r="B67" s="50" t="s">
        <v>358</v>
      </c>
      <c r="C67" s="50" t="s">
        <v>359</v>
      </c>
      <c r="D67" s="50" t="s">
        <v>360</v>
      </c>
      <c r="E67" s="50" t="s">
        <v>1350</v>
      </c>
      <c r="F67" s="50" t="s">
        <v>1264</v>
      </c>
      <c r="G67" s="51" t="s">
        <v>63</v>
      </c>
      <c r="H67" s="52" t="s">
        <v>83</v>
      </c>
      <c r="I67" s="52" t="s">
        <v>83</v>
      </c>
      <c r="J67" s="35"/>
      <c r="K67" s="51" t="s">
        <v>220</v>
      </c>
      <c r="L67" s="52" t="s">
        <v>221</v>
      </c>
      <c r="M67" s="52" t="s">
        <v>193</v>
      </c>
      <c r="N67" s="35"/>
      <c r="O67" s="51" t="s">
        <v>63</v>
      </c>
      <c r="P67" s="52" t="s">
        <v>83</v>
      </c>
      <c r="Q67" s="52" t="s">
        <v>83</v>
      </c>
      <c r="R67" s="35"/>
      <c r="S67" s="36" t="str">
        <f>"345,0"</f>
        <v>345,0</v>
      </c>
      <c r="T67" s="35" t="str">
        <f>"257,4045"</f>
        <v>257,4045</v>
      </c>
      <c r="U67" s="50" t="s">
        <v>361</v>
      </c>
    </row>
    <row r="68" spans="1:21">
      <c r="A68" s="35">
        <v>4</v>
      </c>
      <c r="B68" s="50" t="s">
        <v>362</v>
      </c>
      <c r="C68" s="50" t="s">
        <v>363</v>
      </c>
      <c r="D68" s="50" t="s">
        <v>315</v>
      </c>
      <c r="E68" s="50" t="s">
        <v>1350</v>
      </c>
      <c r="F68" s="50" t="s">
        <v>1244</v>
      </c>
      <c r="G68" s="51" t="s">
        <v>220</v>
      </c>
      <c r="H68" s="51" t="s">
        <v>193</v>
      </c>
      <c r="I68" s="51" t="s">
        <v>215</v>
      </c>
      <c r="J68" s="35"/>
      <c r="K68" s="51" t="s">
        <v>48</v>
      </c>
      <c r="L68" s="51" t="s">
        <v>220</v>
      </c>
      <c r="M68" s="51" t="s">
        <v>237</v>
      </c>
      <c r="N68" s="35"/>
      <c r="O68" s="51" t="s">
        <v>166</v>
      </c>
      <c r="P68" s="51" t="s">
        <v>244</v>
      </c>
      <c r="Q68" s="51" t="s">
        <v>63</v>
      </c>
      <c r="R68" s="35"/>
      <c r="S68" s="36" t="str">
        <f>"325,0"</f>
        <v>325,0</v>
      </c>
      <c r="T68" s="35" t="str">
        <f>"237,2500"</f>
        <v>237,2500</v>
      </c>
      <c r="U68" s="50" t="s">
        <v>364</v>
      </c>
    </row>
    <row r="69" spans="1:21">
      <c r="A69" s="35">
        <v>1</v>
      </c>
      <c r="B69" s="50" t="s">
        <v>365</v>
      </c>
      <c r="C69" s="50" t="s">
        <v>366</v>
      </c>
      <c r="D69" s="50" t="s">
        <v>367</v>
      </c>
      <c r="E69" s="50" t="s">
        <v>1347</v>
      </c>
      <c r="F69" s="50" t="s">
        <v>1244</v>
      </c>
      <c r="G69" s="51" t="s">
        <v>78</v>
      </c>
      <c r="H69" s="51" t="s">
        <v>35</v>
      </c>
      <c r="I69" s="52" t="s">
        <v>368</v>
      </c>
      <c r="J69" s="35"/>
      <c r="K69" s="51" t="s">
        <v>152</v>
      </c>
      <c r="L69" s="51" t="s">
        <v>64</v>
      </c>
      <c r="M69" s="52" t="s">
        <v>103</v>
      </c>
      <c r="N69" s="35"/>
      <c r="O69" s="51" t="s">
        <v>36</v>
      </c>
      <c r="P69" s="51" t="s">
        <v>345</v>
      </c>
      <c r="Q69" s="52" t="s">
        <v>80</v>
      </c>
      <c r="R69" s="35"/>
      <c r="S69" s="36" t="str">
        <f>"565,0"</f>
        <v>565,0</v>
      </c>
      <c r="T69" s="35" t="str">
        <f>"417,1395"</f>
        <v>417,1395</v>
      </c>
      <c r="U69" s="50"/>
    </row>
    <row r="70" spans="1:21">
      <c r="A70" s="35">
        <v>2</v>
      </c>
      <c r="B70" s="50" t="s">
        <v>369</v>
      </c>
      <c r="C70" s="50" t="s">
        <v>370</v>
      </c>
      <c r="D70" s="50" t="s">
        <v>371</v>
      </c>
      <c r="E70" s="50" t="s">
        <v>1347</v>
      </c>
      <c r="F70" s="50" t="s">
        <v>1244</v>
      </c>
      <c r="G70" s="52" t="s">
        <v>97</v>
      </c>
      <c r="H70" s="51" t="s">
        <v>97</v>
      </c>
      <c r="I70" s="51" t="s">
        <v>372</v>
      </c>
      <c r="J70" s="35"/>
      <c r="K70" s="51" t="s">
        <v>280</v>
      </c>
      <c r="L70" s="51" t="s">
        <v>152</v>
      </c>
      <c r="M70" s="52" t="s">
        <v>83</v>
      </c>
      <c r="N70" s="35"/>
      <c r="O70" s="51" t="s">
        <v>36</v>
      </c>
      <c r="P70" s="51" t="s">
        <v>344</v>
      </c>
      <c r="Q70" s="52" t="s">
        <v>14</v>
      </c>
      <c r="R70" s="35"/>
      <c r="S70" s="36" t="str">
        <f>"547,5"</f>
        <v>547,5</v>
      </c>
      <c r="T70" s="35" t="str">
        <f>"393,0502"</f>
        <v>393,0502</v>
      </c>
      <c r="U70" s="50"/>
    </row>
    <row r="71" spans="1:21">
      <c r="A71" s="35">
        <v>3</v>
      </c>
      <c r="B71" s="50" t="s">
        <v>373</v>
      </c>
      <c r="C71" s="50" t="s">
        <v>374</v>
      </c>
      <c r="D71" s="50" t="s">
        <v>375</v>
      </c>
      <c r="E71" s="50" t="s">
        <v>1347</v>
      </c>
      <c r="F71" s="50" t="s">
        <v>1244</v>
      </c>
      <c r="G71" s="51" t="s">
        <v>83</v>
      </c>
      <c r="H71" s="51" t="s">
        <v>38</v>
      </c>
      <c r="I71" s="51" t="s">
        <v>39</v>
      </c>
      <c r="J71" s="35"/>
      <c r="K71" s="51" t="s">
        <v>167</v>
      </c>
      <c r="L71" s="51" t="s">
        <v>60</v>
      </c>
      <c r="M71" s="52" t="s">
        <v>79</v>
      </c>
      <c r="N71" s="35"/>
      <c r="O71" s="51" t="s">
        <v>77</v>
      </c>
      <c r="P71" s="51" t="s">
        <v>78</v>
      </c>
      <c r="Q71" s="51" t="s">
        <v>35</v>
      </c>
      <c r="R71" s="35"/>
      <c r="S71" s="36" t="str">
        <f>"482,5"</f>
        <v>482,5</v>
      </c>
      <c r="T71" s="35" t="str">
        <f>"353,6725"</f>
        <v>353,6725</v>
      </c>
      <c r="U71" s="50" t="s">
        <v>222</v>
      </c>
    </row>
    <row r="72" spans="1:21">
      <c r="A72" s="30" t="s">
        <v>31</v>
      </c>
      <c r="B72" s="40" t="s">
        <v>376</v>
      </c>
      <c r="C72" s="40" t="s">
        <v>1171</v>
      </c>
      <c r="D72" s="40" t="s">
        <v>377</v>
      </c>
      <c r="E72" s="40" t="s">
        <v>1348</v>
      </c>
      <c r="F72" s="40" t="s">
        <v>1262</v>
      </c>
      <c r="G72" s="42" t="s">
        <v>97</v>
      </c>
      <c r="H72" s="42" t="s">
        <v>97</v>
      </c>
      <c r="I72" s="42" t="s">
        <v>97</v>
      </c>
      <c r="J72" s="30"/>
      <c r="K72" s="42"/>
      <c r="L72" s="30"/>
      <c r="M72" s="30"/>
      <c r="N72" s="30"/>
      <c r="O72" s="42"/>
      <c r="P72" s="30"/>
      <c r="Q72" s="30"/>
      <c r="R72" s="30"/>
      <c r="S72" s="33">
        <v>0</v>
      </c>
      <c r="T72" s="30" t="str">
        <f>"0,0000"</f>
        <v>0,0000</v>
      </c>
      <c r="U72" s="40" t="s">
        <v>336</v>
      </c>
    </row>
    <row r="74" spans="1:21" ht="16">
      <c r="A74" s="66" t="s">
        <v>84</v>
      </c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1:21">
      <c r="A75" s="29">
        <v>1</v>
      </c>
      <c r="B75" s="37" t="s">
        <v>378</v>
      </c>
      <c r="C75" s="37" t="s">
        <v>379</v>
      </c>
      <c r="D75" s="37" t="s">
        <v>380</v>
      </c>
      <c r="E75" s="37" t="s">
        <v>1350</v>
      </c>
      <c r="F75" s="37" t="s">
        <v>1256</v>
      </c>
      <c r="G75" s="38" t="s">
        <v>381</v>
      </c>
      <c r="H75" s="38" t="s">
        <v>18</v>
      </c>
      <c r="I75" s="39" t="s">
        <v>95</v>
      </c>
      <c r="J75" s="29"/>
      <c r="K75" s="38" t="s">
        <v>215</v>
      </c>
      <c r="L75" s="38" t="s">
        <v>59</v>
      </c>
      <c r="M75" s="39" t="s">
        <v>60</v>
      </c>
      <c r="N75" s="29"/>
      <c r="O75" s="38" t="s">
        <v>97</v>
      </c>
      <c r="P75" s="38" t="s">
        <v>125</v>
      </c>
      <c r="Q75" s="39" t="s">
        <v>102</v>
      </c>
      <c r="R75" s="29"/>
      <c r="S75" s="32" t="str">
        <f>"467,5"</f>
        <v>467,5</v>
      </c>
      <c r="T75" s="29" t="str">
        <f>"323,8373"</f>
        <v>323,8373</v>
      </c>
      <c r="U75" s="37" t="s">
        <v>321</v>
      </c>
    </row>
    <row r="76" spans="1:21">
      <c r="A76" s="35">
        <v>2</v>
      </c>
      <c r="B76" s="50" t="s">
        <v>382</v>
      </c>
      <c r="C76" s="50" t="s">
        <v>383</v>
      </c>
      <c r="D76" s="50" t="s">
        <v>384</v>
      </c>
      <c r="E76" s="50" t="s">
        <v>1350</v>
      </c>
      <c r="F76" s="50" t="s">
        <v>1265</v>
      </c>
      <c r="G76" s="51" t="s">
        <v>88</v>
      </c>
      <c r="H76" s="51" t="s">
        <v>103</v>
      </c>
      <c r="I76" s="51" t="s">
        <v>17</v>
      </c>
      <c r="J76" s="35"/>
      <c r="K76" s="51" t="s">
        <v>193</v>
      </c>
      <c r="L76" s="51" t="s">
        <v>58</v>
      </c>
      <c r="M76" s="51" t="s">
        <v>194</v>
      </c>
      <c r="N76" s="35"/>
      <c r="O76" s="51" t="s">
        <v>78</v>
      </c>
      <c r="P76" s="51" t="s">
        <v>35</v>
      </c>
      <c r="Q76" s="51" t="s">
        <v>340</v>
      </c>
      <c r="R76" s="35"/>
      <c r="S76" s="36" t="str">
        <f>"462,5"</f>
        <v>462,5</v>
      </c>
      <c r="T76" s="35" t="str">
        <f>"313,8062"</f>
        <v>313,8062</v>
      </c>
      <c r="U76" s="50" t="s">
        <v>385</v>
      </c>
    </row>
    <row r="77" spans="1:21">
      <c r="A77" s="35">
        <v>1</v>
      </c>
      <c r="B77" s="50" t="s">
        <v>386</v>
      </c>
      <c r="C77" s="50" t="s">
        <v>1172</v>
      </c>
      <c r="D77" s="50" t="s">
        <v>387</v>
      </c>
      <c r="E77" s="50" t="s">
        <v>1351</v>
      </c>
      <c r="F77" s="50" t="s">
        <v>1244</v>
      </c>
      <c r="G77" s="51" t="s">
        <v>63</v>
      </c>
      <c r="H77" s="51" t="s">
        <v>88</v>
      </c>
      <c r="I77" s="51" t="s">
        <v>83</v>
      </c>
      <c r="J77" s="35"/>
      <c r="K77" s="52" t="s">
        <v>194</v>
      </c>
      <c r="L77" s="52" t="s">
        <v>194</v>
      </c>
      <c r="M77" s="51" t="s">
        <v>194</v>
      </c>
      <c r="N77" s="35"/>
      <c r="O77" s="51" t="s">
        <v>17</v>
      </c>
      <c r="P77" s="51" t="s">
        <v>38</v>
      </c>
      <c r="Q77" s="51" t="s">
        <v>39</v>
      </c>
      <c r="R77" s="35"/>
      <c r="S77" s="36" t="str">
        <f>"410,0"</f>
        <v>410,0</v>
      </c>
      <c r="T77" s="35" t="str">
        <f>"280,5630"</f>
        <v>280,5630</v>
      </c>
      <c r="U77" s="50" t="s">
        <v>1216</v>
      </c>
    </row>
    <row r="78" spans="1:21">
      <c r="A78" s="35" t="s">
        <v>31</v>
      </c>
      <c r="B78" s="50" t="s">
        <v>388</v>
      </c>
      <c r="C78" s="50" t="s">
        <v>1103</v>
      </c>
      <c r="D78" s="50" t="s">
        <v>389</v>
      </c>
      <c r="E78" s="50" t="s">
        <v>1351</v>
      </c>
      <c r="F78" s="50" t="s">
        <v>1244</v>
      </c>
      <c r="G78" s="52" t="s">
        <v>83</v>
      </c>
      <c r="H78" s="52" t="s">
        <v>103</v>
      </c>
      <c r="I78" s="52" t="s">
        <v>103</v>
      </c>
      <c r="J78" s="35"/>
      <c r="K78" s="52"/>
      <c r="L78" s="35"/>
      <c r="M78" s="35"/>
      <c r="N78" s="35"/>
      <c r="O78" s="52"/>
      <c r="P78" s="35"/>
      <c r="Q78" s="35"/>
      <c r="R78" s="35"/>
      <c r="S78" s="36">
        <v>0</v>
      </c>
      <c r="T78" s="35" t="str">
        <f>"0,0000"</f>
        <v>0,0000</v>
      </c>
      <c r="U78" s="50"/>
    </row>
    <row r="79" spans="1:21">
      <c r="A79" s="35">
        <v>1</v>
      </c>
      <c r="B79" s="50" t="s">
        <v>390</v>
      </c>
      <c r="C79" s="50" t="s">
        <v>391</v>
      </c>
      <c r="D79" s="50" t="s">
        <v>392</v>
      </c>
      <c r="E79" s="50" t="s">
        <v>1347</v>
      </c>
      <c r="F79" s="50" t="s">
        <v>1244</v>
      </c>
      <c r="G79" s="51" t="s">
        <v>119</v>
      </c>
      <c r="H79" s="51" t="s">
        <v>19</v>
      </c>
      <c r="I79" s="52" t="s">
        <v>393</v>
      </c>
      <c r="J79" s="35"/>
      <c r="K79" s="51" t="s">
        <v>64</v>
      </c>
      <c r="L79" s="52" t="s">
        <v>65</v>
      </c>
      <c r="M79" s="52" t="s">
        <v>65</v>
      </c>
      <c r="N79" s="35"/>
      <c r="O79" s="51" t="s">
        <v>19</v>
      </c>
      <c r="P79" s="51" t="s">
        <v>162</v>
      </c>
      <c r="Q79" s="52" t="s">
        <v>24</v>
      </c>
      <c r="R79" s="35"/>
      <c r="S79" s="36" t="str">
        <f>"652,5"</f>
        <v>652,5</v>
      </c>
      <c r="T79" s="35" t="str">
        <f>"437,1098"</f>
        <v>437,1098</v>
      </c>
      <c r="U79" s="50"/>
    </row>
    <row r="80" spans="1:21">
      <c r="A80" s="35">
        <v>2</v>
      </c>
      <c r="B80" s="50" t="s">
        <v>394</v>
      </c>
      <c r="C80" s="50" t="s">
        <v>395</v>
      </c>
      <c r="D80" s="50" t="s">
        <v>396</v>
      </c>
      <c r="E80" s="50" t="s">
        <v>1347</v>
      </c>
      <c r="F80" s="50" t="s">
        <v>1266</v>
      </c>
      <c r="G80" s="51" t="s">
        <v>35</v>
      </c>
      <c r="H80" s="51" t="s">
        <v>102</v>
      </c>
      <c r="I80" s="51" t="s">
        <v>36</v>
      </c>
      <c r="J80" s="35"/>
      <c r="K80" s="51" t="s">
        <v>381</v>
      </c>
      <c r="L80" s="51" t="s">
        <v>96</v>
      </c>
      <c r="M80" s="51" t="s">
        <v>18</v>
      </c>
      <c r="N80" s="35"/>
      <c r="O80" s="51" t="s">
        <v>102</v>
      </c>
      <c r="P80" s="51" t="s">
        <v>37</v>
      </c>
      <c r="Q80" s="52" t="s">
        <v>344</v>
      </c>
      <c r="R80" s="35"/>
      <c r="S80" s="36" t="str">
        <f>"585,0"</f>
        <v>585,0</v>
      </c>
      <c r="T80" s="35" t="str">
        <f>"392,7690"</f>
        <v>392,7690</v>
      </c>
      <c r="U80" s="50" t="s">
        <v>397</v>
      </c>
    </row>
    <row r="81" spans="1:21">
      <c r="A81" s="35">
        <v>3</v>
      </c>
      <c r="B81" s="50" t="s">
        <v>398</v>
      </c>
      <c r="C81" s="50" t="s">
        <v>399</v>
      </c>
      <c r="D81" s="50" t="s">
        <v>400</v>
      </c>
      <c r="E81" s="50" t="s">
        <v>1347</v>
      </c>
      <c r="F81" s="50" t="s">
        <v>1267</v>
      </c>
      <c r="G81" s="51" t="s">
        <v>40</v>
      </c>
      <c r="H81" s="51" t="s">
        <v>97</v>
      </c>
      <c r="I81" s="52" t="s">
        <v>78</v>
      </c>
      <c r="J81" s="35"/>
      <c r="K81" s="52" t="s">
        <v>59</v>
      </c>
      <c r="L81" s="51" t="s">
        <v>167</v>
      </c>
      <c r="M81" s="51" t="s">
        <v>60</v>
      </c>
      <c r="N81" s="35"/>
      <c r="O81" s="51" t="s">
        <v>35</v>
      </c>
      <c r="P81" s="51" t="s">
        <v>36</v>
      </c>
      <c r="Q81" s="51" t="s">
        <v>37</v>
      </c>
      <c r="R81" s="35"/>
      <c r="S81" s="36" t="str">
        <f>"517,5"</f>
        <v>517,5</v>
      </c>
      <c r="T81" s="35" t="str">
        <f>"352,7280"</f>
        <v>352,7280</v>
      </c>
      <c r="U81" s="50"/>
    </row>
    <row r="82" spans="1:21">
      <c r="A82" s="35">
        <v>4</v>
      </c>
      <c r="B82" s="50" t="s">
        <v>401</v>
      </c>
      <c r="C82" s="50" t="s">
        <v>402</v>
      </c>
      <c r="D82" s="50" t="s">
        <v>87</v>
      </c>
      <c r="E82" s="50" t="s">
        <v>1347</v>
      </c>
      <c r="F82" s="50" t="s">
        <v>1244</v>
      </c>
      <c r="G82" s="52" t="s">
        <v>77</v>
      </c>
      <c r="H82" s="51" t="s">
        <v>77</v>
      </c>
      <c r="I82" s="52" t="s">
        <v>78</v>
      </c>
      <c r="J82" s="35"/>
      <c r="K82" s="51" t="s">
        <v>72</v>
      </c>
      <c r="L82" s="52" t="s">
        <v>280</v>
      </c>
      <c r="M82" s="35"/>
      <c r="N82" s="35"/>
      <c r="O82" s="52" t="s">
        <v>340</v>
      </c>
      <c r="P82" s="51" t="s">
        <v>340</v>
      </c>
      <c r="Q82" s="52" t="s">
        <v>141</v>
      </c>
      <c r="R82" s="35"/>
      <c r="S82" s="36" t="str">
        <f>"515,0"</f>
        <v>515,0</v>
      </c>
      <c r="T82" s="35" t="str">
        <f>"346,5435"</f>
        <v>346,5435</v>
      </c>
      <c r="U82" s="50"/>
    </row>
    <row r="83" spans="1:21">
      <c r="A83" s="35">
        <v>5</v>
      </c>
      <c r="B83" s="50" t="s">
        <v>403</v>
      </c>
      <c r="C83" s="50" t="s">
        <v>404</v>
      </c>
      <c r="D83" s="50" t="s">
        <v>405</v>
      </c>
      <c r="E83" s="50" t="s">
        <v>1347</v>
      </c>
      <c r="F83" s="50" t="s">
        <v>1267</v>
      </c>
      <c r="G83" s="51" t="s">
        <v>17</v>
      </c>
      <c r="H83" s="52" t="s">
        <v>18</v>
      </c>
      <c r="I83" s="51" t="s">
        <v>39</v>
      </c>
      <c r="J83" s="35"/>
      <c r="K83" s="51" t="s">
        <v>79</v>
      </c>
      <c r="L83" s="51" t="s">
        <v>72</v>
      </c>
      <c r="M83" s="51" t="s">
        <v>88</v>
      </c>
      <c r="N83" s="35"/>
      <c r="O83" s="51" t="s">
        <v>18</v>
      </c>
      <c r="P83" s="51" t="s">
        <v>39</v>
      </c>
      <c r="Q83" s="51" t="s">
        <v>95</v>
      </c>
      <c r="R83" s="35"/>
      <c r="S83" s="36" t="str">
        <f>"470,0"</f>
        <v>470,0</v>
      </c>
      <c r="T83" s="35" t="str">
        <f>"319,6000"</f>
        <v>319,6000</v>
      </c>
      <c r="U83" s="50"/>
    </row>
    <row r="84" spans="1:21">
      <c r="A84" s="35">
        <v>6</v>
      </c>
      <c r="B84" s="50" t="s">
        <v>406</v>
      </c>
      <c r="C84" s="50" t="s">
        <v>407</v>
      </c>
      <c r="D84" s="50" t="s">
        <v>387</v>
      </c>
      <c r="E84" s="50" t="s">
        <v>1347</v>
      </c>
      <c r="F84" s="50" t="s">
        <v>1244</v>
      </c>
      <c r="G84" s="51" t="s">
        <v>17</v>
      </c>
      <c r="H84" s="51" t="s">
        <v>18</v>
      </c>
      <c r="I84" s="52" t="s">
        <v>95</v>
      </c>
      <c r="J84" s="35"/>
      <c r="K84" s="51" t="s">
        <v>193</v>
      </c>
      <c r="L84" s="51" t="s">
        <v>58</v>
      </c>
      <c r="M84" s="52" t="s">
        <v>232</v>
      </c>
      <c r="N84" s="35"/>
      <c r="O84" s="52" t="s">
        <v>95</v>
      </c>
      <c r="P84" s="51" t="s">
        <v>95</v>
      </c>
      <c r="Q84" s="51" t="s">
        <v>40</v>
      </c>
      <c r="R84" s="35"/>
      <c r="S84" s="36" t="str">
        <f>"435,0"</f>
        <v>435,0</v>
      </c>
      <c r="T84" s="35" t="str">
        <f>"297,6705"</f>
        <v>297,6705</v>
      </c>
      <c r="U84" s="50"/>
    </row>
    <row r="85" spans="1:21">
      <c r="A85" s="30">
        <v>1</v>
      </c>
      <c r="B85" s="40" t="s">
        <v>408</v>
      </c>
      <c r="C85" s="40" t="s">
        <v>1173</v>
      </c>
      <c r="D85" s="40" t="s">
        <v>392</v>
      </c>
      <c r="E85" s="40" t="s">
        <v>1349</v>
      </c>
      <c r="F85" s="40" t="s">
        <v>1244</v>
      </c>
      <c r="G85" s="41" t="s">
        <v>77</v>
      </c>
      <c r="H85" s="42" t="s">
        <v>78</v>
      </c>
      <c r="I85" s="42" t="s">
        <v>78</v>
      </c>
      <c r="J85" s="30"/>
      <c r="K85" s="41" t="s">
        <v>71</v>
      </c>
      <c r="L85" s="42" t="s">
        <v>280</v>
      </c>
      <c r="M85" s="42" t="s">
        <v>280</v>
      </c>
      <c r="N85" s="30"/>
      <c r="O85" s="41" t="s">
        <v>36</v>
      </c>
      <c r="P85" s="41" t="s">
        <v>14</v>
      </c>
      <c r="Q85" s="42" t="s">
        <v>80</v>
      </c>
      <c r="R85" s="30"/>
      <c r="S85" s="33" t="str">
        <f>"525,0"</f>
        <v>525,0</v>
      </c>
      <c r="T85" s="30" t="str">
        <f>"379,1299"</f>
        <v>379,1299</v>
      </c>
      <c r="U85" s="40" t="s">
        <v>357</v>
      </c>
    </row>
    <row r="87" spans="1:21" ht="16">
      <c r="A87" s="66" t="s">
        <v>99</v>
      </c>
      <c r="B87" s="66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1:21">
      <c r="A88" s="29" t="s">
        <v>31</v>
      </c>
      <c r="B88" s="37" t="s">
        <v>409</v>
      </c>
      <c r="C88" s="37" t="s">
        <v>410</v>
      </c>
      <c r="D88" s="37" t="s">
        <v>411</v>
      </c>
      <c r="E88" s="37" t="s">
        <v>1350</v>
      </c>
      <c r="F88" s="37" t="s">
        <v>1244</v>
      </c>
      <c r="G88" s="39" t="s">
        <v>79</v>
      </c>
      <c r="H88" s="39" t="s">
        <v>79</v>
      </c>
      <c r="I88" s="29"/>
      <c r="J88" s="29"/>
      <c r="K88" s="39"/>
      <c r="L88" s="29"/>
      <c r="M88" s="29"/>
      <c r="N88" s="29"/>
      <c r="O88" s="39"/>
      <c r="P88" s="29"/>
      <c r="Q88" s="29"/>
      <c r="R88" s="29"/>
      <c r="S88" s="32">
        <v>0</v>
      </c>
      <c r="T88" s="29" t="str">
        <f>"0,0000"</f>
        <v>0,0000</v>
      </c>
      <c r="U88" s="37" t="s">
        <v>412</v>
      </c>
    </row>
    <row r="89" spans="1:21">
      <c r="A89" s="35">
        <v>1</v>
      </c>
      <c r="B89" s="50" t="s">
        <v>413</v>
      </c>
      <c r="C89" s="50" t="s">
        <v>1174</v>
      </c>
      <c r="D89" s="50" t="s">
        <v>414</v>
      </c>
      <c r="E89" s="50" t="s">
        <v>1351</v>
      </c>
      <c r="F89" s="50" t="s">
        <v>1268</v>
      </c>
      <c r="G89" s="51" t="s">
        <v>39</v>
      </c>
      <c r="H89" s="51" t="s">
        <v>40</v>
      </c>
      <c r="I89" s="52" t="s">
        <v>97</v>
      </c>
      <c r="J89" s="35"/>
      <c r="K89" s="51" t="s">
        <v>79</v>
      </c>
      <c r="L89" s="51" t="s">
        <v>71</v>
      </c>
      <c r="M89" s="52" t="s">
        <v>280</v>
      </c>
      <c r="N89" s="35"/>
      <c r="O89" s="52" t="s">
        <v>78</v>
      </c>
      <c r="P89" s="51" t="s">
        <v>78</v>
      </c>
      <c r="Q89" s="52" t="s">
        <v>35</v>
      </c>
      <c r="R89" s="35"/>
      <c r="S89" s="36" t="str">
        <f>"490,0"</f>
        <v>490,0</v>
      </c>
      <c r="T89" s="35" t="str">
        <f>"314,0900"</f>
        <v>314,0900</v>
      </c>
      <c r="U89" s="50"/>
    </row>
    <row r="90" spans="1:21">
      <c r="A90" s="35">
        <v>1</v>
      </c>
      <c r="B90" s="50" t="s">
        <v>415</v>
      </c>
      <c r="C90" s="50" t="s">
        <v>416</v>
      </c>
      <c r="D90" s="50" t="s">
        <v>417</v>
      </c>
      <c r="E90" s="50" t="s">
        <v>1347</v>
      </c>
      <c r="F90" s="50" t="s">
        <v>1244</v>
      </c>
      <c r="G90" s="52" t="s">
        <v>16</v>
      </c>
      <c r="H90" s="51" t="s">
        <v>16</v>
      </c>
      <c r="I90" s="51" t="s">
        <v>112</v>
      </c>
      <c r="J90" s="51" t="s">
        <v>418</v>
      </c>
      <c r="K90" s="51" t="s">
        <v>18</v>
      </c>
      <c r="L90" s="51" t="s">
        <v>39</v>
      </c>
      <c r="M90" s="52" t="s">
        <v>95</v>
      </c>
      <c r="N90" s="35"/>
      <c r="O90" s="52" t="s">
        <v>19</v>
      </c>
      <c r="P90" s="51" t="s">
        <v>419</v>
      </c>
      <c r="Q90" s="52" t="s">
        <v>418</v>
      </c>
      <c r="R90" s="35"/>
      <c r="S90" s="36" t="str">
        <f>"677,5"</f>
        <v>677,5</v>
      </c>
      <c r="T90" s="35" t="str">
        <f>"438,6812"</f>
        <v>438,6812</v>
      </c>
      <c r="U90" s="50" t="s">
        <v>420</v>
      </c>
    </row>
    <row r="91" spans="1:21">
      <c r="A91" s="35">
        <v>2</v>
      </c>
      <c r="B91" s="50" t="s">
        <v>421</v>
      </c>
      <c r="C91" s="50" t="s">
        <v>422</v>
      </c>
      <c r="D91" s="50" t="s">
        <v>423</v>
      </c>
      <c r="E91" s="50" t="s">
        <v>1347</v>
      </c>
      <c r="F91" s="50" t="s">
        <v>1269</v>
      </c>
      <c r="G91" s="51" t="s">
        <v>141</v>
      </c>
      <c r="H91" s="51" t="s">
        <v>344</v>
      </c>
      <c r="I91" s="51" t="s">
        <v>345</v>
      </c>
      <c r="J91" s="35"/>
      <c r="K91" s="51" t="s">
        <v>280</v>
      </c>
      <c r="L91" s="52" t="s">
        <v>83</v>
      </c>
      <c r="M91" s="52" t="s">
        <v>83</v>
      </c>
      <c r="N91" s="35"/>
      <c r="O91" s="51" t="s">
        <v>37</v>
      </c>
      <c r="P91" s="51" t="s">
        <v>41</v>
      </c>
      <c r="Q91" s="52" t="s">
        <v>144</v>
      </c>
      <c r="R91" s="35"/>
      <c r="S91" s="36" t="str">
        <f>"585,0"</f>
        <v>585,0</v>
      </c>
      <c r="T91" s="35" t="str">
        <f>"374,2830"</f>
        <v>374,2830</v>
      </c>
      <c r="U91" s="50" t="s">
        <v>104</v>
      </c>
    </row>
    <row r="92" spans="1:21">
      <c r="A92" s="35">
        <v>3</v>
      </c>
      <c r="B92" s="50" t="s">
        <v>424</v>
      </c>
      <c r="C92" s="50" t="s">
        <v>425</v>
      </c>
      <c r="D92" s="50" t="s">
        <v>127</v>
      </c>
      <c r="E92" s="50" t="s">
        <v>1347</v>
      </c>
      <c r="F92" s="50" t="s">
        <v>1270</v>
      </c>
      <c r="G92" s="52" t="s">
        <v>40</v>
      </c>
      <c r="H92" s="52" t="s">
        <v>40</v>
      </c>
      <c r="I92" s="51" t="s">
        <v>40</v>
      </c>
      <c r="J92" s="35"/>
      <c r="K92" s="51" t="s">
        <v>88</v>
      </c>
      <c r="L92" s="52" t="s">
        <v>103</v>
      </c>
      <c r="M92" s="52" t="s">
        <v>103</v>
      </c>
      <c r="N92" s="35"/>
      <c r="O92" s="52" t="s">
        <v>36</v>
      </c>
      <c r="P92" s="51" t="s">
        <v>36</v>
      </c>
      <c r="Q92" s="52" t="s">
        <v>14</v>
      </c>
      <c r="R92" s="35"/>
      <c r="S92" s="36" t="str">
        <f>"520,0"</f>
        <v>520,0</v>
      </c>
      <c r="T92" s="35" t="str">
        <f>"334,0480"</f>
        <v>334,0480</v>
      </c>
      <c r="U92" s="50" t="s">
        <v>426</v>
      </c>
    </row>
    <row r="93" spans="1:21">
      <c r="A93" s="35">
        <v>4</v>
      </c>
      <c r="B93" s="50" t="s">
        <v>470</v>
      </c>
      <c r="C93" s="50" t="s">
        <v>427</v>
      </c>
      <c r="D93" s="50" t="s">
        <v>107</v>
      </c>
      <c r="E93" s="50" t="s">
        <v>1347</v>
      </c>
      <c r="F93" s="50" t="s">
        <v>1244</v>
      </c>
      <c r="G93" s="51" t="s">
        <v>58</v>
      </c>
      <c r="H93" s="35"/>
      <c r="I93" s="35"/>
      <c r="J93" s="35"/>
      <c r="K93" s="51" t="s">
        <v>58</v>
      </c>
      <c r="L93" s="35"/>
      <c r="M93" s="35"/>
      <c r="N93" s="35"/>
      <c r="O93" s="51" t="s">
        <v>58</v>
      </c>
      <c r="P93" s="35"/>
      <c r="Q93" s="35"/>
      <c r="R93" s="35"/>
      <c r="S93" s="36" t="str">
        <f>"300,0"</f>
        <v>300,0</v>
      </c>
      <c r="T93" s="35" t="str">
        <f>"191,5200"</f>
        <v>191,5200</v>
      </c>
      <c r="U93" s="50"/>
    </row>
    <row r="94" spans="1:21">
      <c r="A94" s="35">
        <v>1</v>
      </c>
      <c r="B94" s="50" t="s">
        <v>429</v>
      </c>
      <c r="C94" s="50" t="s">
        <v>1175</v>
      </c>
      <c r="D94" s="50" t="s">
        <v>430</v>
      </c>
      <c r="E94" s="50" t="s">
        <v>1349</v>
      </c>
      <c r="F94" s="50" t="s">
        <v>1271</v>
      </c>
      <c r="G94" s="51" t="s">
        <v>36</v>
      </c>
      <c r="H94" s="51" t="s">
        <v>148</v>
      </c>
      <c r="I94" s="51" t="s">
        <v>119</v>
      </c>
      <c r="J94" s="35"/>
      <c r="K94" s="51" t="s">
        <v>38</v>
      </c>
      <c r="L94" s="51" t="s">
        <v>39</v>
      </c>
      <c r="M94" s="52" t="s">
        <v>95</v>
      </c>
      <c r="N94" s="35"/>
      <c r="O94" s="51" t="s">
        <v>36</v>
      </c>
      <c r="P94" s="51" t="s">
        <v>41</v>
      </c>
      <c r="Q94" s="51" t="s">
        <v>144</v>
      </c>
      <c r="R94" s="35"/>
      <c r="S94" s="36" t="str">
        <f>"642,5"</f>
        <v>642,5</v>
      </c>
      <c r="T94" s="35" t="str">
        <f>"446,3211"</f>
        <v>446,3211</v>
      </c>
      <c r="U94" s="50" t="s">
        <v>431</v>
      </c>
    </row>
    <row r="95" spans="1:21">
      <c r="A95" s="35">
        <v>2</v>
      </c>
      <c r="B95" s="50" t="s">
        <v>432</v>
      </c>
      <c r="C95" s="50" t="s">
        <v>1176</v>
      </c>
      <c r="D95" s="50" t="s">
        <v>430</v>
      </c>
      <c r="E95" s="50" t="s">
        <v>1349</v>
      </c>
      <c r="F95" s="50" t="s">
        <v>1272</v>
      </c>
      <c r="G95" s="51" t="s">
        <v>103</v>
      </c>
      <c r="H95" s="51" t="s">
        <v>17</v>
      </c>
      <c r="I95" s="51" t="s">
        <v>18</v>
      </c>
      <c r="J95" s="35"/>
      <c r="K95" s="51" t="s">
        <v>83</v>
      </c>
      <c r="L95" s="51" t="s">
        <v>103</v>
      </c>
      <c r="M95" s="52" t="s">
        <v>17</v>
      </c>
      <c r="N95" s="35"/>
      <c r="O95" s="51" t="s">
        <v>77</v>
      </c>
      <c r="P95" s="51" t="s">
        <v>78</v>
      </c>
      <c r="Q95" s="51" t="s">
        <v>35</v>
      </c>
      <c r="R95" s="35"/>
      <c r="S95" s="36" t="str">
        <f>"505,0"</f>
        <v>505,0</v>
      </c>
      <c r="T95" s="35" t="str">
        <f>"362,5201"</f>
        <v>362,5201</v>
      </c>
      <c r="U95" s="50"/>
    </row>
    <row r="96" spans="1:21">
      <c r="A96" s="35">
        <v>3</v>
      </c>
      <c r="B96" s="50" t="s">
        <v>433</v>
      </c>
      <c r="C96" s="50" t="s">
        <v>1093</v>
      </c>
      <c r="D96" s="50" t="s">
        <v>430</v>
      </c>
      <c r="E96" s="50" t="s">
        <v>1352</v>
      </c>
      <c r="F96" s="50" t="s">
        <v>1273</v>
      </c>
      <c r="G96" s="51" t="s">
        <v>63</v>
      </c>
      <c r="H96" s="52" t="s">
        <v>88</v>
      </c>
      <c r="I96" s="52" t="s">
        <v>88</v>
      </c>
      <c r="J96" s="35"/>
      <c r="K96" s="51" t="s">
        <v>79</v>
      </c>
      <c r="L96" s="51" t="s">
        <v>71</v>
      </c>
      <c r="M96" s="52" t="s">
        <v>63</v>
      </c>
      <c r="N96" s="35"/>
      <c r="O96" s="52" t="s">
        <v>35</v>
      </c>
      <c r="P96" s="51" t="s">
        <v>35</v>
      </c>
      <c r="Q96" s="51" t="s">
        <v>36</v>
      </c>
      <c r="R96" s="35"/>
      <c r="S96" s="36" t="str">
        <f>"465,0"</f>
        <v>465,0</v>
      </c>
      <c r="T96" s="35" t="str">
        <f>"317,6248"</f>
        <v>317,6248</v>
      </c>
      <c r="U96" s="50"/>
    </row>
    <row r="97" spans="1:21">
      <c r="A97" s="35" t="s">
        <v>31</v>
      </c>
      <c r="B97" s="50" t="s">
        <v>434</v>
      </c>
      <c r="C97" s="50" t="s">
        <v>1177</v>
      </c>
      <c r="D97" s="50" t="s">
        <v>101</v>
      </c>
      <c r="E97" s="50" t="s">
        <v>1352</v>
      </c>
      <c r="F97" s="50" t="s">
        <v>1244</v>
      </c>
      <c r="G97" s="52" t="s">
        <v>97</v>
      </c>
      <c r="H97" s="52" t="s">
        <v>78</v>
      </c>
      <c r="I97" s="52" t="s">
        <v>78</v>
      </c>
      <c r="J97" s="35"/>
      <c r="K97" s="52"/>
      <c r="L97" s="35"/>
      <c r="M97" s="35"/>
      <c r="N97" s="35"/>
      <c r="O97" s="52"/>
      <c r="P97" s="35"/>
      <c r="Q97" s="35"/>
      <c r="R97" s="35"/>
      <c r="S97" s="36">
        <v>0</v>
      </c>
      <c r="T97" s="35" t="str">
        <f>"0,0000"</f>
        <v>0,0000</v>
      </c>
      <c r="U97" s="50"/>
    </row>
    <row r="98" spans="1:21">
      <c r="A98" s="30">
        <v>1</v>
      </c>
      <c r="B98" s="40" t="s">
        <v>415</v>
      </c>
      <c r="C98" s="40" t="s">
        <v>1178</v>
      </c>
      <c r="D98" s="40" t="s">
        <v>417</v>
      </c>
      <c r="E98" s="40" t="s">
        <v>1353</v>
      </c>
      <c r="F98" s="40" t="s">
        <v>1244</v>
      </c>
      <c r="G98" s="42" t="s">
        <v>16</v>
      </c>
      <c r="H98" s="41" t="s">
        <v>16</v>
      </c>
      <c r="I98" s="41" t="s">
        <v>112</v>
      </c>
      <c r="J98" s="41" t="s">
        <v>418</v>
      </c>
      <c r="K98" s="41" t="s">
        <v>18</v>
      </c>
      <c r="L98" s="41" t="s">
        <v>39</v>
      </c>
      <c r="M98" s="42" t="s">
        <v>95</v>
      </c>
      <c r="N98" s="30"/>
      <c r="O98" s="42" t="s">
        <v>19</v>
      </c>
      <c r="P98" s="41" t="s">
        <v>419</v>
      </c>
      <c r="Q98" s="42" t="s">
        <v>418</v>
      </c>
      <c r="R98" s="30"/>
      <c r="S98" s="33" t="str">
        <f>"677,5"</f>
        <v>677,5</v>
      </c>
      <c r="T98" s="30" t="str">
        <f>"568,9696"</f>
        <v>568,9696</v>
      </c>
      <c r="U98" s="40" t="s">
        <v>420</v>
      </c>
    </row>
    <row r="100" spans="1:21" ht="16">
      <c r="A100" s="66" t="s">
        <v>32</v>
      </c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1:21">
      <c r="A101" s="29" t="s">
        <v>31</v>
      </c>
      <c r="B101" s="37" t="s">
        <v>435</v>
      </c>
      <c r="C101" s="37" t="s">
        <v>436</v>
      </c>
      <c r="D101" s="37" t="s">
        <v>437</v>
      </c>
      <c r="E101" s="37" t="s">
        <v>1350</v>
      </c>
      <c r="F101" s="37" t="s">
        <v>1244</v>
      </c>
      <c r="G101" s="39" t="s">
        <v>194</v>
      </c>
      <c r="H101" s="39" t="s">
        <v>194</v>
      </c>
      <c r="I101" s="39" t="s">
        <v>194</v>
      </c>
      <c r="J101" s="29"/>
      <c r="K101" s="39"/>
      <c r="L101" s="29"/>
      <c r="M101" s="29"/>
      <c r="N101" s="29"/>
      <c r="O101" s="39"/>
      <c r="P101" s="29"/>
      <c r="Q101" s="29"/>
      <c r="R101" s="29"/>
      <c r="S101" s="32">
        <v>0</v>
      </c>
      <c r="T101" s="29" t="str">
        <f>"0,0000"</f>
        <v>0,0000</v>
      </c>
      <c r="U101" s="37" t="s">
        <v>438</v>
      </c>
    </row>
    <row r="102" spans="1:21">
      <c r="A102" s="35">
        <v>1</v>
      </c>
      <c r="B102" s="50" t="s">
        <v>439</v>
      </c>
      <c r="C102" s="50" t="s">
        <v>1179</v>
      </c>
      <c r="D102" s="50" t="s">
        <v>440</v>
      </c>
      <c r="E102" s="50" t="s">
        <v>1351</v>
      </c>
      <c r="F102" s="50" t="s">
        <v>1244</v>
      </c>
      <c r="G102" s="51" t="s">
        <v>78</v>
      </c>
      <c r="H102" s="51" t="s">
        <v>35</v>
      </c>
      <c r="I102" s="52" t="s">
        <v>340</v>
      </c>
      <c r="J102" s="35"/>
      <c r="K102" s="51" t="s">
        <v>152</v>
      </c>
      <c r="L102" s="51" t="s">
        <v>103</v>
      </c>
      <c r="M102" s="52" t="s">
        <v>17</v>
      </c>
      <c r="N102" s="35"/>
      <c r="O102" s="51" t="s">
        <v>41</v>
      </c>
      <c r="P102" s="51" t="s">
        <v>144</v>
      </c>
      <c r="Q102" s="51" t="s">
        <v>16</v>
      </c>
      <c r="R102" s="52" t="s">
        <v>441</v>
      </c>
      <c r="S102" s="36" t="str">
        <f>"595,0"</f>
        <v>595,0</v>
      </c>
      <c r="T102" s="35" t="str">
        <f>"364,7945"</f>
        <v>364,7945</v>
      </c>
      <c r="U102" s="50"/>
    </row>
    <row r="103" spans="1:21">
      <c r="A103" s="35">
        <v>2</v>
      </c>
      <c r="B103" s="50" t="s">
        <v>442</v>
      </c>
      <c r="C103" s="50" t="s">
        <v>1180</v>
      </c>
      <c r="D103" s="50" t="s">
        <v>34</v>
      </c>
      <c r="E103" s="50" t="s">
        <v>1351</v>
      </c>
      <c r="F103" s="50" t="s">
        <v>1274</v>
      </c>
      <c r="G103" s="51" t="s">
        <v>35</v>
      </c>
      <c r="H103" s="52" t="s">
        <v>36</v>
      </c>
      <c r="I103" s="51" t="s">
        <v>36</v>
      </c>
      <c r="J103" s="35"/>
      <c r="K103" s="51" t="s">
        <v>71</v>
      </c>
      <c r="L103" s="51" t="s">
        <v>88</v>
      </c>
      <c r="M103" s="52" t="s">
        <v>83</v>
      </c>
      <c r="N103" s="35"/>
      <c r="O103" s="52" t="s">
        <v>41</v>
      </c>
      <c r="P103" s="51" t="s">
        <v>41</v>
      </c>
      <c r="Q103" s="51" t="s">
        <v>144</v>
      </c>
      <c r="R103" s="35"/>
      <c r="S103" s="36" t="str">
        <f>"587,5"</f>
        <v>587,5</v>
      </c>
      <c r="T103" s="35" t="str">
        <f>"364,2500"</f>
        <v>364,2500</v>
      </c>
      <c r="U103" s="50"/>
    </row>
    <row r="104" spans="1:21">
      <c r="A104" s="35" t="s">
        <v>31</v>
      </c>
      <c r="B104" s="50" t="s">
        <v>443</v>
      </c>
      <c r="C104" s="50" t="s">
        <v>444</v>
      </c>
      <c r="D104" s="50" t="s">
        <v>445</v>
      </c>
      <c r="E104" s="50" t="s">
        <v>1347</v>
      </c>
      <c r="F104" s="50" t="s">
        <v>1244</v>
      </c>
      <c r="G104" s="51" t="s">
        <v>15</v>
      </c>
      <c r="H104" s="51" t="s">
        <v>419</v>
      </c>
      <c r="I104" s="51" t="s">
        <v>418</v>
      </c>
      <c r="J104" s="35"/>
      <c r="K104" s="52" t="s">
        <v>18</v>
      </c>
      <c r="L104" s="52" t="s">
        <v>18</v>
      </c>
      <c r="M104" s="52" t="s">
        <v>18</v>
      </c>
      <c r="N104" s="35"/>
      <c r="O104" s="52"/>
      <c r="P104" s="35"/>
      <c r="Q104" s="35"/>
      <c r="R104" s="35"/>
      <c r="S104" s="36">
        <v>0</v>
      </c>
      <c r="T104" s="35" t="str">
        <f>"0,0000"</f>
        <v>0,0000</v>
      </c>
      <c r="U104" s="50" t="s">
        <v>281</v>
      </c>
    </row>
    <row r="105" spans="1:21">
      <c r="A105" s="30">
        <v>1</v>
      </c>
      <c r="B105" s="40" t="s">
        <v>446</v>
      </c>
      <c r="C105" s="40" t="s">
        <v>1181</v>
      </c>
      <c r="D105" s="40" t="s">
        <v>447</v>
      </c>
      <c r="E105" s="40" t="s">
        <v>1348</v>
      </c>
      <c r="F105" s="40" t="s">
        <v>1244</v>
      </c>
      <c r="G105" s="42" t="s">
        <v>125</v>
      </c>
      <c r="H105" s="41" t="s">
        <v>102</v>
      </c>
      <c r="I105" s="41" t="s">
        <v>141</v>
      </c>
      <c r="J105" s="30"/>
      <c r="K105" s="41" t="s">
        <v>58</v>
      </c>
      <c r="L105" s="41" t="s">
        <v>215</v>
      </c>
      <c r="M105" s="41" t="s">
        <v>166</v>
      </c>
      <c r="N105" s="30"/>
      <c r="O105" s="41" t="s">
        <v>102</v>
      </c>
      <c r="P105" s="41" t="s">
        <v>37</v>
      </c>
      <c r="Q105" s="42" t="s">
        <v>41</v>
      </c>
      <c r="R105" s="30"/>
      <c r="S105" s="33" t="str">
        <f>"537,5"</f>
        <v>537,5</v>
      </c>
      <c r="T105" s="30" t="str">
        <f>"336,4984"</f>
        <v>336,4984</v>
      </c>
      <c r="U105" s="40" t="s">
        <v>448</v>
      </c>
    </row>
    <row r="107" spans="1:21" ht="16">
      <c r="A107" s="66" t="s">
        <v>11</v>
      </c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1:21">
      <c r="A108" s="29">
        <v>1</v>
      </c>
      <c r="B108" s="37" t="s">
        <v>449</v>
      </c>
      <c r="C108" s="37" t="s">
        <v>450</v>
      </c>
      <c r="D108" s="37" t="s">
        <v>451</v>
      </c>
      <c r="E108" s="37" t="s">
        <v>1347</v>
      </c>
      <c r="F108" s="37" t="s">
        <v>1244</v>
      </c>
      <c r="G108" s="38" t="s">
        <v>23</v>
      </c>
      <c r="H108" s="38" t="s">
        <v>162</v>
      </c>
      <c r="I108" s="38" t="s">
        <v>24</v>
      </c>
      <c r="J108" s="29"/>
      <c r="K108" s="38" t="s">
        <v>97</v>
      </c>
      <c r="L108" s="38" t="s">
        <v>78</v>
      </c>
      <c r="M108" s="39" t="s">
        <v>125</v>
      </c>
      <c r="N108" s="29"/>
      <c r="O108" s="39" t="s">
        <v>162</v>
      </c>
      <c r="P108" s="38" t="s">
        <v>162</v>
      </c>
      <c r="Q108" s="39" t="s">
        <v>134</v>
      </c>
      <c r="R108" s="29"/>
      <c r="S108" s="32" t="str">
        <f>"725,0"</f>
        <v>725,0</v>
      </c>
      <c r="T108" s="29" t="str">
        <f>"432,5350"</f>
        <v>432,5350</v>
      </c>
      <c r="U108" s="37" t="s">
        <v>452</v>
      </c>
    </row>
    <row r="109" spans="1:21">
      <c r="A109" s="35">
        <v>2</v>
      </c>
      <c r="B109" s="50" t="s">
        <v>453</v>
      </c>
      <c r="C109" s="50" t="s">
        <v>454</v>
      </c>
      <c r="D109" s="50" t="s">
        <v>455</v>
      </c>
      <c r="E109" s="50" t="s">
        <v>1347</v>
      </c>
      <c r="F109" s="50" t="s">
        <v>1275</v>
      </c>
      <c r="G109" s="51" t="s">
        <v>80</v>
      </c>
      <c r="H109" s="51" t="s">
        <v>119</v>
      </c>
      <c r="I109" s="51" t="s">
        <v>15</v>
      </c>
      <c r="J109" s="35"/>
      <c r="K109" s="52" t="s">
        <v>77</v>
      </c>
      <c r="L109" s="51" t="s">
        <v>97</v>
      </c>
      <c r="M109" s="51" t="s">
        <v>78</v>
      </c>
      <c r="N109" s="35"/>
      <c r="O109" s="51" t="s">
        <v>23</v>
      </c>
      <c r="P109" s="51" t="s">
        <v>24</v>
      </c>
      <c r="Q109" s="51" t="s">
        <v>134</v>
      </c>
      <c r="R109" s="35"/>
      <c r="S109" s="36" t="str">
        <f>"705,0"</f>
        <v>705,0</v>
      </c>
      <c r="T109" s="35" t="str">
        <f>"416,1615"</f>
        <v>416,1615</v>
      </c>
      <c r="U109" s="50" t="s">
        <v>456</v>
      </c>
    </row>
    <row r="110" spans="1:21">
      <c r="A110" s="30">
        <v>3</v>
      </c>
      <c r="B110" s="40" t="s">
        <v>457</v>
      </c>
      <c r="C110" s="40" t="s">
        <v>458</v>
      </c>
      <c r="D110" s="40" t="s">
        <v>459</v>
      </c>
      <c r="E110" s="40" t="s">
        <v>1347</v>
      </c>
      <c r="F110" s="40" t="s">
        <v>1276</v>
      </c>
      <c r="G110" s="41" t="s">
        <v>77</v>
      </c>
      <c r="H110" s="42" t="s">
        <v>78</v>
      </c>
      <c r="I110" s="42" t="s">
        <v>125</v>
      </c>
      <c r="J110" s="30"/>
      <c r="K110" s="41" t="s">
        <v>88</v>
      </c>
      <c r="L110" s="41" t="s">
        <v>152</v>
      </c>
      <c r="M110" s="42" t="s">
        <v>83</v>
      </c>
      <c r="N110" s="30"/>
      <c r="O110" s="41" t="s">
        <v>35</v>
      </c>
      <c r="P110" s="41" t="s">
        <v>36</v>
      </c>
      <c r="Q110" s="41" t="s">
        <v>14</v>
      </c>
      <c r="R110" s="30"/>
      <c r="S110" s="33" t="str">
        <f>"537,5"</f>
        <v>537,5</v>
      </c>
      <c r="T110" s="30" t="str">
        <f>"318,2538"</f>
        <v>318,2538</v>
      </c>
      <c r="U110" s="40" t="s">
        <v>460</v>
      </c>
    </row>
    <row r="112" spans="1:21" ht="16">
      <c r="A112" s="66" t="s">
        <v>20</v>
      </c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1:21">
      <c r="A113" s="23">
        <v>1</v>
      </c>
      <c r="B113" s="26" t="s">
        <v>461</v>
      </c>
      <c r="C113" s="26" t="s">
        <v>462</v>
      </c>
      <c r="D113" s="26" t="s">
        <v>463</v>
      </c>
      <c r="E113" s="26" t="s">
        <v>1347</v>
      </c>
      <c r="F113" s="26" t="s">
        <v>1244</v>
      </c>
      <c r="G113" s="43" t="s">
        <v>37</v>
      </c>
      <c r="H113" s="44" t="s">
        <v>80</v>
      </c>
      <c r="I113" s="43" t="s">
        <v>80</v>
      </c>
      <c r="J113" s="23"/>
      <c r="K113" s="43" t="s">
        <v>18</v>
      </c>
      <c r="L113" s="44" t="s">
        <v>39</v>
      </c>
      <c r="M113" s="44" t="s">
        <v>39</v>
      </c>
      <c r="N113" s="23"/>
      <c r="O113" s="43" t="s">
        <v>41</v>
      </c>
      <c r="P113" s="43" t="s">
        <v>15</v>
      </c>
      <c r="Q113" s="43" t="s">
        <v>16</v>
      </c>
      <c r="R113" s="23"/>
      <c r="S113" s="34" t="str">
        <f>"635,0"</f>
        <v>635,0</v>
      </c>
      <c r="T113" s="23" t="str">
        <f>"367,8555"</f>
        <v>367,8555</v>
      </c>
      <c r="U113" s="26"/>
    </row>
    <row r="115" spans="1:21" ht="16">
      <c r="F115" s="45"/>
      <c r="G115" s="24"/>
    </row>
    <row r="116" spans="1:21">
      <c r="G116" s="24"/>
    </row>
    <row r="117" spans="1:21" ht="18">
      <c r="B117" s="46" t="s">
        <v>7</v>
      </c>
      <c r="C117" s="46"/>
      <c r="G117" s="3"/>
    </row>
    <row r="118" spans="1:21" ht="16">
      <c r="B118" s="47" t="s">
        <v>183</v>
      </c>
      <c r="C118" s="47"/>
      <c r="G118" s="3"/>
    </row>
    <row r="119" spans="1:21" ht="14">
      <c r="B119" s="48"/>
      <c r="C119" s="49" t="s">
        <v>184</v>
      </c>
      <c r="G119" s="3"/>
    </row>
    <row r="120" spans="1:21" ht="14">
      <c r="B120" s="27" t="s">
        <v>27</v>
      </c>
      <c r="C120" s="27" t="s">
        <v>28</v>
      </c>
      <c r="D120" s="27" t="s">
        <v>1214</v>
      </c>
      <c r="E120" s="27" t="s">
        <v>29</v>
      </c>
      <c r="F120" s="27" t="s">
        <v>30</v>
      </c>
      <c r="G120" s="3"/>
    </row>
    <row r="121" spans="1:21">
      <c r="B121" s="24" t="s">
        <v>241</v>
      </c>
      <c r="C121" s="24" t="s">
        <v>184</v>
      </c>
      <c r="D121" s="28">
        <v>56</v>
      </c>
      <c r="E121" s="28" t="s">
        <v>464</v>
      </c>
      <c r="F121" s="28">
        <v>4312840</v>
      </c>
      <c r="G121" s="3"/>
    </row>
    <row r="122" spans="1:21">
      <c r="B122" s="24" t="s">
        <v>198</v>
      </c>
      <c r="C122" s="24" t="s">
        <v>184</v>
      </c>
      <c r="D122" s="28">
        <v>52</v>
      </c>
      <c r="E122" s="28" t="s">
        <v>465</v>
      </c>
      <c r="F122" s="28">
        <v>3999547</v>
      </c>
      <c r="G122" s="3"/>
    </row>
    <row r="123" spans="1:21">
      <c r="B123" s="24" t="s">
        <v>203</v>
      </c>
      <c r="C123" s="24" t="s">
        <v>184</v>
      </c>
      <c r="D123" s="28">
        <v>52</v>
      </c>
      <c r="E123" s="28" t="s">
        <v>108</v>
      </c>
      <c r="F123" s="28">
        <v>3836290</v>
      </c>
      <c r="G123" s="3"/>
    </row>
    <row r="124" spans="1:21">
      <c r="G124" s="3"/>
    </row>
    <row r="125" spans="1:21" ht="14">
      <c r="B125" s="48"/>
      <c r="C125" s="49" t="s">
        <v>26</v>
      </c>
      <c r="G125" s="3"/>
    </row>
    <row r="126" spans="1:21" ht="14">
      <c r="B126" s="27" t="s">
        <v>27</v>
      </c>
      <c r="C126" s="27" t="s">
        <v>28</v>
      </c>
      <c r="D126" s="27" t="s">
        <v>1214</v>
      </c>
      <c r="E126" s="27" t="s">
        <v>29</v>
      </c>
      <c r="F126" s="27" t="s">
        <v>30</v>
      </c>
      <c r="G126" s="3"/>
    </row>
    <row r="127" spans="1:21">
      <c r="B127" s="24" t="s">
        <v>203</v>
      </c>
      <c r="C127" s="24" t="s">
        <v>1089</v>
      </c>
      <c r="D127" s="28">
        <v>52</v>
      </c>
      <c r="E127" s="28" t="s">
        <v>108</v>
      </c>
      <c r="F127" s="28">
        <v>3855471</v>
      </c>
      <c r="G127" s="3"/>
    </row>
    <row r="128" spans="1:21">
      <c r="B128" s="24" t="s">
        <v>217</v>
      </c>
      <c r="C128" s="24" t="s">
        <v>1094</v>
      </c>
      <c r="D128" s="28">
        <v>52</v>
      </c>
      <c r="E128" s="28" t="s">
        <v>162</v>
      </c>
      <c r="F128" s="28">
        <v>3844520</v>
      </c>
      <c r="G128" s="3"/>
    </row>
    <row r="129" spans="2:7">
      <c r="B129" s="24" t="s">
        <v>277</v>
      </c>
      <c r="C129" s="24" t="s">
        <v>1089</v>
      </c>
      <c r="D129" s="28">
        <v>60</v>
      </c>
      <c r="E129" s="28" t="s">
        <v>466</v>
      </c>
      <c r="F129" s="28">
        <v>3572500</v>
      </c>
      <c r="G129" s="3"/>
    </row>
    <row r="130" spans="2:7">
      <c r="G130" s="3"/>
    </row>
    <row r="131" spans="2:7" ht="16">
      <c r="B131" s="47" t="s">
        <v>25</v>
      </c>
      <c r="C131" s="47"/>
      <c r="G131" s="3"/>
    </row>
    <row r="132" spans="2:7" ht="14">
      <c r="B132" s="48"/>
      <c r="C132" s="49" t="s">
        <v>184</v>
      </c>
      <c r="G132" s="3"/>
    </row>
    <row r="133" spans="2:7" ht="14">
      <c r="B133" s="27" t="s">
        <v>27</v>
      </c>
      <c r="C133" s="27" t="s">
        <v>28</v>
      </c>
      <c r="D133" s="27" t="s">
        <v>1214</v>
      </c>
      <c r="E133" s="27" t="s">
        <v>29</v>
      </c>
      <c r="F133" s="27" t="s">
        <v>30</v>
      </c>
      <c r="G133" s="3"/>
    </row>
    <row r="134" spans="2:7">
      <c r="B134" s="24" t="s">
        <v>341</v>
      </c>
      <c r="C134" s="24" t="s">
        <v>184</v>
      </c>
      <c r="D134" s="28">
        <v>67.5</v>
      </c>
      <c r="E134" s="28" t="s">
        <v>467</v>
      </c>
      <c r="F134" s="28">
        <v>4392875</v>
      </c>
      <c r="G134" s="3"/>
    </row>
    <row r="135" spans="2:7">
      <c r="B135" s="24" t="s">
        <v>415</v>
      </c>
      <c r="C135" s="24" t="s">
        <v>184</v>
      </c>
      <c r="D135" s="28">
        <v>90</v>
      </c>
      <c r="E135" s="28" t="s">
        <v>468</v>
      </c>
      <c r="F135" s="28">
        <v>4386812</v>
      </c>
      <c r="G135" s="3"/>
    </row>
    <row r="136" spans="2:7">
      <c r="B136" s="24" t="s">
        <v>390</v>
      </c>
      <c r="C136" s="24" t="s">
        <v>184</v>
      </c>
      <c r="D136" s="28">
        <v>82.5</v>
      </c>
      <c r="E136" s="28" t="s">
        <v>469</v>
      </c>
      <c r="F136" s="28">
        <v>4371098</v>
      </c>
      <c r="G136" s="3"/>
    </row>
  </sheetData>
  <mergeCells count="27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112:R112"/>
    <mergeCell ref="B3:B4"/>
    <mergeCell ref="A57:R57"/>
    <mergeCell ref="A64:R64"/>
    <mergeCell ref="A74:R74"/>
    <mergeCell ref="A87:R87"/>
    <mergeCell ref="A100:R100"/>
    <mergeCell ref="A107:R107"/>
    <mergeCell ref="A8:R8"/>
    <mergeCell ref="A21:R21"/>
    <mergeCell ref="A29:R29"/>
    <mergeCell ref="A37:R37"/>
    <mergeCell ref="A47:R47"/>
    <mergeCell ref="A53:R5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10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7.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1.66406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9.5" style="24" customWidth="1"/>
    <col min="14" max="16384" width="9.1640625" style="3"/>
  </cols>
  <sheetData>
    <row r="1" spans="1:13" s="2" customFormat="1" ht="29" customHeight="1">
      <c r="A1" s="78" t="s">
        <v>1196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240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3">
        <v>1</v>
      </c>
      <c r="B6" s="26" t="s">
        <v>997</v>
      </c>
      <c r="C6" s="26" t="s">
        <v>998</v>
      </c>
      <c r="D6" s="26" t="s">
        <v>999</v>
      </c>
      <c r="E6" s="26" t="s">
        <v>1350</v>
      </c>
      <c r="F6" s="26" t="s">
        <v>1244</v>
      </c>
      <c r="G6" s="43" t="s">
        <v>63</v>
      </c>
      <c r="H6" s="43" t="s">
        <v>83</v>
      </c>
      <c r="I6" s="44" t="s">
        <v>103</v>
      </c>
      <c r="J6" s="23"/>
      <c r="K6" s="23" t="str">
        <f>"140,0"</f>
        <v>140,0</v>
      </c>
      <c r="L6" s="23" t="str">
        <f>"129,5000"</f>
        <v>129,5000</v>
      </c>
      <c r="M6" s="26" t="s">
        <v>1000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11"/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8.6640625" style="24" bestFit="1" customWidth="1"/>
    <col min="3" max="3" width="25.16406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0.5" style="24" customWidth="1"/>
    <col min="14" max="16384" width="9.1640625" style="3"/>
  </cols>
  <sheetData>
    <row r="1" spans="1:13" s="2" customFormat="1" ht="29" customHeight="1">
      <c r="A1" s="78" t="s">
        <v>1197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99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3">
        <v>1</v>
      </c>
      <c r="B6" s="26" t="s">
        <v>995</v>
      </c>
      <c r="C6" s="26" t="s">
        <v>996</v>
      </c>
      <c r="D6" s="26" t="s">
        <v>835</v>
      </c>
      <c r="E6" s="26" t="s">
        <v>1347</v>
      </c>
      <c r="F6" s="26" t="s">
        <v>1266</v>
      </c>
      <c r="G6" s="43" t="s">
        <v>36</v>
      </c>
      <c r="H6" s="43" t="s">
        <v>14</v>
      </c>
      <c r="I6" s="43" t="s">
        <v>41</v>
      </c>
      <c r="J6" s="23"/>
      <c r="K6" s="23" t="str">
        <f>"230,0"</f>
        <v>230,0</v>
      </c>
      <c r="L6" s="23" t="str">
        <f>"148,4650"</f>
        <v>148,4650</v>
      </c>
      <c r="M6" s="26"/>
    </row>
  </sheetData>
  <mergeCells count="12">
    <mergeCell ref="A5:J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Лист12"/>
  <dimension ref="A1:M135"/>
  <sheetViews>
    <sheetView topLeftCell="A76" workbookViewId="0">
      <selection activeCell="E112" sqref="E112"/>
    </sheetView>
  </sheetViews>
  <sheetFormatPr baseColWidth="10" defaultColWidth="9.1640625" defaultRowHeight="13"/>
  <cols>
    <col min="1" max="1" width="7.1640625" style="24" bestFit="1" customWidth="1"/>
    <col min="2" max="2" width="21.33203125" style="24" bestFit="1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1" style="24" bestFit="1" customWidth="1"/>
    <col min="7" max="10" width="5.5" style="28" customWidth="1"/>
    <col min="11" max="11" width="10.5" style="31" bestFit="1" customWidth="1"/>
    <col min="12" max="12" width="8.5" style="28" bestFit="1" customWidth="1"/>
    <col min="13" max="13" width="25.5" style="24" bestFit="1" customWidth="1"/>
    <col min="14" max="16384" width="9.1640625" style="3"/>
  </cols>
  <sheetData>
    <row r="1" spans="1:13" s="2" customFormat="1" ht="29" customHeight="1">
      <c r="A1" s="78" t="s">
        <v>1204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9</v>
      </c>
      <c r="H3" s="72"/>
      <c r="I3" s="72"/>
      <c r="J3" s="72"/>
      <c r="K3" s="70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1"/>
      <c r="L4" s="73"/>
      <c r="M4" s="75"/>
    </row>
    <row r="5" spans="1:13" ht="16">
      <c r="A5" s="76" t="s">
        <v>189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9">
        <v>1</v>
      </c>
      <c r="B6" s="37" t="s">
        <v>620</v>
      </c>
      <c r="C6" s="37" t="s">
        <v>621</v>
      </c>
      <c r="D6" s="37" t="s">
        <v>622</v>
      </c>
      <c r="E6" s="37" t="s">
        <v>1347</v>
      </c>
      <c r="F6" s="37" t="s">
        <v>1244</v>
      </c>
      <c r="G6" s="38" t="s">
        <v>220</v>
      </c>
      <c r="H6" s="39" t="s">
        <v>221</v>
      </c>
      <c r="I6" s="29"/>
      <c r="J6" s="29"/>
      <c r="K6" s="32" t="str">
        <f>"85,0"</f>
        <v>85,0</v>
      </c>
      <c r="L6" s="29" t="str">
        <f>"112,7525"</f>
        <v>112,7525</v>
      </c>
      <c r="M6" s="37" t="s">
        <v>623</v>
      </c>
    </row>
    <row r="7" spans="1:13">
      <c r="A7" s="35">
        <v>2</v>
      </c>
      <c r="B7" s="50" t="s">
        <v>624</v>
      </c>
      <c r="C7" s="50" t="s">
        <v>625</v>
      </c>
      <c r="D7" s="50" t="s">
        <v>626</v>
      </c>
      <c r="E7" s="50" t="s">
        <v>1347</v>
      </c>
      <c r="F7" s="50" t="s">
        <v>1297</v>
      </c>
      <c r="G7" s="51" t="s">
        <v>49</v>
      </c>
      <c r="H7" s="51" t="s">
        <v>50</v>
      </c>
      <c r="I7" s="51" t="s">
        <v>51</v>
      </c>
      <c r="J7" s="35"/>
      <c r="K7" s="36" t="str">
        <f>"55,0"</f>
        <v>55,0</v>
      </c>
      <c r="L7" s="35" t="str">
        <f>"73,2930"</f>
        <v>73,2930</v>
      </c>
      <c r="M7" s="50" t="s">
        <v>627</v>
      </c>
    </row>
    <row r="8" spans="1:13">
      <c r="A8" s="30">
        <v>3</v>
      </c>
      <c r="B8" s="40" t="s">
        <v>628</v>
      </c>
      <c r="C8" s="40" t="s">
        <v>629</v>
      </c>
      <c r="D8" s="40" t="s">
        <v>626</v>
      </c>
      <c r="E8" s="40" t="s">
        <v>1347</v>
      </c>
      <c r="F8" s="40" t="s">
        <v>1244</v>
      </c>
      <c r="G8" s="41" t="s">
        <v>259</v>
      </c>
      <c r="H8" s="41" t="s">
        <v>50</v>
      </c>
      <c r="I8" s="41" t="s">
        <v>51</v>
      </c>
      <c r="J8" s="30"/>
      <c r="K8" s="33" t="str">
        <f>"55,0"</f>
        <v>55,0</v>
      </c>
      <c r="L8" s="30" t="str">
        <f>"73,2930"</f>
        <v>73,2930</v>
      </c>
      <c r="M8" s="40"/>
    </row>
    <row r="10" spans="1:13" ht="16">
      <c r="A10" s="66" t="s">
        <v>54</v>
      </c>
      <c r="B10" s="66"/>
      <c r="C10" s="67"/>
      <c r="D10" s="67"/>
      <c r="E10" s="67"/>
      <c r="F10" s="67"/>
      <c r="G10" s="67"/>
      <c r="H10" s="67"/>
      <c r="I10" s="67"/>
      <c r="J10" s="67"/>
    </row>
    <row r="11" spans="1:13">
      <c r="A11" s="29">
        <v>1</v>
      </c>
      <c r="B11" s="37" t="s">
        <v>630</v>
      </c>
      <c r="C11" s="37" t="s">
        <v>631</v>
      </c>
      <c r="D11" s="37" t="s">
        <v>239</v>
      </c>
      <c r="E11" s="37" t="s">
        <v>1347</v>
      </c>
      <c r="F11" s="37" t="s">
        <v>1244</v>
      </c>
      <c r="G11" s="38" t="s">
        <v>49</v>
      </c>
      <c r="H11" s="38" t="s">
        <v>50</v>
      </c>
      <c r="I11" s="38" t="s">
        <v>51</v>
      </c>
      <c r="J11" s="29"/>
      <c r="K11" s="32" t="str">
        <f>"55,0"</f>
        <v>55,0</v>
      </c>
      <c r="L11" s="29" t="str">
        <f>"70,4440"</f>
        <v>70,4440</v>
      </c>
      <c r="M11" s="37" t="s">
        <v>632</v>
      </c>
    </row>
    <row r="12" spans="1:13">
      <c r="A12" s="30">
        <v>2</v>
      </c>
      <c r="B12" s="40" t="s">
        <v>633</v>
      </c>
      <c r="C12" s="40" t="s">
        <v>634</v>
      </c>
      <c r="D12" s="40" t="s">
        <v>200</v>
      </c>
      <c r="E12" s="40" t="s">
        <v>1347</v>
      </c>
      <c r="F12" s="40" t="s">
        <v>1306</v>
      </c>
      <c r="G12" s="41" t="s">
        <v>51</v>
      </c>
      <c r="H12" s="42" t="s">
        <v>201</v>
      </c>
      <c r="I12" s="42" t="s">
        <v>201</v>
      </c>
      <c r="J12" s="30"/>
      <c r="K12" s="33" t="str">
        <f>"55,0"</f>
        <v>55,0</v>
      </c>
      <c r="L12" s="30" t="str">
        <f>"69,2835"</f>
        <v>69,2835</v>
      </c>
      <c r="M12" s="40"/>
    </row>
    <row r="14" spans="1:13" ht="16">
      <c r="A14" s="66" t="s">
        <v>240</v>
      </c>
      <c r="B14" s="66"/>
      <c r="C14" s="67"/>
      <c r="D14" s="67"/>
      <c r="E14" s="67"/>
      <c r="F14" s="67"/>
      <c r="G14" s="67"/>
      <c r="H14" s="67"/>
      <c r="I14" s="67"/>
      <c r="J14" s="67"/>
    </row>
    <row r="15" spans="1:13">
      <c r="A15" s="29">
        <v>1</v>
      </c>
      <c r="B15" s="37" t="s">
        <v>635</v>
      </c>
      <c r="C15" s="37" t="s">
        <v>1128</v>
      </c>
      <c r="D15" s="37" t="s">
        <v>262</v>
      </c>
      <c r="E15" s="37" t="s">
        <v>1351</v>
      </c>
      <c r="F15" s="37" t="s">
        <v>1244</v>
      </c>
      <c r="G15" s="38" t="s">
        <v>201</v>
      </c>
      <c r="H15" s="39" t="s">
        <v>210</v>
      </c>
      <c r="I15" s="38" t="s">
        <v>210</v>
      </c>
      <c r="J15" s="29"/>
      <c r="K15" s="32" t="str">
        <f>"62,5"</f>
        <v>62,5</v>
      </c>
      <c r="L15" s="29" t="str">
        <f>"73,5375"</f>
        <v>73,5375</v>
      </c>
      <c r="M15" s="37" t="s">
        <v>1229</v>
      </c>
    </row>
    <row r="16" spans="1:13">
      <c r="A16" s="35">
        <v>1</v>
      </c>
      <c r="B16" s="50" t="s">
        <v>636</v>
      </c>
      <c r="C16" s="50" t="s">
        <v>637</v>
      </c>
      <c r="D16" s="50" t="s">
        <v>638</v>
      </c>
      <c r="E16" s="50" t="s">
        <v>1347</v>
      </c>
      <c r="F16" s="50" t="s">
        <v>1244</v>
      </c>
      <c r="G16" s="51" t="s">
        <v>196</v>
      </c>
      <c r="H16" s="51" t="s">
        <v>259</v>
      </c>
      <c r="I16" s="52" t="s">
        <v>49</v>
      </c>
      <c r="J16" s="35"/>
      <c r="K16" s="36" t="str">
        <f>"47,5"</f>
        <v>47,5</v>
      </c>
      <c r="L16" s="35" t="str">
        <f>"56,8432"</f>
        <v>56,8432</v>
      </c>
      <c r="M16" s="50" t="s">
        <v>639</v>
      </c>
    </row>
    <row r="17" spans="1:13">
      <c r="A17" s="30">
        <v>2</v>
      </c>
      <c r="B17" s="40" t="s">
        <v>640</v>
      </c>
      <c r="C17" s="40" t="s">
        <v>641</v>
      </c>
      <c r="D17" s="40" t="s">
        <v>642</v>
      </c>
      <c r="E17" s="40" t="s">
        <v>1347</v>
      </c>
      <c r="F17" s="40" t="s">
        <v>1253</v>
      </c>
      <c r="G17" s="42" t="s">
        <v>236</v>
      </c>
      <c r="H17" s="41" t="s">
        <v>236</v>
      </c>
      <c r="I17" s="42" t="s">
        <v>259</v>
      </c>
      <c r="J17" s="30"/>
      <c r="K17" s="33" t="str">
        <f>"42,5"</f>
        <v>42,5</v>
      </c>
      <c r="L17" s="30" t="str">
        <f>"51,4505"</f>
        <v>51,4505</v>
      </c>
      <c r="M17" s="40" t="s">
        <v>643</v>
      </c>
    </row>
    <row r="19" spans="1:13" ht="16">
      <c r="A19" s="66" t="s">
        <v>266</v>
      </c>
      <c r="B19" s="66"/>
      <c r="C19" s="67"/>
      <c r="D19" s="67"/>
      <c r="E19" s="67"/>
      <c r="F19" s="67"/>
      <c r="G19" s="67"/>
      <c r="H19" s="67"/>
      <c r="I19" s="67"/>
      <c r="J19" s="67"/>
    </row>
    <row r="20" spans="1:13">
      <c r="A20" s="23">
        <v>1</v>
      </c>
      <c r="B20" s="26" t="s">
        <v>644</v>
      </c>
      <c r="C20" s="26" t="s">
        <v>645</v>
      </c>
      <c r="D20" s="26" t="s">
        <v>646</v>
      </c>
      <c r="E20" s="26" t="s">
        <v>1347</v>
      </c>
      <c r="F20" s="26" t="s">
        <v>1302</v>
      </c>
      <c r="G20" s="43" t="s">
        <v>49</v>
      </c>
      <c r="H20" s="43" t="s">
        <v>50</v>
      </c>
      <c r="I20" s="44" t="s">
        <v>51</v>
      </c>
      <c r="J20" s="23"/>
      <c r="K20" s="34" t="str">
        <f>"52,5"</f>
        <v>52,5</v>
      </c>
      <c r="L20" s="23" t="str">
        <f>"58,8368"</f>
        <v>58,8368</v>
      </c>
      <c r="M20" s="26" t="s">
        <v>647</v>
      </c>
    </row>
    <row r="22" spans="1:13" ht="16">
      <c r="A22" s="66" t="s">
        <v>43</v>
      </c>
      <c r="B22" s="66"/>
      <c r="C22" s="67"/>
      <c r="D22" s="67"/>
      <c r="E22" s="67"/>
      <c r="F22" s="67"/>
      <c r="G22" s="67"/>
      <c r="H22" s="67"/>
      <c r="I22" s="67"/>
      <c r="J22" s="67"/>
    </row>
    <row r="23" spans="1:13">
      <c r="A23" s="29">
        <v>1</v>
      </c>
      <c r="B23" s="37" t="s">
        <v>648</v>
      </c>
      <c r="C23" s="37" t="s">
        <v>649</v>
      </c>
      <c r="D23" s="37" t="s">
        <v>650</v>
      </c>
      <c r="E23" s="37" t="s">
        <v>1347</v>
      </c>
      <c r="F23" s="37" t="s">
        <v>1276</v>
      </c>
      <c r="G23" s="38" t="s">
        <v>48</v>
      </c>
      <c r="H23" s="39" t="s">
        <v>52</v>
      </c>
      <c r="I23" s="39" t="s">
        <v>52</v>
      </c>
      <c r="J23" s="29"/>
      <c r="K23" s="32" t="str">
        <f>"75,0"</f>
        <v>75,0</v>
      </c>
      <c r="L23" s="29" t="str">
        <f>"77,8875"</f>
        <v>77,8875</v>
      </c>
      <c r="M23" s="37" t="s">
        <v>460</v>
      </c>
    </row>
    <row r="24" spans="1:13">
      <c r="A24" s="35">
        <v>2</v>
      </c>
      <c r="B24" s="50" t="s">
        <v>651</v>
      </c>
      <c r="C24" s="50" t="s">
        <v>652</v>
      </c>
      <c r="D24" s="50" t="s">
        <v>653</v>
      </c>
      <c r="E24" s="50" t="s">
        <v>1347</v>
      </c>
      <c r="F24" s="50" t="s">
        <v>1307</v>
      </c>
      <c r="G24" s="51" t="s">
        <v>294</v>
      </c>
      <c r="H24" s="52" t="s">
        <v>47</v>
      </c>
      <c r="I24" s="52" t="s">
        <v>47</v>
      </c>
      <c r="J24" s="35"/>
      <c r="K24" s="36" t="str">
        <f>"67,5"</f>
        <v>67,5</v>
      </c>
      <c r="L24" s="35" t="str">
        <f>"72,4073"</f>
        <v>72,4073</v>
      </c>
      <c r="M24" s="50" t="s">
        <v>654</v>
      </c>
    </row>
    <row r="25" spans="1:13">
      <c r="A25" s="30">
        <v>1</v>
      </c>
      <c r="B25" s="40" t="s">
        <v>651</v>
      </c>
      <c r="C25" s="40" t="s">
        <v>1129</v>
      </c>
      <c r="D25" s="40" t="s">
        <v>653</v>
      </c>
      <c r="E25" s="40" t="s">
        <v>1348</v>
      </c>
      <c r="F25" s="40" t="s">
        <v>1307</v>
      </c>
      <c r="G25" s="41" t="s">
        <v>294</v>
      </c>
      <c r="H25" s="42" t="s">
        <v>47</v>
      </c>
      <c r="I25" s="42" t="s">
        <v>47</v>
      </c>
      <c r="J25" s="30"/>
      <c r="K25" s="33" t="str">
        <f>"67,5"</f>
        <v>67,5</v>
      </c>
      <c r="L25" s="30" t="str">
        <f>"75,5932"</f>
        <v>75,5932</v>
      </c>
      <c r="M25" s="40" t="s">
        <v>654</v>
      </c>
    </row>
    <row r="27" spans="1:13" ht="16">
      <c r="A27" s="66" t="s">
        <v>67</v>
      </c>
      <c r="B27" s="66"/>
      <c r="C27" s="67"/>
      <c r="D27" s="67"/>
      <c r="E27" s="67"/>
      <c r="F27" s="67"/>
      <c r="G27" s="67"/>
      <c r="H27" s="67"/>
      <c r="I27" s="67"/>
      <c r="J27" s="67"/>
    </row>
    <row r="28" spans="1:13">
      <c r="A28" s="29">
        <v>1</v>
      </c>
      <c r="B28" s="37" t="s">
        <v>655</v>
      </c>
      <c r="C28" s="37" t="s">
        <v>656</v>
      </c>
      <c r="D28" s="37" t="s">
        <v>657</v>
      </c>
      <c r="E28" s="37" t="s">
        <v>1350</v>
      </c>
      <c r="F28" s="37" t="s">
        <v>1308</v>
      </c>
      <c r="G28" s="39" t="s">
        <v>658</v>
      </c>
      <c r="H28" s="38" t="s">
        <v>658</v>
      </c>
      <c r="I28" s="39" t="s">
        <v>230</v>
      </c>
      <c r="J28" s="29"/>
      <c r="K28" s="32" t="str">
        <f>"30,0"</f>
        <v>30,0</v>
      </c>
      <c r="L28" s="29" t="str">
        <f>"28,9650"</f>
        <v>28,9650</v>
      </c>
      <c r="M28" s="37" t="s">
        <v>1230</v>
      </c>
    </row>
    <row r="29" spans="1:13">
      <c r="A29" s="35">
        <v>1</v>
      </c>
      <c r="B29" s="50" t="s">
        <v>659</v>
      </c>
      <c r="C29" s="50" t="s">
        <v>660</v>
      </c>
      <c r="D29" s="50" t="s">
        <v>661</v>
      </c>
      <c r="E29" s="50" t="s">
        <v>1347</v>
      </c>
      <c r="F29" s="50" t="s">
        <v>1276</v>
      </c>
      <c r="G29" s="51" t="s">
        <v>51</v>
      </c>
      <c r="H29" s="52" t="s">
        <v>209</v>
      </c>
      <c r="I29" s="52" t="s">
        <v>209</v>
      </c>
      <c r="J29" s="35"/>
      <c r="K29" s="36" t="str">
        <f>"55,0"</f>
        <v>55,0</v>
      </c>
      <c r="L29" s="35" t="str">
        <f>"54,9890"</f>
        <v>54,9890</v>
      </c>
      <c r="M29" s="50" t="s">
        <v>460</v>
      </c>
    </row>
    <row r="30" spans="1:13">
      <c r="A30" s="35">
        <v>2</v>
      </c>
      <c r="B30" s="50" t="s">
        <v>662</v>
      </c>
      <c r="C30" s="50" t="s">
        <v>663</v>
      </c>
      <c r="D30" s="50" t="s">
        <v>664</v>
      </c>
      <c r="E30" s="50" t="s">
        <v>1347</v>
      </c>
      <c r="F30" s="50" t="s">
        <v>1256</v>
      </c>
      <c r="G30" s="52" t="s">
        <v>196</v>
      </c>
      <c r="H30" s="51" t="s">
        <v>196</v>
      </c>
      <c r="I30" s="52" t="s">
        <v>259</v>
      </c>
      <c r="J30" s="35"/>
      <c r="K30" s="36" t="str">
        <f>"45,0"</f>
        <v>45,0</v>
      </c>
      <c r="L30" s="35" t="str">
        <f>"45,8775"</f>
        <v>45,8775</v>
      </c>
      <c r="M30" s="50" t="s">
        <v>361</v>
      </c>
    </row>
    <row r="31" spans="1:13">
      <c r="A31" s="30">
        <v>1</v>
      </c>
      <c r="B31" s="40" t="s">
        <v>665</v>
      </c>
      <c r="C31" s="40" t="s">
        <v>1130</v>
      </c>
      <c r="D31" s="40" t="s">
        <v>319</v>
      </c>
      <c r="E31" s="40" t="s">
        <v>1348</v>
      </c>
      <c r="F31" s="40" t="s">
        <v>1244</v>
      </c>
      <c r="G31" s="41" t="s">
        <v>166</v>
      </c>
      <c r="H31" s="42" t="s">
        <v>79</v>
      </c>
      <c r="I31" s="42" t="s">
        <v>71</v>
      </c>
      <c r="J31" s="30"/>
      <c r="K31" s="33" t="str">
        <f>"110,0"</f>
        <v>110,0</v>
      </c>
      <c r="L31" s="30" t="str">
        <f>"115,3912"</f>
        <v>115,3912</v>
      </c>
      <c r="M31" s="40" t="s">
        <v>666</v>
      </c>
    </row>
    <row r="33" spans="1:13" ht="16">
      <c r="A33" s="66" t="s">
        <v>84</v>
      </c>
      <c r="B33" s="66"/>
      <c r="C33" s="67"/>
      <c r="D33" s="67"/>
      <c r="E33" s="67"/>
      <c r="F33" s="67"/>
      <c r="G33" s="67"/>
      <c r="H33" s="67"/>
      <c r="I33" s="67"/>
      <c r="J33" s="67"/>
    </row>
    <row r="34" spans="1:13">
      <c r="A34" s="23">
        <v>1</v>
      </c>
      <c r="B34" s="26" t="s">
        <v>667</v>
      </c>
      <c r="C34" s="26" t="s">
        <v>1131</v>
      </c>
      <c r="D34" s="26" t="s">
        <v>668</v>
      </c>
      <c r="E34" s="26" t="s">
        <v>1349</v>
      </c>
      <c r="F34" s="26" t="s">
        <v>1302</v>
      </c>
      <c r="G34" s="43" t="s">
        <v>209</v>
      </c>
      <c r="H34" s="43" t="s">
        <v>210</v>
      </c>
      <c r="I34" s="44" t="s">
        <v>211</v>
      </c>
      <c r="J34" s="23"/>
      <c r="K34" s="34" t="str">
        <f>"62,5"</f>
        <v>62,5</v>
      </c>
      <c r="L34" s="23" t="str">
        <f>"61,7848"</f>
        <v>61,7848</v>
      </c>
      <c r="M34" s="26" t="s">
        <v>647</v>
      </c>
    </row>
    <row r="36" spans="1:13" ht="16">
      <c r="A36" s="66" t="s">
        <v>54</v>
      </c>
      <c r="B36" s="66"/>
      <c r="C36" s="67"/>
      <c r="D36" s="67"/>
      <c r="E36" s="67"/>
      <c r="F36" s="67"/>
      <c r="G36" s="67"/>
      <c r="H36" s="67"/>
      <c r="I36" s="67"/>
      <c r="J36" s="67"/>
    </row>
    <row r="37" spans="1:13">
      <c r="A37" s="23">
        <v>1</v>
      </c>
      <c r="B37" s="26" t="s">
        <v>669</v>
      </c>
      <c r="C37" s="26" t="s">
        <v>670</v>
      </c>
      <c r="D37" s="26" t="s">
        <v>671</v>
      </c>
      <c r="E37" s="26" t="s">
        <v>1350</v>
      </c>
      <c r="F37" s="26" t="s">
        <v>1244</v>
      </c>
      <c r="G37" s="43" t="s">
        <v>195</v>
      </c>
      <c r="H37" s="44" t="s">
        <v>196</v>
      </c>
      <c r="I37" s="43" t="s">
        <v>196</v>
      </c>
      <c r="J37" s="23"/>
      <c r="K37" s="34" t="str">
        <f>"45,0"</f>
        <v>45,0</v>
      </c>
      <c r="L37" s="23" t="str">
        <f>"53,5995"</f>
        <v>53,5995</v>
      </c>
      <c r="M37" s="26" t="s">
        <v>1215</v>
      </c>
    </row>
    <row r="39" spans="1:13" ht="16">
      <c r="A39" s="66" t="s">
        <v>43</v>
      </c>
      <c r="B39" s="66"/>
      <c r="C39" s="67"/>
      <c r="D39" s="67"/>
      <c r="E39" s="67"/>
      <c r="F39" s="67"/>
      <c r="G39" s="67"/>
      <c r="H39" s="67"/>
      <c r="I39" s="67"/>
      <c r="J39" s="67"/>
    </row>
    <row r="40" spans="1:13">
      <c r="A40" s="29">
        <v>1</v>
      </c>
      <c r="B40" s="37" t="s">
        <v>337</v>
      </c>
      <c r="C40" s="37" t="s">
        <v>346</v>
      </c>
      <c r="D40" s="37" t="s">
        <v>297</v>
      </c>
      <c r="E40" s="37" t="s">
        <v>1347</v>
      </c>
      <c r="F40" s="37" t="s">
        <v>1244</v>
      </c>
      <c r="G40" s="38" t="s">
        <v>83</v>
      </c>
      <c r="H40" s="39" t="s">
        <v>103</v>
      </c>
      <c r="I40" s="39" t="s">
        <v>103</v>
      </c>
      <c r="J40" s="29"/>
      <c r="K40" s="32" t="str">
        <f>"140,0"</f>
        <v>140,0</v>
      </c>
      <c r="L40" s="29" t="str">
        <f>"107,9400"</f>
        <v>107,9400</v>
      </c>
      <c r="M40" s="37"/>
    </row>
    <row r="41" spans="1:13">
      <c r="A41" s="30">
        <v>1</v>
      </c>
      <c r="B41" s="40" t="s">
        <v>672</v>
      </c>
      <c r="C41" s="40" t="s">
        <v>1132</v>
      </c>
      <c r="D41" s="40" t="s">
        <v>673</v>
      </c>
      <c r="E41" s="40" t="s">
        <v>1353</v>
      </c>
      <c r="F41" s="40" t="s">
        <v>1244</v>
      </c>
      <c r="G41" s="41" t="s">
        <v>167</v>
      </c>
      <c r="H41" s="41" t="s">
        <v>79</v>
      </c>
      <c r="I41" s="41" t="s">
        <v>71</v>
      </c>
      <c r="J41" s="30"/>
      <c r="K41" s="33" t="str">
        <f>"125,0"</f>
        <v>125,0</v>
      </c>
      <c r="L41" s="30" t="str">
        <f>"121,9375"</f>
        <v>121,9375</v>
      </c>
      <c r="M41" s="40"/>
    </row>
    <row r="43" spans="1:13" ht="16">
      <c r="A43" s="66" t="s">
        <v>67</v>
      </c>
      <c r="B43" s="66"/>
      <c r="C43" s="67"/>
      <c r="D43" s="67"/>
      <c r="E43" s="67"/>
      <c r="F43" s="67"/>
      <c r="G43" s="67"/>
      <c r="H43" s="67"/>
      <c r="I43" s="67"/>
      <c r="J43" s="67"/>
    </row>
    <row r="44" spans="1:13">
      <c r="A44" s="29">
        <v>1</v>
      </c>
      <c r="B44" s="37" t="s">
        <v>674</v>
      </c>
      <c r="C44" s="37" t="s">
        <v>675</v>
      </c>
      <c r="D44" s="37" t="s">
        <v>657</v>
      </c>
      <c r="E44" s="37" t="s">
        <v>1350</v>
      </c>
      <c r="F44" s="37" t="s">
        <v>1244</v>
      </c>
      <c r="G44" s="38" t="s">
        <v>220</v>
      </c>
      <c r="H44" s="38" t="s">
        <v>221</v>
      </c>
      <c r="I44" s="39" t="s">
        <v>193</v>
      </c>
      <c r="J44" s="29"/>
      <c r="K44" s="32" t="str">
        <f>"90,0"</f>
        <v>90,0</v>
      </c>
      <c r="L44" s="29" t="str">
        <f>"65,2410"</f>
        <v>65,2410</v>
      </c>
      <c r="M44" s="37" t="s">
        <v>763</v>
      </c>
    </row>
    <row r="45" spans="1:13">
      <c r="A45" s="35" t="s">
        <v>31</v>
      </c>
      <c r="B45" s="50" t="s">
        <v>676</v>
      </c>
      <c r="C45" s="50" t="s">
        <v>677</v>
      </c>
      <c r="D45" s="50" t="s">
        <v>678</v>
      </c>
      <c r="E45" s="50" t="s">
        <v>1350</v>
      </c>
      <c r="F45" s="50" t="s">
        <v>1244</v>
      </c>
      <c r="G45" s="52" t="s">
        <v>193</v>
      </c>
      <c r="H45" s="52" t="s">
        <v>193</v>
      </c>
      <c r="I45" s="52" t="s">
        <v>58</v>
      </c>
      <c r="J45" s="35"/>
      <c r="K45" s="36">
        <v>0</v>
      </c>
      <c r="L45" s="35" t="str">
        <f>"0,0000"</f>
        <v>0,0000</v>
      </c>
      <c r="M45" s="50" t="s">
        <v>763</v>
      </c>
    </row>
    <row r="46" spans="1:13">
      <c r="A46" s="35">
        <v>1</v>
      </c>
      <c r="B46" s="50" t="s">
        <v>679</v>
      </c>
      <c r="C46" s="50" t="s">
        <v>1133</v>
      </c>
      <c r="D46" s="50" t="s">
        <v>360</v>
      </c>
      <c r="E46" s="50" t="s">
        <v>1351</v>
      </c>
      <c r="F46" s="50" t="s">
        <v>1309</v>
      </c>
      <c r="G46" s="51" t="s">
        <v>79</v>
      </c>
      <c r="H46" s="51" t="s">
        <v>71</v>
      </c>
      <c r="I46" s="52" t="s">
        <v>63</v>
      </c>
      <c r="J46" s="35"/>
      <c r="K46" s="36" t="str">
        <f>"125,0"</f>
        <v>125,0</v>
      </c>
      <c r="L46" s="35" t="str">
        <f>"93,2625"</f>
        <v>93,2625</v>
      </c>
      <c r="M46" s="50"/>
    </row>
    <row r="47" spans="1:13">
      <c r="A47" s="35">
        <v>1</v>
      </c>
      <c r="B47" s="50" t="s">
        <v>680</v>
      </c>
      <c r="C47" s="50" t="s">
        <v>681</v>
      </c>
      <c r="D47" s="50" t="s">
        <v>356</v>
      </c>
      <c r="E47" s="50" t="s">
        <v>1347</v>
      </c>
      <c r="F47" s="50" t="s">
        <v>428</v>
      </c>
      <c r="G47" s="51" t="s">
        <v>381</v>
      </c>
      <c r="H47" s="51" t="s">
        <v>96</v>
      </c>
      <c r="I47" s="52" t="s">
        <v>143</v>
      </c>
      <c r="J47" s="35"/>
      <c r="K47" s="36" t="str">
        <f>"157,5"</f>
        <v>157,5</v>
      </c>
      <c r="L47" s="35" t="str">
        <f>"116,6445"</f>
        <v>116,6445</v>
      </c>
      <c r="M47" s="50" t="s">
        <v>682</v>
      </c>
    </row>
    <row r="48" spans="1:13">
      <c r="A48" s="35">
        <v>2</v>
      </c>
      <c r="B48" s="50" t="s">
        <v>683</v>
      </c>
      <c r="C48" s="50" t="s">
        <v>684</v>
      </c>
      <c r="D48" s="50" t="s">
        <v>478</v>
      </c>
      <c r="E48" s="50" t="s">
        <v>1347</v>
      </c>
      <c r="F48" s="50" t="s">
        <v>1244</v>
      </c>
      <c r="G48" s="51" t="s">
        <v>280</v>
      </c>
      <c r="H48" s="51" t="s">
        <v>152</v>
      </c>
      <c r="I48" s="52" t="s">
        <v>64</v>
      </c>
      <c r="J48" s="35"/>
      <c r="K48" s="36" t="str">
        <f>"137,5"</f>
        <v>137,5</v>
      </c>
      <c r="L48" s="35" t="str">
        <f>"99,0963"</f>
        <v>99,0963</v>
      </c>
      <c r="M48" s="50" t="s">
        <v>357</v>
      </c>
    </row>
    <row r="49" spans="1:13">
      <c r="A49" s="35">
        <v>3</v>
      </c>
      <c r="B49" s="50" t="s">
        <v>685</v>
      </c>
      <c r="C49" s="50" t="s">
        <v>686</v>
      </c>
      <c r="D49" s="50" t="s">
        <v>687</v>
      </c>
      <c r="E49" s="50" t="s">
        <v>1347</v>
      </c>
      <c r="F49" s="50" t="s">
        <v>1310</v>
      </c>
      <c r="G49" s="52" t="s">
        <v>88</v>
      </c>
      <c r="H49" s="51" t="s">
        <v>88</v>
      </c>
      <c r="I49" s="52" t="s">
        <v>152</v>
      </c>
      <c r="J49" s="35"/>
      <c r="K49" s="36" t="str">
        <f>"135,0"</f>
        <v>135,0</v>
      </c>
      <c r="L49" s="35" t="str">
        <f>"97,1055"</f>
        <v>97,1055</v>
      </c>
      <c r="M49" s="50"/>
    </row>
    <row r="50" spans="1:13">
      <c r="A50" s="30">
        <v>1</v>
      </c>
      <c r="B50" s="40" t="s">
        <v>688</v>
      </c>
      <c r="C50" s="40" t="s">
        <v>1134</v>
      </c>
      <c r="D50" s="40" t="s">
        <v>689</v>
      </c>
      <c r="E50" s="40" t="s">
        <v>1355</v>
      </c>
      <c r="F50" s="40" t="s">
        <v>1311</v>
      </c>
      <c r="G50" s="42" t="s">
        <v>52</v>
      </c>
      <c r="H50" s="41" t="s">
        <v>52</v>
      </c>
      <c r="I50" s="42" t="s">
        <v>220</v>
      </c>
      <c r="J50" s="30"/>
      <c r="K50" s="33" t="str">
        <f>"80,0"</f>
        <v>80,0</v>
      </c>
      <c r="L50" s="30" t="str">
        <f>"90,2882"</f>
        <v>90,2882</v>
      </c>
      <c r="M50" s="40"/>
    </row>
    <row r="52" spans="1:13" ht="16">
      <c r="A52" s="66" t="s">
        <v>84</v>
      </c>
      <c r="B52" s="66"/>
      <c r="C52" s="67"/>
      <c r="D52" s="67"/>
      <c r="E52" s="67"/>
      <c r="F52" s="67"/>
      <c r="G52" s="67"/>
      <c r="H52" s="67"/>
      <c r="I52" s="67"/>
      <c r="J52" s="67"/>
    </row>
    <row r="53" spans="1:13">
      <c r="A53" s="29">
        <v>1</v>
      </c>
      <c r="B53" s="37" t="s">
        <v>690</v>
      </c>
      <c r="C53" s="37" t="s">
        <v>1135</v>
      </c>
      <c r="D53" s="37" t="s">
        <v>392</v>
      </c>
      <c r="E53" s="37" t="s">
        <v>1351</v>
      </c>
      <c r="F53" s="37" t="s">
        <v>1244</v>
      </c>
      <c r="G53" s="38" t="s">
        <v>72</v>
      </c>
      <c r="H53" s="38" t="s">
        <v>103</v>
      </c>
      <c r="I53" s="39" t="s">
        <v>17</v>
      </c>
      <c r="J53" s="29"/>
      <c r="K53" s="32" t="str">
        <f>"145,0"</f>
        <v>145,0</v>
      </c>
      <c r="L53" s="29" t="str">
        <f>"97,1355"</f>
        <v>97,1355</v>
      </c>
      <c r="M53" s="37"/>
    </row>
    <row r="54" spans="1:13">
      <c r="A54" s="35" t="s">
        <v>31</v>
      </c>
      <c r="B54" s="50" t="s">
        <v>691</v>
      </c>
      <c r="C54" s="50" t="s">
        <v>1136</v>
      </c>
      <c r="D54" s="50" t="s">
        <v>405</v>
      </c>
      <c r="E54" s="50" t="s">
        <v>1351</v>
      </c>
      <c r="F54" s="50" t="s">
        <v>1244</v>
      </c>
      <c r="G54" s="52" t="s">
        <v>72</v>
      </c>
      <c r="H54" s="52" t="s">
        <v>152</v>
      </c>
      <c r="I54" s="52" t="s">
        <v>152</v>
      </c>
      <c r="J54" s="35"/>
      <c r="K54" s="36">
        <v>0</v>
      </c>
      <c r="L54" s="35" t="str">
        <f>"0,0000"</f>
        <v>0,0000</v>
      </c>
      <c r="M54" s="50"/>
    </row>
    <row r="55" spans="1:13">
      <c r="A55" s="35">
        <v>1</v>
      </c>
      <c r="B55" s="50" t="s">
        <v>692</v>
      </c>
      <c r="C55" s="50" t="s">
        <v>693</v>
      </c>
      <c r="D55" s="50" t="s">
        <v>694</v>
      </c>
      <c r="E55" s="50" t="s">
        <v>1347</v>
      </c>
      <c r="F55" s="50" t="s">
        <v>1298</v>
      </c>
      <c r="G55" s="51" t="s">
        <v>17</v>
      </c>
      <c r="H55" s="51" t="s">
        <v>96</v>
      </c>
      <c r="I55" s="51" t="s">
        <v>143</v>
      </c>
      <c r="J55" s="35"/>
      <c r="K55" s="36" t="str">
        <f>"162,5"</f>
        <v>162,5</v>
      </c>
      <c r="L55" s="35" t="str">
        <f>"110,8575"</f>
        <v>110,8575</v>
      </c>
      <c r="M55" s="50" t="s">
        <v>695</v>
      </c>
    </row>
    <row r="56" spans="1:13">
      <c r="A56" s="35">
        <v>2</v>
      </c>
      <c r="B56" s="50" t="s">
        <v>690</v>
      </c>
      <c r="C56" s="50" t="s">
        <v>696</v>
      </c>
      <c r="D56" s="50" t="s">
        <v>392</v>
      </c>
      <c r="E56" s="50" t="s">
        <v>1347</v>
      </c>
      <c r="F56" s="50" t="s">
        <v>1244</v>
      </c>
      <c r="G56" s="51" t="s">
        <v>72</v>
      </c>
      <c r="H56" s="51" t="s">
        <v>103</v>
      </c>
      <c r="I56" s="52" t="s">
        <v>17</v>
      </c>
      <c r="J56" s="35"/>
      <c r="K56" s="36" t="str">
        <f>"145,0"</f>
        <v>145,0</v>
      </c>
      <c r="L56" s="35" t="str">
        <f>"97,1355"</f>
        <v>97,1355</v>
      </c>
      <c r="M56" s="50"/>
    </row>
    <row r="57" spans="1:13">
      <c r="A57" s="35">
        <v>3</v>
      </c>
      <c r="B57" s="50" t="s">
        <v>697</v>
      </c>
      <c r="C57" s="50" t="s">
        <v>698</v>
      </c>
      <c r="D57" s="50" t="s">
        <v>699</v>
      </c>
      <c r="E57" s="50" t="s">
        <v>1347</v>
      </c>
      <c r="F57" s="50" t="s">
        <v>1284</v>
      </c>
      <c r="G57" s="51" t="s">
        <v>83</v>
      </c>
      <c r="H57" s="52" t="s">
        <v>103</v>
      </c>
      <c r="I57" s="52" t="s">
        <v>103</v>
      </c>
      <c r="J57" s="35"/>
      <c r="K57" s="36" t="str">
        <f>"140,0"</f>
        <v>140,0</v>
      </c>
      <c r="L57" s="35" t="str">
        <f>"96,0400"</f>
        <v>96,0400</v>
      </c>
      <c r="M57" s="50"/>
    </row>
    <row r="58" spans="1:13">
      <c r="A58" s="35">
        <v>4</v>
      </c>
      <c r="B58" s="50" t="s">
        <v>700</v>
      </c>
      <c r="C58" s="50" t="s">
        <v>701</v>
      </c>
      <c r="D58" s="50" t="s">
        <v>392</v>
      </c>
      <c r="E58" s="50" t="s">
        <v>1347</v>
      </c>
      <c r="F58" s="50" t="s">
        <v>1266</v>
      </c>
      <c r="G58" s="52" t="s">
        <v>152</v>
      </c>
      <c r="H58" s="51" t="s">
        <v>83</v>
      </c>
      <c r="I58" s="52" t="s">
        <v>64</v>
      </c>
      <c r="J58" s="35"/>
      <c r="K58" s="36" t="str">
        <f>"140,0"</f>
        <v>140,0</v>
      </c>
      <c r="L58" s="35" t="str">
        <f>"93,7860"</f>
        <v>93,7860</v>
      </c>
      <c r="M58" s="50" t="s">
        <v>702</v>
      </c>
    </row>
    <row r="59" spans="1:13">
      <c r="A59" s="35">
        <v>5</v>
      </c>
      <c r="B59" s="50" t="s">
        <v>703</v>
      </c>
      <c r="C59" s="50" t="s">
        <v>704</v>
      </c>
      <c r="D59" s="50" t="s">
        <v>705</v>
      </c>
      <c r="E59" s="50" t="s">
        <v>1347</v>
      </c>
      <c r="F59" s="50" t="s">
        <v>1279</v>
      </c>
      <c r="G59" s="51" t="s">
        <v>79</v>
      </c>
      <c r="H59" s="51" t="s">
        <v>72</v>
      </c>
      <c r="I59" s="51" t="s">
        <v>63</v>
      </c>
      <c r="J59" s="35"/>
      <c r="K59" s="36" t="str">
        <f>"130,0"</f>
        <v>130,0</v>
      </c>
      <c r="L59" s="35" t="str">
        <f>"87,9970"</f>
        <v>87,9970</v>
      </c>
      <c r="M59" s="50"/>
    </row>
    <row r="60" spans="1:13">
      <c r="A60" s="35">
        <v>6</v>
      </c>
      <c r="B60" s="50" t="s">
        <v>706</v>
      </c>
      <c r="C60" s="50" t="s">
        <v>707</v>
      </c>
      <c r="D60" s="50" t="s">
        <v>708</v>
      </c>
      <c r="E60" s="50" t="s">
        <v>1347</v>
      </c>
      <c r="F60" s="50" t="s">
        <v>1244</v>
      </c>
      <c r="G60" s="51" t="s">
        <v>72</v>
      </c>
      <c r="H60" s="52" t="s">
        <v>280</v>
      </c>
      <c r="I60" s="52" t="s">
        <v>280</v>
      </c>
      <c r="J60" s="35"/>
      <c r="K60" s="36" t="str">
        <f>"127,5"</f>
        <v>127,5</v>
      </c>
      <c r="L60" s="35" t="str">
        <f>"86,3685"</f>
        <v>86,3685</v>
      </c>
      <c r="M60" s="50"/>
    </row>
    <row r="61" spans="1:13">
      <c r="A61" s="35" t="s">
        <v>31</v>
      </c>
      <c r="B61" s="50" t="s">
        <v>709</v>
      </c>
      <c r="C61" s="50" t="s">
        <v>486</v>
      </c>
      <c r="D61" s="50" t="s">
        <v>710</v>
      </c>
      <c r="E61" s="50" t="s">
        <v>1347</v>
      </c>
      <c r="F61" s="50" t="s">
        <v>1244</v>
      </c>
      <c r="G61" s="52" t="s">
        <v>103</v>
      </c>
      <c r="H61" s="52" t="s">
        <v>103</v>
      </c>
      <c r="I61" s="52" t="s">
        <v>103</v>
      </c>
      <c r="J61" s="35"/>
      <c r="K61" s="36">
        <v>0</v>
      </c>
      <c r="L61" s="35" t="str">
        <f>"0,0000"</f>
        <v>0,0000</v>
      </c>
      <c r="M61" s="50" t="s">
        <v>711</v>
      </c>
    </row>
    <row r="62" spans="1:13">
      <c r="A62" s="35">
        <v>1</v>
      </c>
      <c r="B62" s="50" t="s">
        <v>712</v>
      </c>
      <c r="C62" s="50" t="s">
        <v>1137</v>
      </c>
      <c r="D62" s="50" t="s">
        <v>705</v>
      </c>
      <c r="E62" s="50" t="s">
        <v>1348</v>
      </c>
      <c r="F62" s="50" t="s">
        <v>1244</v>
      </c>
      <c r="G62" s="52" t="s">
        <v>63</v>
      </c>
      <c r="H62" s="51" t="s">
        <v>83</v>
      </c>
      <c r="I62" s="52" t="s">
        <v>103</v>
      </c>
      <c r="J62" s="35"/>
      <c r="K62" s="36" t="str">
        <f>"140,0"</f>
        <v>140,0</v>
      </c>
      <c r="L62" s="35" t="str">
        <f>"97,4195"</f>
        <v>97,4195</v>
      </c>
      <c r="M62" s="50"/>
    </row>
    <row r="63" spans="1:13">
      <c r="A63" s="30">
        <v>1</v>
      </c>
      <c r="B63" s="40" t="s">
        <v>713</v>
      </c>
      <c r="C63" s="40" t="s">
        <v>1104</v>
      </c>
      <c r="D63" s="40" t="s">
        <v>714</v>
      </c>
      <c r="E63" s="40" t="s">
        <v>1349</v>
      </c>
      <c r="F63" s="40" t="s">
        <v>1292</v>
      </c>
      <c r="G63" s="41" t="s">
        <v>166</v>
      </c>
      <c r="H63" s="42" t="s">
        <v>60</v>
      </c>
      <c r="I63" s="41" t="s">
        <v>60</v>
      </c>
      <c r="J63" s="30"/>
      <c r="K63" s="33" t="str">
        <f>"117,5"</f>
        <v>117,5</v>
      </c>
      <c r="L63" s="30" t="str">
        <f>"90,0034"</f>
        <v>90,0034</v>
      </c>
      <c r="M63" s="40" t="s">
        <v>715</v>
      </c>
    </row>
    <row r="65" spans="1:13" ht="16">
      <c r="A65" s="66" t="s">
        <v>99</v>
      </c>
      <c r="B65" s="66"/>
      <c r="C65" s="67"/>
      <c r="D65" s="67"/>
      <c r="E65" s="67"/>
      <c r="F65" s="67"/>
      <c r="G65" s="67"/>
      <c r="H65" s="67"/>
      <c r="I65" s="67"/>
      <c r="J65" s="67"/>
    </row>
    <row r="66" spans="1:13">
      <c r="A66" s="29">
        <v>1</v>
      </c>
      <c r="B66" s="37" t="s">
        <v>716</v>
      </c>
      <c r="C66" s="37" t="s">
        <v>717</v>
      </c>
      <c r="D66" s="37" t="s">
        <v>718</v>
      </c>
      <c r="E66" s="37" t="s">
        <v>1350</v>
      </c>
      <c r="F66" s="37" t="s">
        <v>1244</v>
      </c>
      <c r="G66" s="38" t="s">
        <v>193</v>
      </c>
      <c r="H66" s="38" t="s">
        <v>58</v>
      </c>
      <c r="I66" s="39" t="s">
        <v>194</v>
      </c>
      <c r="J66" s="29"/>
      <c r="K66" s="32" t="str">
        <f>"100,0"</f>
        <v>100,0</v>
      </c>
      <c r="L66" s="29" t="str">
        <f>"66,6100"</f>
        <v>66,6100</v>
      </c>
      <c r="M66" s="37" t="s">
        <v>357</v>
      </c>
    </row>
    <row r="67" spans="1:13">
      <c r="A67" s="35">
        <v>1</v>
      </c>
      <c r="B67" s="50" t="s">
        <v>719</v>
      </c>
      <c r="C67" s="50" t="s">
        <v>720</v>
      </c>
      <c r="D67" s="50" t="s">
        <v>721</v>
      </c>
      <c r="E67" s="50" t="s">
        <v>1347</v>
      </c>
      <c r="F67" s="50" t="s">
        <v>1276</v>
      </c>
      <c r="G67" s="51" t="s">
        <v>97</v>
      </c>
      <c r="H67" s="51" t="s">
        <v>372</v>
      </c>
      <c r="I67" s="52" t="s">
        <v>125</v>
      </c>
      <c r="J67" s="35"/>
      <c r="K67" s="36" t="str">
        <f>"192,5"</f>
        <v>192,5</v>
      </c>
      <c r="L67" s="35" t="str">
        <f>"127,9547"</f>
        <v>127,9547</v>
      </c>
      <c r="M67" s="50" t="s">
        <v>722</v>
      </c>
    </row>
    <row r="68" spans="1:13">
      <c r="A68" s="35">
        <v>2</v>
      </c>
      <c r="B68" s="50" t="s">
        <v>723</v>
      </c>
      <c r="C68" s="50" t="s">
        <v>724</v>
      </c>
      <c r="D68" s="50" t="s">
        <v>725</v>
      </c>
      <c r="E68" s="50" t="s">
        <v>1347</v>
      </c>
      <c r="F68" s="50" t="s">
        <v>1244</v>
      </c>
      <c r="G68" s="51" t="s">
        <v>96</v>
      </c>
      <c r="H68" s="52" t="s">
        <v>143</v>
      </c>
      <c r="I68" s="35"/>
      <c r="J68" s="35"/>
      <c r="K68" s="36" t="str">
        <f>"157,5"</f>
        <v>157,5</v>
      </c>
      <c r="L68" s="35" t="str">
        <f>"101,6032"</f>
        <v>101,6032</v>
      </c>
      <c r="M68" s="50"/>
    </row>
    <row r="69" spans="1:13">
      <c r="A69" s="35">
        <v>3</v>
      </c>
      <c r="B69" s="50" t="s">
        <v>726</v>
      </c>
      <c r="C69" s="50" t="s">
        <v>727</v>
      </c>
      <c r="D69" s="50" t="s">
        <v>414</v>
      </c>
      <c r="E69" s="50" t="s">
        <v>1347</v>
      </c>
      <c r="F69" s="50" t="s">
        <v>1244</v>
      </c>
      <c r="G69" s="51" t="s">
        <v>381</v>
      </c>
      <c r="H69" s="51" t="s">
        <v>38</v>
      </c>
      <c r="I69" s="51" t="s">
        <v>96</v>
      </c>
      <c r="J69" s="35"/>
      <c r="K69" s="36" t="str">
        <f>"157,5"</f>
        <v>157,5</v>
      </c>
      <c r="L69" s="35" t="str">
        <f>"100,9575"</f>
        <v>100,9575</v>
      </c>
      <c r="M69" s="50" t="s">
        <v>104</v>
      </c>
    </row>
    <row r="70" spans="1:13">
      <c r="A70" s="35">
        <v>4</v>
      </c>
      <c r="B70" s="50" t="s">
        <v>728</v>
      </c>
      <c r="C70" s="50" t="s">
        <v>729</v>
      </c>
      <c r="D70" s="50" t="s">
        <v>414</v>
      </c>
      <c r="E70" s="50" t="s">
        <v>1347</v>
      </c>
      <c r="F70" s="50" t="s">
        <v>1244</v>
      </c>
      <c r="G70" s="52" t="s">
        <v>64</v>
      </c>
      <c r="H70" s="51" t="s">
        <v>64</v>
      </c>
      <c r="I70" s="52" t="s">
        <v>381</v>
      </c>
      <c r="J70" s="35"/>
      <c r="K70" s="36" t="str">
        <f>"142,5"</f>
        <v>142,5</v>
      </c>
      <c r="L70" s="35" t="str">
        <f>"91,3425"</f>
        <v>91,3425</v>
      </c>
      <c r="M70" s="50" t="s">
        <v>730</v>
      </c>
    </row>
    <row r="71" spans="1:13">
      <c r="A71" s="35">
        <v>5</v>
      </c>
      <c r="B71" s="50" t="s">
        <v>731</v>
      </c>
      <c r="C71" s="50" t="s">
        <v>732</v>
      </c>
      <c r="D71" s="50" t="s">
        <v>733</v>
      </c>
      <c r="E71" s="50" t="s">
        <v>1347</v>
      </c>
      <c r="F71" s="50" t="s">
        <v>1279</v>
      </c>
      <c r="G71" s="51" t="s">
        <v>280</v>
      </c>
      <c r="H71" s="51" t="s">
        <v>83</v>
      </c>
      <c r="I71" s="52" t="s">
        <v>64</v>
      </c>
      <c r="J71" s="35"/>
      <c r="K71" s="36" t="str">
        <f>"140,0"</f>
        <v>140,0</v>
      </c>
      <c r="L71" s="35" t="str">
        <f>"90,4260"</f>
        <v>90,4260</v>
      </c>
      <c r="M71" s="50" t="s">
        <v>822</v>
      </c>
    </row>
    <row r="72" spans="1:13">
      <c r="A72" s="35">
        <v>6</v>
      </c>
      <c r="B72" s="50" t="s">
        <v>734</v>
      </c>
      <c r="C72" s="50" t="s">
        <v>735</v>
      </c>
      <c r="D72" s="50" t="s">
        <v>736</v>
      </c>
      <c r="E72" s="50" t="s">
        <v>1347</v>
      </c>
      <c r="F72" s="50" t="s">
        <v>1296</v>
      </c>
      <c r="G72" s="52" t="s">
        <v>88</v>
      </c>
      <c r="H72" s="51" t="s">
        <v>88</v>
      </c>
      <c r="I72" s="52" t="s">
        <v>64</v>
      </c>
      <c r="J72" s="35"/>
      <c r="K72" s="36" t="str">
        <f>"135,0"</f>
        <v>135,0</v>
      </c>
      <c r="L72" s="35" t="str">
        <f>"87,9525"</f>
        <v>87,9525</v>
      </c>
      <c r="M72" s="50"/>
    </row>
    <row r="73" spans="1:13">
      <c r="A73" s="35" t="s">
        <v>31</v>
      </c>
      <c r="B73" s="50" t="s">
        <v>737</v>
      </c>
      <c r="C73" s="50" t="s">
        <v>738</v>
      </c>
      <c r="D73" s="50" t="s">
        <v>739</v>
      </c>
      <c r="E73" s="50" t="s">
        <v>1347</v>
      </c>
      <c r="F73" s="50" t="s">
        <v>1312</v>
      </c>
      <c r="G73" s="52" t="s">
        <v>194</v>
      </c>
      <c r="H73" s="52" t="s">
        <v>166</v>
      </c>
      <c r="I73" s="52" t="s">
        <v>166</v>
      </c>
      <c r="J73" s="35"/>
      <c r="K73" s="36">
        <v>0</v>
      </c>
      <c r="L73" s="35" t="str">
        <f>"0,0000"</f>
        <v>0,0000</v>
      </c>
      <c r="M73" s="50" t="s">
        <v>1231</v>
      </c>
    </row>
    <row r="74" spans="1:13">
      <c r="A74" s="35" t="s">
        <v>31</v>
      </c>
      <c r="B74" s="50" t="s">
        <v>740</v>
      </c>
      <c r="C74" s="50" t="s">
        <v>741</v>
      </c>
      <c r="D74" s="50" t="s">
        <v>111</v>
      </c>
      <c r="E74" s="50" t="s">
        <v>1347</v>
      </c>
      <c r="F74" s="50" t="s">
        <v>1244</v>
      </c>
      <c r="G74" s="52" t="s">
        <v>381</v>
      </c>
      <c r="H74" s="52" t="s">
        <v>18</v>
      </c>
      <c r="I74" s="52" t="s">
        <v>18</v>
      </c>
      <c r="J74" s="35"/>
      <c r="K74" s="36">
        <v>0</v>
      </c>
      <c r="L74" s="35" t="str">
        <f>"0,0000"</f>
        <v>0,0000</v>
      </c>
      <c r="M74" s="50"/>
    </row>
    <row r="75" spans="1:13">
      <c r="A75" s="35">
        <v>1</v>
      </c>
      <c r="B75" s="50" t="s">
        <v>742</v>
      </c>
      <c r="C75" s="50" t="s">
        <v>1138</v>
      </c>
      <c r="D75" s="50" t="s">
        <v>522</v>
      </c>
      <c r="E75" s="50" t="s">
        <v>1348</v>
      </c>
      <c r="F75" s="50" t="s">
        <v>1308</v>
      </c>
      <c r="G75" s="51" t="s">
        <v>79</v>
      </c>
      <c r="H75" s="51" t="s">
        <v>280</v>
      </c>
      <c r="I75" s="51" t="s">
        <v>88</v>
      </c>
      <c r="J75" s="35"/>
      <c r="K75" s="36" t="str">
        <f>"135,0"</f>
        <v>135,0</v>
      </c>
      <c r="L75" s="35" t="str">
        <f>"88,4720"</f>
        <v>88,4720</v>
      </c>
      <c r="M75" s="50" t="s">
        <v>743</v>
      </c>
    </row>
    <row r="76" spans="1:13">
      <c r="A76" s="35" t="s">
        <v>31</v>
      </c>
      <c r="B76" s="50" t="s">
        <v>744</v>
      </c>
      <c r="C76" s="50" t="s">
        <v>1139</v>
      </c>
      <c r="D76" s="50" t="s">
        <v>414</v>
      </c>
      <c r="E76" s="50" t="s">
        <v>1353</v>
      </c>
      <c r="F76" s="50" t="s">
        <v>1244</v>
      </c>
      <c r="G76" s="52" t="s">
        <v>65</v>
      </c>
      <c r="H76" s="52" t="s">
        <v>65</v>
      </c>
      <c r="I76" s="52" t="s">
        <v>65</v>
      </c>
      <c r="J76" s="35"/>
      <c r="K76" s="36">
        <v>0</v>
      </c>
      <c r="L76" s="35" t="str">
        <f>"0,0000"</f>
        <v>0,0000</v>
      </c>
      <c r="M76" s="50"/>
    </row>
    <row r="77" spans="1:13">
      <c r="A77" s="35">
        <v>1</v>
      </c>
      <c r="B77" s="50" t="s">
        <v>745</v>
      </c>
      <c r="C77" s="50" t="s">
        <v>1140</v>
      </c>
      <c r="D77" s="50" t="s">
        <v>746</v>
      </c>
      <c r="E77" s="50" t="s">
        <v>1355</v>
      </c>
      <c r="F77" s="50" t="s">
        <v>1244</v>
      </c>
      <c r="G77" s="51" t="s">
        <v>71</v>
      </c>
      <c r="H77" s="51" t="s">
        <v>63</v>
      </c>
      <c r="I77" s="51" t="s">
        <v>88</v>
      </c>
      <c r="J77" s="35"/>
      <c r="K77" s="36" t="str">
        <f>"135,0"</f>
        <v>135,0</v>
      </c>
      <c r="L77" s="35" t="str">
        <f>"121,7657"</f>
        <v>121,7657</v>
      </c>
      <c r="M77" s="50"/>
    </row>
    <row r="78" spans="1:13">
      <c r="A78" s="30">
        <v>1</v>
      </c>
      <c r="B78" s="40" t="s">
        <v>747</v>
      </c>
      <c r="C78" s="40" t="s">
        <v>1141</v>
      </c>
      <c r="D78" s="40" t="s">
        <v>748</v>
      </c>
      <c r="E78" s="40" t="s">
        <v>1356</v>
      </c>
      <c r="F78" s="40" t="s">
        <v>1313</v>
      </c>
      <c r="G78" s="41" t="s">
        <v>167</v>
      </c>
      <c r="H78" s="41" t="s">
        <v>79</v>
      </c>
      <c r="I78" s="42" t="s">
        <v>71</v>
      </c>
      <c r="J78" s="30"/>
      <c r="K78" s="33" t="str">
        <f>"120,0"</f>
        <v>120,0</v>
      </c>
      <c r="L78" s="30" t="str">
        <f>"154,4162"</f>
        <v>154,4162</v>
      </c>
      <c r="M78" s="40" t="s">
        <v>749</v>
      </c>
    </row>
    <row r="80" spans="1:13" ht="16">
      <c r="A80" s="66" t="s">
        <v>32</v>
      </c>
      <c r="B80" s="66"/>
      <c r="C80" s="67"/>
      <c r="D80" s="67"/>
      <c r="E80" s="67"/>
      <c r="F80" s="67"/>
      <c r="G80" s="67"/>
      <c r="H80" s="67"/>
      <c r="I80" s="67"/>
      <c r="J80" s="67"/>
    </row>
    <row r="81" spans="1:13">
      <c r="A81" s="29">
        <v>1</v>
      </c>
      <c r="B81" s="37" t="s">
        <v>750</v>
      </c>
      <c r="C81" s="37" t="s">
        <v>751</v>
      </c>
      <c r="D81" s="37" t="s">
        <v>752</v>
      </c>
      <c r="E81" s="37" t="s">
        <v>1347</v>
      </c>
      <c r="F81" s="37" t="s">
        <v>1314</v>
      </c>
      <c r="G81" s="38" t="s">
        <v>35</v>
      </c>
      <c r="H81" s="39" t="s">
        <v>36</v>
      </c>
      <c r="I81" s="29"/>
      <c r="J81" s="29"/>
      <c r="K81" s="32" t="str">
        <f>"200,0"</f>
        <v>200,0</v>
      </c>
      <c r="L81" s="29" t="str">
        <f>"122,0600"</f>
        <v>122,0600</v>
      </c>
      <c r="M81" s="37" t="s">
        <v>281</v>
      </c>
    </row>
    <row r="82" spans="1:13">
      <c r="A82" s="35">
        <v>2</v>
      </c>
      <c r="B82" s="50" t="s">
        <v>753</v>
      </c>
      <c r="C82" s="50" t="s">
        <v>754</v>
      </c>
      <c r="D82" s="50" t="s">
        <v>755</v>
      </c>
      <c r="E82" s="50" t="s">
        <v>1347</v>
      </c>
      <c r="F82" s="50" t="s">
        <v>1315</v>
      </c>
      <c r="G82" s="51" t="s">
        <v>95</v>
      </c>
      <c r="H82" s="51" t="s">
        <v>40</v>
      </c>
      <c r="I82" s="51" t="s">
        <v>77</v>
      </c>
      <c r="J82" s="35"/>
      <c r="K82" s="36" t="str">
        <f>"180,0"</f>
        <v>180,0</v>
      </c>
      <c r="L82" s="35" t="str">
        <f>"110,7000"</f>
        <v>110,7000</v>
      </c>
      <c r="M82" s="50" t="s">
        <v>756</v>
      </c>
    </row>
    <row r="83" spans="1:13">
      <c r="A83" s="35">
        <v>3</v>
      </c>
      <c r="B83" s="50" t="s">
        <v>757</v>
      </c>
      <c r="C83" s="50" t="s">
        <v>758</v>
      </c>
      <c r="D83" s="50" t="s">
        <v>759</v>
      </c>
      <c r="E83" s="50" t="s">
        <v>1347</v>
      </c>
      <c r="F83" s="50" t="s">
        <v>1244</v>
      </c>
      <c r="G83" s="51" t="s">
        <v>38</v>
      </c>
      <c r="H83" s="52" t="s">
        <v>18</v>
      </c>
      <c r="I83" s="51" t="s">
        <v>18</v>
      </c>
      <c r="J83" s="35"/>
      <c r="K83" s="36" t="str">
        <f>"160,0"</f>
        <v>160,0</v>
      </c>
      <c r="L83" s="35" t="str">
        <f>"98,7520"</f>
        <v>98,7520</v>
      </c>
      <c r="M83" s="50"/>
    </row>
    <row r="84" spans="1:13">
      <c r="A84" s="35">
        <v>4</v>
      </c>
      <c r="B84" s="50" t="s">
        <v>760</v>
      </c>
      <c r="C84" s="50" t="s">
        <v>761</v>
      </c>
      <c r="D84" s="50" t="s">
        <v>762</v>
      </c>
      <c r="E84" s="50" t="s">
        <v>1347</v>
      </c>
      <c r="F84" s="50" t="s">
        <v>1256</v>
      </c>
      <c r="G84" s="52" t="s">
        <v>83</v>
      </c>
      <c r="H84" s="51" t="s">
        <v>83</v>
      </c>
      <c r="I84" s="52" t="s">
        <v>103</v>
      </c>
      <c r="J84" s="35"/>
      <c r="K84" s="36" t="str">
        <f>"140,0"</f>
        <v>140,0</v>
      </c>
      <c r="L84" s="35" t="str">
        <f>"85,5120"</f>
        <v>85,5120</v>
      </c>
      <c r="M84" s="50" t="s">
        <v>763</v>
      </c>
    </row>
    <row r="85" spans="1:13">
      <c r="A85" s="35">
        <v>5</v>
      </c>
      <c r="B85" s="50" t="s">
        <v>764</v>
      </c>
      <c r="C85" s="50" t="s">
        <v>765</v>
      </c>
      <c r="D85" s="50" t="s">
        <v>766</v>
      </c>
      <c r="E85" s="50" t="s">
        <v>1347</v>
      </c>
      <c r="F85" s="50" t="s">
        <v>1279</v>
      </c>
      <c r="G85" s="51" t="s">
        <v>63</v>
      </c>
      <c r="H85" s="51" t="s">
        <v>152</v>
      </c>
      <c r="I85" s="52" t="s">
        <v>83</v>
      </c>
      <c r="J85" s="35"/>
      <c r="K85" s="36" t="str">
        <f>"137,5"</f>
        <v>137,5</v>
      </c>
      <c r="L85" s="35" t="str">
        <f>"84,9750"</f>
        <v>84,9750</v>
      </c>
      <c r="M85" s="50" t="s">
        <v>822</v>
      </c>
    </row>
    <row r="86" spans="1:13">
      <c r="A86" s="35">
        <v>1</v>
      </c>
      <c r="B86" s="50" t="s">
        <v>753</v>
      </c>
      <c r="C86" s="50" t="s">
        <v>1142</v>
      </c>
      <c r="D86" s="50" t="s">
        <v>755</v>
      </c>
      <c r="E86" s="50" t="s">
        <v>1349</v>
      </c>
      <c r="F86" s="50" t="s">
        <v>1315</v>
      </c>
      <c r="G86" s="51" t="s">
        <v>95</v>
      </c>
      <c r="H86" s="51" t="s">
        <v>40</v>
      </c>
      <c r="I86" s="51" t="s">
        <v>77</v>
      </c>
      <c r="J86" s="35"/>
      <c r="K86" s="36" t="str">
        <f>"180,0"</f>
        <v>180,0</v>
      </c>
      <c r="L86" s="35" t="str">
        <f>"119,3346"</f>
        <v>119,3346</v>
      </c>
      <c r="M86" s="50" t="s">
        <v>756</v>
      </c>
    </row>
    <row r="87" spans="1:13">
      <c r="A87" s="30">
        <v>1</v>
      </c>
      <c r="B87" s="40" t="s">
        <v>767</v>
      </c>
      <c r="C87" s="40" t="s">
        <v>1143</v>
      </c>
      <c r="D87" s="40" t="s">
        <v>440</v>
      </c>
      <c r="E87" s="40" t="s">
        <v>1352</v>
      </c>
      <c r="F87" s="40" t="s">
        <v>1302</v>
      </c>
      <c r="G87" s="41" t="s">
        <v>83</v>
      </c>
      <c r="H87" s="41" t="s">
        <v>103</v>
      </c>
      <c r="I87" s="42" t="s">
        <v>17</v>
      </c>
      <c r="J87" s="30"/>
      <c r="K87" s="33" t="str">
        <f>"145,0"</f>
        <v>145,0</v>
      </c>
      <c r="L87" s="30" t="str">
        <f>"102,2344"</f>
        <v>102,2344</v>
      </c>
      <c r="M87" s="40"/>
    </row>
    <row r="89" spans="1:13" ht="16">
      <c r="A89" s="66" t="s">
        <v>11</v>
      </c>
      <c r="B89" s="66"/>
      <c r="C89" s="67"/>
      <c r="D89" s="67"/>
      <c r="E89" s="67"/>
      <c r="F89" s="67"/>
      <c r="G89" s="67"/>
      <c r="H89" s="67"/>
      <c r="I89" s="67"/>
      <c r="J89" s="67"/>
    </row>
    <row r="90" spans="1:13">
      <c r="A90" s="29">
        <v>1</v>
      </c>
      <c r="B90" s="37" t="s">
        <v>768</v>
      </c>
      <c r="C90" s="37" t="s">
        <v>769</v>
      </c>
      <c r="D90" s="37" t="s">
        <v>770</v>
      </c>
      <c r="E90" s="37" t="s">
        <v>1350</v>
      </c>
      <c r="F90" s="37" t="s">
        <v>1316</v>
      </c>
      <c r="G90" s="38" t="s">
        <v>193</v>
      </c>
      <c r="H90" s="38" t="s">
        <v>194</v>
      </c>
      <c r="I90" s="38" t="s">
        <v>59</v>
      </c>
      <c r="J90" s="29"/>
      <c r="K90" s="32" t="str">
        <f>"112,5"</f>
        <v>112,5</v>
      </c>
      <c r="L90" s="29" t="str">
        <f>"66,7912"</f>
        <v>66,7912</v>
      </c>
      <c r="M90" s="37"/>
    </row>
    <row r="91" spans="1:13">
      <c r="A91" s="35">
        <v>1</v>
      </c>
      <c r="B91" s="50" t="s">
        <v>771</v>
      </c>
      <c r="C91" s="50" t="s">
        <v>1144</v>
      </c>
      <c r="D91" s="50" t="s">
        <v>169</v>
      </c>
      <c r="E91" s="50" t="s">
        <v>1351</v>
      </c>
      <c r="F91" s="50" t="s">
        <v>1317</v>
      </c>
      <c r="G91" s="51" t="s">
        <v>38</v>
      </c>
      <c r="H91" s="51" t="s">
        <v>39</v>
      </c>
      <c r="I91" s="52" t="s">
        <v>95</v>
      </c>
      <c r="J91" s="35"/>
      <c r="K91" s="36" t="str">
        <f>"165,0"</f>
        <v>165,0</v>
      </c>
      <c r="L91" s="35" t="str">
        <f>"97,8120"</f>
        <v>97,8120</v>
      </c>
      <c r="M91" s="50" t="s">
        <v>1232</v>
      </c>
    </row>
    <row r="92" spans="1:13">
      <c r="A92" s="35">
        <v>2</v>
      </c>
      <c r="B92" s="50" t="s">
        <v>772</v>
      </c>
      <c r="C92" s="50" t="s">
        <v>1145</v>
      </c>
      <c r="D92" s="50" t="s">
        <v>582</v>
      </c>
      <c r="E92" s="50" t="s">
        <v>1351</v>
      </c>
      <c r="F92" s="50" t="s">
        <v>1244</v>
      </c>
      <c r="G92" s="51" t="s">
        <v>103</v>
      </c>
      <c r="H92" s="51" t="s">
        <v>17</v>
      </c>
      <c r="I92" s="51" t="s">
        <v>381</v>
      </c>
      <c r="J92" s="35"/>
      <c r="K92" s="36" t="str">
        <f>"152,5"</f>
        <v>152,5</v>
      </c>
      <c r="L92" s="35" t="str">
        <f>"92,0948"</f>
        <v>92,0948</v>
      </c>
      <c r="M92" s="50" t="s">
        <v>773</v>
      </c>
    </row>
    <row r="93" spans="1:13">
      <c r="A93" s="35">
        <v>1</v>
      </c>
      <c r="B93" s="50" t="s">
        <v>774</v>
      </c>
      <c r="C93" s="50" t="s">
        <v>775</v>
      </c>
      <c r="D93" s="50" t="s">
        <v>500</v>
      </c>
      <c r="E93" s="50" t="s">
        <v>1347</v>
      </c>
      <c r="F93" s="50" t="s">
        <v>1307</v>
      </c>
      <c r="G93" s="51" t="s">
        <v>97</v>
      </c>
      <c r="H93" s="51" t="s">
        <v>125</v>
      </c>
      <c r="I93" s="52" t="s">
        <v>339</v>
      </c>
      <c r="J93" s="35"/>
      <c r="K93" s="36" t="str">
        <f>"195,0"</f>
        <v>195,0</v>
      </c>
      <c r="L93" s="35" t="str">
        <f>"115,0500"</f>
        <v>115,0500</v>
      </c>
      <c r="M93" s="50" t="s">
        <v>104</v>
      </c>
    </row>
    <row r="94" spans="1:13">
      <c r="A94" s="35">
        <v>2</v>
      </c>
      <c r="B94" s="50" t="s">
        <v>776</v>
      </c>
      <c r="C94" s="50" t="s">
        <v>777</v>
      </c>
      <c r="D94" s="50" t="s">
        <v>778</v>
      </c>
      <c r="E94" s="50" t="s">
        <v>1347</v>
      </c>
      <c r="F94" s="50" t="s">
        <v>1308</v>
      </c>
      <c r="G94" s="51" t="s">
        <v>71</v>
      </c>
      <c r="H94" s="52" t="s">
        <v>152</v>
      </c>
      <c r="I94" s="52" t="s">
        <v>65</v>
      </c>
      <c r="J94" s="35"/>
      <c r="K94" s="36" t="str">
        <f>"125,0"</f>
        <v>125,0</v>
      </c>
      <c r="L94" s="35" t="str">
        <f>"73,6875"</f>
        <v>73,6875</v>
      </c>
      <c r="M94" s="50" t="s">
        <v>1230</v>
      </c>
    </row>
    <row r="95" spans="1:13">
      <c r="A95" s="35">
        <v>1</v>
      </c>
      <c r="B95" s="50" t="s">
        <v>779</v>
      </c>
      <c r="C95" s="50" t="s">
        <v>1146</v>
      </c>
      <c r="D95" s="50" t="s">
        <v>780</v>
      </c>
      <c r="E95" s="50" t="s">
        <v>1349</v>
      </c>
      <c r="F95" s="50" t="s">
        <v>1318</v>
      </c>
      <c r="G95" s="51" t="s">
        <v>17</v>
      </c>
      <c r="H95" s="51" t="s">
        <v>39</v>
      </c>
      <c r="I95" s="51" t="s">
        <v>40</v>
      </c>
      <c r="J95" s="35"/>
      <c r="K95" s="36" t="str">
        <f>"175,0"</f>
        <v>175,0</v>
      </c>
      <c r="L95" s="35" t="str">
        <f>"113,0086"</f>
        <v>113,0086</v>
      </c>
      <c r="M95" s="50"/>
    </row>
    <row r="96" spans="1:13">
      <c r="A96" s="35">
        <v>1</v>
      </c>
      <c r="B96" s="50" t="s">
        <v>781</v>
      </c>
      <c r="C96" s="50" t="s">
        <v>1147</v>
      </c>
      <c r="D96" s="50" t="s">
        <v>782</v>
      </c>
      <c r="E96" s="50" t="s">
        <v>1353</v>
      </c>
      <c r="F96" s="50" t="s">
        <v>1302</v>
      </c>
      <c r="G96" s="51" t="s">
        <v>17</v>
      </c>
      <c r="H96" s="52" t="s">
        <v>96</v>
      </c>
      <c r="I96" s="51" t="s">
        <v>96</v>
      </c>
      <c r="J96" s="51" t="s">
        <v>18</v>
      </c>
      <c r="K96" s="36" t="str">
        <f>"157,5"</f>
        <v>157,5</v>
      </c>
      <c r="L96" s="35" t="str">
        <f>"125,1298"</f>
        <v>125,1298</v>
      </c>
      <c r="M96" s="50"/>
    </row>
    <row r="97" spans="1:13">
      <c r="A97" s="30">
        <v>1</v>
      </c>
      <c r="B97" s="40" t="s">
        <v>783</v>
      </c>
      <c r="C97" s="40" t="s">
        <v>1148</v>
      </c>
      <c r="D97" s="40" t="s">
        <v>161</v>
      </c>
      <c r="E97" s="40" t="s">
        <v>1355</v>
      </c>
      <c r="F97" s="40" t="s">
        <v>1319</v>
      </c>
      <c r="G97" s="42" t="s">
        <v>71</v>
      </c>
      <c r="H97" s="41" t="s">
        <v>71</v>
      </c>
      <c r="I97" s="41" t="s">
        <v>63</v>
      </c>
      <c r="J97" s="30"/>
      <c r="K97" s="33" t="str">
        <f>"130,0"</f>
        <v>130,0</v>
      </c>
      <c r="L97" s="30" t="str">
        <f>"112,9401"</f>
        <v>112,9401</v>
      </c>
      <c r="M97" s="40"/>
    </row>
    <row r="99" spans="1:13" ht="16">
      <c r="A99" s="66" t="s">
        <v>20</v>
      </c>
      <c r="B99" s="66"/>
      <c r="C99" s="67"/>
      <c r="D99" s="67"/>
      <c r="E99" s="67"/>
      <c r="F99" s="67"/>
      <c r="G99" s="67"/>
      <c r="H99" s="67"/>
      <c r="I99" s="67"/>
      <c r="J99" s="67"/>
    </row>
    <row r="100" spans="1:13">
      <c r="A100" s="29">
        <v>1</v>
      </c>
      <c r="B100" s="37" t="s">
        <v>784</v>
      </c>
      <c r="C100" s="37" t="s">
        <v>785</v>
      </c>
      <c r="D100" s="37" t="s">
        <v>786</v>
      </c>
      <c r="E100" s="37" t="s">
        <v>1347</v>
      </c>
      <c r="F100" s="37" t="s">
        <v>1297</v>
      </c>
      <c r="G100" s="38" t="s">
        <v>124</v>
      </c>
      <c r="H100" s="39" t="s">
        <v>125</v>
      </c>
      <c r="I100" s="39" t="s">
        <v>125</v>
      </c>
      <c r="J100" s="29"/>
      <c r="K100" s="32" t="str">
        <f>"187,5"</f>
        <v>187,5</v>
      </c>
      <c r="L100" s="29" t="str">
        <f>"109,3687"</f>
        <v>109,3687</v>
      </c>
      <c r="M100" s="37" t="s">
        <v>1233</v>
      </c>
    </row>
    <row r="101" spans="1:13">
      <c r="A101" s="35">
        <v>2</v>
      </c>
      <c r="B101" s="50" t="s">
        <v>787</v>
      </c>
      <c r="C101" s="50" t="s">
        <v>788</v>
      </c>
      <c r="D101" s="50" t="s">
        <v>789</v>
      </c>
      <c r="E101" s="50" t="s">
        <v>1347</v>
      </c>
      <c r="F101" s="50" t="s">
        <v>1244</v>
      </c>
      <c r="G101" s="51" t="s">
        <v>77</v>
      </c>
      <c r="H101" s="51" t="s">
        <v>124</v>
      </c>
      <c r="I101" s="52" t="s">
        <v>372</v>
      </c>
      <c r="J101" s="35"/>
      <c r="K101" s="36" t="str">
        <f>"187,5"</f>
        <v>187,5</v>
      </c>
      <c r="L101" s="35" t="str">
        <f>"107,4562"</f>
        <v>107,4562</v>
      </c>
      <c r="M101" s="50"/>
    </row>
    <row r="102" spans="1:13">
      <c r="A102" s="35">
        <v>3</v>
      </c>
      <c r="B102" s="50" t="s">
        <v>790</v>
      </c>
      <c r="C102" s="50" t="s">
        <v>791</v>
      </c>
      <c r="D102" s="50" t="s">
        <v>792</v>
      </c>
      <c r="E102" s="50" t="s">
        <v>1347</v>
      </c>
      <c r="F102" s="50" t="s">
        <v>1306</v>
      </c>
      <c r="G102" s="51" t="s">
        <v>95</v>
      </c>
      <c r="H102" s="51" t="s">
        <v>77</v>
      </c>
      <c r="I102" s="51" t="s">
        <v>97</v>
      </c>
      <c r="J102" s="35"/>
      <c r="K102" s="36" t="str">
        <f>"185,0"</f>
        <v>185,0</v>
      </c>
      <c r="L102" s="35" t="str">
        <f>"105,5240"</f>
        <v>105,5240</v>
      </c>
      <c r="M102" s="50"/>
    </row>
    <row r="103" spans="1:13">
      <c r="A103" s="30" t="s">
        <v>31</v>
      </c>
      <c r="B103" s="40" t="s">
        <v>793</v>
      </c>
      <c r="C103" s="40" t="s">
        <v>794</v>
      </c>
      <c r="D103" s="40" t="s">
        <v>795</v>
      </c>
      <c r="E103" s="40" t="s">
        <v>1347</v>
      </c>
      <c r="F103" s="40" t="s">
        <v>1244</v>
      </c>
      <c r="G103" s="42" t="s">
        <v>97</v>
      </c>
      <c r="H103" s="42" t="s">
        <v>97</v>
      </c>
      <c r="I103" s="42" t="s">
        <v>97</v>
      </c>
      <c r="J103" s="30"/>
      <c r="K103" s="33">
        <v>0</v>
      </c>
      <c r="L103" s="30" t="str">
        <f>"0,0000"</f>
        <v>0,0000</v>
      </c>
      <c r="M103" s="40" t="s">
        <v>796</v>
      </c>
    </row>
    <row r="105" spans="1:13" ht="16">
      <c r="A105" s="66" t="s">
        <v>179</v>
      </c>
      <c r="B105" s="66"/>
      <c r="C105" s="67"/>
      <c r="D105" s="67"/>
      <c r="E105" s="67"/>
      <c r="F105" s="67"/>
      <c r="G105" s="67"/>
      <c r="H105" s="67"/>
      <c r="I105" s="67"/>
      <c r="J105" s="67"/>
    </row>
    <row r="106" spans="1:13">
      <c r="A106" s="29">
        <v>1</v>
      </c>
      <c r="B106" s="37" t="s">
        <v>797</v>
      </c>
      <c r="C106" s="37" t="s">
        <v>798</v>
      </c>
      <c r="D106" s="37" t="s">
        <v>799</v>
      </c>
      <c r="E106" s="37" t="s">
        <v>1350</v>
      </c>
      <c r="F106" s="37" t="s">
        <v>1256</v>
      </c>
      <c r="G106" s="38" t="s">
        <v>211</v>
      </c>
      <c r="H106" s="38" t="s">
        <v>61</v>
      </c>
      <c r="I106" s="38" t="s">
        <v>47</v>
      </c>
      <c r="J106" s="29"/>
      <c r="K106" s="32" t="str">
        <f>"72,5"</f>
        <v>72,5</v>
      </c>
      <c r="L106" s="29" t="str">
        <f>"40,9698"</f>
        <v>40,9698</v>
      </c>
      <c r="M106" s="37" t="s">
        <v>763</v>
      </c>
    </row>
    <row r="107" spans="1:13">
      <c r="A107" s="30">
        <v>1</v>
      </c>
      <c r="B107" s="40" t="s">
        <v>800</v>
      </c>
      <c r="C107" s="40" t="s">
        <v>1149</v>
      </c>
      <c r="D107" s="40" t="s">
        <v>801</v>
      </c>
      <c r="E107" s="40" t="s">
        <v>1353</v>
      </c>
      <c r="F107" s="40" t="s">
        <v>1244</v>
      </c>
      <c r="G107" s="41" t="s">
        <v>95</v>
      </c>
      <c r="H107" s="41" t="s">
        <v>40</v>
      </c>
      <c r="I107" s="42" t="s">
        <v>77</v>
      </c>
      <c r="J107" s="30"/>
      <c r="K107" s="33" t="str">
        <f>"175,0"</f>
        <v>175,0</v>
      </c>
      <c r="L107" s="30" t="str">
        <f>"130,2269"</f>
        <v>130,2269</v>
      </c>
      <c r="M107" s="40"/>
    </row>
    <row r="109" spans="1:13" ht="16">
      <c r="A109" s="66" t="s">
        <v>614</v>
      </c>
      <c r="B109" s="66"/>
      <c r="C109" s="67"/>
      <c r="D109" s="67"/>
      <c r="E109" s="67"/>
      <c r="F109" s="67"/>
      <c r="G109" s="67"/>
      <c r="H109" s="67"/>
      <c r="I109" s="67"/>
      <c r="J109" s="67"/>
    </row>
    <row r="110" spans="1:13">
      <c r="A110" s="29">
        <v>1</v>
      </c>
      <c r="B110" s="37" t="s">
        <v>802</v>
      </c>
      <c r="C110" s="37" t="s">
        <v>803</v>
      </c>
      <c r="D110" s="37" t="s">
        <v>804</v>
      </c>
      <c r="E110" s="37" t="s">
        <v>1347</v>
      </c>
      <c r="F110" s="37" t="s">
        <v>1292</v>
      </c>
      <c r="G110" s="39" t="s">
        <v>95</v>
      </c>
      <c r="H110" s="38" t="s">
        <v>95</v>
      </c>
      <c r="I110" s="39" t="s">
        <v>40</v>
      </c>
      <c r="J110" s="29"/>
      <c r="K110" s="32" t="str">
        <f>"170,0"</f>
        <v>170,0</v>
      </c>
      <c r="L110" s="29" t="str">
        <f>"94,3670"</f>
        <v>94,3670</v>
      </c>
      <c r="M110" s="37"/>
    </row>
    <row r="111" spans="1:13">
      <c r="A111" s="30">
        <v>1</v>
      </c>
      <c r="B111" s="40" t="s">
        <v>802</v>
      </c>
      <c r="C111" s="40" t="s">
        <v>1150</v>
      </c>
      <c r="D111" s="40" t="s">
        <v>804</v>
      </c>
      <c r="E111" s="40" t="s">
        <v>1349</v>
      </c>
      <c r="F111" s="40" t="s">
        <v>1292</v>
      </c>
      <c r="G111" s="42" t="s">
        <v>95</v>
      </c>
      <c r="H111" s="41" t="s">
        <v>95</v>
      </c>
      <c r="I111" s="42" t="s">
        <v>40</v>
      </c>
      <c r="J111" s="30"/>
      <c r="K111" s="33" t="str">
        <f>"170,0"</f>
        <v>170,0</v>
      </c>
      <c r="L111" s="30" t="str">
        <f>"105,1248"</f>
        <v>105,1248</v>
      </c>
      <c r="M111" s="40"/>
    </row>
    <row r="113" spans="2:13" ht="16">
      <c r="F113" s="45"/>
      <c r="G113" s="24"/>
      <c r="M113" s="28"/>
    </row>
    <row r="114" spans="2:13">
      <c r="G114" s="24"/>
      <c r="M114" s="28"/>
    </row>
    <row r="115" spans="2:13" ht="18">
      <c r="B115" s="46" t="s">
        <v>7</v>
      </c>
      <c r="C115" s="46"/>
      <c r="G115" s="3"/>
      <c r="M115" s="28"/>
    </row>
    <row r="116" spans="2:13" ht="16">
      <c r="B116" s="47" t="s">
        <v>183</v>
      </c>
      <c r="C116" s="47"/>
      <c r="G116" s="3"/>
      <c r="M116" s="28"/>
    </row>
    <row r="117" spans="2:13" ht="14">
      <c r="B117" s="48"/>
      <c r="C117" s="49" t="s">
        <v>184</v>
      </c>
      <c r="G117" s="3"/>
      <c r="M117" s="28"/>
    </row>
    <row r="118" spans="2:13" ht="14">
      <c r="B118" s="27" t="s">
        <v>27</v>
      </c>
      <c r="C118" s="27" t="s">
        <v>28</v>
      </c>
      <c r="D118" s="27" t="s">
        <v>1214</v>
      </c>
      <c r="E118" s="27" t="s">
        <v>618</v>
      </c>
      <c r="F118" s="27" t="s">
        <v>30</v>
      </c>
      <c r="G118" s="3"/>
      <c r="M118" s="28"/>
    </row>
    <row r="119" spans="2:13">
      <c r="B119" s="24" t="s">
        <v>620</v>
      </c>
      <c r="C119" s="24" t="s">
        <v>184</v>
      </c>
      <c r="D119" s="28">
        <v>48</v>
      </c>
      <c r="E119" s="28" t="s">
        <v>220</v>
      </c>
      <c r="F119" s="28">
        <v>1127525</v>
      </c>
      <c r="G119" s="3"/>
      <c r="M119" s="28"/>
    </row>
    <row r="120" spans="2:13">
      <c r="B120" s="24" t="s">
        <v>648</v>
      </c>
      <c r="C120" s="24" t="s">
        <v>184</v>
      </c>
      <c r="D120" s="28">
        <v>67.5</v>
      </c>
      <c r="E120" s="28" t="s">
        <v>48</v>
      </c>
      <c r="F120" s="28">
        <v>778875</v>
      </c>
      <c r="G120" s="3"/>
      <c r="M120" s="28"/>
    </row>
    <row r="121" spans="2:13">
      <c r="B121" s="24" t="s">
        <v>624</v>
      </c>
      <c r="C121" s="24" t="s">
        <v>184</v>
      </c>
      <c r="D121" s="28">
        <v>48</v>
      </c>
      <c r="E121" s="28" t="s">
        <v>51</v>
      </c>
      <c r="F121" s="28">
        <v>732930</v>
      </c>
      <c r="G121" s="3"/>
      <c r="M121" s="28"/>
    </row>
    <row r="122" spans="2:13">
      <c r="G122" s="3"/>
      <c r="M122" s="28"/>
    </row>
    <row r="123" spans="2:13" ht="16">
      <c r="B123" s="47" t="s">
        <v>25</v>
      </c>
      <c r="C123" s="47"/>
      <c r="G123" s="3"/>
      <c r="M123" s="28"/>
    </row>
    <row r="124" spans="2:13" ht="14">
      <c r="B124" s="48"/>
      <c r="C124" s="49" t="s">
        <v>184</v>
      </c>
      <c r="G124" s="3"/>
      <c r="M124" s="28"/>
    </row>
    <row r="125" spans="2:13" ht="14">
      <c r="B125" s="27" t="s">
        <v>27</v>
      </c>
      <c r="C125" s="27" t="s">
        <v>28</v>
      </c>
      <c r="D125" s="27" t="s">
        <v>1214</v>
      </c>
      <c r="E125" s="27" t="s">
        <v>618</v>
      </c>
      <c r="F125" s="27" t="s">
        <v>30</v>
      </c>
      <c r="G125" s="3"/>
      <c r="M125" s="28"/>
    </row>
    <row r="126" spans="2:13">
      <c r="B126" s="24" t="s">
        <v>719</v>
      </c>
      <c r="C126" s="24" t="s">
        <v>184</v>
      </c>
      <c r="D126" s="28">
        <v>90</v>
      </c>
      <c r="E126" s="28" t="s">
        <v>372</v>
      </c>
      <c r="F126" s="28">
        <v>1279547</v>
      </c>
      <c r="G126" s="3"/>
      <c r="M126" s="28"/>
    </row>
    <row r="127" spans="2:13">
      <c r="B127" s="24" t="s">
        <v>750</v>
      </c>
      <c r="C127" s="24" t="s">
        <v>184</v>
      </c>
      <c r="D127" s="28">
        <v>100</v>
      </c>
      <c r="E127" s="28" t="s">
        <v>35</v>
      </c>
      <c r="F127" s="28">
        <v>1220600</v>
      </c>
      <c r="G127" s="3"/>
      <c r="M127" s="28"/>
    </row>
    <row r="128" spans="2:13">
      <c r="B128" s="24" t="s">
        <v>680</v>
      </c>
      <c r="C128" s="24" t="s">
        <v>184</v>
      </c>
      <c r="D128" s="28">
        <v>75</v>
      </c>
      <c r="E128" s="28" t="s">
        <v>96</v>
      </c>
      <c r="F128" s="28">
        <v>1166445</v>
      </c>
      <c r="G128" s="3"/>
      <c r="M128" s="28"/>
    </row>
    <row r="129" spans="2:13">
      <c r="G129" s="3"/>
      <c r="M129" s="28"/>
    </row>
    <row r="130" spans="2:13" ht="14">
      <c r="B130" s="48"/>
      <c r="C130" s="49" t="s">
        <v>26</v>
      </c>
      <c r="G130" s="3"/>
      <c r="M130" s="28"/>
    </row>
    <row r="131" spans="2:13" ht="14">
      <c r="B131" s="27" t="s">
        <v>27</v>
      </c>
      <c r="C131" s="27" t="s">
        <v>28</v>
      </c>
      <c r="D131" s="27" t="s">
        <v>1214</v>
      </c>
      <c r="E131" s="27" t="s">
        <v>618</v>
      </c>
      <c r="F131" s="27" t="s">
        <v>30</v>
      </c>
      <c r="G131" s="3"/>
      <c r="M131" s="28"/>
    </row>
    <row r="132" spans="2:13">
      <c r="B132" s="24" t="s">
        <v>747</v>
      </c>
      <c r="C132" s="24" t="s">
        <v>1118</v>
      </c>
      <c r="D132" s="28">
        <v>90</v>
      </c>
      <c r="E132" s="28" t="s">
        <v>79</v>
      </c>
      <c r="F132" s="28">
        <v>1544162</v>
      </c>
      <c r="G132" s="3"/>
      <c r="M132" s="28"/>
    </row>
    <row r="133" spans="2:13">
      <c r="B133" s="24" t="s">
        <v>800</v>
      </c>
      <c r="C133" s="24" t="s">
        <v>1125</v>
      </c>
      <c r="D133" s="28">
        <v>140</v>
      </c>
      <c r="E133" s="28" t="s">
        <v>40</v>
      </c>
      <c r="F133" s="28">
        <v>1302269</v>
      </c>
      <c r="G133" s="3"/>
      <c r="M133" s="28"/>
    </row>
    <row r="134" spans="2:13">
      <c r="B134" s="24" t="s">
        <v>781</v>
      </c>
      <c r="C134" s="24" t="s">
        <v>1125</v>
      </c>
      <c r="D134" s="28">
        <v>110</v>
      </c>
      <c r="E134" s="28" t="s">
        <v>96</v>
      </c>
      <c r="F134" s="28">
        <v>1251298</v>
      </c>
      <c r="G134" s="3"/>
      <c r="M134" s="28"/>
    </row>
    <row r="135" spans="2:13">
      <c r="G135" s="24"/>
      <c r="M135" s="28"/>
    </row>
  </sheetData>
  <mergeCells count="28">
    <mergeCell ref="A1:M2"/>
    <mergeCell ref="A3:A4"/>
    <mergeCell ref="C3:C4"/>
    <mergeCell ref="D3:D4"/>
    <mergeCell ref="E3:E4"/>
    <mergeCell ref="F3:F4"/>
    <mergeCell ref="G3:J3"/>
    <mergeCell ref="A33:J33"/>
    <mergeCell ref="K3:K4"/>
    <mergeCell ref="L3:L4"/>
    <mergeCell ref="M3:M4"/>
    <mergeCell ref="A5:J5"/>
    <mergeCell ref="A89:J89"/>
    <mergeCell ref="A99:J99"/>
    <mergeCell ref="A105:J105"/>
    <mergeCell ref="A109:J109"/>
    <mergeCell ref="B3:B4"/>
    <mergeCell ref="A36:J36"/>
    <mergeCell ref="A39:J39"/>
    <mergeCell ref="A43:J43"/>
    <mergeCell ref="A52:J52"/>
    <mergeCell ref="A65:J65"/>
    <mergeCell ref="A80:J80"/>
    <mergeCell ref="A10:J10"/>
    <mergeCell ref="A14:J14"/>
    <mergeCell ref="A19:J19"/>
    <mergeCell ref="A22:J22"/>
    <mergeCell ref="A27:J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Лист13"/>
  <dimension ref="A1:M64"/>
  <sheetViews>
    <sheetView topLeftCell="A15" workbookViewId="0">
      <selection activeCell="E54" sqref="E54"/>
    </sheetView>
  </sheetViews>
  <sheetFormatPr baseColWidth="10" defaultColWidth="9.1640625" defaultRowHeight="13"/>
  <cols>
    <col min="1" max="1" width="7.1640625" style="24" bestFit="1" customWidth="1"/>
    <col min="2" max="2" width="23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" style="24" bestFit="1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4.83203125" style="24" customWidth="1"/>
    <col min="14" max="16384" width="9.1640625" style="3"/>
  </cols>
  <sheetData>
    <row r="1" spans="1:13" s="2" customFormat="1" ht="29" customHeight="1">
      <c r="A1" s="78" t="s">
        <v>1205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9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266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3">
        <v>1</v>
      </c>
      <c r="B6" s="26" t="s">
        <v>543</v>
      </c>
      <c r="C6" s="26" t="s">
        <v>544</v>
      </c>
      <c r="D6" s="26" t="s">
        <v>545</v>
      </c>
      <c r="E6" s="26" t="s">
        <v>1347</v>
      </c>
      <c r="F6" s="26" t="s">
        <v>1253</v>
      </c>
      <c r="G6" s="43" t="s">
        <v>221</v>
      </c>
      <c r="H6" s="43" t="s">
        <v>193</v>
      </c>
      <c r="I6" s="43" t="s">
        <v>58</v>
      </c>
      <c r="J6" s="23"/>
      <c r="K6" s="23" t="str">
        <f>"100,0"</f>
        <v>100,0</v>
      </c>
      <c r="L6" s="23" t="str">
        <f>"114,7800"</f>
        <v>114,7800</v>
      </c>
      <c r="M6" s="26" t="s">
        <v>1234</v>
      </c>
    </row>
    <row r="8" spans="1:13" ht="16">
      <c r="A8" s="66" t="s">
        <v>43</v>
      </c>
      <c r="B8" s="66"/>
      <c r="C8" s="67"/>
      <c r="D8" s="67"/>
      <c r="E8" s="67"/>
      <c r="F8" s="67"/>
      <c r="G8" s="67"/>
      <c r="H8" s="67"/>
      <c r="I8" s="67"/>
      <c r="J8" s="67"/>
    </row>
    <row r="9" spans="1:13">
      <c r="A9" s="23">
        <v>1</v>
      </c>
      <c r="B9" s="26" t="s">
        <v>546</v>
      </c>
      <c r="C9" s="26" t="s">
        <v>547</v>
      </c>
      <c r="D9" s="26" t="s">
        <v>335</v>
      </c>
      <c r="E9" s="26" t="s">
        <v>1347</v>
      </c>
      <c r="F9" s="26" t="s">
        <v>1279</v>
      </c>
      <c r="G9" s="43" t="s">
        <v>166</v>
      </c>
      <c r="H9" s="43" t="s">
        <v>60</v>
      </c>
      <c r="I9" s="44" t="s">
        <v>244</v>
      </c>
      <c r="J9" s="23"/>
      <c r="K9" s="23" t="str">
        <f>"117,5"</f>
        <v>117,5</v>
      </c>
      <c r="L9" s="23" t="str">
        <f>"120,1790"</f>
        <v>120,1790</v>
      </c>
      <c r="M9" s="26" t="s">
        <v>1217</v>
      </c>
    </row>
    <row r="11" spans="1:13" ht="16">
      <c r="A11" s="66" t="s">
        <v>67</v>
      </c>
      <c r="B11" s="66"/>
      <c r="C11" s="67"/>
      <c r="D11" s="67"/>
      <c r="E11" s="67"/>
      <c r="F11" s="67"/>
      <c r="G11" s="67"/>
      <c r="H11" s="67"/>
      <c r="I11" s="67"/>
      <c r="J11" s="67"/>
    </row>
    <row r="12" spans="1:13">
      <c r="A12" s="29">
        <v>1</v>
      </c>
      <c r="B12" s="37" t="s">
        <v>548</v>
      </c>
      <c r="C12" s="37" t="s">
        <v>549</v>
      </c>
      <c r="D12" s="37" t="s">
        <v>76</v>
      </c>
      <c r="E12" s="37" t="s">
        <v>1347</v>
      </c>
      <c r="F12" s="37" t="s">
        <v>1244</v>
      </c>
      <c r="G12" s="38" t="s">
        <v>83</v>
      </c>
      <c r="H12" s="39" t="s">
        <v>17</v>
      </c>
      <c r="I12" s="39" t="s">
        <v>38</v>
      </c>
      <c r="J12" s="29"/>
      <c r="K12" s="29" t="str">
        <f>"140,0"</f>
        <v>140,0</v>
      </c>
      <c r="L12" s="29" t="str">
        <f>"101,1920"</f>
        <v>101,1920</v>
      </c>
      <c r="M12" s="37"/>
    </row>
    <row r="13" spans="1:13">
      <c r="A13" s="35">
        <v>2</v>
      </c>
      <c r="B13" s="50" t="s">
        <v>550</v>
      </c>
      <c r="C13" s="50" t="s">
        <v>551</v>
      </c>
      <c r="D13" s="50" t="s">
        <v>552</v>
      </c>
      <c r="E13" s="50" t="s">
        <v>1347</v>
      </c>
      <c r="F13" s="50" t="s">
        <v>1244</v>
      </c>
      <c r="G13" s="51" t="s">
        <v>193</v>
      </c>
      <c r="H13" s="51" t="s">
        <v>194</v>
      </c>
      <c r="I13" s="51" t="s">
        <v>59</v>
      </c>
      <c r="J13" s="35"/>
      <c r="K13" s="35" t="str">
        <f>"112,5"</f>
        <v>112,5</v>
      </c>
      <c r="L13" s="35" t="str">
        <f>"84,8700"</f>
        <v>84,8700</v>
      </c>
      <c r="M13" s="50"/>
    </row>
    <row r="14" spans="1:13">
      <c r="A14" s="30">
        <v>1</v>
      </c>
      <c r="B14" s="40" t="s">
        <v>550</v>
      </c>
      <c r="C14" s="40" t="s">
        <v>1151</v>
      </c>
      <c r="D14" s="40" t="s">
        <v>552</v>
      </c>
      <c r="E14" s="40" t="s">
        <v>1348</v>
      </c>
      <c r="F14" s="40" t="s">
        <v>1244</v>
      </c>
      <c r="G14" s="41" t="s">
        <v>193</v>
      </c>
      <c r="H14" s="41" t="s">
        <v>194</v>
      </c>
      <c r="I14" s="41" t="s">
        <v>59</v>
      </c>
      <c r="J14" s="30"/>
      <c r="K14" s="30" t="str">
        <f>"112,5"</f>
        <v>112,5</v>
      </c>
      <c r="L14" s="30" t="str">
        <f>"88,6043"</f>
        <v>88,6043</v>
      </c>
      <c r="M14" s="40"/>
    </row>
    <row r="16" spans="1:13" ht="16">
      <c r="A16" s="66" t="s">
        <v>84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9">
        <v>1</v>
      </c>
      <c r="B17" s="37" t="s">
        <v>553</v>
      </c>
      <c r="C17" s="37" t="s">
        <v>554</v>
      </c>
      <c r="D17" s="37" t="s">
        <v>555</v>
      </c>
      <c r="E17" s="37" t="s">
        <v>1347</v>
      </c>
      <c r="F17" s="37" t="s">
        <v>1267</v>
      </c>
      <c r="G17" s="38" t="s">
        <v>102</v>
      </c>
      <c r="H17" s="38" t="s">
        <v>36</v>
      </c>
      <c r="I17" s="39" t="s">
        <v>37</v>
      </c>
      <c r="J17" s="29"/>
      <c r="K17" s="29" t="str">
        <f>"210,0"</f>
        <v>210,0</v>
      </c>
      <c r="L17" s="29" t="str">
        <f>"145,7190"</f>
        <v>145,7190</v>
      </c>
      <c r="M17" s="37"/>
    </row>
    <row r="18" spans="1:13">
      <c r="A18" s="35">
        <v>2</v>
      </c>
      <c r="B18" s="50" t="s">
        <v>556</v>
      </c>
      <c r="C18" s="50" t="s">
        <v>557</v>
      </c>
      <c r="D18" s="50" t="s">
        <v>558</v>
      </c>
      <c r="E18" s="50" t="s">
        <v>1347</v>
      </c>
      <c r="F18" s="50" t="s">
        <v>1305</v>
      </c>
      <c r="G18" s="51" t="s">
        <v>95</v>
      </c>
      <c r="H18" s="51" t="s">
        <v>246</v>
      </c>
      <c r="I18" s="51" t="s">
        <v>120</v>
      </c>
      <c r="J18" s="35"/>
      <c r="K18" s="35" t="str">
        <f>"182,5"</f>
        <v>182,5</v>
      </c>
      <c r="L18" s="35" t="str">
        <f>"124,3008"</f>
        <v>124,3008</v>
      </c>
      <c r="M18" s="50"/>
    </row>
    <row r="19" spans="1:13">
      <c r="A19" s="35">
        <v>3</v>
      </c>
      <c r="B19" s="50" t="s">
        <v>559</v>
      </c>
      <c r="C19" s="50" t="s">
        <v>560</v>
      </c>
      <c r="D19" s="50" t="s">
        <v>392</v>
      </c>
      <c r="E19" s="50" t="s">
        <v>1347</v>
      </c>
      <c r="F19" s="50" t="s">
        <v>1300</v>
      </c>
      <c r="G19" s="51" t="s">
        <v>83</v>
      </c>
      <c r="H19" s="51" t="s">
        <v>17</v>
      </c>
      <c r="I19" s="51" t="s">
        <v>38</v>
      </c>
      <c r="J19" s="35"/>
      <c r="K19" s="35" t="str">
        <f>"155,0"</f>
        <v>155,0</v>
      </c>
      <c r="L19" s="35" t="str">
        <f>"103,8345"</f>
        <v>103,8345</v>
      </c>
      <c r="M19" s="50"/>
    </row>
    <row r="20" spans="1:13">
      <c r="A20" s="30">
        <v>1</v>
      </c>
      <c r="B20" s="40" t="s">
        <v>559</v>
      </c>
      <c r="C20" s="40" t="s">
        <v>1152</v>
      </c>
      <c r="D20" s="40" t="s">
        <v>392</v>
      </c>
      <c r="E20" s="40" t="s">
        <v>1349</v>
      </c>
      <c r="F20" s="40" t="s">
        <v>1300</v>
      </c>
      <c r="G20" s="41" t="s">
        <v>83</v>
      </c>
      <c r="H20" s="41" t="s">
        <v>17</v>
      </c>
      <c r="I20" s="41" t="s">
        <v>38</v>
      </c>
      <c r="J20" s="30"/>
      <c r="K20" s="30" t="str">
        <f>"155,0"</f>
        <v>155,0</v>
      </c>
      <c r="L20" s="30" t="str">
        <f>"117,5407"</f>
        <v>117,5407</v>
      </c>
      <c r="M20" s="40"/>
    </row>
    <row r="22" spans="1:13" ht="16">
      <c r="A22" s="66" t="s">
        <v>99</v>
      </c>
      <c r="B22" s="66"/>
      <c r="C22" s="67"/>
      <c r="D22" s="67"/>
      <c r="E22" s="67"/>
      <c r="F22" s="67"/>
      <c r="G22" s="67"/>
      <c r="H22" s="67"/>
      <c r="I22" s="67"/>
      <c r="J22" s="67"/>
    </row>
    <row r="23" spans="1:13">
      <c r="A23" s="29">
        <v>1</v>
      </c>
      <c r="B23" s="37" t="s">
        <v>561</v>
      </c>
      <c r="C23" s="37" t="s">
        <v>1153</v>
      </c>
      <c r="D23" s="37" t="s">
        <v>562</v>
      </c>
      <c r="E23" s="37" t="s">
        <v>1348</v>
      </c>
      <c r="F23" s="37" t="s">
        <v>1272</v>
      </c>
      <c r="G23" s="38" t="s">
        <v>143</v>
      </c>
      <c r="H23" s="38" t="s">
        <v>39</v>
      </c>
      <c r="I23" s="38" t="s">
        <v>113</v>
      </c>
      <c r="J23" s="29"/>
      <c r="K23" s="29" t="str">
        <f>"167,5"</f>
        <v>167,5</v>
      </c>
      <c r="L23" s="29" t="str">
        <f>"107,6518"</f>
        <v>107,6518</v>
      </c>
      <c r="M23" s="37" t="s">
        <v>1235</v>
      </c>
    </row>
    <row r="24" spans="1:13">
      <c r="A24" s="30">
        <v>2</v>
      </c>
      <c r="B24" s="40" t="s">
        <v>563</v>
      </c>
      <c r="C24" s="40" t="s">
        <v>1154</v>
      </c>
      <c r="D24" s="40" t="s">
        <v>564</v>
      </c>
      <c r="E24" s="40" t="s">
        <v>1348</v>
      </c>
      <c r="F24" s="40" t="s">
        <v>1256</v>
      </c>
      <c r="G24" s="42" t="s">
        <v>59</v>
      </c>
      <c r="H24" s="41" t="s">
        <v>59</v>
      </c>
      <c r="I24" s="42" t="s">
        <v>79</v>
      </c>
      <c r="J24" s="30"/>
      <c r="K24" s="30" t="str">
        <f>"112,5"</f>
        <v>112,5</v>
      </c>
      <c r="L24" s="30" t="str">
        <f>"72,4050"</f>
        <v>72,4050</v>
      </c>
      <c r="M24" s="40" t="s">
        <v>1236</v>
      </c>
    </row>
    <row r="26" spans="1:13" ht="16">
      <c r="A26" s="66" t="s">
        <v>32</v>
      </c>
      <c r="B26" s="66"/>
      <c r="C26" s="67"/>
      <c r="D26" s="67"/>
      <c r="E26" s="67"/>
      <c r="F26" s="67"/>
      <c r="G26" s="67"/>
      <c r="H26" s="67"/>
      <c r="I26" s="67"/>
      <c r="J26" s="67"/>
    </row>
    <row r="27" spans="1:13">
      <c r="A27" s="29">
        <v>1</v>
      </c>
      <c r="B27" s="37" t="s">
        <v>565</v>
      </c>
      <c r="C27" s="37" t="s">
        <v>566</v>
      </c>
      <c r="D27" s="37" t="s">
        <v>567</v>
      </c>
      <c r="E27" s="37" t="s">
        <v>1347</v>
      </c>
      <c r="F27" s="37" t="s">
        <v>1298</v>
      </c>
      <c r="G27" s="38" t="s">
        <v>97</v>
      </c>
      <c r="H27" s="38" t="s">
        <v>125</v>
      </c>
      <c r="I27" s="38" t="s">
        <v>368</v>
      </c>
      <c r="J27" s="29"/>
      <c r="K27" s="29" t="str">
        <f>"202,5"</f>
        <v>202,5</v>
      </c>
      <c r="L27" s="29" t="str">
        <f>"125,8335"</f>
        <v>125,8335</v>
      </c>
      <c r="M27" s="37" t="s">
        <v>568</v>
      </c>
    </row>
    <row r="28" spans="1:13">
      <c r="A28" s="35">
        <v>2</v>
      </c>
      <c r="B28" s="50" t="s">
        <v>569</v>
      </c>
      <c r="C28" s="50" t="s">
        <v>570</v>
      </c>
      <c r="D28" s="50" t="s">
        <v>571</v>
      </c>
      <c r="E28" s="50" t="s">
        <v>1347</v>
      </c>
      <c r="F28" s="50" t="s">
        <v>1306</v>
      </c>
      <c r="G28" s="51" t="s">
        <v>97</v>
      </c>
      <c r="H28" s="51" t="s">
        <v>125</v>
      </c>
      <c r="I28" s="52" t="s">
        <v>35</v>
      </c>
      <c r="J28" s="35"/>
      <c r="K28" s="35" t="str">
        <f>"195,0"</f>
        <v>195,0</v>
      </c>
      <c r="L28" s="35" t="str">
        <f>"119,6130"</f>
        <v>119,6130</v>
      </c>
      <c r="M28" s="50" t="s">
        <v>1237</v>
      </c>
    </row>
    <row r="29" spans="1:13">
      <c r="A29" s="35">
        <v>3</v>
      </c>
      <c r="B29" s="50" t="s">
        <v>572</v>
      </c>
      <c r="C29" s="50" t="s">
        <v>573</v>
      </c>
      <c r="D29" s="50" t="s">
        <v>154</v>
      </c>
      <c r="E29" s="50" t="s">
        <v>1347</v>
      </c>
      <c r="F29" s="50" t="s">
        <v>1244</v>
      </c>
      <c r="G29" s="51" t="s">
        <v>77</v>
      </c>
      <c r="H29" s="51" t="s">
        <v>78</v>
      </c>
      <c r="I29" s="52" t="s">
        <v>125</v>
      </c>
      <c r="J29" s="35"/>
      <c r="K29" s="35" t="str">
        <f>"190,0"</f>
        <v>190,0</v>
      </c>
      <c r="L29" s="35" t="str">
        <f>"116,8880"</f>
        <v>116,8880</v>
      </c>
      <c r="M29" s="50"/>
    </row>
    <row r="30" spans="1:13">
      <c r="A30" s="30">
        <v>4</v>
      </c>
      <c r="B30" s="40" t="s">
        <v>574</v>
      </c>
      <c r="C30" s="40" t="s">
        <v>575</v>
      </c>
      <c r="D30" s="40" t="s">
        <v>576</v>
      </c>
      <c r="E30" s="40" t="s">
        <v>1347</v>
      </c>
      <c r="F30" s="40" t="s">
        <v>1244</v>
      </c>
      <c r="G30" s="41" t="s">
        <v>245</v>
      </c>
      <c r="H30" s="41" t="s">
        <v>77</v>
      </c>
      <c r="I30" s="42" t="s">
        <v>97</v>
      </c>
      <c r="J30" s="30"/>
      <c r="K30" s="30" t="str">
        <f>"180,0"</f>
        <v>180,0</v>
      </c>
      <c r="L30" s="30" t="str">
        <f>"109,9080"</f>
        <v>109,9080</v>
      </c>
      <c r="M30" s="40"/>
    </row>
    <row r="32" spans="1:13" ht="16">
      <c r="A32" s="66" t="s">
        <v>11</v>
      </c>
      <c r="B32" s="66"/>
      <c r="C32" s="67"/>
      <c r="D32" s="67"/>
      <c r="E32" s="67"/>
      <c r="F32" s="67"/>
      <c r="G32" s="67"/>
      <c r="H32" s="67"/>
      <c r="I32" s="67"/>
      <c r="J32" s="67"/>
    </row>
    <row r="33" spans="1:13">
      <c r="A33" s="29">
        <v>1</v>
      </c>
      <c r="B33" s="37" t="s">
        <v>577</v>
      </c>
      <c r="C33" s="37" t="s">
        <v>578</v>
      </c>
      <c r="D33" s="37" t="s">
        <v>579</v>
      </c>
      <c r="E33" s="37" t="s">
        <v>1347</v>
      </c>
      <c r="F33" s="37" t="s">
        <v>1275</v>
      </c>
      <c r="G33" s="38" t="s">
        <v>16</v>
      </c>
      <c r="H33" s="39" t="s">
        <v>23</v>
      </c>
      <c r="I33" s="29"/>
      <c r="J33" s="29"/>
      <c r="K33" s="29" t="str">
        <f>"250,0"</f>
        <v>250,0</v>
      </c>
      <c r="L33" s="29" t="str">
        <f>"148,0750"</f>
        <v>148,0750</v>
      </c>
      <c r="M33" s="37"/>
    </row>
    <row r="34" spans="1:13">
      <c r="A34" s="35">
        <v>2</v>
      </c>
      <c r="B34" s="50" t="s">
        <v>580</v>
      </c>
      <c r="C34" s="50" t="s">
        <v>581</v>
      </c>
      <c r="D34" s="50" t="s">
        <v>582</v>
      </c>
      <c r="E34" s="50" t="s">
        <v>1347</v>
      </c>
      <c r="F34" s="50" t="s">
        <v>1268</v>
      </c>
      <c r="G34" s="51" t="s">
        <v>35</v>
      </c>
      <c r="H34" s="51" t="s">
        <v>340</v>
      </c>
      <c r="I34" s="52" t="s">
        <v>36</v>
      </c>
      <c r="J34" s="35"/>
      <c r="K34" s="35" t="str">
        <f>"207,5"</f>
        <v>207,5</v>
      </c>
      <c r="L34" s="35" t="str">
        <f>"125,3093"</f>
        <v>125,3093</v>
      </c>
      <c r="M34" s="50" t="s">
        <v>1238</v>
      </c>
    </row>
    <row r="35" spans="1:13">
      <c r="A35" s="35">
        <v>3</v>
      </c>
      <c r="B35" s="50" t="s">
        <v>583</v>
      </c>
      <c r="C35" s="50" t="s">
        <v>584</v>
      </c>
      <c r="D35" s="50" t="s">
        <v>585</v>
      </c>
      <c r="E35" s="50" t="s">
        <v>1347</v>
      </c>
      <c r="F35" s="50" t="s">
        <v>1320</v>
      </c>
      <c r="G35" s="52" t="s">
        <v>372</v>
      </c>
      <c r="H35" s="51" t="s">
        <v>35</v>
      </c>
      <c r="I35" s="51" t="s">
        <v>102</v>
      </c>
      <c r="J35" s="35"/>
      <c r="K35" s="35" t="str">
        <f>"205,0"</f>
        <v>205,0</v>
      </c>
      <c r="L35" s="35" t="str">
        <f>"122,7950"</f>
        <v>122,7950</v>
      </c>
      <c r="M35" s="50" t="s">
        <v>586</v>
      </c>
    </row>
    <row r="36" spans="1:13">
      <c r="A36" s="35">
        <v>4</v>
      </c>
      <c r="B36" s="50" t="s">
        <v>587</v>
      </c>
      <c r="C36" s="50" t="s">
        <v>588</v>
      </c>
      <c r="D36" s="50" t="s">
        <v>589</v>
      </c>
      <c r="E36" s="50" t="s">
        <v>1347</v>
      </c>
      <c r="F36" s="50" t="s">
        <v>1321</v>
      </c>
      <c r="G36" s="51" t="s">
        <v>125</v>
      </c>
      <c r="H36" s="51" t="s">
        <v>35</v>
      </c>
      <c r="I36" s="51" t="s">
        <v>102</v>
      </c>
      <c r="J36" s="35"/>
      <c r="K36" s="35" t="str">
        <f>"205,0"</f>
        <v>205,0</v>
      </c>
      <c r="L36" s="35" t="str">
        <f>"121,4830"</f>
        <v>121,4830</v>
      </c>
      <c r="M36" s="50"/>
    </row>
    <row r="37" spans="1:13">
      <c r="A37" s="35">
        <v>5</v>
      </c>
      <c r="B37" s="50" t="s">
        <v>590</v>
      </c>
      <c r="C37" s="50" t="s">
        <v>591</v>
      </c>
      <c r="D37" s="50" t="s">
        <v>592</v>
      </c>
      <c r="E37" s="50" t="s">
        <v>1347</v>
      </c>
      <c r="F37" s="50" t="s">
        <v>1282</v>
      </c>
      <c r="G37" s="52" t="s">
        <v>18</v>
      </c>
      <c r="H37" s="51" t="s">
        <v>18</v>
      </c>
      <c r="I37" s="52" t="s">
        <v>95</v>
      </c>
      <c r="J37" s="35"/>
      <c r="K37" s="35" t="str">
        <f>"160,0"</f>
        <v>160,0</v>
      </c>
      <c r="L37" s="35" t="str">
        <f>"95,6800"</f>
        <v>95,6800</v>
      </c>
      <c r="M37" s="50"/>
    </row>
    <row r="38" spans="1:13">
      <c r="A38" s="35">
        <v>1</v>
      </c>
      <c r="B38" s="50" t="s">
        <v>587</v>
      </c>
      <c r="C38" s="50" t="s">
        <v>1155</v>
      </c>
      <c r="D38" s="50" t="s">
        <v>589</v>
      </c>
      <c r="E38" s="50" t="s">
        <v>1348</v>
      </c>
      <c r="F38" s="50" t="s">
        <v>1321</v>
      </c>
      <c r="G38" s="51" t="s">
        <v>125</v>
      </c>
      <c r="H38" s="51" t="s">
        <v>35</v>
      </c>
      <c r="I38" s="51" t="s">
        <v>102</v>
      </c>
      <c r="J38" s="35"/>
      <c r="K38" s="35" t="str">
        <f>"205,0"</f>
        <v>205,0</v>
      </c>
      <c r="L38" s="35" t="str">
        <f>"126,8282"</f>
        <v>126,8282</v>
      </c>
      <c r="M38" s="50"/>
    </row>
    <row r="39" spans="1:13">
      <c r="A39" s="30">
        <v>1</v>
      </c>
      <c r="B39" s="40" t="s">
        <v>593</v>
      </c>
      <c r="C39" s="40" t="s">
        <v>1156</v>
      </c>
      <c r="D39" s="40" t="s">
        <v>500</v>
      </c>
      <c r="E39" s="40" t="s">
        <v>1349</v>
      </c>
      <c r="F39" s="40" t="s">
        <v>1276</v>
      </c>
      <c r="G39" s="41" t="s">
        <v>40</v>
      </c>
      <c r="H39" s="42" t="s">
        <v>77</v>
      </c>
      <c r="I39" s="42" t="s">
        <v>77</v>
      </c>
      <c r="J39" s="30"/>
      <c r="K39" s="30" t="str">
        <f>"175,0"</f>
        <v>175,0</v>
      </c>
      <c r="L39" s="30" t="str">
        <f>"113,1620"</f>
        <v>113,1620</v>
      </c>
      <c r="M39" s="40" t="s">
        <v>594</v>
      </c>
    </row>
    <row r="41" spans="1:13" ht="16">
      <c r="A41" s="66" t="s">
        <v>20</v>
      </c>
      <c r="B41" s="66"/>
      <c r="C41" s="67"/>
      <c r="D41" s="67"/>
      <c r="E41" s="67"/>
      <c r="F41" s="67"/>
      <c r="G41" s="67"/>
      <c r="H41" s="67"/>
      <c r="I41" s="67"/>
      <c r="J41" s="67"/>
    </row>
    <row r="42" spans="1:13">
      <c r="A42" s="29">
        <v>1</v>
      </c>
      <c r="B42" s="37" t="s">
        <v>595</v>
      </c>
      <c r="C42" s="37" t="s">
        <v>1157</v>
      </c>
      <c r="D42" s="37" t="s">
        <v>596</v>
      </c>
      <c r="E42" s="37" t="s">
        <v>1351</v>
      </c>
      <c r="F42" s="37" t="s">
        <v>1244</v>
      </c>
      <c r="G42" s="38" t="s">
        <v>97</v>
      </c>
      <c r="H42" s="39" t="s">
        <v>125</v>
      </c>
      <c r="I42" s="39" t="s">
        <v>35</v>
      </c>
      <c r="J42" s="29"/>
      <c r="K42" s="29" t="str">
        <f>"185,0"</f>
        <v>185,0</v>
      </c>
      <c r="L42" s="29" t="str">
        <f>"105,8570"</f>
        <v>105,8570</v>
      </c>
      <c r="M42" s="37"/>
    </row>
    <row r="43" spans="1:13">
      <c r="A43" s="35">
        <v>1</v>
      </c>
      <c r="B43" s="50" t="s">
        <v>597</v>
      </c>
      <c r="C43" s="50" t="s">
        <v>598</v>
      </c>
      <c r="D43" s="50" t="s">
        <v>599</v>
      </c>
      <c r="E43" s="50" t="s">
        <v>1347</v>
      </c>
      <c r="F43" s="50" t="s">
        <v>1244</v>
      </c>
      <c r="G43" s="51" t="s">
        <v>36</v>
      </c>
      <c r="H43" s="52" t="s">
        <v>14</v>
      </c>
      <c r="I43" s="52" t="s">
        <v>14</v>
      </c>
      <c r="J43" s="35"/>
      <c r="K43" s="35" t="str">
        <f>"210,0"</f>
        <v>210,0</v>
      </c>
      <c r="L43" s="35" t="str">
        <f>"122,2410"</f>
        <v>122,2410</v>
      </c>
      <c r="M43" s="50" t="s">
        <v>600</v>
      </c>
    </row>
    <row r="44" spans="1:13">
      <c r="A44" s="35">
        <v>2</v>
      </c>
      <c r="B44" s="50" t="s">
        <v>601</v>
      </c>
      <c r="C44" s="50" t="s">
        <v>602</v>
      </c>
      <c r="D44" s="50" t="s">
        <v>603</v>
      </c>
      <c r="E44" s="50" t="s">
        <v>1347</v>
      </c>
      <c r="F44" s="50" t="s">
        <v>1244</v>
      </c>
      <c r="G44" s="51" t="s">
        <v>125</v>
      </c>
      <c r="H44" s="51" t="s">
        <v>368</v>
      </c>
      <c r="I44" s="52" t="s">
        <v>36</v>
      </c>
      <c r="J44" s="35"/>
      <c r="K44" s="35" t="str">
        <f>"202,5"</f>
        <v>202,5</v>
      </c>
      <c r="L44" s="35" t="str">
        <f>"116,5590"</f>
        <v>116,5590</v>
      </c>
      <c r="M44" s="50" t="s">
        <v>711</v>
      </c>
    </row>
    <row r="45" spans="1:13">
      <c r="A45" s="35">
        <v>3</v>
      </c>
      <c r="B45" s="50" t="s">
        <v>604</v>
      </c>
      <c r="C45" s="50" t="s">
        <v>605</v>
      </c>
      <c r="D45" s="50" t="s">
        <v>606</v>
      </c>
      <c r="E45" s="50" t="s">
        <v>1347</v>
      </c>
      <c r="F45" s="50" t="s">
        <v>1322</v>
      </c>
      <c r="G45" s="52" t="s">
        <v>97</v>
      </c>
      <c r="H45" s="51" t="s">
        <v>97</v>
      </c>
      <c r="I45" s="52" t="s">
        <v>78</v>
      </c>
      <c r="J45" s="35"/>
      <c r="K45" s="35" t="str">
        <f>"185,0"</f>
        <v>185,0</v>
      </c>
      <c r="L45" s="35" t="str">
        <f>"106,4675"</f>
        <v>106,4675</v>
      </c>
      <c r="M45" s="50"/>
    </row>
    <row r="46" spans="1:13">
      <c r="A46" s="35">
        <v>1</v>
      </c>
      <c r="B46" s="50" t="s">
        <v>607</v>
      </c>
      <c r="C46" s="50" t="s">
        <v>1158</v>
      </c>
      <c r="D46" s="50" t="s">
        <v>608</v>
      </c>
      <c r="E46" s="50" t="s">
        <v>1348</v>
      </c>
      <c r="F46" s="50" t="s">
        <v>1298</v>
      </c>
      <c r="G46" s="51" t="s">
        <v>77</v>
      </c>
      <c r="H46" s="52" t="s">
        <v>97</v>
      </c>
      <c r="I46" s="52" t="s">
        <v>97</v>
      </c>
      <c r="J46" s="35"/>
      <c r="K46" s="35" t="str">
        <f>"180,0"</f>
        <v>180,0</v>
      </c>
      <c r="L46" s="35" t="str">
        <f>"104,2554"</f>
        <v>104,2554</v>
      </c>
      <c r="M46" s="50"/>
    </row>
    <row r="47" spans="1:13">
      <c r="A47" s="30">
        <v>1</v>
      </c>
      <c r="B47" s="40" t="s">
        <v>609</v>
      </c>
      <c r="C47" s="40" t="s">
        <v>1159</v>
      </c>
      <c r="D47" s="40" t="s">
        <v>610</v>
      </c>
      <c r="E47" s="40" t="s">
        <v>1355</v>
      </c>
      <c r="F47" s="40" t="s">
        <v>1244</v>
      </c>
      <c r="G47" s="41" t="s">
        <v>18</v>
      </c>
      <c r="H47" s="41" t="s">
        <v>95</v>
      </c>
      <c r="I47" s="41" t="s">
        <v>40</v>
      </c>
      <c r="J47" s="30"/>
      <c r="K47" s="30" t="str">
        <f>"175,0"</f>
        <v>175,0</v>
      </c>
      <c r="L47" s="30" t="str">
        <f>"149,8224"</f>
        <v>149,8224</v>
      </c>
      <c r="M47" s="40"/>
    </row>
    <row r="49" spans="1:13" ht="16">
      <c r="A49" s="66" t="s">
        <v>179</v>
      </c>
      <c r="B49" s="66"/>
      <c r="C49" s="67"/>
      <c r="D49" s="67"/>
      <c r="E49" s="67"/>
      <c r="F49" s="67"/>
      <c r="G49" s="67"/>
      <c r="H49" s="67"/>
      <c r="I49" s="67"/>
      <c r="J49" s="67"/>
    </row>
    <row r="50" spans="1:13">
      <c r="A50" s="23">
        <v>1</v>
      </c>
      <c r="B50" s="26" t="s">
        <v>611</v>
      </c>
      <c r="C50" s="26" t="s">
        <v>612</v>
      </c>
      <c r="D50" s="26" t="s">
        <v>613</v>
      </c>
      <c r="E50" s="26" t="s">
        <v>1347</v>
      </c>
      <c r="F50" s="26" t="s">
        <v>1323</v>
      </c>
      <c r="G50" s="43" t="s">
        <v>37</v>
      </c>
      <c r="H50" s="43" t="s">
        <v>345</v>
      </c>
      <c r="I50" s="44" t="s">
        <v>148</v>
      </c>
      <c r="J50" s="23"/>
      <c r="K50" s="23" t="str">
        <f>"222,5"</f>
        <v>222,5</v>
      </c>
      <c r="L50" s="23" t="str">
        <f>"124,3330"</f>
        <v>124,3330</v>
      </c>
      <c r="M50" s="26" t="s">
        <v>923</v>
      </c>
    </row>
    <row r="52" spans="1:13" ht="16">
      <c r="A52" s="66" t="s">
        <v>614</v>
      </c>
      <c r="B52" s="66"/>
      <c r="C52" s="67"/>
      <c r="D52" s="67"/>
      <c r="E52" s="67"/>
      <c r="F52" s="67"/>
      <c r="G52" s="67"/>
      <c r="H52" s="67"/>
      <c r="I52" s="67"/>
      <c r="J52" s="67"/>
    </row>
    <row r="53" spans="1:13">
      <c r="A53" s="23">
        <v>1</v>
      </c>
      <c r="B53" s="26" t="s">
        <v>615</v>
      </c>
      <c r="C53" s="26" t="s">
        <v>616</v>
      </c>
      <c r="D53" s="26" t="s">
        <v>617</v>
      </c>
      <c r="E53" s="26" t="s">
        <v>1347</v>
      </c>
      <c r="F53" s="26" t="s">
        <v>1324</v>
      </c>
      <c r="G53" s="43" t="s">
        <v>78</v>
      </c>
      <c r="H53" s="44" t="s">
        <v>37</v>
      </c>
      <c r="I53" s="44" t="s">
        <v>37</v>
      </c>
      <c r="J53" s="23"/>
      <c r="K53" s="23" t="str">
        <f>"190,0"</f>
        <v>190,0</v>
      </c>
      <c r="L53" s="23" t="str">
        <f>"105,5260"</f>
        <v>105,5260</v>
      </c>
      <c r="M53" s="26"/>
    </row>
    <row r="55" spans="1:13" ht="16">
      <c r="F55" s="45"/>
      <c r="G55" s="24"/>
      <c r="M55" s="28"/>
    </row>
    <row r="56" spans="1:13">
      <c r="G56" s="24"/>
      <c r="M56" s="28"/>
    </row>
    <row r="57" spans="1:13" ht="18">
      <c r="B57" s="46" t="s">
        <v>7</v>
      </c>
      <c r="C57" s="46"/>
      <c r="G57" s="3"/>
      <c r="M57" s="28"/>
    </row>
    <row r="58" spans="1:13" ht="16">
      <c r="B58" s="47" t="s">
        <v>25</v>
      </c>
      <c r="C58" s="47"/>
      <c r="G58" s="3"/>
      <c r="M58" s="28"/>
    </row>
    <row r="59" spans="1:13" ht="14">
      <c r="B59" s="48"/>
      <c r="C59" s="49" t="s">
        <v>184</v>
      </c>
      <c r="G59" s="3"/>
      <c r="M59" s="28"/>
    </row>
    <row r="60" spans="1:13" ht="14">
      <c r="B60" s="27" t="s">
        <v>27</v>
      </c>
      <c r="C60" s="27" t="s">
        <v>28</v>
      </c>
      <c r="D60" s="27" t="s">
        <v>1214</v>
      </c>
      <c r="E60" s="27" t="s">
        <v>618</v>
      </c>
      <c r="F60" s="27" t="s">
        <v>30</v>
      </c>
      <c r="G60" s="3"/>
      <c r="M60" s="28"/>
    </row>
    <row r="61" spans="1:13">
      <c r="B61" s="24" t="s">
        <v>577</v>
      </c>
      <c r="C61" s="24" t="s">
        <v>184</v>
      </c>
      <c r="D61" s="28">
        <v>110</v>
      </c>
      <c r="E61" s="28" t="s">
        <v>16</v>
      </c>
      <c r="F61" s="28">
        <v>1480750</v>
      </c>
      <c r="G61" s="3"/>
      <c r="M61" s="28"/>
    </row>
    <row r="62" spans="1:13">
      <c r="B62" s="24" t="s">
        <v>553</v>
      </c>
      <c r="C62" s="24" t="s">
        <v>184</v>
      </c>
      <c r="D62" s="28">
        <v>82.5</v>
      </c>
      <c r="E62" s="28" t="s">
        <v>36</v>
      </c>
      <c r="F62" s="28">
        <v>1457190</v>
      </c>
      <c r="G62" s="3"/>
      <c r="M62" s="28"/>
    </row>
    <row r="63" spans="1:13">
      <c r="B63" s="24" t="s">
        <v>565</v>
      </c>
      <c r="C63" s="24" t="s">
        <v>184</v>
      </c>
      <c r="D63" s="28">
        <v>100</v>
      </c>
      <c r="E63" s="28" t="s">
        <v>368</v>
      </c>
      <c r="F63" s="28">
        <v>1258335</v>
      </c>
      <c r="G63" s="3"/>
      <c r="M63" s="28"/>
    </row>
    <row r="64" spans="1:13">
      <c r="G64" s="24"/>
      <c r="M64" s="28"/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1:J41"/>
    <mergeCell ref="A49:J49"/>
    <mergeCell ref="A52:J52"/>
    <mergeCell ref="B3:B4"/>
    <mergeCell ref="A8:J8"/>
    <mergeCell ref="A11:J11"/>
    <mergeCell ref="A16:J16"/>
    <mergeCell ref="A22:J22"/>
    <mergeCell ref="A26:J26"/>
    <mergeCell ref="A32:J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Лист14"/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8.332031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18" style="24" customWidth="1"/>
    <col min="14" max="16384" width="9.1640625" style="3"/>
  </cols>
  <sheetData>
    <row r="1" spans="1:13" s="2" customFormat="1" ht="29" customHeight="1">
      <c r="A1" s="78" t="s">
        <v>1202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9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67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3">
        <v>1</v>
      </c>
      <c r="B6" s="26" t="s">
        <v>809</v>
      </c>
      <c r="C6" s="26" t="s">
        <v>1126</v>
      </c>
      <c r="D6" s="26" t="s">
        <v>82</v>
      </c>
      <c r="E6" s="26" t="s">
        <v>1348</v>
      </c>
      <c r="F6" s="26" t="s">
        <v>1264</v>
      </c>
      <c r="G6" s="43" t="s">
        <v>18</v>
      </c>
      <c r="H6" s="44" t="s">
        <v>95</v>
      </c>
      <c r="I6" s="44" t="s">
        <v>95</v>
      </c>
      <c r="J6" s="23"/>
      <c r="K6" s="23" t="str">
        <f>"160,0"</f>
        <v>160,0</v>
      </c>
      <c r="L6" s="23" t="str">
        <f>"114,2240"</f>
        <v>114,2240</v>
      </c>
      <c r="M6" s="26" t="s">
        <v>810</v>
      </c>
    </row>
    <row r="8" spans="1:13">
      <c r="G8" s="24"/>
      <c r="M8" s="2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Лист15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8.6640625" style="5" bestFit="1" customWidth="1"/>
    <col min="4" max="4" width="14.83203125" style="5" bestFit="1" customWidth="1"/>
    <col min="5" max="5" width="8.83203125" style="5" customWidth="1"/>
    <col min="6" max="6" width="18.83203125" style="5" bestFit="1" customWidth="1"/>
    <col min="7" max="9" width="5.5" style="6" customWidth="1"/>
    <col min="10" max="10" width="4.5" style="6" customWidth="1"/>
    <col min="11" max="11" width="10.5" style="31" bestFit="1" customWidth="1"/>
    <col min="12" max="12" width="10.5" style="6" customWidth="1"/>
    <col min="13" max="13" width="16.6640625" style="5" customWidth="1"/>
    <col min="14" max="16384" width="9.1640625" style="3"/>
  </cols>
  <sheetData>
    <row r="1" spans="1:13" s="2" customFormat="1" ht="29" customHeight="1">
      <c r="A1" s="99" t="s">
        <v>1203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107" t="s">
        <v>1243</v>
      </c>
      <c r="B3" s="91" t="s">
        <v>0</v>
      </c>
      <c r="C3" s="109" t="s">
        <v>1357</v>
      </c>
      <c r="D3" s="109" t="s">
        <v>5</v>
      </c>
      <c r="E3" s="93" t="s">
        <v>1346</v>
      </c>
      <c r="F3" s="93" t="s">
        <v>6</v>
      </c>
      <c r="G3" s="93" t="s">
        <v>9</v>
      </c>
      <c r="H3" s="93"/>
      <c r="I3" s="93"/>
      <c r="J3" s="93"/>
      <c r="K3" s="70" t="s">
        <v>619</v>
      </c>
      <c r="L3" s="93" t="s">
        <v>3</v>
      </c>
      <c r="M3" s="95" t="s">
        <v>2</v>
      </c>
    </row>
    <row r="4" spans="1:13" s="1" customFormat="1" ht="21" customHeight="1" thickBot="1">
      <c r="A4" s="108"/>
      <c r="B4" s="92"/>
      <c r="C4" s="94"/>
      <c r="D4" s="94"/>
      <c r="E4" s="94"/>
      <c r="F4" s="94"/>
      <c r="G4" s="4">
        <v>1</v>
      </c>
      <c r="H4" s="4">
        <v>2</v>
      </c>
      <c r="I4" s="4">
        <v>3</v>
      </c>
      <c r="J4" s="4" t="s">
        <v>4</v>
      </c>
      <c r="K4" s="71"/>
      <c r="L4" s="94"/>
      <c r="M4" s="96"/>
    </row>
    <row r="5" spans="1:13" ht="16">
      <c r="A5" s="97" t="s">
        <v>67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8" t="s">
        <v>31</v>
      </c>
      <c r="B6" s="7" t="s">
        <v>805</v>
      </c>
      <c r="C6" s="7" t="s">
        <v>1127</v>
      </c>
      <c r="D6" s="7" t="s">
        <v>806</v>
      </c>
      <c r="E6" s="7" t="s">
        <v>1352</v>
      </c>
      <c r="F6" s="7" t="s">
        <v>1325</v>
      </c>
      <c r="G6" s="10" t="s">
        <v>245</v>
      </c>
      <c r="H6" s="10" t="s">
        <v>245</v>
      </c>
      <c r="I6" s="10" t="s">
        <v>245</v>
      </c>
      <c r="J6" s="8"/>
      <c r="K6" s="34">
        <v>0</v>
      </c>
      <c r="L6" s="8" t="str">
        <f>"0,0000"</f>
        <v>0,0000</v>
      </c>
      <c r="M6" s="7" t="s">
        <v>357</v>
      </c>
    </row>
    <row r="8" spans="1:13" ht="16">
      <c r="A8" s="89" t="s">
        <v>32</v>
      </c>
      <c r="B8" s="89"/>
      <c r="C8" s="90"/>
      <c r="D8" s="90"/>
      <c r="E8" s="90"/>
      <c r="F8" s="90"/>
      <c r="G8" s="90"/>
      <c r="H8" s="90"/>
      <c r="I8" s="90"/>
      <c r="J8" s="90"/>
    </row>
    <row r="9" spans="1:13">
      <c r="A9" s="8" t="s">
        <v>31</v>
      </c>
      <c r="B9" s="7" t="s">
        <v>807</v>
      </c>
      <c r="C9" s="7" t="s">
        <v>264</v>
      </c>
      <c r="D9" s="7" t="s">
        <v>752</v>
      </c>
      <c r="E9" s="7" t="s">
        <v>1347</v>
      </c>
      <c r="F9" s="7" t="s">
        <v>1244</v>
      </c>
      <c r="G9" s="10" t="s">
        <v>15</v>
      </c>
      <c r="H9" s="10" t="s">
        <v>15</v>
      </c>
      <c r="I9" s="10" t="s">
        <v>15</v>
      </c>
      <c r="J9" s="8"/>
      <c r="K9" s="34">
        <v>0</v>
      </c>
      <c r="L9" s="8" t="str">
        <f>"0,0000"</f>
        <v>0,0000</v>
      </c>
      <c r="M9" s="7" t="s">
        <v>808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8"/>
  <dimension ref="A1:M6"/>
  <sheetViews>
    <sheetView workbookViewId="0">
      <selection sqref="A1:M2"/>
    </sheetView>
  </sheetViews>
  <sheetFormatPr baseColWidth="10" defaultColWidth="9.1640625" defaultRowHeight="13"/>
  <cols>
    <col min="1" max="1" width="7.1640625" style="24" bestFit="1" customWidth="1"/>
    <col min="2" max="2" width="18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1.8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99" t="s">
        <v>1190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86" t="s">
        <v>1243</v>
      </c>
      <c r="B3" s="91" t="s">
        <v>0</v>
      </c>
      <c r="C3" s="109" t="s">
        <v>1345</v>
      </c>
      <c r="D3" s="109" t="s">
        <v>5</v>
      </c>
      <c r="E3" s="93" t="s">
        <v>1346</v>
      </c>
      <c r="F3" s="93" t="s">
        <v>6</v>
      </c>
      <c r="G3" s="93" t="s">
        <v>9</v>
      </c>
      <c r="H3" s="93"/>
      <c r="I3" s="93"/>
      <c r="J3" s="93"/>
      <c r="K3" s="93" t="s">
        <v>619</v>
      </c>
      <c r="L3" s="93" t="s">
        <v>3</v>
      </c>
      <c r="M3" s="95" t="s">
        <v>2</v>
      </c>
    </row>
    <row r="4" spans="1:13" s="1" customFormat="1" ht="21" customHeight="1" thickBot="1">
      <c r="A4" s="87"/>
      <c r="B4" s="92"/>
      <c r="C4" s="94"/>
      <c r="D4" s="94"/>
      <c r="E4" s="94"/>
      <c r="F4" s="94"/>
      <c r="G4" s="25">
        <v>1</v>
      </c>
      <c r="H4" s="25">
        <v>2</v>
      </c>
      <c r="I4" s="25">
        <v>3</v>
      </c>
      <c r="J4" s="4" t="s">
        <v>4</v>
      </c>
      <c r="K4" s="94"/>
      <c r="L4" s="94"/>
      <c r="M4" s="96"/>
    </row>
    <row r="5" spans="1:13" ht="16">
      <c r="A5" s="97" t="s">
        <v>11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23">
        <v>1</v>
      </c>
      <c r="B6" s="7" t="s">
        <v>1073</v>
      </c>
      <c r="C6" s="7" t="s">
        <v>1074</v>
      </c>
      <c r="D6" s="7" t="s">
        <v>1075</v>
      </c>
      <c r="E6" s="7" t="s">
        <v>1347</v>
      </c>
      <c r="F6" s="7" t="s">
        <v>1312</v>
      </c>
      <c r="G6" s="10" t="s">
        <v>90</v>
      </c>
      <c r="H6" s="9" t="s">
        <v>90</v>
      </c>
      <c r="I6" s="10" t="s">
        <v>174</v>
      </c>
      <c r="J6" s="8"/>
      <c r="K6" s="8" t="str">
        <f>"300,0"</f>
        <v>300,0</v>
      </c>
      <c r="L6" s="8" t="str">
        <f>"171,4800"</f>
        <v>171,4800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9"/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24" bestFit="1" customWidth="1"/>
    <col min="2" max="2" width="19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6.33203125" style="5" customWidth="1"/>
    <col min="7" max="10" width="5.5" style="6" customWidth="1"/>
    <col min="11" max="11" width="10.5" style="31" bestFit="1" customWidth="1"/>
    <col min="12" max="12" width="13" style="6" customWidth="1"/>
    <col min="13" max="13" width="19.6640625" style="5" customWidth="1"/>
    <col min="14" max="16384" width="9.1640625" style="3"/>
  </cols>
  <sheetData>
    <row r="1" spans="1:13" s="2" customFormat="1" ht="29" customHeight="1">
      <c r="A1" s="99" t="s">
        <v>1191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86" t="s">
        <v>1243</v>
      </c>
      <c r="B3" s="91" t="s">
        <v>0</v>
      </c>
      <c r="C3" s="109" t="s">
        <v>1345</v>
      </c>
      <c r="D3" s="109" t="s">
        <v>5</v>
      </c>
      <c r="E3" s="93" t="s">
        <v>1346</v>
      </c>
      <c r="F3" s="93" t="s">
        <v>6</v>
      </c>
      <c r="G3" s="93" t="s">
        <v>9</v>
      </c>
      <c r="H3" s="93"/>
      <c r="I3" s="93"/>
      <c r="J3" s="93"/>
      <c r="K3" s="70" t="s">
        <v>619</v>
      </c>
      <c r="L3" s="93" t="s">
        <v>3</v>
      </c>
      <c r="M3" s="95" t="s">
        <v>2</v>
      </c>
    </row>
    <row r="4" spans="1:13" s="1" customFormat="1" ht="21" customHeight="1" thickBot="1">
      <c r="A4" s="87"/>
      <c r="B4" s="92"/>
      <c r="C4" s="94"/>
      <c r="D4" s="94"/>
      <c r="E4" s="94"/>
      <c r="F4" s="94"/>
      <c r="G4" s="25">
        <v>1</v>
      </c>
      <c r="H4" s="25">
        <v>2</v>
      </c>
      <c r="I4" s="25">
        <v>3</v>
      </c>
      <c r="J4" s="4" t="s">
        <v>4</v>
      </c>
      <c r="K4" s="71"/>
      <c r="L4" s="94"/>
      <c r="M4" s="96"/>
    </row>
    <row r="5" spans="1:13" ht="16">
      <c r="A5" s="97" t="s">
        <v>67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29">
        <v>1</v>
      </c>
      <c r="B6" s="11" t="s">
        <v>1059</v>
      </c>
      <c r="C6" s="11" t="s">
        <v>1060</v>
      </c>
      <c r="D6" s="11" t="s">
        <v>1025</v>
      </c>
      <c r="E6" s="11" t="s">
        <v>1347</v>
      </c>
      <c r="F6" s="11" t="s">
        <v>1326</v>
      </c>
      <c r="G6" s="18" t="s">
        <v>78</v>
      </c>
      <c r="H6" s="17" t="s">
        <v>78</v>
      </c>
      <c r="I6" s="17" t="s">
        <v>35</v>
      </c>
      <c r="J6" s="17" t="s">
        <v>36</v>
      </c>
      <c r="K6" s="32" t="str">
        <f>"200,0"</f>
        <v>200,0</v>
      </c>
      <c r="L6" s="12" t="str">
        <f>"170,6100"</f>
        <v>170,6100</v>
      </c>
      <c r="M6" s="11" t="s">
        <v>1061</v>
      </c>
    </row>
    <row r="7" spans="1:13">
      <c r="A7" s="30">
        <v>2</v>
      </c>
      <c r="B7" s="15" t="s">
        <v>1062</v>
      </c>
      <c r="C7" s="15" t="s">
        <v>1063</v>
      </c>
      <c r="D7" s="15" t="s">
        <v>76</v>
      </c>
      <c r="E7" s="15" t="s">
        <v>1347</v>
      </c>
      <c r="F7" s="15" t="s">
        <v>1326</v>
      </c>
      <c r="G7" s="21" t="s">
        <v>63</v>
      </c>
      <c r="H7" s="21" t="s">
        <v>83</v>
      </c>
      <c r="I7" s="21" t="s">
        <v>103</v>
      </c>
      <c r="J7" s="16"/>
      <c r="K7" s="33" t="str">
        <f>"145,0"</f>
        <v>145,0</v>
      </c>
      <c r="L7" s="16" t="str">
        <f>"122,8947"</f>
        <v>122,8947</v>
      </c>
      <c r="M7" s="15" t="s">
        <v>1064</v>
      </c>
    </row>
    <row r="9" spans="1:13" ht="16">
      <c r="A9" s="89" t="s">
        <v>32</v>
      </c>
      <c r="B9" s="89"/>
      <c r="C9" s="90"/>
      <c r="D9" s="90"/>
      <c r="E9" s="90"/>
      <c r="F9" s="90"/>
      <c r="G9" s="90"/>
      <c r="H9" s="90"/>
      <c r="I9" s="90"/>
      <c r="J9" s="90"/>
    </row>
    <row r="10" spans="1:13">
      <c r="A10" s="23" t="s">
        <v>31</v>
      </c>
      <c r="B10" s="7" t="s">
        <v>1065</v>
      </c>
      <c r="C10" s="7" t="s">
        <v>1066</v>
      </c>
      <c r="D10" s="7" t="s">
        <v>1067</v>
      </c>
      <c r="E10" s="7" t="s">
        <v>1347</v>
      </c>
      <c r="F10" s="7" t="s">
        <v>1248</v>
      </c>
      <c r="G10" s="10" t="s">
        <v>858</v>
      </c>
      <c r="H10" s="10" t="s">
        <v>1068</v>
      </c>
      <c r="I10" s="10" t="s">
        <v>1068</v>
      </c>
      <c r="J10" s="8"/>
      <c r="K10" s="34">
        <v>0</v>
      </c>
      <c r="L10" s="8" t="str">
        <f>"0,0000"</f>
        <v>0,0000</v>
      </c>
      <c r="M10" s="7"/>
    </row>
    <row r="12" spans="1:13" ht="16">
      <c r="A12" s="89" t="s">
        <v>20</v>
      </c>
      <c r="B12" s="89"/>
      <c r="C12" s="90"/>
      <c r="D12" s="90"/>
      <c r="E12" s="90"/>
      <c r="F12" s="90"/>
      <c r="G12" s="90"/>
      <c r="H12" s="90"/>
      <c r="I12" s="90"/>
      <c r="J12" s="90"/>
    </row>
    <row r="13" spans="1:13">
      <c r="A13" s="23">
        <v>1</v>
      </c>
      <c r="B13" s="7" t="s">
        <v>1069</v>
      </c>
      <c r="C13" s="7" t="s">
        <v>1070</v>
      </c>
      <c r="D13" s="7" t="s">
        <v>1071</v>
      </c>
      <c r="E13" s="7" t="s">
        <v>1347</v>
      </c>
      <c r="F13" s="7" t="s">
        <v>1261</v>
      </c>
      <c r="G13" s="9" t="s">
        <v>1020</v>
      </c>
      <c r="H13" s="9" t="s">
        <v>1072</v>
      </c>
      <c r="I13" s="8"/>
      <c r="J13" s="8"/>
      <c r="K13" s="34" t="str">
        <f>"362,5"</f>
        <v>362,5</v>
      </c>
      <c r="L13" s="8" t="str">
        <f>"198,4869"</f>
        <v>198,4869</v>
      </c>
      <c r="M13" s="7"/>
    </row>
    <row r="15" spans="1:13">
      <c r="G15" s="5"/>
      <c r="M15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0"/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8.83203125" style="24" bestFit="1" customWidth="1"/>
    <col min="2" max="2" width="15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2" style="5" customWidth="1"/>
    <col min="7" max="10" width="5.5" style="6" customWidth="1"/>
    <col min="11" max="11" width="10.33203125" style="6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99" t="s">
        <v>1192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86" t="s">
        <v>1243</v>
      </c>
      <c r="B3" s="91" t="s">
        <v>0</v>
      </c>
      <c r="C3" s="109" t="s">
        <v>1345</v>
      </c>
      <c r="D3" s="109" t="s">
        <v>5</v>
      </c>
      <c r="E3" s="93" t="s">
        <v>1346</v>
      </c>
      <c r="F3" s="93" t="s">
        <v>6</v>
      </c>
      <c r="G3" s="93" t="s">
        <v>9</v>
      </c>
      <c r="H3" s="93"/>
      <c r="I3" s="93"/>
      <c r="J3" s="93"/>
      <c r="K3" s="93" t="s">
        <v>619</v>
      </c>
      <c r="L3" s="93" t="s">
        <v>3</v>
      </c>
      <c r="M3" s="95" t="s">
        <v>2</v>
      </c>
    </row>
    <row r="4" spans="1:13" s="1" customFormat="1" ht="21" customHeight="1" thickBot="1">
      <c r="A4" s="87"/>
      <c r="B4" s="92"/>
      <c r="C4" s="94"/>
      <c r="D4" s="94"/>
      <c r="E4" s="94"/>
      <c r="F4" s="94"/>
      <c r="G4" s="25">
        <v>1</v>
      </c>
      <c r="H4" s="25">
        <v>2</v>
      </c>
      <c r="I4" s="25">
        <v>3</v>
      </c>
      <c r="J4" s="4" t="s">
        <v>4</v>
      </c>
      <c r="K4" s="94"/>
      <c r="L4" s="94"/>
      <c r="M4" s="96"/>
    </row>
    <row r="5" spans="1:13" ht="16">
      <c r="A5" s="97" t="s">
        <v>67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23">
        <v>1</v>
      </c>
      <c r="B6" s="7" t="s">
        <v>1050</v>
      </c>
      <c r="C6" s="7" t="s">
        <v>1051</v>
      </c>
      <c r="D6" s="7" t="s">
        <v>687</v>
      </c>
      <c r="E6" s="7" t="s">
        <v>1347</v>
      </c>
      <c r="F6" s="7" t="s">
        <v>1327</v>
      </c>
      <c r="G6" s="9" t="s">
        <v>280</v>
      </c>
      <c r="H6" s="9" t="s">
        <v>152</v>
      </c>
      <c r="I6" s="9" t="s">
        <v>64</v>
      </c>
      <c r="J6" s="10" t="s">
        <v>103</v>
      </c>
      <c r="K6" s="8" t="str">
        <f>"142,5"</f>
        <v>142,5</v>
      </c>
      <c r="L6" s="8" t="str">
        <f>"120,2201"</f>
        <v>120,2201</v>
      </c>
      <c r="M6" s="7"/>
    </row>
    <row r="8" spans="1:13" ht="16">
      <c r="A8" s="89" t="s">
        <v>67</v>
      </c>
      <c r="B8" s="89"/>
      <c r="C8" s="90"/>
      <c r="D8" s="90"/>
      <c r="E8" s="90"/>
      <c r="F8" s="90"/>
      <c r="G8" s="90"/>
      <c r="H8" s="90"/>
      <c r="I8" s="90"/>
      <c r="J8" s="90"/>
    </row>
    <row r="9" spans="1:13">
      <c r="A9" s="23">
        <v>1</v>
      </c>
      <c r="B9" s="7" t="s">
        <v>1052</v>
      </c>
      <c r="C9" s="7" t="s">
        <v>1084</v>
      </c>
      <c r="D9" s="7" t="s">
        <v>371</v>
      </c>
      <c r="E9" s="7" t="s">
        <v>1350</v>
      </c>
      <c r="F9" s="7" t="s">
        <v>1259</v>
      </c>
      <c r="G9" s="9" t="s">
        <v>17</v>
      </c>
      <c r="H9" s="9" t="s">
        <v>96</v>
      </c>
      <c r="I9" s="10" t="s">
        <v>143</v>
      </c>
      <c r="J9" s="8"/>
      <c r="K9" s="8" t="str">
        <f>"157,5"</f>
        <v>157,5</v>
      </c>
      <c r="L9" s="8" t="str">
        <f>"109,3050"</f>
        <v>109,3050</v>
      </c>
      <c r="M9" s="7" t="s">
        <v>1053</v>
      </c>
    </row>
    <row r="11" spans="1:13" ht="16">
      <c r="A11" s="89" t="s">
        <v>11</v>
      </c>
      <c r="B11" s="89"/>
      <c r="C11" s="90"/>
      <c r="D11" s="90"/>
      <c r="E11" s="90"/>
      <c r="F11" s="90"/>
      <c r="G11" s="90"/>
      <c r="H11" s="90"/>
      <c r="I11" s="90"/>
      <c r="J11" s="90"/>
    </row>
    <row r="12" spans="1:13">
      <c r="A12" s="29">
        <v>1</v>
      </c>
      <c r="B12" s="11" t="s">
        <v>1054</v>
      </c>
      <c r="C12" s="11" t="s">
        <v>1085</v>
      </c>
      <c r="D12" s="11" t="s">
        <v>1055</v>
      </c>
      <c r="E12" s="11" t="s">
        <v>1348</v>
      </c>
      <c r="F12" s="11" t="s">
        <v>1279</v>
      </c>
      <c r="G12" s="17" t="s">
        <v>41</v>
      </c>
      <c r="H12" s="17" t="s">
        <v>16</v>
      </c>
      <c r="I12" s="17" t="s">
        <v>1056</v>
      </c>
      <c r="J12" s="12"/>
      <c r="K12" s="12" t="str">
        <f>"261,0"</f>
        <v>261,0</v>
      </c>
      <c r="L12" s="12" t="str">
        <f>"160,6867"</f>
        <v>160,6867</v>
      </c>
      <c r="M12" s="11"/>
    </row>
    <row r="13" spans="1:13">
      <c r="A13" s="30">
        <v>1</v>
      </c>
      <c r="B13" s="15" t="s">
        <v>1057</v>
      </c>
      <c r="C13" s="15" t="s">
        <v>1086</v>
      </c>
      <c r="D13" s="15" t="s">
        <v>1058</v>
      </c>
      <c r="E13" s="15" t="s">
        <v>1349</v>
      </c>
      <c r="F13" s="15" t="s">
        <v>1244</v>
      </c>
      <c r="G13" s="21" t="s">
        <v>35</v>
      </c>
      <c r="H13" s="22" t="s">
        <v>37</v>
      </c>
      <c r="I13" s="21" t="s">
        <v>37</v>
      </c>
      <c r="J13" s="16"/>
      <c r="K13" s="16" t="str">
        <f>"215,0"</f>
        <v>215,0</v>
      </c>
      <c r="L13" s="16" t="str">
        <f>"138,9989"</f>
        <v>138,9989</v>
      </c>
      <c r="M13" s="15" t="s">
        <v>1212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1"/>
  <dimension ref="A1:M23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24" bestFit="1" customWidth="1"/>
    <col min="2" max="2" width="20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customWidth="1"/>
    <col min="7" max="9" width="5.5" style="6" customWidth="1"/>
    <col min="10" max="10" width="4.5" style="6" customWidth="1"/>
    <col min="11" max="11" width="10.5" style="31" bestFit="1" customWidth="1"/>
    <col min="12" max="12" width="8.5" style="6" bestFit="1" customWidth="1"/>
    <col min="13" max="13" width="26.1640625" style="5" customWidth="1"/>
    <col min="14" max="16384" width="9.1640625" style="3"/>
  </cols>
  <sheetData>
    <row r="1" spans="1:13" s="2" customFormat="1" ht="29" customHeight="1">
      <c r="A1" s="99" t="s">
        <v>1193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86" t="s">
        <v>1243</v>
      </c>
      <c r="B3" s="91" t="s">
        <v>0</v>
      </c>
      <c r="C3" s="109" t="s">
        <v>1345</v>
      </c>
      <c r="D3" s="109" t="s">
        <v>5</v>
      </c>
      <c r="E3" s="93" t="s">
        <v>1346</v>
      </c>
      <c r="F3" s="93" t="s">
        <v>6</v>
      </c>
      <c r="G3" s="93" t="s">
        <v>9</v>
      </c>
      <c r="H3" s="93"/>
      <c r="I3" s="93"/>
      <c r="J3" s="93"/>
      <c r="K3" s="70" t="s">
        <v>619</v>
      </c>
      <c r="L3" s="93" t="s">
        <v>3</v>
      </c>
      <c r="M3" s="95" t="s">
        <v>2</v>
      </c>
    </row>
    <row r="4" spans="1:13" s="1" customFormat="1" ht="21" customHeight="1" thickBot="1">
      <c r="A4" s="87"/>
      <c r="B4" s="92"/>
      <c r="C4" s="94"/>
      <c r="D4" s="94"/>
      <c r="E4" s="94"/>
      <c r="F4" s="94"/>
      <c r="G4" s="25">
        <v>1</v>
      </c>
      <c r="H4" s="25">
        <v>2</v>
      </c>
      <c r="I4" s="25">
        <v>3</v>
      </c>
      <c r="J4" s="4" t="s">
        <v>4</v>
      </c>
      <c r="K4" s="71"/>
      <c r="L4" s="94"/>
      <c r="M4" s="96"/>
    </row>
    <row r="5" spans="1:13" ht="16">
      <c r="A5" s="97" t="s">
        <v>67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23">
        <v>1</v>
      </c>
      <c r="B6" s="7" t="s">
        <v>1026</v>
      </c>
      <c r="C6" s="7" t="s">
        <v>1027</v>
      </c>
      <c r="D6" s="7" t="s">
        <v>1028</v>
      </c>
      <c r="E6" s="7" t="s">
        <v>1347</v>
      </c>
      <c r="F6" s="7" t="s">
        <v>1328</v>
      </c>
      <c r="G6" s="9" t="s">
        <v>79</v>
      </c>
      <c r="H6" s="9" t="s">
        <v>63</v>
      </c>
      <c r="I6" s="10" t="s">
        <v>83</v>
      </c>
      <c r="J6" s="8"/>
      <c r="K6" s="34" t="str">
        <f>"130,0"</f>
        <v>130,0</v>
      </c>
      <c r="L6" s="8" t="str">
        <f>"94,0810"</f>
        <v>94,0810</v>
      </c>
      <c r="M6" s="7" t="s">
        <v>1029</v>
      </c>
    </row>
    <row r="8" spans="1:13" ht="16">
      <c r="A8" s="89" t="s">
        <v>84</v>
      </c>
      <c r="B8" s="89"/>
      <c r="C8" s="90"/>
      <c r="D8" s="90"/>
      <c r="E8" s="90"/>
      <c r="F8" s="90"/>
      <c r="G8" s="90"/>
      <c r="H8" s="90"/>
      <c r="I8" s="90"/>
      <c r="J8" s="90"/>
    </row>
    <row r="9" spans="1:13">
      <c r="A9" s="29">
        <v>1</v>
      </c>
      <c r="B9" s="11" t="s">
        <v>1030</v>
      </c>
      <c r="C9" s="11" t="s">
        <v>1031</v>
      </c>
      <c r="D9" s="11" t="s">
        <v>1032</v>
      </c>
      <c r="E9" s="11" t="s">
        <v>1347</v>
      </c>
      <c r="F9" s="11" t="s">
        <v>1244</v>
      </c>
      <c r="G9" s="18" t="s">
        <v>14</v>
      </c>
      <c r="H9" s="17" t="s">
        <v>14</v>
      </c>
      <c r="I9" s="18" t="s">
        <v>41</v>
      </c>
      <c r="J9" s="12"/>
      <c r="K9" s="32" t="str">
        <f>"220,0"</f>
        <v>220,0</v>
      </c>
      <c r="L9" s="12" t="str">
        <f>"146,8720"</f>
        <v>146,8720</v>
      </c>
      <c r="M9" s="11"/>
    </row>
    <row r="10" spans="1:13">
      <c r="A10" s="30" t="s">
        <v>31</v>
      </c>
      <c r="B10" s="15" t="s">
        <v>1033</v>
      </c>
      <c r="C10" s="15" t="s">
        <v>1034</v>
      </c>
      <c r="D10" s="15" t="s">
        <v>949</v>
      </c>
      <c r="E10" s="15" t="s">
        <v>1347</v>
      </c>
      <c r="F10" s="15" t="s">
        <v>1279</v>
      </c>
      <c r="G10" s="22" t="s">
        <v>119</v>
      </c>
      <c r="H10" s="22" t="s">
        <v>119</v>
      </c>
      <c r="I10" s="22" t="s">
        <v>19</v>
      </c>
      <c r="J10" s="16"/>
      <c r="K10" s="33" t="str">
        <f>"0.00"</f>
        <v>0.00</v>
      </c>
      <c r="L10" s="16" t="str">
        <f>"0,0000"</f>
        <v>0,0000</v>
      </c>
      <c r="M10" s="15" t="s">
        <v>1213</v>
      </c>
    </row>
    <row r="12" spans="1:13" ht="16">
      <c r="A12" s="89" t="s">
        <v>99</v>
      </c>
      <c r="B12" s="89"/>
      <c r="C12" s="90"/>
      <c r="D12" s="90"/>
      <c r="E12" s="90"/>
      <c r="F12" s="90"/>
      <c r="G12" s="90"/>
      <c r="H12" s="90"/>
      <c r="I12" s="90"/>
      <c r="J12" s="90"/>
    </row>
    <row r="13" spans="1:13">
      <c r="A13" s="23">
        <v>1</v>
      </c>
      <c r="B13" s="7" t="s">
        <v>1023</v>
      </c>
      <c r="C13" s="7" t="s">
        <v>1024</v>
      </c>
      <c r="D13" s="7" t="s">
        <v>111</v>
      </c>
      <c r="E13" s="7" t="s">
        <v>1347</v>
      </c>
      <c r="F13" s="7" t="s">
        <v>1329</v>
      </c>
      <c r="G13" s="9" t="s">
        <v>89</v>
      </c>
      <c r="H13" s="9" t="s">
        <v>114</v>
      </c>
      <c r="I13" s="10" t="s">
        <v>1035</v>
      </c>
      <c r="J13" s="8"/>
      <c r="K13" s="34" t="str">
        <f>"290,0"</f>
        <v>290,0</v>
      </c>
      <c r="L13" s="8" t="str">
        <f>"178,1035"</f>
        <v>178,1035</v>
      </c>
      <c r="M13" s="7"/>
    </row>
    <row r="15" spans="1:13" ht="16">
      <c r="A15" s="89" t="s">
        <v>32</v>
      </c>
      <c r="B15" s="89"/>
      <c r="C15" s="90"/>
      <c r="D15" s="90"/>
      <c r="E15" s="90"/>
      <c r="F15" s="90"/>
      <c r="G15" s="90"/>
      <c r="H15" s="90"/>
      <c r="I15" s="90"/>
      <c r="J15" s="90"/>
    </row>
    <row r="16" spans="1:13">
      <c r="A16" s="29">
        <v>1</v>
      </c>
      <c r="B16" s="11" t="s">
        <v>1036</v>
      </c>
      <c r="C16" s="11" t="s">
        <v>1037</v>
      </c>
      <c r="D16" s="11" t="s">
        <v>576</v>
      </c>
      <c r="E16" s="11" t="s">
        <v>1347</v>
      </c>
      <c r="F16" s="11" t="s">
        <v>1244</v>
      </c>
      <c r="G16" s="17" t="s">
        <v>23</v>
      </c>
      <c r="H16" s="17" t="s">
        <v>162</v>
      </c>
      <c r="I16" s="18" t="s">
        <v>73</v>
      </c>
      <c r="J16" s="12"/>
      <c r="K16" s="32" t="str">
        <f>"265,0"</f>
        <v>265,0</v>
      </c>
      <c r="L16" s="12" t="str">
        <f>"154,5745"</f>
        <v>154,5745</v>
      </c>
      <c r="M16" s="11" t="s">
        <v>639</v>
      </c>
    </row>
    <row r="17" spans="1:13">
      <c r="A17" s="35">
        <v>2</v>
      </c>
      <c r="B17" s="13" t="s">
        <v>1038</v>
      </c>
      <c r="C17" s="13" t="s">
        <v>1039</v>
      </c>
      <c r="D17" s="13" t="s">
        <v>1040</v>
      </c>
      <c r="E17" s="13" t="s">
        <v>1347</v>
      </c>
      <c r="F17" s="13" t="s">
        <v>1330</v>
      </c>
      <c r="G17" s="19" t="s">
        <v>119</v>
      </c>
      <c r="H17" s="19" t="s">
        <v>15</v>
      </c>
      <c r="I17" s="19" t="s">
        <v>19</v>
      </c>
      <c r="J17" s="14"/>
      <c r="K17" s="36" t="str">
        <f>"245,0"</f>
        <v>245,0</v>
      </c>
      <c r="L17" s="14" t="str">
        <f>"143,4720"</f>
        <v>143,4720</v>
      </c>
      <c r="M17" s="13"/>
    </row>
    <row r="18" spans="1:13">
      <c r="A18" s="35">
        <v>3</v>
      </c>
      <c r="B18" s="13" t="s">
        <v>1041</v>
      </c>
      <c r="C18" s="13" t="s">
        <v>1042</v>
      </c>
      <c r="D18" s="13" t="s">
        <v>445</v>
      </c>
      <c r="E18" s="13" t="s">
        <v>1347</v>
      </c>
      <c r="F18" s="13" t="s">
        <v>1261</v>
      </c>
      <c r="G18" s="19" t="s">
        <v>102</v>
      </c>
      <c r="H18" s="20" t="s">
        <v>141</v>
      </c>
      <c r="I18" s="20" t="s">
        <v>141</v>
      </c>
      <c r="J18" s="14"/>
      <c r="K18" s="36" t="str">
        <f>"205,0"</f>
        <v>205,0</v>
      </c>
      <c r="L18" s="14" t="str">
        <f>"119,6790"</f>
        <v>119,6790</v>
      </c>
      <c r="M18" s="13" t="s">
        <v>329</v>
      </c>
    </row>
    <row r="19" spans="1:13">
      <c r="A19" s="30">
        <v>1</v>
      </c>
      <c r="B19" s="15" t="s">
        <v>1043</v>
      </c>
      <c r="C19" s="15" t="s">
        <v>1087</v>
      </c>
      <c r="D19" s="15" t="s">
        <v>1040</v>
      </c>
      <c r="E19" s="15" t="s">
        <v>1348</v>
      </c>
      <c r="F19" s="15" t="s">
        <v>1251</v>
      </c>
      <c r="G19" s="21" t="s">
        <v>36</v>
      </c>
      <c r="H19" s="22" t="s">
        <v>14</v>
      </c>
      <c r="I19" s="22" t="s">
        <v>80</v>
      </c>
      <c r="J19" s="16"/>
      <c r="K19" s="33" t="str">
        <f>"210,0"</f>
        <v>210,0</v>
      </c>
      <c r="L19" s="16" t="str">
        <f>"124,2058"</f>
        <v>124,2058</v>
      </c>
      <c r="M19" s="15" t="s">
        <v>1044</v>
      </c>
    </row>
    <row r="21" spans="1:13" ht="16">
      <c r="A21" s="89" t="s">
        <v>20</v>
      </c>
      <c r="B21" s="89"/>
      <c r="C21" s="90"/>
      <c r="D21" s="90"/>
      <c r="E21" s="90"/>
      <c r="F21" s="90"/>
      <c r="G21" s="90"/>
      <c r="H21" s="90"/>
      <c r="I21" s="90"/>
      <c r="J21" s="90"/>
    </row>
    <row r="22" spans="1:13">
      <c r="A22" s="29">
        <v>1</v>
      </c>
      <c r="B22" s="11" t="s">
        <v>1045</v>
      </c>
      <c r="C22" s="11" t="s">
        <v>1046</v>
      </c>
      <c r="D22" s="11" t="s">
        <v>1047</v>
      </c>
      <c r="E22" s="11" t="s">
        <v>1347</v>
      </c>
      <c r="F22" s="11" t="s">
        <v>1331</v>
      </c>
      <c r="G22" s="17" t="s">
        <v>23</v>
      </c>
      <c r="H22" s="17" t="s">
        <v>89</v>
      </c>
      <c r="I22" s="18" t="s">
        <v>542</v>
      </c>
      <c r="J22" s="12"/>
      <c r="K22" s="32" t="str">
        <f>"280,0"</f>
        <v>280,0</v>
      </c>
      <c r="L22" s="12" t="str">
        <f>"155,2180"</f>
        <v>155,2180</v>
      </c>
      <c r="M22" s="11"/>
    </row>
    <row r="23" spans="1:13">
      <c r="A23" s="30" t="s">
        <v>31</v>
      </c>
      <c r="B23" s="15" t="s">
        <v>1048</v>
      </c>
      <c r="C23" s="15" t="s">
        <v>1088</v>
      </c>
      <c r="D23" s="15" t="s">
        <v>1049</v>
      </c>
      <c r="E23" s="15" t="s">
        <v>1348</v>
      </c>
      <c r="F23" s="15" t="s">
        <v>1330</v>
      </c>
      <c r="G23" s="22" t="s">
        <v>114</v>
      </c>
      <c r="H23" s="22" t="s">
        <v>114</v>
      </c>
      <c r="I23" s="22" t="s">
        <v>108</v>
      </c>
      <c r="J23" s="16"/>
      <c r="K23" s="33">
        <v>0</v>
      </c>
      <c r="L23" s="16" t="str">
        <f>"0,0000"</f>
        <v>0,0000</v>
      </c>
      <c r="M23" s="15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A21:J21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Лист4"/>
  <dimension ref="A1:U58"/>
  <sheetViews>
    <sheetView topLeftCell="A14" workbookViewId="0">
      <selection activeCell="E50" sqref="E50"/>
    </sheetView>
  </sheetViews>
  <sheetFormatPr baseColWidth="10" defaultColWidth="9.1640625" defaultRowHeight="13"/>
  <cols>
    <col min="1" max="1" width="7.1640625" style="24" bestFit="1" customWidth="1"/>
    <col min="2" max="2" width="19.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5.16406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24.83203125" style="24" bestFit="1" customWidth="1"/>
    <col min="22" max="16384" width="9.1640625" style="3"/>
  </cols>
  <sheetData>
    <row r="1" spans="1:21" s="2" customFormat="1" ht="29" customHeight="1">
      <c r="A1" s="78" t="s">
        <v>1209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0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1"/>
      <c r="T4" s="73"/>
      <c r="U4" s="75"/>
    </row>
    <row r="5" spans="1:21" ht="16">
      <c r="A5" s="76" t="s">
        <v>43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44</v>
      </c>
      <c r="C6" s="26" t="s">
        <v>45</v>
      </c>
      <c r="D6" s="26" t="s">
        <v>46</v>
      </c>
      <c r="E6" s="26" t="s">
        <v>1347</v>
      </c>
      <c r="F6" s="26" t="s">
        <v>1277</v>
      </c>
      <c r="G6" s="43" t="s">
        <v>47</v>
      </c>
      <c r="H6" s="44" t="s">
        <v>48</v>
      </c>
      <c r="I6" s="44" t="s">
        <v>48</v>
      </c>
      <c r="J6" s="23"/>
      <c r="K6" s="43" t="s">
        <v>49</v>
      </c>
      <c r="L6" s="43" t="s">
        <v>50</v>
      </c>
      <c r="M6" s="44" t="s">
        <v>51</v>
      </c>
      <c r="N6" s="23"/>
      <c r="O6" s="43" t="s">
        <v>48</v>
      </c>
      <c r="P6" s="44" t="s">
        <v>52</v>
      </c>
      <c r="Q6" s="43" t="s">
        <v>52</v>
      </c>
      <c r="R6" s="23"/>
      <c r="S6" s="34" t="str">
        <f>"205,0"</f>
        <v>205,0</v>
      </c>
      <c r="T6" s="23" t="str">
        <f>"220,1700"</f>
        <v>220,1700</v>
      </c>
      <c r="U6" s="26" t="s">
        <v>53</v>
      </c>
    </row>
    <row r="8" spans="1:21" ht="16">
      <c r="A8" s="66" t="s">
        <v>54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23">
        <v>1</v>
      </c>
      <c r="B9" s="26" t="s">
        <v>55</v>
      </c>
      <c r="C9" s="26" t="s">
        <v>56</v>
      </c>
      <c r="D9" s="26" t="s">
        <v>57</v>
      </c>
      <c r="E9" s="26" t="s">
        <v>1350</v>
      </c>
      <c r="F9" s="26" t="s">
        <v>1278</v>
      </c>
      <c r="G9" s="43" t="s">
        <v>58</v>
      </c>
      <c r="H9" s="43" t="s">
        <v>59</v>
      </c>
      <c r="I9" s="44" t="s">
        <v>60</v>
      </c>
      <c r="J9" s="23"/>
      <c r="K9" s="43" t="s">
        <v>61</v>
      </c>
      <c r="L9" s="43" t="s">
        <v>52</v>
      </c>
      <c r="M9" s="44" t="s">
        <v>62</v>
      </c>
      <c r="N9" s="23"/>
      <c r="O9" s="43" t="s">
        <v>63</v>
      </c>
      <c r="P9" s="43" t="s">
        <v>64</v>
      </c>
      <c r="Q9" s="44" t="s">
        <v>65</v>
      </c>
      <c r="R9" s="23"/>
      <c r="S9" s="34" t="str">
        <f>"335,0"</f>
        <v>335,0</v>
      </c>
      <c r="T9" s="23" t="str">
        <f>"339,0870"</f>
        <v>339,0870</v>
      </c>
      <c r="U9" s="26" t="s">
        <v>66</v>
      </c>
    </row>
    <row r="11" spans="1:21" ht="16">
      <c r="A11" s="66" t="s">
        <v>67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21">
      <c r="A12" s="29">
        <v>1</v>
      </c>
      <c r="B12" s="37" t="s">
        <v>68</v>
      </c>
      <c r="C12" s="37" t="s">
        <v>69</v>
      </c>
      <c r="D12" s="37" t="s">
        <v>70</v>
      </c>
      <c r="E12" s="37" t="s">
        <v>1347</v>
      </c>
      <c r="F12" s="37" t="s">
        <v>1279</v>
      </c>
      <c r="G12" s="38" t="s">
        <v>35</v>
      </c>
      <c r="H12" s="38" t="s">
        <v>36</v>
      </c>
      <c r="I12" s="39" t="s">
        <v>37</v>
      </c>
      <c r="J12" s="29"/>
      <c r="K12" s="38" t="s">
        <v>71</v>
      </c>
      <c r="L12" s="38" t="s">
        <v>72</v>
      </c>
      <c r="M12" s="39" t="s">
        <v>63</v>
      </c>
      <c r="N12" s="29"/>
      <c r="O12" s="39" t="s">
        <v>23</v>
      </c>
      <c r="P12" s="38" t="s">
        <v>23</v>
      </c>
      <c r="Q12" s="39" t="s">
        <v>73</v>
      </c>
      <c r="R12" s="29"/>
      <c r="S12" s="32" t="str">
        <f>"597,5"</f>
        <v>597,5</v>
      </c>
      <c r="T12" s="29" t="str">
        <f>"425,7785"</f>
        <v>425,7785</v>
      </c>
      <c r="U12" s="37"/>
    </row>
    <row r="13" spans="1:21">
      <c r="A13" s="35">
        <v>2</v>
      </c>
      <c r="B13" s="50" t="s">
        <v>74</v>
      </c>
      <c r="C13" s="50" t="s">
        <v>75</v>
      </c>
      <c r="D13" s="50" t="s">
        <v>76</v>
      </c>
      <c r="E13" s="50" t="s">
        <v>1347</v>
      </c>
      <c r="F13" s="50" t="s">
        <v>1280</v>
      </c>
      <c r="G13" s="51" t="s">
        <v>77</v>
      </c>
      <c r="H13" s="52" t="s">
        <v>78</v>
      </c>
      <c r="I13" s="52" t="s">
        <v>78</v>
      </c>
      <c r="J13" s="35"/>
      <c r="K13" s="51" t="s">
        <v>79</v>
      </c>
      <c r="L13" s="51" t="s">
        <v>72</v>
      </c>
      <c r="M13" s="52" t="s">
        <v>63</v>
      </c>
      <c r="N13" s="35"/>
      <c r="O13" s="51" t="s">
        <v>36</v>
      </c>
      <c r="P13" s="51" t="s">
        <v>80</v>
      </c>
      <c r="Q13" s="35"/>
      <c r="R13" s="35"/>
      <c r="S13" s="36" t="str">
        <f>"532,5"</f>
        <v>532,5</v>
      </c>
      <c r="T13" s="35" t="str">
        <f>"384,8910"</f>
        <v>384,8910</v>
      </c>
      <c r="U13" s="50" t="s">
        <v>1222</v>
      </c>
    </row>
    <row r="14" spans="1:21">
      <c r="A14" s="30">
        <v>1</v>
      </c>
      <c r="B14" s="40" t="s">
        <v>81</v>
      </c>
      <c r="C14" s="40" t="s">
        <v>1120</v>
      </c>
      <c r="D14" s="40" t="s">
        <v>82</v>
      </c>
      <c r="E14" s="40" t="s">
        <v>1352</v>
      </c>
      <c r="F14" s="40" t="s">
        <v>1279</v>
      </c>
      <c r="G14" s="41" t="s">
        <v>83</v>
      </c>
      <c r="H14" s="41" t="s">
        <v>17</v>
      </c>
      <c r="I14" s="41" t="s">
        <v>38</v>
      </c>
      <c r="J14" s="30"/>
      <c r="K14" s="41" t="s">
        <v>59</v>
      </c>
      <c r="L14" s="41" t="s">
        <v>60</v>
      </c>
      <c r="M14" s="41" t="s">
        <v>79</v>
      </c>
      <c r="N14" s="30"/>
      <c r="O14" s="41" t="s">
        <v>35</v>
      </c>
      <c r="P14" s="41" t="s">
        <v>36</v>
      </c>
      <c r="Q14" s="41" t="s">
        <v>37</v>
      </c>
      <c r="R14" s="30"/>
      <c r="S14" s="33" t="str">
        <f>"490,0"</f>
        <v>490,0</v>
      </c>
      <c r="T14" s="30" t="str">
        <f>"415,2257"</f>
        <v>415,2257</v>
      </c>
      <c r="U14" s="40" t="s">
        <v>822</v>
      </c>
    </row>
    <row r="16" spans="1:21" ht="16">
      <c r="A16" s="66" t="s">
        <v>84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</row>
    <row r="17" spans="1:21">
      <c r="A17" s="29">
        <v>1</v>
      </c>
      <c r="B17" s="37" t="s">
        <v>85</v>
      </c>
      <c r="C17" s="37" t="s">
        <v>86</v>
      </c>
      <c r="D17" s="37" t="s">
        <v>87</v>
      </c>
      <c r="E17" s="37" t="s">
        <v>1347</v>
      </c>
      <c r="F17" s="37" t="s">
        <v>1256</v>
      </c>
      <c r="G17" s="39" t="s">
        <v>35</v>
      </c>
      <c r="H17" s="38" t="s">
        <v>36</v>
      </c>
      <c r="I17" s="39" t="s">
        <v>14</v>
      </c>
      <c r="J17" s="29"/>
      <c r="K17" s="38" t="s">
        <v>71</v>
      </c>
      <c r="L17" s="38" t="s">
        <v>88</v>
      </c>
      <c r="M17" s="38" t="s">
        <v>83</v>
      </c>
      <c r="N17" s="29"/>
      <c r="O17" s="38" t="s">
        <v>89</v>
      </c>
      <c r="P17" s="38" t="s">
        <v>90</v>
      </c>
      <c r="Q17" s="39" t="s">
        <v>91</v>
      </c>
      <c r="R17" s="29"/>
      <c r="S17" s="32" t="str">
        <f>"650,0"</f>
        <v>650,0</v>
      </c>
      <c r="T17" s="29" t="str">
        <f>"437,3850"</f>
        <v>437,3850</v>
      </c>
      <c r="U17" s="37"/>
    </row>
    <row r="18" spans="1:21">
      <c r="A18" s="30">
        <v>2</v>
      </c>
      <c r="B18" s="40" t="s">
        <v>92</v>
      </c>
      <c r="C18" s="40" t="s">
        <v>93</v>
      </c>
      <c r="D18" s="40" t="s">
        <v>94</v>
      </c>
      <c r="E18" s="40" t="s">
        <v>1347</v>
      </c>
      <c r="F18" s="40" t="s">
        <v>1281</v>
      </c>
      <c r="G18" s="41" t="s">
        <v>17</v>
      </c>
      <c r="H18" s="41" t="s">
        <v>18</v>
      </c>
      <c r="I18" s="41" t="s">
        <v>95</v>
      </c>
      <c r="J18" s="30"/>
      <c r="K18" s="41" t="s">
        <v>17</v>
      </c>
      <c r="L18" s="41" t="s">
        <v>96</v>
      </c>
      <c r="M18" s="42" t="s">
        <v>18</v>
      </c>
      <c r="N18" s="30"/>
      <c r="O18" s="41" t="s">
        <v>95</v>
      </c>
      <c r="P18" s="41" t="s">
        <v>97</v>
      </c>
      <c r="Q18" s="41" t="s">
        <v>35</v>
      </c>
      <c r="R18" s="30"/>
      <c r="S18" s="33" t="str">
        <f>"527,5"</f>
        <v>527,5</v>
      </c>
      <c r="T18" s="30" t="str">
        <f>"355,7460"</f>
        <v>355,7460</v>
      </c>
      <c r="U18" s="40" t="s">
        <v>98</v>
      </c>
    </row>
    <row r="20" spans="1:21" ht="16">
      <c r="A20" s="66" t="s">
        <v>99</v>
      </c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</row>
    <row r="21" spans="1:21">
      <c r="A21" s="29">
        <v>1</v>
      </c>
      <c r="B21" s="37" t="s">
        <v>100</v>
      </c>
      <c r="C21" s="37" t="s">
        <v>1182</v>
      </c>
      <c r="D21" s="37" t="s">
        <v>101</v>
      </c>
      <c r="E21" s="37" t="s">
        <v>1351</v>
      </c>
      <c r="F21" s="37" t="s">
        <v>1244</v>
      </c>
      <c r="G21" s="38" t="s">
        <v>78</v>
      </c>
      <c r="H21" s="38" t="s">
        <v>102</v>
      </c>
      <c r="I21" s="39" t="s">
        <v>37</v>
      </c>
      <c r="J21" s="29"/>
      <c r="K21" s="38" t="s">
        <v>83</v>
      </c>
      <c r="L21" s="39" t="s">
        <v>103</v>
      </c>
      <c r="M21" s="38" t="s">
        <v>103</v>
      </c>
      <c r="N21" s="29"/>
      <c r="O21" s="38" t="s">
        <v>37</v>
      </c>
      <c r="P21" s="38" t="s">
        <v>41</v>
      </c>
      <c r="Q21" s="38" t="s">
        <v>15</v>
      </c>
      <c r="R21" s="29"/>
      <c r="S21" s="32" t="str">
        <f>"590,0"</f>
        <v>590,0</v>
      </c>
      <c r="T21" s="29" t="str">
        <f>"377,0690"</f>
        <v>377,0690</v>
      </c>
      <c r="U21" s="37" t="s">
        <v>104</v>
      </c>
    </row>
    <row r="22" spans="1:21">
      <c r="A22" s="35">
        <v>1</v>
      </c>
      <c r="B22" s="50" t="s">
        <v>105</v>
      </c>
      <c r="C22" s="50" t="s">
        <v>106</v>
      </c>
      <c r="D22" s="50" t="s">
        <v>107</v>
      </c>
      <c r="E22" s="50" t="s">
        <v>1347</v>
      </c>
      <c r="F22" s="50" t="s">
        <v>1244</v>
      </c>
      <c r="G22" s="51" t="s">
        <v>41</v>
      </c>
      <c r="H22" s="51" t="s">
        <v>16</v>
      </c>
      <c r="I22" s="51" t="s">
        <v>23</v>
      </c>
      <c r="J22" s="35"/>
      <c r="K22" s="51" t="s">
        <v>18</v>
      </c>
      <c r="L22" s="51" t="s">
        <v>95</v>
      </c>
      <c r="M22" s="52" t="s">
        <v>40</v>
      </c>
      <c r="N22" s="35"/>
      <c r="O22" s="51" t="s">
        <v>89</v>
      </c>
      <c r="P22" s="51" t="s">
        <v>108</v>
      </c>
      <c r="Q22" s="51" t="s">
        <v>91</v>
      </c>
      <c r="R22" s="35"/>
      <c r="S22" s="36" t="str">
        <f>"740,0"</f>
        <v>740,0</v>
      </c>
      <c r="T22" s="35" t="str">
        <f>"472,4160"</f>
        <v>472,4160</v>
      </c>
      <c r="U22" s="50"/>
    </row>
    <row r="23" spans="1:21">
      <c r="A23" s="35">
        <v>2</v>
      </c>
      <c r="B23" s="50" t="s">
        <v>109</v>
      </c>
      <c r="C23" s="50" t="s">
        <v>110</v>
      </c>
      <c r="D23" s="50" t="s">
        <v>111</v>
      </c>
      <c r="E23" s="50" t="s">
        <v>1347</v>
      </c>
      <c r="F23" s="50" t="s">
        <v>1282</v>
      </c>
      <c r="G23" s="51" t="s">
        <v>19</v>
      </c>
      <c r="H23" s="52" t="s">
        <v>112</v>
      </c>
      <c r="I23" s="52" t="s">
        <v>112</v>
      </c>
      <c r="J23" s="35"/>
      <c r="K23" s="51" t="s">
        <v>18</v>
      </c>
      <c r="L23" s="51" t="s">
        <v>113</v>
      </c>
      <c r="M23" s="51" t="s">
        <v>95</v>
      </c>
      <c r="N23" s="35"/>
      <c r="O23" s="51" t="s">
        <v>114</v>
      </c>
      <c r="P23" s="51" t="s">
        <v>91</v>
      </c>
      <c r="Q23" s="52" t="s">
        <v>115</v>
      </c>
      <c r="R23" s="35"/>
      <c r="S23" s="36" t="str">
        <f>"725,0"</f>
        <v>725,0</v>
      </c>
      <c r="T23" s="35" t="str">
        <f>"464,4350"</f>
        <v>464,4350</v>
      </c>
      <c r="U23" s="50" t="s">
        <v>1223</v>
      </c>
    </row>
    <row r="24" spans="1:21">
      <c r="A24" s="35">
        <v>3</v>
      </c>
      <c r="B24" s="50" t="s">
        <v>116</v>
      </c>
      <c r="C24" s="50" t="s">
        <v>117</v>
      </c>
      <c r="D24" s="50" t="s">
        <v>118</v>
      </c>
      <c r="E24" s="50" t="s">
        <v>1347</v>
      </c>
      <c r="F24" s="50" t="s">
        <v>1244</v>
      </c>
      <c r="G24" s="52" t="s">
        <v>14</v>
      </c>
      <c r="H24" s="51" t="s">
        <v>14</v>
      </c>
      <c r="I24" s="52" t="s">
        <v>119</v>
      </c>
      <c r="J24" s="35"/>
      <c r="K24" s="51" t="s">
        <v>39</v>
      </c>
      <c r="L24" s="51" t="s">
        <v>40</v>
      </c>
      <c r="M24" s="52" t="s">
        <v>120</v>
      </c>
      <c r="N24" s="35"/>
      <c r="O24" s="51" t="s">
        <v>16</v>
      </c>
      <c r="P24" s="52" t="s">
        <v>23</v>
      </c>
      <c r="Q24" s="35"/>
      <c r="R24" s="35"/>
      <c r="S24" s="36" t="str">
        <f>"645,0"</f>
        <v>645,0</v>
      </c>
      <c r="T24" s="35" t="str">
        <f>"413,6385"</f>
        <v>413,6385</v>
      </c>
      <c r="U24" s="50" t="s">
        <v>1217</v>
      </c>
    </row>
    <row r="25" spans="1:21">
      <c r="A25" s="35">
        <v>4</v>
      </c>
      <c r="B25" s="50" t="s">
        <v>121</v>
      </c>
      <c r="C25" s="50" t="s">
        <v>122</v>
      </c>
      <c r="D25" s="50" t="s">
        <v>123</v>
      </c>
      <c r="E25" s="50" t="s">
        <v>1347</v>
      </c>
      <c r="F25" s="50" t="s">
        <v>1244</v>
      </c>
      <c r="G25" s="51" t="s">
        <v>124</v>
      </c>
      <c r="H25" s="51" t="s">
        <v>125</v>
      </c>
      <c r="I25" s="51" t="s">
        <v>35</v>
      </c>
      <c r="J25" s="35"/>
      <c r="K25" s="52" t="s">
        <v>17</v>
      </c>
      <c r="L25" s="51" t="s">
        <v>96</v>
      </c>
      <c r="M25" s="51" t="s">
        <v>39</v>
      </c>
      <c r="N25" s="35"/>
      <c r="O25" s="51" t="s">
        <v>73</v>
      </c>
      <c r="P25" s="52" t="s">
        <v>90</v>
      </c>
      <c r="Q25" s="52" t="s">
        <v>90</v>
      </c>
      <c r="R25" s="35"/>
      <c r="S25" s="36" t="str">
        <f>"637,5"</f>
        <v>637,5</v>
      </c>
      <c r="T25" s="35" t="str">
        <f>"409,3387"</f>
        <v>409,3387</v>
      </c>
      <c r="U25" s="50"/>
    </row>
    <row r="26" spans="1:21">
      <c r="A26" s="30" t="s">
        <v>31</v>
      </c>
      <c r="B26" s="40" t="s">
        <v>126</v>
      </c>
      <c r="C26" s="40" t="s">
        <v>1183</v>
      </c>
      <c r="D26" s="40" t="s">
        <v>127</v>
      </c>
      <c r="E26" s="40" t="s">
        <v>1354</v>
      </c>
      <c r="F26" s="40" t="s">
        <v>1244</v>
      </c>
      <c r="G26" s="42" t="s">
        <v>39</v>
      </c>
      <c r="H26" s="42" t="s">
        <v>39</v>
      </c>
      <c r="I26" s="42" t="s">
        <v>95</v>
      </c>
      <c r="J26" s="30"/>
      <c r="K26" s="42"/>
      <c r="L26" s="30"/>
      <c r="M26" s="30"/>
      <c r="N26" s="30"/>
      <c r="O26" s="42"/>
      <c r="P26" s="30"/>
      <c r="Q26" s="30"/>
      <c r="R26" s="30"/>
      <c r="S26" s="33">
        <v>0</v>
      </c>
      <c r="T26" s="30" t="str">
        <f>"0,0000"</f>
        <v>0,0000</v>
      </c>
      <c r="U26" s="40"/>
    </row>
    <row r="28" spans="1:21" ht="16">
      <c r="A28" s="66" t="s">
        <v>32</v>
      </c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21">
      <c r="A29" s="29" t="s">
        <v>31</v>
      </c>
      <c r="B29" s="37" t="s">
        <v>128</v>
      </c>
      <c r="C29" s="37" t="s">
        <v>129</v>
      </c>
      <c r="D29" s="37" t="s">
        <v>130</v>
      </c>
      <c r="E29" s="37" t="s">
        <v>1350</v>
      </c>
      <c r="F29" s="37" t="s">
        <v>1283</v>
      </c>
      <c r="G29" s="39" t="s">
        <v>63</v>
      </c>
      <c r="H29" s="39" t="s">
        <v>88</v>
      </c>
      <c r="I29" s="39" t="s">
        <v>83</v>
      </c>
      <c r="J29" s="29"/>
      <c r="K29" s="39"/>
      <c r="L29" s="29"/>
      <c r="M29" s="29"/>
      <c r="N29" s="29"/>
      <c r="O29" s="39"/>
      <c r="P29" s="29"/>
      <c r="Q29" s="29"/>
      <c r="R29" s="29"/>
      <c r="S29" s="32">
        <v>0</v>
      </c>
      <c r="T29" s="29" t="str">
        <f>"0,0000"</f>
        <v>0,0000</v>
      </c>
      <c r="U29" s="37" t="s">
        <v>66</v>
      </c>
    </row>
    <row r="30" spans="1:21">
      <c r="A30" s="35">
        <v>1</v>
      </c>
      <c r="B30" s="50" t="s">
        <v>131</v>
      </c>
      <c r="C30" s="50" t="s">
        <v>132</v>
      </c>
      <c r="D30" s="50" t="s">
        <v>133</v>
      </c>
      <c r="E30" s="50" t="s">
        <v>1347</v>
      </c>
      <c r="F30" s="50" t="s">
        <v>1251</v>
      </c>
      <c r="G30" s="51" t="s">
        <v>23</v>
      </c>
      <c r="H30" s="51" t="s">
        <v>134</v>
      </c>
      <c r="I30" s="52" t="s">
        <v>89</v>
      </c>
      <c r="J30" s="35"/>
      <c r="K30" s="52" t="s">
        <v>77</v>
      </c>
      <c r="L30" s="51" t="s">
        <v>77</v>
      </c>
      <c r="M30" s="52" t="s">
        <v>97</v>
      </c>
      <c r="N30" s="35"/>
      <c r="O30" s="51" t="s">
        <v>24</v>
      </c>
      <c r="P30" s="52" t="s">
        <v>89</v>
      </c>
      <c r="Q30" s="51" t="s">
        <v>89</v>
      </c>
      <c r="R30" s="35"/>
      <c r="S30" s="36" t="str">
        <f>"735,0"</f>
        <v>735,0</v>
      </c>
      <c r="T30" s="35" t="str">
        <f>"462,4620"</f>
        <v>462,4620</v>
      </c>
      <c r="U30" s="50"/>
    </row>
    <row r="31" spans="1:21">
      <c r="A31" s="35">
        <v>2</v>
      </c>
      <c r="B31" s="50" t="s">
        <v>135</v>
      </c>
      <c r="C31" s="50" t="s">
        <v>136</v>
      </c>
      <c r="D31" s="50" t="s">
        <v>137</v>
      </c>
      <c r="E31" s="50" t="s">
        <v>1347</v>
      </c>
      <c r="F31" s="50" t="s">
        <v>1244</v>
      </c>
      <c r="G31" s="51" t="s">
        <v>16</v>
      </c>
      <c r="H31" s="52" t="s">
        <v>23</v>
      </c>
      <c r="I31" s="52" t="s">
        <v>23</v>
      </c>
      <c r="J31" s="35"/>
      <c r="K31" s="51" t="s">
        <v>97</v>
      </c>
      <c r="L31" s="51" t="s">
        <v>125</v>
      </c>
      <c r="M31" s="51" t="s">
        <v>35</v>
      </c>
      <c r="N31" s="35"/>
      <c r="O31" s="51" t="s">
        <v>24</v>
      </c>
      <c r="P31" s="52" t="s">
        <v>89</v>
      </c>
      <c r="Q31" s="52" t="s">
        <v>89</v>
      </c>
      <c r="R31" s="35"/>
      <c r="S31" s="36" t="str">
        <f>"720,0"</f>
        <v>720,0</v>
      </c>
      <c r="T31" s="35" t="str">
        <f>"438,1920"</f>
        <v>438,1920</v>
      </c>
      <c r="U31" s="50"/>
    </row>
    <row r="32" spans="1:21">
      <c r="A32" s="35">
        <v>3</v>
      </c>
      <c r="B32" s="50" t="s">
        <v>138</v>
      </c>
      <c r="C32" s="50" t="s">
        <v>139</v>
      </c>
      <c r="D32" s="50" t="s">
        <v>140</v>
      </c>
      <c r="E32" s="50" t="s">
        <v>1347</v>
      </c>
      <c r="F32" s="50" t="s">
        <v>1284</v>
      </c>
      <c r="G32" s="51" t="s">
        <v>141</v>
      </c>
      <c r="H32" s="51" t="s">
        <v>80</v>
      </c>
      <c r="I32" s="51" t="s">
        <v>142</v>
      </c>
      <c r="J32" s="35"/>
      <c r="K32" s="52" t="s">
        <v>38</v>
      </c>
      <c r="L32" s="51" t="s">
        <v>143</v>
      </c>
      <c r="M32" s="52" t="s">
        <v>95</v>
      </c>
      <c r="N32" s="35"/>
      <c r="O32" s="51" t="s">
        <v>144</v>
      </c>
      <c r="P32" s="52" t="s">
        <v>112</v>
      </c>
      <c r="Q32" s="52" t="s">
        <v>112</v>
      </c>
      <c r="R32" s="35"/>
      <c r="S32" s="36" t="str">
        <f>"642,5"</f>
        <v>642,5</v>
      </c>
      <c r="T32" s="35" t="str">
        <f>"398,7355"</f>
        <v>398,7355</v>
      </c>
      <c r="U32" s="50"/>
    </row>
    <row r="33" spans="1:21">
      <c r="A33" s="35">
        <v>4</v>
      </c>
      <c r="B33" s="50" t="s">
        <v>145</v>
      </c>
      <c r="C33" s="50" t="s">
        <v>146</v>
      </c>
      <c r="D33" s="50" t="s">
        <v>147</v>
      </c>
      <c r="E33" s="50" t="s">
        <v>1347</v>
      </c>
      <c r="F33" s="50" t="s">
        <v>1285</v>
      </c>
      <c r="G33" s="51" t="s">
        <v>36</v>
      </c>
      <c r="H33" s="51" t="s">
        <v>14</v>
      </c>
      <c r="I33" s="51" t="s">
        <v>148</v>
      </c>
      <c r="J33" s="35"/>
      <c r="K33" s="51" t="s">
        <v>38</v>
      </c>
      <c r="L33" s="51" t="s">
        <v>18</v>
      </c>
      <c r="M33" s="52" t="s">
        <v>143</v>
      </c>
      <c r="N33" s="35"/>
      <c r="O33" s="51" t="s">
        <v>15</v>
      </c>
      <c r="P33" s="51" t="s">
        <v>16</v>
      </c>
      <c r="Q33" s="35"/>
      <c r="R33" s="35"/>
      <c r="S33" s="36" t="str">
        <f>"637,5"</f>
        <v>637,5</v>
      </c>
      <c r="T33" s="35" t="str">
        <f>"398,0550"</f>
        <v>398,0550</v>
      </c>
      <c r="U33" s="50"/>
    </row>
    <row r="34" spans="1:21">
      <c r="A34" s="35">
        <v>5</v>
      </c>
      <c r="B34" s="50" t="s">
        <v>149</v>
      </c>
      <c r="C34" s="50" t="s">
        <v>150</v>
      </c>
      <c r="D34" s="50" t="s">
        <v>151</v>
      </c>
      <c r="E34" s="50" t="s">
        <v>1347</v>
      </c>
      <c r="F34" s="50" t="s">
        <v>1244</v>
      </c>
      <c r="G34" s="51" t="s">
        <v>18</v>
      </c>
      <c r="H34" s="51" t="s">
        <v>40</v>
      </c>
      <c r="I34" s="51" t="s">
        <v>78</v>
      </c>
      <c r="J34" s="35"/>
      <c r="K34" s="52" t="s">
        <v>63</v>
      </c>
      <c r="L34" s="51" t="s">
        <v>152</v>
      </c>
      <c r="M34" s="51" t="s">
        <v>103</v>
      </c>
      <c r="N34" s="35"/>
      <c r="O34" s="51" t="s">
        <v>18</v>
      </c>
      <c r="P34" s="51" t="s">
        <v>77</v>
      </c>
      <c r="Q34" s="51" t="s">
        <v>35</v>
      </c>
      <c r="R34" s="35"/>
      <c r="S34" s="36" t="str">
        <f>"535,0"</f>
        <v>535,0</v>
      </c>
      <c r="T34" s="35" t="str">
        <f>"334,7495"</f>
        <v>334,7495</v>
      </c>
      <c r="U34" s="50"/>
    </row>
    <row r="35" spans="1:21">
      <c r="A35" s="30">
        <v>1</v>
      </c>
      <c r="B35" s="40" t="s">
        <v>153</v>
      </c>
      <c r="C35" s="40" t="s">
        <v>1184</v>
      </c>
      <c r="D35" s="40" t="s">
        <v>154</v>
      </c>
      <c r="E35" s="40" t="s">
        <v>1348</v>
      </c>
      <c r="F35" s="40" t="s">
        <v>1286</v>
      </c>
      <c r="G35" s="41" t="s">
        <v>36</v>
      </c>
      <c r="H35" s="42" t="s">
        <v>80</v>
      </c>
      <c r="I35" s="41" t="s">
        <v>80</v>
      </c>
      <c r="J35" s="30"/>
      <c r="K35" s="41" t="s">
        <v>17</v>
      </c>
      <c r="L35" s="41" t="s">
        <v>18</v>
      </c>
      <c r="M35" s="42" t="s">
        <v>95</v>
      </c>
      <c r="N35" s="30"/>
      <c r="O35" s="42" t="s">
        <v>15</v>
      </c>
      <c r="P35" s="41" t="s">
        <v>15</v>
      </c>
      <c r="Q35" s="42" t="s">
        <v>23</v>
      </c>
      <c r="R35" s="30"/>
      <c r="S35" s="33" t="str">
        <f>"625,0"</f>
        <v>625,0</v>
      </c>
      <c r="T35" s="30" t="str">
        <f>"401,4180"</f>
        <v>401,4180</v>
      </c>
      <c r="U35" s="40" t="s">
        <v>1224</v>
      </c>
    </row>
    <row r="37" spans="1:21" ht="16">
      <c r="A37" s="66" t="s">
        <v>11</v>
      </c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21">
      <c r="A38" s="29">
        <v>1</v>
      </c>
      <c r="B38" s="37" t="s">
        <v>155</v>
      </c>
      <c r="C38" s="37" t="s">
        <v>156</v>
      </c>
      <c r="D38" s="37" t="s">
        <v>157</v>
      </c>
      <c r="E38" s="37" t="s">
        <v>1347</v>
      </c>
      <c r="F38" s="37" t="s">
        <v>1251</v>
      </c>
      <c r="G38" s="38" t="s">
        <v>23</v>
      </c>
      <c r="H38" s="38" t="s">
        <v>24</v>
      </c>
      <c r="I38" s="39" t="s">
        <v>158</v>
      </c>
      <c r="J38" s="29"/>
      <c r="K38" s="38" t="s">
        <v>95</v>
      </c>
      <c r="L38" s="39" t="s">
        <v>77</v>
      </c>
      <c r="M38" s="39" t="s">
        <v>97</v>
      </c>
      <c r="N38" s="29"/>
      <c r="O38" s="38" t="s">
        <v>23</v>
      </c>
      <c r="P38" s="39" t="s">
        <v>89</v>
      </c>
      <c r="Q38" s="29"/>
      <c r="R38" s="29"/>
      <c r="S38" s="32" t="str">
        <f>"700,0"</f>
        <v>700,0</v>
      </c>
      <c r="T38" s="29" t="str">
        <f>"416,2200"</f>
        <v>416,2200</v>
      </c>
      <c r="U38" s="37"/>
    </row>
    <row r="39" spans="1:21">
      <c r="A39" s="35">
        <v>2</v>
      </c>
      <c r="B39" s="50" t="s">
        <v>159</v>
      </c>
      <c r="C39" s="50" t="s">
        <v>160</v>
      </c>
      <c r="D39" s="50" t="s">
        <v>161</v>
      </c>
      <c r="E39" s="50" t="s">
        <v>1347</v>
      </c>
      <c r="F39" s="50" t="s">
        <v>1287</v>
      </c>
      <c r="G39" s="52" t="s">
        <v>37</v>
      </c>
      <c r="H39" s="51" t="s">
        <v>80</v>
      </c>
      <c r="I39" s="52" t="s">
        <v>119</v>
      </c>
      <c r="J39" s="35"/>
      <c r="K39" s="52" t="s">
        <v>95</v>
      </c>
      <c r="L39" s="51" t="s">
        <v>95</v>
      </c>
      <c r="M39" s="51" t="s">
        <v>77</v>
      </c>
      <c r="N39" s="35"/>
      <c r="O39" s="51" t="s">
        <v>16</v>
      </c>
      <c r="P39" s="51" t="s">
        <v>162</v>
      </c>
      <c r="Q39" s="52" t="s">
        <v>134</v>
      </c>
      <c r="R39" s="35"/>
      <c r="S39" s="36" t="str">
        <f>"670,0"</f>
        <v>670,0</v>
      </c>
      <c r="T39" s="35" t="str">
        <f>"395,9700"</f>
        <v>395,9700</v>
      </c>
      <c r="U39" s="50" t="s">
        <v>715</v>
      </c>
    </row>
    <row r="40" spans="1:21">
      <c r="A40" s="35">
        <v>3</v>
      </c>
      <c r="B40" s="50" t="s">
        <v>163</v>
      </c>
      <c r="C40" s="50" t="s">
        <v>164</v>
      </c>
      <c r="D40" s="50" t="s">
        <v>165</v>
      </c>
      <c r="E40" s="50" t="s">
        <v>1347</v>
      </c>
      <c r="F40" s="50" t="s">
        <v>1244</v>
      </c>
      <c r="G40" s="51" t="s">
        <v>78</v>
      </c>
      <c r="H40" s="51" t="s">
        <v>35</v>
      </c>
      <c r="I40" s="52" t="s">
        <v>102</v>
      </c>
      <c r="J40" s="35"/>
      <c r="K40" s="51" t="s">
        <v>166</v>
      </c>
      <c r="L40" s="51" t="s">
        <v>167</v>
      </c>
      <c r="M40" s="51" t="s">
        <v>79</v>
      </c>
      <c r="N40" s="35"/>
      <c r="O40" s="51" t="s">
        <v>35</v>
      </c>
      <c r="P40" s="51" t="s">
        <v>36</v>
      </c>
      <c r="Q40" s="51" t="s">
        <v>37</v>
      </c>
      <c r="R40" s="35"/>
      <c r="S40" s="36" t="str">
        <f>"535,0"</f>
        <v>535,0</v>
      </c>
      <c r="T40" s="35" t="str">
        <f>"323,6750"</f>
        <v>323,6750</v>
      </c>
      <c r="U40" s="50"/>
    </row>
    <row r="41" spans="1:21">
      <c r="A41" s="30">
        <v>1</v>
      </c>
      <c r="B41" s="40" t="s">
        <v>168</v>
      </c>
      <c r="C41" s="40" t="s">
        <v>1185</v>
      </c>
      <c r="D41" s="40" t="s">
        <v>169</v>
      </c>
      <c r="E41" s="40" t="s">
        <v>1355</v>
      </c>
      <c r="F41" s="40" t="s">
        <v>1288</v>
      </c>
      <c r="G41" s="41" t="s">
        <v>35</v>
      </c>
      <c r="H41" s="41" t="s">
        <v>14</v>
      </c>
      <c r="I41" s="41" t="s">
        <v>41</v>
      </c>
      <c r="J41" s="30"/>
      <c r="K41" s="41" t="s">
        <v>79</v>
      </c>
      <c r="L41" s="41" t="s">
        <v>88</v>
      </c>
      <c r="M41" s="41" t="s">
        <v>17</v>
      </c>
      <c r="N41" s="30"/>
      <c r="O41" s="41" t="s">
        <v>14</v>
      </c>
      <c r="P41" s="41" t="s">
        <v>119</v>
      </c>
      <c r="Q41" s="42" t="s">
        <v>19</v>
      </c>
      <c r="R41" s="30"/>
      <c r="S41" s="33" t="str">
        <f>"615,0"</f>
        <v>615,0</v>
      </c>
      <c r="T41" s="30" t="str">
        <f>"503,1094"</f>
        <v>503,1094</v>
      </c>
      <c r="U41" s="40" t="s">
        <v>1225</v>
      </c>
    </row>
    <row r="43" spans="1:21" ht="16">
      <c r="A43" s="66" t="s">
        <v>20</v>
      </c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21">
      <c r="A44" s="29">
        <v>1</v>
      </c>
      <c r="B44" s="37" t="s">
        <v>170</v>
      </c>
      <c r="C44" s="37" t="s">
        <v>171</v>
      </c>
      <c r="D44" s="37" t="s">
        <v>172</v>
      </c>
      <c r="E44" s="37" t="s">
        <v>1347</v>
      </c>
      <c r="F44" s="37" t="s">
        <v>1278</v>
      </c>
      <c r="G44" s="38" t="s">
        <v>41</v>
      </c>
      <c r="H44" s="38" t="s">
        <v>15</v>
      </c>
      <c r="I44" s="38" t="s">
        <v>16</v>
      </c>
      <c r="J44" s="29"/>
      <c r="K44" s="38" t="s">
        <v>78</v>
      </c>
      <c r="L44" s="38" t="s">
        <v>125</v>
      </c>
      <c r="M44" s="38" t="s">
        <v>35</v>
      </c>
      <c r="N44" s="29"/>
      <c r="O44" s="38" t="s">
        <v>90</v>
      </c>
      <c r="P44" s="38" t="s">
        <v>173</v>
      </c>
      <c r="Q44" s="39" t="s">
        <v>174</v>
      </c>
      <c r="R44" s="29"/>
      <c r="S44" s="32" t="str">
        <f>"765,0"</f>
        <v>765,0</v>
      </c>
      <c r="T44" s="29" t="str">
        <f>"443,0880"</f>
        <v>443,0880</v>
      </c>
      <c r="U44" s="37"/>
    </row>
    <row r="45" spans="1:21">
      <c r="A45" s="30" t="s">
        <v>31</v>
      </c>
      <c r="B45" s="40" t="s">
        <v>175</v>
      </c>
      <c r="C45" s="40" t="s">
        <v>176</v>
      </c>
      <c r="D45" s="40" t="s">
        <v>177</v>
      </c>
      <c r="E45" s="40" t="s">
        <v>1347</v>
      </c>
      <c r="F45" s="40" t="s">
        <v>1244</v>
      </c>
      <c r="G45" s="42" t="s">
        <v>158</v>
      </c>
      <c r="H45" s="42" t="s">
        <v>178</v>
      </c>
      <c r="I45" s="42" t="s">
        <v>90</v>
      </c>
      <c r="J45" s="30"/>
      <c r="K45" s="42"/>
      <c r="L45" s="30"/>
      <c r="M45" s="30"/>
      <c r="N45" s="30"/>
      <c r="O45" s="42"/>
      <c r="P45" s="30"/>
      <c r="Q45" s="30"/>
      <c r="R45" s="30"/>
      <c r="S45" s="33">
        <v>0</v>
      </c>
      <c r="T45" s="30" t="str">
        <f>"0,0000"</f>
        <v>0,0000</v>
      </c>
      <c r="U45" s="40"/>
    </row>
    <row r="47" spans="1:21" ht="16">
      <c r="A47" s="66" t="s">
        <v>179</v>
      </c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1:21">
      <c r="A48" s="23">
        <v>1</v>
      </c>
      <c r="B48" s="26" t="s">
        <v>180</v>
      </c>
      <c r="C48" s="26" t="s">
        <v>181</v>
      </c>
      <c r="D48" s="26" t="s">
        <v>182</v>
      </c>
      <c r="E48" s="26" t="s">
        <v>1347</v>
      </c>
      <c r="F48" s="26" t="s">
        <v>1244</v>
      </c>
      <c r="G48" s="43" t="s">
        <v>134</v>
      </c>
      <c r="H48" s="44" t="s">
        <v>158</v>
      </c>
      <c r="I48" s="44" t="s">
        <v>158</v>
      </c>
      <c r="J48" s="23"/>
      <c r="K48" s="43" t="s">
        <v>40</v>
      </c>
      <c r="L48" s="44" t="s">
        <v>97</v>
      </c>
      <c r="M48" s="23"/>
      <c r="N48" s="23"/>
      <c r="O48" s="43" t="s">
        <v>16</v>
      </c>
      <c r="P48" s="43" t="s">
        <v>24</v>
      </c>
      <c r="Q48" s="44" t="s">
        <v>114</v>
      </c>
      <c r="R48" s="23"/>
      <c r="S48" s="34" t="str">
        <f>"720,0"</f>
        <v>720,0</v>
      </c>
      <c r="T48" s="23" t="str">
        <f>"407,3760"</f>
        <v>407,3760</v>
      </c>
      <c r="U48" s="26" t="s">
        <v>1226</v>
      </c>
    </row>
    <row r="50" spans="2:7" ht="16">
      <c r="F50" s="45"/>
      <c r="G50" s="24"/>
    </row>
    <row r="51" spans="2:7">
      <c r="G51" s="24"/>
    </row>
    <row r="52" spans="2:7" ht="18">
      <c r="B52" s="46" t="s">
        <v>7</v>
      </c>
      <c r="C52" s="46"/>
      <c r="G52" s="3"/>
    </row>
    <row r="53" spans="2:7" ht="16">
      <c r="B53" s="47" t="s">
        <v>25</v>
      </c>
      <c r="C53" s="47"/>
      <c r="G53" s="3"/>
    </row>
    <row r="54" spans="2:7" ht="14">
      <c r="B54" s="48"/>
      <c r="C54" s="49" t="s">
        <v>184</v>
      </c>
      <c r="G54" s="3"/>
    </row>
    <row r="55" spans="2:7" ht="14">
      <c r="B55" s="27" t="s">
        <v>27</v>
      </c>
      <c r="C55" s="27" t="s">
        <v>28</v>
      </c>
      <c r="D55" s="27" t="s">
        <v>1214</v>
      </c>
      <c r="E55" s="27" t="s">
        <v>29</v>
      </c>
      <c r="F55" s="27" t="s">
        <v>30</v>
      </c>
      <c r="G55" s="3"/>
    </row>
    <row r="56" spans="2:7">
      <c r="B56" s="24" t="s">
        <v>105</v>
      </c>
      <c r="C56" s="24" t="s">
        <v>184</v>
      </c>
      <c r="D56" s="28">
        <v>90</v>
      </c>
      <c r="E56" s="28" t="s">
        <v>186</v>
      </c>
      <c r="F56" s="28">
        <v>4724160</v>
      </c>
      <c r="G56" s="3"/>
    </row>
    <row r="57" spans="2:7">
      <c r="B57" s="24" t="s">
        <v>109</v>
      </c>
      <c r="C57" s="24" t="s">
        <v>184</v>
      </c>
      <c r="D57" s="28">
        <v>90</v>
      </c>
      <c r="E57" s="28" t="s">
        <v>187</v>
      </c>
      <c r="F57" s="28">
        <v>4644350</v>
      </c>
      <c r="G57" s="3"/>
    </row>
    <row r="58" spans="2:7">
      <c r="B58" s="24" t="s">
        <v>131</v>
      </c>
      <c r="C58" s="24" t="s">
        <v>184</v>
      </c>
      <c r="D58" s="28">
        <v>100</v>
      </c>
      <c r="E58" s="28" t="s">
        <v>188</v>
      </c>
      <c r="F58" s="28">
        <v>4624620</v>
      </c>
      <c r="G58" s="3"/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3:R43"/>
    <mergeCell ref="A47:R47"/>
    <mergeCell ref="B3:B4"/>
    <mergeCell ref="A8:R8"/>
    <mergeCell ref="A11:R11"/>
    <mergeCell ref="A16:R16"/>
    <mergeCell ref="A20:R20"/>
    <mergeCell ref="A28:R28"/>
    <mergeCell ref="A37:R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6"/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24" bestFit="1" customWidth="1"/>
    <col min="2" max="2" width="21.83203125" style="5" bestFit="1" customWidth="1"/>
    <col min="3" max="3" width="28.5" style="5" bestFit="1" customWidth="1"/>
    <col min="4" max="4" width="20.83203125" style="5" bestFit="1" customWidth="1"/>
    <col min="5" max="5" width="10.1640625" style="24" bestFit="1" customWidth="1"/>
    <col min="6" max="6" width="21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10.1640625" style="6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99" t="s">
        <v>1189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2" customFormat="1" ht="62" customHeight="1" thickBot="1">
      <c r="A2" s="103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1" customFormat="1" ht="12.75" customHeight="1">
      <c r="A3" s="86" t="s">
        <v>1243</v>
      </c>
      <c r="B3" s="91" t="s">
        <v>0</v>
      </c>
      <c r="C3" s="109" t="s">
        <v>1345</v>
      </c>
      <c r="D3" s="109" t="s">
        <v>5</v>
      </c>
      <c r="E3" s="72" t="s">
        <v>1346</v>
      </c>
      <c r="F3" s="93" t="s">
        <v>6</v>
      </c>
      <c r="G3" s="93" t="s">
        <v>9</v>
      </c>
      <c r="H3" s="93"/>
      <c r="I3" s="93"/>
      <c r="J3" s="93"/>
      <c r="K3" s="93" t="s">
        <v>619</v>
      </c>
      <c r="L3" s="93" t="s">
        <v>3</v>
      </c>
      <c r="M3" s="95" t="s">
        <v>2</v>
      </c>
    </row>
    <row r="4" spans="1:13" s="1" customFormat="1" ht="21" customHeight="1" thickBot="1">
      <c r="A4" s="87"/>
      <c r="B4" s="92"/>
      <c r="C4" s="94"/>
      <c r="D4" s="94"/>
      <c r="E4" s="73"/>
      <c r="F4" s="94"/>
      <c r="G4" s="25">
        <v>1</v>
      </c>
      <c r="H4" s="25">
        <v>2</v>
      </c>
      <c r="I4" s="25">
        <v>3</v>
      </c>
      <c r="J4" s="4" t="s">
        <v>4</v>
      </c>
      <c r="K4" s="94"/>
      <c r="L4" s="94"/>
      <c r="M4" s="96"/>
    </row>
    <row r="5" spans="1:13" ht="16">
      <c r="A5" s="97" t="s">
        <v>54</v>
      </c>
      <c r="B5" s="97"/>
      <c r="C5" s="98"/>
      <c r="D5" s="98"/>
      <c r="E5" s="98"/>
      <c r="F5" s="98"/>
      <c r="G5" s="98"/>
      <c r="H5" s="98"/>
      <c r="I5" s="98"/>
      <c r="J5" s="98"/>
    </row>
    <row r="6" spans="1:13">
      <c r="A6" s="23">
        <v>1</v>
      </c>
      <c r="B6" s="7" t="s">
        <v>1021</v>
      </c>
      <c r="C6" s="7" t="s">
        <v>1083</v>
      </c>
      <c r="D6" s="7" t="s">
        <v>1022</v>
      </c>
      <c r="E6" s="26" t="s">
        <v>1351</v>
      </c>
      <c r="F6" s="7" t="s">
        <v>1278</v>
      </c>
      <c r="G6" s="9" t="s">
        <v>51</v>
      </c>
      <c r="H6" s="9" t="s">
        <v>209</v>
      </c>
      <c r="I6" s="10" t="s">
        <v>210</v>
      </c>
      <c r="J6" s="8"/>
      <c r="K6" s="8" t="str">
        <f>"60,0"</f>
        <v>60,0</v>
      </c>
      <c r="L6" s="8" t="str">
        <f>"58,1070"</f>
        <v>58,1070</v>
      </c>
      <c r="M6" s="7" t="s">
        <v>66</v>
      </c>
    </row>
    <row r="8" spans="1:13" ht="16">
      <c r="A8" s="89" t="s">
        <v>67</v>
      </c>
      <c r="B8" s="89"/>
      <c r="C8" s="90"/>
      <c r="D8" s="90"/>
      <c r="E8" s="90"/>
      <c r="F8" s="90"/>
      <c r="G8" s="90"/>
      <c r="H8" s="90"/>
      <c r="I8" s="90"/>
      <c r="J8" s="90"/>
    </row>
    <row r="9" spans="1:13">
      <c r="A9" s="23">
        <v>1</v>
      </c>
      <c r="B9" s="7" t="s">
        <v>1076</v>
      </c>
      <c r="C9" s="7" t="s">
        <v>1077</v>
      </c>
      <c r="D9" s="7" t="s">
        <v>1078</v>
      </c>
      <c r="E9" s="26" t="s">
        <v>1348</v>
      </c>
      <c r="F9" s="7" t="s">
        <v>1251</v>
      </c>
      <c r="G9" s="9" t="s">
        <v>194</v>
      </c>
      <c r="H9" s="9" t="s">
        <v>166</v>
      </c>
      <c r="I9" s="9" t="s">
        <v>60</v>
      </c>
      <c r="J9" s="8"/>
      <c r="K9" s="8" t="str">
        <f>"117,5"</f>
        <v>117,5</v>
      </c>
      <c r="L9" s="8" t="str">
        <f>"83,0141"</f>
        <v>83,0141</v>
      </c>
      <c r="M9" s="7" t="s">
        <v>1079</v>
      </c>
    </row>
    <row r="11" spans="1:13" ht="16">
      <c r="A11" s="89" t="s">
        <v>99</v>
      </c>
      <c r="B11" s="89"/>
      <c r="C11" s="90"/>
      <c r="D11" s="90"/>
      <c r="E11" s="90"/>
      <c r="F11" s="90"/>
      <c r="G11" s="90"/>
      <c r="H11" s="90"/>
      <c r="I11" s="90"/>
      <c r="J11" s="90"/>
    </row>
    <row r="12" spans="1:13">
      <c r="A12" s="23">
        <v>1</v>
      </c>
      <c r="B12" s="7" t="s">
        <v>1080</v>
      </c>
      <c r="C12" s="7" t="s">
        <v>1081</v>
      </c>
      <c r="D12" s="7" t="s">
        <v>1082</v>
      </c>
      <c r="E12" s="26" t="s">
        <v>1348</v>
      </c>
      <c r="F12" s="7" t="s">
        <v>1244</v>
      </c>
      <c r="G12" s="9" t="s">
        <v>61</v>
      </c>
      <c r="H12" s="9" t="s">
        <v>52</v>
      </c>
      <c r="I12" s="10" t="s">
        <v>220</v>
      </c>
      <c r="J12" s="8"/>
      <c r="K12" s="8" t="str">
        <f>"80,0"</f>
        <v>80,0</v>
      </c>
      <c r="L12" s="8" t="str">
        <f>"50,3023"</f>
        <v>50,3023</v>
      </c>
      <c r="M12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Лист27"/>
  <dimension ref="A1:M120"/>
  <sheetViews>
    <sheetView topLeftCell="A63" workbookViewId="0">
      <selection activeCell="E97" sqref="E97"/>
    </sheetView>
  </sheetViews>
  <sheetFormatPr baseColWidth="10" defaultColWidth="9.1640625" defaultRowHeight="13"/>
  <cols>
    <col min="1" max="1" width="7.1640625" style="24" bestFit="1" customWidth="1"/>
    <col min="2" max="2" width="22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2.1640625" style="24" bestFit="1" customWidth="1"/>
    <col min="7" max="10" width="5.5" style="28" customWidth="1"/>
    <col min="11" max="11" width="10.5" style="28" bestFit="1" customWidth="1"/>
    <col min="12" max="12" width="8.5" style="28" bestFit="1" customWidth="1"/>
    <col min="13" max="13" width="29.83203125" style="24" bestFit="1" customWidth="1"/>
    <col min="14" max="16384" width="9.1640625" style="3"/>
  </cols>
  <sheetData>
    <row r="1" spans="1:13" s="2" customFormat="1" ht="29" customHeight="1">
      <c r="A1" s="78" t="s">
        <v>1200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10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189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9">
        <v>1</v>
      </c>
      <c r="B6" s="37" t="s">
        <v>190</v>
      </c>
      <c r="C6" s="37" t="s">
        <v>191</v>
      </c>
      <c r="D6" s="37" t="s">
        <v>192</v>
      </c>
      <c r="E6" s="37" t="s">
        <v>1347</v>
      </c>
      <c r="F6" s="37" t="s">
        <v>1244</v>
      </c>
      <c r="G6" s="39" t="s">
        <v>71</v>
      </c>
      <c r="H6" s="38" t="s">
        <v>63</v>
      </c>
      <c r="I6" s="39" t="s">
        <v>88</v>
      </c>
      <c r="J6" s="29"/>
      <c r="K6" s="29" t="str">
        <f>"130,0"</f>
        <v>130,0</v>
      </c>
      <c r="L6" s="29" t="str">
        <f>"173,4980"</f>
        <v>173,4980</v>
      </c>
      <c r="M6" s="37" t="s">
        <v>197</v>
      </c>
    </row>
    <row r="7" spans="1:13">
      <c r="A7" s="30">
        <v>2</v>
      </c>
      <c r="B7" s="40" t="s">
        <v>859</v>
      </c>
      <c r="C7" s="40" t="s">
        <v>860</v>
      </c>
      <c r="D7" s="40" t="s">
        <v>192</v>
      </c>
      <c r="E7" s="40" t="s">
        <v>1347</v>
      </c>
      <c r="F7" s="40" t="s">
        <v>1244</v>
      </c>
      <c r="G7" s="41" t="s">
        <v>255</v>
      </c>
      <c r="H7" s="42" t="s">
        <v>320</v>
      </c>
      <c r="I7" s="41" t="s">
        <v>320</v>
      </c>
      <c r="J7" s="30"/>
      <c r="K7" s="30" t="str">
        <f>"97,5"</f>
        <v>97,5</v>
      </c>
      <c r="L7" s="30" t="str">
        <f>"130,1235"</f>
        <v>130,1235</v>
      </c>
      <c r="M7" s="40" t="s">
        <v>861</v>
      </c>
    </row>
    <row r="9" spans="1:13" ht="16">
      <c r="A9" s="66" t="s">
        <v>54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29">
        <v>1</v>
      </c>
      <c r="B10" s="37" t="s">
        <v>198</v>
      </c>
      <c r="C10" s="37" t="s">
        <v>199</v>
      </c>
      <c r="D10" s="37" t="s">
        <v>200</v>
      </c>
      <c r="E10" s="37" t="s">
        <v>1347</v>
      </c>
      <c r="F10" s="37" t="s">
        <v>1245</v>
      </c>
      <c r="G10" s="38" t="s">
        <v>88</v>
      </c>
      <c r="H10" s="38" t="s">
        <v>64</v>
      </c>
      <c r="I10" s="39" t="s">
        <v>17</v>
      </c>
      <c r="J10" s="29"/>
      <c r="K10" s="29" t="str">
        <f>"142,5"</f>
        <v>142,5</v>
      </c>
      <c r="L10" s="29" t="str">
        <f>"179,5072"</f>
        <v>179,5072</v>
      </c>
      <c r="M10" s="37" t="s">
        <v>202</v>
      </c>
    </row>
    <row r="11" spans="1:13">
      <c r="A11" s="35">
        <v>2</v>
      </c>
      <c r="B11" s="50" t="s">
        <v>203</v>
      </c>
      <c r="C11" s="50" t="s">
        <v>204</v>
      </c>
      <c r="D11" s="50" t="s">
        <v>205</v>
      </c>
      <c r="E11" s="50" t="s">
        <v>1347</v>
      </c>
      <c r="F11" s="50" t="s">
        <v>1246</v>
      </c>
      <c r="G11" s="51" t="s">
        <v>79</v>
      </c>
      <c r="H11" s="51" t="s">
        <v>72</v>
      </c>
      <c r="I11" s="51" t="s">
        <v>88</v>
      </c>
      <c r="J11" s="35"/>
      <c r="K11" s="35" t="str">
        <f>"135,0"</f>
        <v>135,0</v>
      </c>
      <c r="L11" s="35" t="str">
        <f>"169,8030"</f>
        <v>169,8030</v>
      </c>
      <c r="M11" s="50" t="s">
        <v>202</v>
      </c>
    </row>
    <row r="12" spans="1:13">
      <c r="A12" s="35">
        <v>3</v>
      </c>
      <c r="B12" s="50" t="s">
        <v>862</v>
      </c>
      <c r="C12" s="50" t="s">
        <v>863</v>
      </c>
      <c r="D12" s="50" t="s">
        <v>864</v>
      </c>
      <c r="E12" s="50" t="s">
        <v>1347</v>
      </c>
      <c r="F12" s="50" t="s">
        <v>1244</v>
      </c>
      <c r="G12" s="51" t="s">
        <v>88</v>
      </c>
      <c r="H12" s="52" t="s">
        <v>103</v>
      </c>
      <c r="I12" s="52" t="s">
        <v>103</v>
      </c>
      <c r="J12" s="35"/>
      <c r="K12" s="35" t="str">
        <f>"135,0"</f>
        <v>135,0</v>
      </c>
      <c r="L12" s="35" t="str">
        <f>"168,8040"</f>
        <v>168,8040</v>
      </c>
      <c r="M12" s="50" t="s">
        <v>865</v>
      </c>
    </row>
    <row r="13" spans="1:13">
      <c r="A13" s="35">
        <v>4</v>
      </c>
      <c r="B13" s="50" t="s">
        <v>227</v>
      </c>
      <c r="C13" s="50" t="s">
        <v>228</v>
      </c>
      <c r="D13" s="50" t="s">
        <v>229</v>
      </c>
      <c r="E13" s="50" t="s">
        <v>1347</v>
      </c>
      <c r="F13" s="50" t="s">
        <v>1244</v>
      </c>
      <c r="G13" s="51" t="s">
        <v>193</v>
      </c>
      <c r="H13" s="51" t="s">
        <v>232</v>
      </c>
      <c r="I13" s="35"/>
      <c r="J13" s="35"/>
      <c r="K13" s="35" t="str">
        <f>"102,5"</f>
        <v>102,5</v>
      </c>
      <c r="L13" s="35" t="str">
        <f>"130,4825"</f>
        <v>130,4825</v>
      </c>
      <c r="M13" s="50" t="s">
        <v>233</v>
      </c>
    </row>
    <row r="14" spans="1:13">
      <c r="A14" s="30">
        <v>5</v>
      </c>
      <c r="B14" s="40" t="s">
        <v>866</v>
      </c>
      <c r="C14" s="40" t="s">
        <v>867</v>
      </c>
      <c r="D14" s="40" t="s">
        <v>200</v>
      </c>
      <c r="E14" s="40" t="s">
        <v>1347</v>
      </c>
      <c r="F14" s="40" t="s">
        <v>1244</v>
      </c>
      <c r="G14" s="41" t="s">
        <v>221</v>
      </c>
      <c r="H14" s="41" t="s">
        <v>232</v>
      </c>
      <c r="I14" s="42" t="s">
        <v>194</v>
      </c>
      <c r="J14" s="30"/>
      <c r="K14" s="30" t="str">
        <f>"102,5"</f>
        <v>102,5</v>
      </c>
      <c r="L14" s="30" t="str">
        <f>"129,1192"</f>
        <v>129,1192</v>
      </c>
      <c r="M14" s="40" t="s">
        <v>868</v>
      </c>
    </row>
    <row r="16" spans="1:13" ht="16">
      <c r="A16" s="66" t="s">
        <v>240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9">
        <v>1</v>
      </c>
      <c r="B17" s="37" t="s">
        <v>869</v>
      </c>
      <c r="C17" s="37" t="s">
        <v>870</v>
      </c>
      <c r="D17" s="37" t="s">
        <v>638</v>
      </c>
      <c r="E17" s="37" t="s">
        <v>1350</v>
      </c>
      <c r="F17" s="37" t="s">
        <v>1244</v>
      </c>
      <c r="G17" s="38" t="s">
        <v>276</v>
      </c>
      <c r="H17" s="38" t="s">
        <v>52</v>
      </c>
      <c r="I17" s="38" t="s">
        <v>62</v>
      </c>
      <c r="J17" s="29"/>
      <c r="K17" s="29" t="str">
        <f>"82,5"</f>
        <v>82,5</v>
      </c>
      <c r="L17" s="29" t="str">
        <f>"98,7277"</f>
        <v>98,7277</v>
      </c>
      <c r="M17" s="37"/>
    </row>
    <row r="18" spans="1:13">
      <c r="A18" s="35">
        <v>1</v>
      </c>
      <c r="B18" s="50" t="s">
        <v>241</v>
      </c>
      <c r="C18" s="50" t="s">
        <v>242</v>
      </c>
      <c r="D18" s="50" t="s">
        <v>243</v>
      </c>
      <c r="E18" s="50" t="s">
        <v>1347</v>
      </c>
      <c r="F18" s="50" t="s">
        <v>1244</v>
      </c>
      <c r="G18" s="51" t="s">
        <v>39</v>
      </c>
      <c r="H18" s="51" t="s">
        <v>245</v>
      </c>
      <c r="I18" s="52" t="s">
        <v>246</v>
      </c>
      <c r="J18" s="35"/>
      <c r="K18" s="35" t="str">
        <f>"172,5"</f>
        <v>172,5</v>
      </c>
      <c r="L18" s="35" t="str">
        <f>"203,8260"</f>
        <v>203,8260</v>
      </c>
      <c r="M18" s="50" t="s">
        <v>247</v>
      </c>
    </row>
    <row r="19" spans="1:13">
      <c r="A19" s="35">
        <v>2</v>
      </c>
      <c r="B19" s="50" t="s">
        <v>871</v>
      </c>
      <c r="C19" s="50" t="s">
        <v>872</v>
      </c>
      <c r="D19" s="50" t="s">
        <v>873</v>
      </c>
      <c r="E19" s="50" t="s">
        <v>1347</v>
      </c>
      <c r="F19" s="50" t="s">
        <v>1332</v>
      </c>
      <c r="G19" s="51" t="s">
        <v>95</v>
      </c>
      <c r="H19" s="52" t="s">
        <v>40</v>
      </c>
      <c r="I19" s="52" t="s">
        <v>40</v>
      </c>
      <c r="J19" s="35"/>
      <c r="K19" s="35" t="str">
        <f>"170,0"</f>
        <v>170,0</v>
      </c>
      <c r="L19" s="35" t="str">
        <f>"200,5830"</f>
        <v>200,5830</v>
      </c>
      <c r="M19" s="50" t="s">
        <v>357</v>
      </c>
    </row>
    <row r="20" spans="1:13">
      <c r="A20" s="35">
        <v>3</v>
      </c>
      <c r="B20" s="50" t="s">
        <v>874</v>
      </c>
      <c r="C20" s="50" t="s">
        <v>875</v>
      </c>
      <c r="D20" s="50" t="s">
        <v>876</v>
      </c>
      <c r="E20" s="50" t="s">
        <v>1347</v>
      </c>
      <c r="F20" s="50" t="s">
        <v>1256</v>
      </c>
      <c r="G20" s="51" t="s">
        <v>48</v>
      </c>
      <c r="H20" s="51" t="s">
        <v>62</v>
      </c>
      <c r="I20" s="51" t="s">
        <v>237</v>
      </c>
      <c r="J20" s="35"/>
      <c r="K20" s="35" t="str">
        <f>"87,5"</f>
        <v>87,5</v>
      </c>
      <c r="L20" s="35" t="str">
        <f>"107,8000"</f>
        <v>107,8000</v>
      </c>
      <c r="M20" s="50" t="s">
        <v>877</v>
      </c>
    </row>
    <row r="21" spans="1:13">
      <c r="A21" s="30">
        <v>1</v>
      </c>
      <c r="B21" s="40" t="s">
        <v>878</v>
      </c>
      <c r="C21" s="40" t="s">
        <v>1098</v>
      </c>
      <c r="D21" s="40" t="s">
        <v>250</v>
      </c>
      <c r="E21" s="40" t="s">
        <v>1352</v>
      </c>
      <c r="F21" s="40" t="s">
        <v>1244</v>
      </c>
      <c r="G21" s="41" t="s">
        <v>166</v>
      </c>
      <c r="H21" s="41" t="s">
        <v>79</v>
      </c>
      <c r="I21" s="41" t="s">
        <v>71</v>
      </c>
      <c r="J21" s="30"/>
      <c r="K21" s="30" t="str">
        <f>"125,0"</f>
        <v>125,0</v>
      </c>
      <c r="L21" s="30" t="str">
        <f>"171,7813"</f>
        <v>171,7813</v>
      </c>
      <c r="M21" s="40" t="s">
        <v>879</v>
      </c>
    </row>
    <row r="23" spans="1:13" ht="16">
      <c r="A23" s="66" t="s">
        <v>266</v>
      </c>
      <c r="B23" s="66"/>
      <c r="C23" s="67"/>
      <c r="D23" s="67"/>
      <c r="E23" s="67"/>
      <c r="F23" s="67"/>
      <c r="G23" s="67"/>
      <c r="H23" s="67"/>
      <c r="I23" s="67"/>
      <c r="J23" s="67"/>
    </row>
    <row r="24" spans="1:13">
      <c r="A24" s="29">
        <v>1</v>
      </c>
      <c r="B24" s="37" t="s">
        <v>880</v>
      </c>
      <c r="C24" s="37" t="s">
        <v>881</v>
      </c>
      <c r="D24" s="37" t="s">
        <v>882</v>
      </c>
      <c r="E24" s="37" t="s">
        <v>1350</v>
      </c>
      <c r="F24" s="37" t="s">
        <v>1244</v>
      </c>
      <c r="G24" s="38" t="s">
        <v>52</v>
      </c>
      <c r="H24" s="38" t="s">
        <v>221</v>
      </c>
      <c r="I24" s="39" t="s">
        <v>193</v>
      </c>
      <c r="J24" s="29"/>
      <c r="K24" s="29" t="str">
        <f>"90,0"</f>
        <v>90,0</v>
      </c>
      <c r="L24" s="29" t="str">
        <f>"101,5290"</f>
        <v>101,5290</v>
      </c>
      <c r="M24" s="37" t="s">
        <v>883</v>
      </c>
    </row>
    <row r="25" spans="1:13">
      <c r="A25" s="35">
        <v>1</v>
      </c>
      <c r="B25" s="50" t="s">
        <v>884</v>
      </c>
      <c r="C25" s="50" t="s">
        <v>885</v>
      </c>
      <c r="D25" s="50" t="s">
        <v>886</v>
      </c>
      <c r="E25" s="50" t="s">
        <v>1347</v>
      </c>
      <c r="F25" s="50" t="s">
        <v>1244</v>
      </c>
      <c r="G25" s="51" t="s">
        <v>71</v>
      </c>
      <c r="H25" s="51" t="s">
        <v>280</v>
      </c>
      <c r="I25" s="51" t="s">
        <v>88</v>
      </c>
      <c r="J25" s="35"/>
      <c r="K25" s="35" t="str">
        <f>"135,0"</f>
        <v>135,0</v>
      </c>
      <c r="L25" s="35" t="str">
        <f>"150,5115"</f>
        <v>150,5115</v>
      </c>
      <c r="M25" s="50" t="s">
        <v>887</v>
      </c>
    </row>
    <row r="26" spans="1:13">
      <c r="A26" s="35">
        <v>2</v>
      </c>
      <c r="B26" s="50" t="s">
        <v>888</v>
      </c>
      <c r="C26" s="50" t="s">
        <v>889</v>
      </c>
      <c r="D26" s="50" t="s">
        <v>890</v>
      </c>
      <c r="E26" s="50" t="s">
        <v>1347</v>
      </c>
      <c r="F26" s="50" t="s">
        <v>1253</v>
      </c>
      <c r="G26" s="51" t="s">
        <v>167</v>
      </c>
      <c r="H26" s="51" t="s">
        <v>79</v>
      </c>
      <c r="I26" s="51" t="s">
        <v>280</v>
      </c>
      <c r="J26" s="35"/>
      <c r="K26" s="35" t="str">
        <f>"132,5"</f>
        <v>132,5</v>
      </c>
      <c r="L26" s="35" t="str">
        <f>"149,6588"</f>
        <v>149,6588</v>
      </c>
      <c r="M26" s="50"/>
    </row>
    <row r="27" spans="1:13">
      <c r="A27" s="30">
        <v>1</v>
      </c>
      <c r="B27" s="40" t="s">
        <v>891</v>
      </c>
      <c r="C27" s="40" t="s">
        <v>1099</v>
      </c>
      <c r="D27" s="40" t="s">
        <v>513</v>
      </c>
      <c r="E27" s="40" t="s">
        <v>1348</v>
      </c>
      <c r="F27" s="40" t="s">
        <v>1244</v>
      </c>
      <c r="G27" s="41" t="s">
        <v>59</v>
      </c>
      <c r="H27" s="41" t="s">
        <v>79</v>
      </c>
      <c r="I27" s="42" t="s">
        <v>71</v>
      </c>
      <c r="J27" s="30"/>
      <c r="K27" s="30" t="str">
        <f>"120,0"</f>
        <v>120,0</v>
      </c>
      <c r="L27" s="30" t="str">
        <f>"135,5062"</f>
        <v>135,5062</v>
      </c>
      <c r="M27" s="40" t="s">
        <v>892</v>
      </c>
    </row>
    <row r="29" spans="1:13" ht="16">
      <c r="A29" s="66" t="s">
        <v>43</v>
      </c>
      <c r="B29" s="66"/>
      <c r="C29" s="67"/>
      <c r="D29" s="67"/>
      <c r="E29" s="67"/>
      <c r="F29" s="67"/>
      <c r="G29" s="67"/>
      <c r="H29" s="67"/>
      <c r="I29" s="67"/>
      <c r="J29" s="67"/>
    </row>
    <row r="30" spans="1:13">
      <c r="A30" s="29">
        <v>1</v>
      </c>
      <c r="B30" s="37" t="s">
        <v>893</v>
      </c>
      <c r="C30" s="37" t="s">
        <v>894</v>
      </c>
      <c r="D30" s="37" t="s">
        <v>895</v>
      </c>
      <c r="E30" s="37" t="s">
        <v>1347</v>
      </c>
      <c r="F30" s="37" t="s">
        <v>1297</v>
      </c>
      <c r="G30" s="38" t="s">
        <v>215</v>
      </c>
      <c r="H30" s="38" t="s">
        <v>60</v>
      </c>
      <c r="I30" s="39" t="s">
        <v>71</v>
      </c>
      <c r="J30" s="29"/>
      <c r="K30" s="29" t="str">
        <f>"117,5"</f>
        <v>117,5</v>
      </c>
      <c r="L30" s="29" t="str">
        <f>"122,7170"</f>
        <v>122,7170</v>
      </c>
      <c r="M30" s="37" t="s">
        <v>896</v>
      </c>
    </row>
    <row r="31" spans="1:13">
      <c r="A31" s="35">
        <v>2</v>
      </c>
      <c r="B31" s="50" t="s">
        <v>897</v>
      </c>
      <c r="C31" s="50" t="s">
        <v>898</v>
      </c>
      <c r="D31" s="50" t="s">
        <v>899</v>
      </c>
      <c r="E31" s="50" t="s">
        <v>1347</v>
      </c>
      <c r="F31" s="50" t="s">
        <v>1244</v>
      </c>
      <c r="G31" s="51" t="s">
        <v>221</v>
      </c>
      <c r="H31" s="51" t="s">
        <v>193</v>
      </c>
      <c r="I31" s="51" t="s">
        <v>232</v>
      </c>
      <c r="J31" s="35"/>
      <c r="K31" s="35" t="str">
        <f>"102,5"</f>
        <v>102,5</v>
      </c>
      <c r="L31" s="35" t="str">
        <f>"109,8185"</f>
        <v>109,8185</v>
      </c>
      <c r="M31" s="50" t="s">
        <v>892</v>
      </c>
    </row>
    <row r="32" spans="1:13">
      <c r="A32" s="35">
        <v>3</v>
      </c>
      <c r="B32" s="50" t="s">
        <v>900</v>
      </c>
      <c r="C32" s="50" t="s">
        <v>901</v>
      </c>
      <c r="D32" s="50" t="s">
        <v>902</v>
      </c>
      <c r="E32" s="50" t="s">
        <v>1347</v>
      </c>
      <c r="F32" s="50" t="s">
        <v>1244</v>
      </c>
      <c r="G32" s="51" t="s">
        <v>193</v>
      </c>
      <c r="H32" s="51" t="s">
        <v>58</v>
      </c>
      <c r="I32" s="52" t="s">
        <v>215</v>
      </c>
      <c r="J32" s="35"/>
      <c r="K32" s="35" t="str">
        <f>"100,0"</f>
        <v>100,0</v>
      </c>
      <c r="L32" s="35" t="str">
        <f>"104,9100"</f>
        <v>104,9100</v>
      </c>
      <c r="M32" s="50" t="s">
        <v>892</v>
      </c>
    </row>
    <row r="33" spans="1:13">
      <c r="A33" s="35">
        <v>1</v>
      </c>
      <c r="B33" s="50" t="s">
        <v>903</v>
      </c>
      <c r="C33" s="50" t="s">
        <v>1100</v>
      </c>
      <c r="D33" s="50" t="s">
        <v>46</v>
      </c>
      <c r="E33" s="50" t="s">
        <v>1348</v>
      </c>
      <c r="F33" s="50" t="s">
        <v>1244</v>
      </c>
      <c r="G33" s="51" t="s">
        <v>58</v>
      </c>
      <c r="H33" s="51" t="s">
        <v>166</v>
      </c>
      <c r="I33" s="52" t="s">
        <v>60</v>
      </c>
      <c r="J33" s="35"/>
      <c r="K33" s="35" t="str">
        <f>"110,0"</f>
        <v>110,0</v>
      </c>
      <c r="L33" s="35" t="str">
        <f>"119,7940"</f>
        <v>119,7940</v>
      </c>
      <c r="M33" s="50" t="s">
        <v>1239</v>
      </c>
    </row>
    <row r="34" spans="1:13">
      <c r="A34" s="35">
        <v>2</v>
      </c>
      <c r="B34" s="50" t="s">
        <v>904</v>
      </c>
      <c r="C34" s="50" t="s">
        <v>1101</v>
      </c>
      <c r="D34" s="50" t="s">
        <v>905</v>
      </c>
      <c r="E34" s="50" t="s">
        <v>1348</v>
      </c>
      <c r="F34" s="50" t="s">
        <v>1244</v>
      </c>
      <c r="G34" s="52" t="s">
        <v>221</v>
      </c>
      <c r="H34" s="51" t="s">
        <v>221</v>
      </c>
      <c r="I34" s="51" t="s">
        <v>193</v>
      </c>
      <c r="J34" s="35"/>
      <c r="K34" s="35" t="str">
        <f>"95,0"</f>
        <v>95,0</v>
      </c>
      <c r="L34" s="35" t="str">
        <f>"100,5312"</f>
        <v>100,5312</v>
      </c>
      <c r="M34" s="50" t="s">
        <v>892</v>
      </c>
    </row>
    <row r="35" spans="1:13">
      <c r="A35" s="30">
        <v>1</v>
      </c>
      <c r="B35" s="40" t="s">
        <v>307</v>
      </c>
      <c r="C35" s="40" t="s">
        <v>1102</v>
      </c>
      <c r="D35" s="40" t="s">
        <v>309</v>
      </c>
      <c r="E35" s="40" t="s">
        <v>1349</v>
      </c>
      <c r="F35" s="40" t="s">
        <v>1257</v>
      </c>
      <c r="G35" s="41" t="s">
        <v>79</v>
      </c>
      <c r="H35" s="41" t="s">
        <v>63</v>
      </c>
      <c r="I35" s="41" t="s">
        <v>83</v>
      </c>
      <c r="J35" s="30"/>
      <c r="K35" s="30" t="str">
        <f>"140,0"</f>
        <v>140,0</v>
      </c>
      <c r="L35" s="30" t="str">
        <f>"167,0221"</f>
        <v>167,0221</v>
      </c>
      <c r="M35" s="40" t="s">
        <v>310</v>
      </c>
    </row>
    <row r="37" spans="1:13" ht="16">
      <c r="A37" s="66" t="s">
        <v>67</v>
      </c>
      <c r="B37" s="66"/>
      <c r="C37" s="67"/>
      <c r="D37" s="67"/>
      <c r="E37" s="67"/>
      <c r="F37" s="67"/>
      <c r="G37" s="67"/>
      <c r="H37" s="67"/>
      <c r="I37" s="67"/>
      <c r="J37" s="67"/>
    </row>
    <row r="38" spans="1:13">
      <c r="A38" s="29">
        <v>1</v>
      </c>
      <c r="B38" s="37" t="s">
        <v>906</v>
      </c>
      <c r="C38" s="37" t="s">
        <v>907</v>
      </c>
      <c r="D38" s="37" t="s">
        <v>908</v>
      </c>
      <c r="E38" s="37" t="s">
        <v>1347</v>
      </c>
      <c r="F38" s="37" t="s">
        <v>1244</v>
      </c>
      <c r="G38" s="38" t="s">
        <v>17</v>
      </c>
      <c r="H38" s="39" t="s">
        <v>96</v>
      </c>
      <c r="I38" s="39" t="s">
        <v>96</v>
      </c>
      <c r="J38" s="29"/>
      <c r="K38" s="29" t="str">
        <f>"150,0"</f>
        <v>150,0</v>
      </c>
      <c r="L38" s="29" t="str">
        <f>"142,7100"</f>
        <v>142,7100</v>
      </c>
      <c r="M38" s="37" t="s">
        <v>909</v>
      </c>
    </row>
    <row r="39" spans="1:13">
      <c r="A39" s="30">
        <v>2</v>
      </c>
      <c r="B39" s="40" t="s">
        <v>910</v>
      </c>
      <c r="C39" s="40" t="s">
        <v>911</v>
      </c>
      <c r="D39" s="40" t="s">
        <v>912</v>
      </c>
      <c r="E39" s="40" t="s">
        <v>1347</v>
      </c>
      <c r="F39" s="40" t="s">
        <v>1333</v>
      </c>
      <c r="G39" s="41" t="s">
        <v>83</v>
      </c>
      <c r="H39" s="41" t="s">
        <v>65</v>
      </c>
      <c r="I39" s="30"/>
      <c r="J39" s="30"/>
      <c r="K39" s="30" t="str">
        <f>"147,5"</f>
        <v>147,5</v>
      </c>
      <c r="L39" s="30" t="str">
        <f>"140,8182"</f>
        <v>140,8182</v>
      </c>
      <c r="M39" s="40" t="s">
        <v>913</v>
      </c>
    </row>
    <row r="41" spans="1:13" ht="16">
      <c r="A41" s="66" t="s">
        <v>84</v>
      </c>
      <c r="B41" s="66"/>
      <c r="C41" s="67"/>
      <c r="D41" s="67"/>
      <c r="E41" s="67"/>
      <c r="F41" s="67"/>
      <c r="G41" s="67"/>
      <c r="H41" s="67"/>
      <c r="I41" s="67"/>
      <c r="J41" s="67"/>
    </row>
    <row r="42" spans="1:13">
      <c r="A42" s="29">
        <v>1</v>
      </c>
      <c r="B42" s="37" t="s">
        <v>326</v>
      </c>
      <c r="C42" s="37" t="s">
        <v>327</v>
      </c>
      <c r="D42" s="37" t="s">
        <v>328</v>
      </c>
      <c r="E42" s="37" t="s">
        <v>1347</v>
      </c>
      <c r="F42" s="37" t="s">
        <v>1261</v>
      </c>
      <c r="G42" s="38" t="s">
        <v>103</v>
      </c>
      <c r="H42" s="39" t="s">
        <v>38</v>
      </c>
      <c r="I42" s="39" t="s">
        <v>38</v>
      </c>
      <c r="J42" s="29"/>
      <c r="K42" s="29" t="str">
        <f>"145,0"</f>
        <v>145,0</v>
      </c>
      <c r="L42" s="29" t="str">
        <f>"136,6045"</f>
        <v>136,6045</v>
      </c>
      <c r="M42" s="37" t="s">
        <v>329</v>
      </c>
    </row>
    <row r="43" spans="1:13">
      <c r="A43" s="30" t="s">
        <v>31</v>
      </c>
      <c r="B43" s="40" t="s">
        <v>914</v>
      </c>
      <c r="C43" s="40" t="s">
        <v>915</v>
      </c>
      <c r="D43" s="40" t="s">
        <v>916</v>
      </c>
      <c r="E43" s="40" t="s">
        <v>1347</v>
      </c>
      <c r="F43" s="40" t="s">
        <v>1245</v>
      </c>
      <c r="G43" s="42" t="s">
        <v>166</v>
      </c>
      <c r="H43" s="42" t="s">
        <v>167</v>
      </c>
      <c r="I43" s="42" t="s">
        <v>167</v>
      </c>
      <c r="J43" s="30"/>
      <c r="K43" s="30" t="str">
        <f>"0.00"</f>
        <v>0.00</v>
      </c>
      <c r="L43" s="30" t="str">
        <f>"0,0000"</f>
        <v>0,0000</v>
      </c>
      <c r="M43" s="40"/>
    </row>
    <row r="45" spans="1:13" ht="16">
      <c r="A45" s="66" t="s">
        <v>54</v>
      </c>
      <c r="B45" s="66"/>
      <c r="C45" s="67"/>
      <c r="D45" s="67"/>
      <c r="E45" s="67"/>
      <c r="F45" s="67"/>
      <c r="G45" s="67"/>
      <c r="H45" s="67"/>
      <c r="I45" s="67"/>
      <c r="J45" s="67"/>
    </row>
    <row r="46" spans="1:13">
      <c r="A46" s="23">
        <v>1</v>
      </c>
      <c r="B46" s="26" t="s">
        <v>917</v>
      </c>
      <c r="C46" s="26" t="s">
        <v>918</v>
      </c>
      <c r="D46" s="26" t="s">
        <v>919</v>
      </c>
      <c r="E46" s="26" t="s">
        <v>1350</v>
      </c>
      <c r="F46" s="26" t="s">
        <v>1305</v>
      </c>
      <c r="G46" s="43" t="s">
        <v>61</v>
      </c>
      <c r="H46" s="43" t="s">
        <v>276</v>
      </c>
      <c r="I46" s="43" t="s">
        <v>62</v>
      </c>
      <c r="J46" s="23"/>
      <c r="K46" s="23" t="str">
        <f>"82,5"</f>
        <v>82,5</v>
      </c>
      <c r="L46" s="23" t="str">
        <f>"95,1308"</f>
        <v>95,1308</v>
      </c>
      <c r="M46" s="26"/>
    </row>
    <row r="48" spans="1:13" ht="16">
      <c r="A48" s="66" t="s">
        <v>266</v>
      </c>
      <c r="B48" s="66"/>
      <c r="C48" s="67"/>
      <c r="D48" s="67"/>
      <c r="E48" s="67"/>
      <c r="F48" s="67"/>
      <c r="G48" s="67"/>
      <c r="H48" s="67"/>
      <c r="I48" s="67"/>
      <c r="J48" s="67"/>
    </row>
    <row r="49" spans="1:13">
      <c r="A49" s="23">
        <v>1</v>
      </c>
      <c r="B49" s="26" t="s">
        <v>920</v>
      </c>
      <c r="C49" s="26" t="s">
        <v>921</v>
      </c>
      <c r="D49" s="26" t="s">
        <v>922</v>
      </c>
      <c r="E49" s="26" t="s">
        <v>1347</v>
      </c>
      <c r="F49" s="26" t="s">
        <v>1244</v>
      </c>
      <c r="G49" s="43" t="s">
        <v>40</v>
      </c>
      <c r="H49" s="43" t="s">
        <v>120</v>
      </c>
      <c r="I49" s="44" t="s">
        <v>78</v>
      </c>
      <c r="J49" s="23"/>
      <c r="K49" s="23" t="str">
        <f>"182,5"</f>
        <v>182,5</v>
      </c>
      <c r="L49" s="23" t="str">
        <f>"159,8517"</f>
        <v>159,8517</v>
      </c>
      <c r="M49" s="26" t="s">
        <v>923</v>
      </c>
    </row>
    <row r="51" spans="1:13" ht="16">
      <c r="A51" s="66" t="s">
        <v>43</v>
      </c>
      <c r="B51" s="66"/>
      <c r="C51" s="67"/>
      <c r="D51" s="67"/>
      <c r="E51" s="67"/>
      <c r="F51" s="67"/>
      <c r="G51" s="67"/>
      <c r="H51" s="67"/>
      <c r="I51" s="67"/>
      <c r="J51" s="67"/>
    </row>
    <row r="52" spans="1:13">
      <c r="A52" s="29">
        <v>1</v>
      </c>
      <c r="B52" s="37" t="s">
        <v>924</v>
      </c>
      <c r="C52" s="37" t="s">
        <v>925</v>
      </c>
      <c r="D52" s="37" t="s">
        <v>926</v>
      </c>
      <c r="E52" s="37" t="s">
        <v>1350</v>
      </c>
      <c r="F52" s="37" t="s">
        <v>1334</v>
      </c>
      <c r="G52" s="38" t="s">
        <v>18</v>
      </c>
      <c r="H52" s="39" t="s">
        <v>95</v>
      </c>
      <c r="I52" s="39" t="s">
        <v>95</v>
      </c>
      <c r="J52" s="29"/>
      <c r="K52" s="29" t="str">
        <f>"160,0"</f>
        <v>160,0</v>
      </c>
      <c r="L52" s="29" t="str">
        <f>"125,6320"</f>
        <v>125,6320</v>
      </c>
      <c r="M52" s="37" t="s">
        <v>927</v>
      </c>
    </row>
    <row r="53" spans="1:13">
      <c r="A53" s="30">
        <v>1</v>
      </c>
      <c r="B53" s="40" t="s">
        <v>928</v>
      </c>
      <c r="C53" s="40" t="s">
        <v>929</v>
      </c>
      <c r="D53" s="40" t="s">
        <v>930</v>
      </c>
      <c r="E53" s="40" t="s">
        <v>1347</v>
      </c>
      <c r="F53" s="40" t="s">
        <v>1245</v>
      </c>
      <c r="G53" s="41" t="s">
        <v>102</v>
      </c>
      <c r="H53" s="42" t="s">
        <v>37</v>
      </c>
      <c r="I53" s="42" t="s">
        <v>37</v>
      </c>
      <c r="J53" s="30"/>
      <c r="K53" s="30" t="str">
        <f>"205,0"</f>
        <v>205,0</v>
      </c>
      <c r="L53" s="30" t="str">
        <f>"163,6515"</f>
        <v>163,6515</v>
      </c>
      <c r="M53" s="40"/>
    </row>
    <row r="55" spans="1:13" ht="16">
      <c r="A55" s="66" t="s">
        <v>67</v>
      </c>
      <c r="B55" s="66"/>
      <c r="C55" s="67"/>
      <c r="D55" s="67"/>
      <c r="E55" s="67"/>
      <c r="F55" s="67"/>
      <c r="G55" s="67"/>
      <c r="H55" s="67"/>
      <c r="I55" s="67"/>
      <c r="J55" s="67"/>
    </row>
    <row r="56" spans="1:13">
      <c r="A56" s="29">
        <v>1</v>
      </c>
      <c r="B56" s="37" t="s">
        <v>931</v>
      </c>
      <c r="C56" s="37" t="s">
        <v>932</v>
      </c>
      <c r="D56" s="37" t="s">
        <v>933</v>
      </c>
      <c r="E56" s="37" t="s">
        <v>1350</v>
      </c>
      <c r="F56" s="37" t="s">
        <v>1335</v>
      </c>
      <c r="G56" s="38" t="s">
        <v>83</v>
      </c>
      <c r="H56" s="39" t="s">
        <v>38</v>
      </c>
      <c r="I56" s="39" t="s">
        <v>38</v>
      </c>
      <c r="J56" s="29"/>
      <c r="K56" s="29" t="str">
        <f>"140,0"</f>
        <v>140,0</v>
      </c>
      <c r="L56" s="29" t="str">
        <f>"107,5620"</f>
        <v>107,5620</v>
      </c>
      <c r="M56" s="37"/>
    </row>
    <row r="57" spans="1:13">
      <c r="A57" s="30">
        <v>1</v>
      </c>
      <c r="B57" s="40" t="s">
        <v>934</v>
      </c>
      <c r="C57" s="40" t="s">
        <v>935</v>
      </c>
      <c r="D57" s="40" t="s">
        <v>70</v>
      </c>
      <c r="E57" s="40" t="s">
        <v>1347</v>
      </c>
      <c r="F57" s="40" t="s">
        <v>1336</v>
      </c>
      <c r="G57" s="42" t="s">
        <v>36</v>
      </c>
      <c r="H57" s="41" t="s">
        <v>36</v>
      </c>
      <c r="I57" s="41" t="s">
        <v>14</v>
      </c>
      <c r="J57" s="30"/>
      <c r="K57" s="30" t="str">
        <f>"220,0"</f>
        <v>220,0</v>
      </c>
      <c r="L57" s="30" t="str">
        <f>"156,7720"</f>
        <v>156,7720</v>
      </c>
      <c r="M57" s="40"/>
    </row>
    <row r="59" spans="1:13" ht="16">
      <c r="A59" s="66" t="s">
        <v>84</v>
      </c>
      <c r="B59" s="66"/>
      <c r="C59" s="67"/>
      <c r="D59" s="67"/>
      <c r="E59" s="67"/>
      <c r="F59" s="67"/>
      <c r="G59" s="67"/>
      <c r="H59" s="67"/>
      <c r="I59" s="67"/>
      <c r="J59" s="67"/>
    </row>
    <row r="60" spans="1:13">
      <c r="A60" s="29">
        <v>1</v>
      </c>
      <c r="B60" s="37" t="s">
        <v>936</v>
      </c>
      <c r="C60" s="37" t="s">
        <v>937</v>
      </c>
      <c r="D60" s="37" t="s">
        <v>668</v>
      </c>
      <c r="E60" s="37" t="s">
        <v>1350</v>
      </c>
      <c r="F60" s="37" t="s">
        <v>1244</v>
      </c>
      <c r="G60" s="39" t="s">
        <v>102</v>
      </c>
      <c r="H60" s="38" t="s">
        <v>102</v>
      </c>
      <c r="I60" s="39" t="s">
        <v>36</v>
      </c>
      <c r="J60" s="29"/>
      <c r="K60" s="29" t="str">
        <f>"205,0"</f>
        <v>205,0</v>
      </c>
      <c r="L60" s="29" t="str">
        <f>"142,9875"</f>
        <v>142,9875</v>
      </c>
      <c r="M60" s="37"/>
    </row>
    <row r="61" spans="1:13">
      <c r="A61" s="35">
        <v>2</v>
      </c>
      <c r="B61" s="50" t="s">
        <v>938</v>
      </c>
      <c r="C61" s="50" t="s">
        <v>939</v>
      </c>
      <c r="D61" s="50" t="s">
        <v>940</v>
      </c>
      <c r="E61" s="50" t="s">
        <v>1350</v>
      </c>
      <c r="F61" s="50" t="s">
        <v>1256</v>
      </c>
      <c r="G61" s="52" t="s">
        <v>77</v>
      </c>
      <c r="H61" s="51" t="s">
        <v>77</v>
      </c>
      <c r="I61" s="51" t="s">
        <v>372</v>
      </c>
      <c r="J61" s="35"/>
      <c r="K61" s="35" t="str">
        <f>"192,5"</f>
        <v>192,5</v>
      </c>
      <c r="L61" s="35" t="str">
        <f>"131,8432"</f>
        <v>131,8432</v>
      </c>
      <c r="M61" s="50"/>
    </row>
    <row r="62" spans="1:13">
      <c r="A62" s="35">
        <v>1</v>
      </c>
      <c r="B62" s="50" t="s">
        <v>388</v>
      </c>
      <c r="C62" s="50" t="s">
        <v>1103</v>
      </c>
      <c r="D62" s="50" t="s">
        <v>389</v>
      </c>
      <c r="E62" s="50" t="s">
        <v>1351</v>
      </c>
      <c r="F62" s="50" t="s">
        <v>1244</v>
      </c>
      <c r="G62" s="51" t="s">
        <v>77</v>
      </c>
      <c r="H62" s="51" t="s">
        <v>125</v>
      </c>
      <c r="I62" s="51" t="s">
        <v>102</v>
      </c>
      <c r="J62" s="35"/>
      <c r="K62" s="35" t="str">
        <f>"205,0"</f>
        <v>205,0</v>
      </c>
      <c r="L62" s="35" t="str">
        <f>"144,8735"</f>
        <v>144,8735</v>
      </c>
      <c r="M62" s="50"/>
    </row>
    <row r="63" spans="1:13">
      <c r="A63" s="35">
        <v>1</v>
      </c>
      <c r="B63" s="50" t="s">
        <v>941</v>
      </c>
      <c r="C63" s="50" t="s">
        <v>942</v>
      </c>
      <c r="D63" s="50" t="s">
        <v>943</v>
      </c>
      <c r="E63" s="50" t="s">
        <v>1347</v>
      </c>
      <c r="F63" s="50" t="s">
        <v>1244</v>
      </c>
      <c r="G63" s="51" t="s">
        <v>16</v>
      </c>
      <c r="H63" s="51" t="s">
        <v>23</v>
      </c>
      <c r="I63" s="35"/>
      <c r="J63" s="35"/>
      <c r="K63" s="35" t="str">
        <f>"260,0"</f>
        <v>260,0</v>
      </c>
      <c r="L63" s="35" t="str">
        <f>"177,5020"</f>
        <v>177,5020</v>
      </c>
      <c r="M63" s="50"/>
    </row>
    <row r="64" spans="1:13">
      <c r="A64" s="35">
        <v>2</v>
      </c>
      <c r="B64" s="50" t="s">
        <v>944</v>
      </c>
      <c r="C64" s="50" t="s">
        <v>945</v>
      </c>
      <c r="D64" s="50" t="s">
        <v>946</v>
      </c>
      <c r="E64" s="50" t="s">
        <v>1347</v>
      </c>
      <c r="F64" s="50" t="s">
        <v>1316</v>
      </c>
      <c r="G64" s="51" t="s">
        <v>41</v>
      </c>
      <c r="H64" s="51" t="s">
        <v>15</v>
      </c>
      <c r="I64" s="51" t="s">
        <v>16</v>
      </c>
      <c r="J64" s="35"/>
      <c r="K64" s="35" t="str">
        <f>"250,0"</f>
        <v>250,0</v>
      </c>
      <c r="L64" s="35" t="str">
        <f>"168,1000"</f>
        <v>168,1000</v>
      </c>
      <c r="M64" s="50"/>
    </row>
    <row r="65" spans="1:13">
      <c r="A65" s="35">
        <v>3</v>
      </c>
      <c r="B65" s="50" t="s">
        <v>947</v>
      </c>
      <c r="C65" s="50" t="s">
        <v>948</v>
      </c>
      <c r="D65" s="50" t="s">
        <v>949</v>
      </c>
      <c r="E65" s="50" t="s">
        <v>1347</v>
      </c>
      <c r="F65" s="50" t="s">
        <v>1337</v>
      </c>
      <c r="G65" s="51" t="s">
        <v>19</v>
      </c>
      <c r="H65" s="52" t="s">
        <v>845</v>
      </c>
      <c r="I65" s="52" t="s">
        <v>845</v>
      </c>
      <c r="J65" s="35"/>
      <c r="K65" s="35" t="str">
        <f>"245,0"</f>
        <v>245,0</v>
      </c>
      <c r="L65" s="35" t="str">
        <f>"164,2480"</f>
        <v>164,2480</v>
      </c>
      <c r="M65" s="50"/>
    </row>
    <row r="66" spans="1:13">
      <c r="A66" s="35">
        <v>4</v>
      </c>
      <c r="B66" s="50" t="s">
        <v>950</v>
      </c>
      <c r="C66" s="50" t="s">
        <v>951</v>
      </c>
      <c r="D66" s="50" t="s">
        <v>396</v>
      </c>
      <c r="E66" s="50" t="s">
        <v>1347</v>
      </c>
      <c r="F66" s="50" t="s">
        <v>1266</v>
      </c>
      <c r="G66" s="51" t="s">
        <v>78</v>
      </c>
      <c r="H66" s="51" t="s">
        <v>35</v>
      </c>
      <c r="I66" s="52" t="s">
        <v>102</v>
      </c>
      <c r="J66" s="35"/>
      <c r="K66" s="35" t="str">
        <f>"200,0"</f>
        <v>200,0</v>
      </c>
      <c r="L66" s="35" t="str">
        <f>"134,2800"</f>
        <v>134,2800</v>
      </c>
      <c r="M66" s="50" t="s">
        <v>397</v>
      </c>
    </row>
    <row r="67" spans="1:13">
      <c r="A67" s="35">
        <v>1</v>
      </c>
      <c r="B67" s="50" t="s">
        <v>713</v>
      </c>
      <c r="C67" s="50" t="s">
        <v>1104</v>
      </c>
      <c r="D67" s="50" t="s">
        <v>714</v>
      </c>
      <c r="E67" s="50" t="s">
        <v>1349</v>
      </c>
      <c r="F67" s="50" t="s">
        <v>1292</v>
      </c>
      <c r="G67" s="51" t="s">
        <v>18</v>
      </c>
      <c r="H67" s="51" t="s">
        <v>95</v>
      </c>
      <c r="I67" s="51" t="s">
        <v>40</v>
      </c>
      <c r="J67" s="35"/>
      <c r="K67" s="35" t="str">
        <f>"175,0"</f>
        <v>175,0</v>
      </c>
      <c r="L67" s="35" t="str">
        <f>"134,0476"</f>
        <v>134,0476</v>
      </c>
      <c r="M67" s="50" t="s">
        <v>715</v>
      </c>
    </row>
    <row r="68" spans="1:13">
      <c r="A68" s="30">
        <v>1</v>
      </c>
      <c r="B68" s="40" t="s">
        <v>952</v>
      </c>
      <c r="C68" s="40" t="s">
        <v>1105</v>
      </c>
      <c r="D68" s="40" t="s">
        <v>953</v>
      </c>
      <c r="E68" s="40" t="s">
        <v>1355</v>
      </c>
      <c r="F68" s="40" t="s">
        <v>1338</v>
      </c>
      <c r="G68" s="41" t="s">
        <v>35</v>
      </c>
      <c r="H68" s="41" t="s">
        <v>36</v>
      </c>
      <c r="I68" s="41" t="s">
        <v>37</v>
      </c>
      <c r="J68" s="30"/>
      <c r="K68" s="30" t="str">
        <f>"215,0"</f>
        <v>215,0</v>
      </c>
      <c r="L68" s="30" t="str">
        <f>"226,6427"</f>
        <v>226,6427</v>
      </c>
      <c r="M68" s="40" t="s">
        <v>1241</v>
      </c>
    </row>
    <row r="70" spans="1:13" ht="16">
      <c r="A70" s="66" t="s">
        <v>99</v>
      </c>
      <c r="B70" s="66"/>
      <c r="C70" s="67"/>
      <c r="D70" s="67"/>
      <c r="E70" s="67"/>
      <c r="F70" s="67"/>
      <c r="G70" s="67"/>
      <c r="H70" s="67"/>
      <c r="I70" s="67"/>
      <c r="J70" s="67"/>
    </row>
    <row r="71" spans="1:13">
      <c r="A71" s="29" t="s">
        <v>31</v>
      </c>
      <c r="B71" s="37" t="s">
        <v>409</v>
      </c>
      <c r="C71" s="37" t="s">
        <v>410</v>
      </c>
      <c r="D71" s="37" t="s">
        <v>411</v>
      </c>
      <c r="E71" s="37" t="s">
        <v>1350</v>
      </c>
      <c r="F71" s="37" t="s">
        <v>1244</v>
      </c>
      <c r="G71" s="39" t="s">
        <v>83</v>
      </c>
      <c r="H71" s="29"/>
      <c r="I71" s="29"/>
      <c r="J71" s="29"/>
      <c r="K71" s="29" t="str">
        <f>"0.00"</f>
        <v>0.00</v>
      </c>
      <c r="L71" s="29" t="str">
        <f>"0,0000"</f>
        <v>0,0000</v>
      </c>
      <c r="M71" s="37" t="s">
        <v>412</v>
      </c>
    </row>
    <row r="72" spans="1:13">
      <c r="A72" s="35">
        <v>1</v>
      </c>
      <c r="B72" s="50" t="s">
        <v>954</v>
      </c>
      <c r="C72" s="50" t="s">
        <v>955</v>
      </c>
      <c r="D72" s="50" t="s">
        <v>956</v>
      </c>
      <c r="E72" s="50" t="s">
        <v>1347</v>
      </c>
      <c r="F72" s="50" t="s">
        <v>1276</v>
      </c>
      <c r="G72" s="51" t="s">
        <v>78</v>
      </c>
      <c r="H72" s="51" t="s">
        <v>102</v>
      </c>
      <c r="I72" s="51" t="s">
        <v>37</v>
      </c>
      <c r="J72" s="35"/>
      <c r="K72" s="35" t="str">
        <f>"215,0"</f>
        <v>215,0</v>
      </c>
      <c r="L72" s="35" t="str">
        <f>"139,3845"</f>
        <v>139,3845</v>
      </c>
      <c r="M72" s="50" t="s">
        <v>460</v>
      </c>
    </row>
    <row r="73" spans="1:13">
      <c r="A73" s="35">
        <v>2</v>
      </c>
      <c r="B73" s="50" t="s">
        <v>957</v>
      </c>
      <c r="C73" s="50" t="s">
        <v>958</v>
      </c>
      <c r="D73" s="50" t="s">
        <v>959</v>
      </c>
      <c r="E73" s="50" t="s">
        <v>1347</v>
      </c>
      <c r="F73" s="50" t="s">
        <v>1279</v>
      </c>
      <c r="G73" s="51" t="s">
        <v>78</v>
      </c>
      <c r="H73" s="51" t="s">
        <v>125</v>
      </c>
      <c r="I73" s="52" t="s">
        <v>368</v>
      </c>
      <c r="J73" s="35"/>
      <c r="K73" s="35" t="str">
        <f>"195,0"</f>
        <v>195,0</v>
      </c>
      <c r="L73" s="35" t="str">
        <f>"127,1205"</f>
        <v>127,1205</v>
      </c>
      <c r="M73" s="50" t="s">
        <v>822</v>
      </c>
    </row>
    <row r="74" spans="1:13">
      <c r="A74" s="35">
        <v>1</v>
      </c>
      <c r="B74" s="50" t="s">
        <v>960</v>
      </c>
      <c r="C74" s="50" t="s">
        <v>1106</v>
      </c>
      <c r="D74" s="50" t="s">
        <v>961</v>
      </c>
      <c r="E74" s="50" t="s">
        <v>1348</v>
      </c>
      <c r="F74" s="50" t="s">
        <v>1244</v>
      </c>
      <c r="G74" s="51" t="s">
        <v>102</v>
      </c>
      <c r="H74" s="52" t="s">
        <v>36</v>
      </c>
      <c r="I74" s="52" t="s">
        <v>36</v>
      </c>
      <c r="J74" s="35"/>
      <c r="K74" s="35" t="str">
        <f>"205,0"</f>
        <v>205,0</v>
      </c>
      <c r="L74" s="35" t="str">
        <f>"132,8243"</f>
        <v>132,8243</v>
      </c>
      <c r="M74" s="50"/>
    </row>
    <row r="75" spans="1:13">
      <c r="A75" s="35">
        <v>1</v>
      </c>
      <c r="B75" s="50" t="s">
        <v>962</v>
      </c>
      <c r="C75" s="50" t="s">
        <v>1107</v>
      </c>
      <c r="D75" s="50" t="s">
        <v>430</v>
      </c>
      <c r="E75" s="50" t="s">
        <v>1349</v>
      </c>
      <c r="F75" s="50" t="s">
        <v>1334</v>
      </c>
      <c r="G75" s="51" t="s">
        <v>339</v>
      </c>
      <c r="H75" s="51" t="s">
        <v>340</v>
      </c>
      <c r="I75" s="52" t="s">
        <v>141</v>
      </c>
      <c r="J75" s="35"/>
      <c r="K75" s="35" t="str">
        <f>"207,5"</f>
        <v>207,5</v>
      </c>
      <c r="L75" s="35" t="str">
        <f>"146,5494"</f>
        <v>146,5494</v>
      </c>
      <c r="M75" s="50"/>
    </row>
    <row r="76" spans="1:13">
      <c r="A76" s="35">
        <v>1</v>
      </c>
      <c r="B76" s="50" t="s">
        <v>963</v>
      </c>
      <c r="C76" s="50" t="s">
        <v>1108</v>
      </c>
      <c r="D76" s="50" t="s">
        <v>964</v>
      </c>
      <c r="E76" s="50" t="s">
        <v>1355</v>
      </c>
      <c r="F76" s="50" t="s">
        <v>1253</v>
      </c>
      <c r="G76" s="51" t="s">
        <v>37</v>
      </c>
      <c r="H76" s="51" t="s">
        <v>41</v>
      </c>
      <c r="I76" s="51" t="s">
        <v>15</v>
      </c>
      <c r="J76" s="35"/>
      <c r="K76" s="35" t="str">
        <f>"240,0"</f>
        <v>240,0</v>
      </c>
      <c r="L76" s="35" t="str">
        <f>"221,0429"</f>
        <v>221,0429</v>
      </c>
      <c r="M76" s="50"/>
    </row>
    <row r="77" spans="1:13">
      <c r="A77" s="30">
        <v>2</v>
      </c>
      <c r="B77" s="40" t="s">
        <v>965</v>
      </c>
      <c r="C77" s="40" t="s">
        <v>1109</v>
      </c>
      <c r="D77" s="40" t="s">
        <v>414</v>
      </c>
      <c r="E77" s="40" t="s">
        <v>1355</v>
      </c>
      <c r="F77" s="40" t="s">
        <v>1244</v>
      </c>
      <c r="G77" s="41" t="s">
        <v>38</v>
      </c>
      <c r="H77" s="41" t="s">
        <v>39</v>
      </c>
      <c r="I77" s="41" t="s">
        <v>95</v>
      </c>
      <c r="J77" s="30"/>
      <c r="K77" s="30" t="str">
        <f>"170,0"</f>
        <v>170,0</v>
      </c>
      <c r="L77" s="30" t="str">
        <f>"150,3786"</f>
        <v>150,3786</v>
      </c>
      <c r="M77" s="40" t="s">
        <v>966</v>
      </c>
    </row>
    <row r="79" spans="1:13" ht="16">
      <c r="A79" s="66" t="s">
        <v>32</v>
      </c>
      <c r="B79" s="66"/>
      <c r="C79" s="67"/>
      <c r="D79" s="67"/>
      <c r="E79" s="67"/>
      <c r="F79" s="67"/>
      <c r="G79" s="67"/>
      <c r="H79" s="67"/>
      <c r="I79" s="67"/>
      <c r="J79" s="67"/>
    </row>
    <row r="80" spans="1:13">
      <c r="A80" s="29">
        <v>1</v>
      </c>
      <c r="B80" s="37" t="s">
        <v>967</v>
      </c>
      <c r="C80" s="37" t="s">
        <v>968</v>
      </c>
      <c r="D80" s="37" t="s">
        <v>969</v>
      </c>
      <c r="E80" s="37" t="s">
        <v>1347</v>
      </c>
      <c r="F80" s="37" t="s">
        <v>1244</v>
      </c>
      <c r="G80" s="38" t="s">
        <v>15</v>
      </c>
      <c r="H80" s="38" t="s">
        <v>845</v>
      </c>
      <c r="I80" s="39" t="s">
        <v>23</v>
      </c>
      <c r="J80" s="29"/>
      <c r="K80" s="29" t="str">
        <f>"252,5"</f>
        <v>252,5</v>
      </c>
      <c r="L80" s="29" t="str">
        <f>"155,1360"</f>
        <v>155,1360</v>
      </c>
      <c r="M80" s="37"/>
    </row>
    <row r="81" spans="1:13">
      <c r="A81" s="35">
        <v>2</v>
      </c>
      <c r="B81" s="50" t="s">
        <v>847</v>
      </c>
      <c r="C81" s="50" t="s">
        <v>970</v>
      </c>
      <c r="D81" s="50" t="s">
        <v>848</v>
      </c>
      <c r="E81" s="50" t="s">
        <v>1347</v>
      </c>
      <c r="F81" s="50" t="s">
        <v>1267</v>
      </c>
      <c r="G81" s="51" t="s">
        <v>14</v>
      </c>
      <c r="H81" s="51" t="s">
        <v>541</v>
      </c>
      <c r="I81" s="52" t="s">
        <v>15</v>
      </c>
      <c r="J81" s="35"/>
      <c r="K81" s="35" t="str">
        <f>"232,5"</f>
        <v>232,5</v>
      </c>
      <c r="L81" s="35" t="str">
        <f>"144,4058"</f>
        <v>144,4058</v>
      </c>
      <c r="M81" s="50"/>
    </row>
    <row r="82" spans="1:13">
      <c r="A82" s="35">
        <v>1</v>
      </c>
      <c r="B82" s="50" t="s">
        <v>971</v>
      </c>
      <c r="C82" s="50" t="s">
        <v>1110</v>
      </c>
      <c r="D82" s="50" t="s">
        <v>972</v>
      </c>
      <c r="E82" s="50" t="s">
        <v>1349</v>
      </c>
      <c r="F82" s="50" t="s">
        <v>1339</v>
      </c>
      <c r="G82" s="51" t="s">
        <v>19</v>
      </c>
      <c r="H82" s="52" t="s">
        <v>419</v>
      </c>
      <c r="I82" s="52" t="s">
        <v>419</v>
      </c>
      <c r="J82" s="35"/>
      <c r="K82" s="35" t="str">
        <f>"245,0"</f>
        <v>245,0</v>
      </c>
      <c r="L82" s="35" t="str">
        <f>"161,2477"</f>
        <v>161,2477</v>
      </c>
      <c r="M82" s="50"/>
    </row>
    <row r="83" spans="1:13">
      <c r="A83" s="35">
        <v>2</v>
      </c>
      <c r="B83" s="50" t="s">
        <v>973</v>
      </c>
      <c r="C83" s="50" t="s">
        <v>1097</v>
      </c>
      <c r="D83" s="50" t="s">
        <v>974</v>
      </c>
      <c r="E83" s="50" t="s">
        <v>1349</v>
      </c>
      <c r="F83" s="50" t="s">
        <v>1305</v>
      </c>
      <c r="G83" s="51" t="s">
        <v>119</v>
      </c>
      <c r="H83" s="51" t="s">
        <v>19</v>
      </c>
      <c r="I83" s="52" t="s">
        <v>16</v>
      </c>
      <c r="J83" s="35"/>
      <c r="K83" s="35" t="str">
        <f>"245,0"</f>
        <v>245,0</v>
      </c>
      <c r="L83" s="35" t="str">
        <f>"166,2963"</f>
        <v>166,2963</v>
      </c>
      <c r="M83" s="50"/>
    </row>
    <row r="84" spans="1:13">
      <c r="A84" s="35">
        <v>3</v>
      </c>
      <c r="B84" s="50" t="s">
        <v>523</v>
      </c>
      <c r="C84" s="50" t="s">
        <v>1111</v>
      </c>
      <c r="D84" s="50" t="s">
        <v>524</v>
      </c>
      <c r="E84" s="50" t="s">
        <v>1349</v>
      </c>
      <c r="F84" s="50" t="s">
        <v>1340</v>
      </c>
      <c r="G84" s="52" t="s">
        <v>37</v>
      </c>
      <c r="H84" s="51" t="s">
        <v>80</v>
      </c>
      <c r="I84" s="51" t="s">
        <v>15</v>
      </c>
      <c r="J84" s="35"/>
      <c r="K84" s="35" t="str">
        <f>"240,0"</f>
        <v>240,0</v>
      </c>
      <c r="L84" s="35" t="str">
        <f>"158,2368"</f>
        <v>158,2368</v>
      </c>
      <c r="M84" s="50"/>
    </row>
    <row r="85" spans="1:13">
      <c r="A85" s="35">
        <v>1</v>
      </c>
      <c r="B85" s="50" t="s">
        <v>975</v>
      </c>
      <c r="C85" s="50" t="s">
        <v>1112</v>
      </c>
      <c r="D85" s="50" t="s">
        <v>571</v>
      </c>
      <c r="E85" s="50" t="s">
        <v>1352</v>
      </c>
      <c r="F85" s="50" t="s">
        <v>1244</v>
      </c>
      <c r="G85" s="51" t="s">
        <v>35</v>
      </c>
      <c r="H85" s="51" t="s">
        <v>37</v>
      </c>
      <c r="I85" s="51" t="s">
        <v>80</v>
      </c>
      <c r="J85" s="35"/>
      <c r="K85" s="35" t="str">
        <f>"225,0"</f>
        <v>225,0</v>
      </c>
      <c r="L85" s="35" t="str">
        <f>"161,2015"</f>
        <v>161,2015</v>
      </c>
      <c r="M85" s="50" t="s">
        <v>1240</v>
      </c>
    </row>
    <row r="86" spans="1:13">
      <c r="A86" s="35">
        <v>1</v>
      </c>
      <c r="B86" s="50" t="s">
        <v>847</v>
      </c>
      <c r="C86" s="50" t="s">
        <v>1113</v>
      </c>
      <c r="D86" s="50" t="s">
        <v>848</v>
      </c>
      <c r="E86" s="50" t="s">
        <v>1353</v>
      </c>
      <c r="F86" s="50" t="s">
        <v>1267</v>
      </c>
      <c r="G86" s="51" t="s">
        <v>14</v>
      </c>
      <c r="H86" s="51" t="s">
        <v>541</v>
      </c>
      <c r="I86" s="52" t="s">
        <v>15</v>
      </c>
      <c r="J86" s="35"/>
      <c r="K86" s="35" t="str">
        <f>"232,5"</f>
        <v>232,5</v>
      </c>
      <c r="L86" s="35" t="str">
        <f>"183,8285"</f>
        <v>183,8285</v>
      </c>
      <c r="M86" s="50"/>
    </row>
    <row r="87" spans="1:13">
      <c r="A87" s="30">
        <v>1</v>
      </c>
      <c r="B87" s="40" t="s">
        <v>976</v>
      </c>
      <c r="C87" s="40" t="s">
        <v>1114</v>
      </c>
      <c r="D87" s="40" t="s">
        <v>977</v>
      </c>
      <c r="E87" s="40" t="s">
        <v>1356</v>
      </c>
      <c r="F87" s="40" t="s">
        <v>1341</v>
      </c>
      <c r="G87" s="41" t="s">
        <v>38</v>
      </c>
      <c r="H87" s="41" t="s">
        <v>39</v>
      </c>
      <c r="I87" s="41" t="s">
        <v>95</v>
      </c>
      <c r="J87" s="41" t="s">
        <v>40</v>
      </c>
      <c r="K87" s="30" t="str">
        <f>"170,0"</f>
        <v>170,0</v>
      </c>
      <c r="L87" s="30" t="str">
        <f>"198,8065"</f>
        <v>198,8065</v>
      </c>
      <c r="M87" s="40"/>
    </row>
    <row r="89" spans="1:13" ht="16">
      <c r="A89" s="66" t="s">
        <v>11</v>
      </c>
      <c r="B89" s="66"/>
      <c r="C89" s="67"/>
      <c r="D89" s="67"/>
      <c r="E89" s="67"/>
      <c r="F89" s="67"/>
      <c r="G89" s="67"/>
      <c r="H89" s="67"/>
      <c r="I89" s="67"/>
      <c r="J89" s="67"/>
    </row>
    <row r="90" spans="1:13">
      <c r="A90" s="29">
        <v>1</v>
      </c>
      <c r="B90" s="37" t="s">
        <v>529</v>
      </c>
      <c r="C90" s="37" t="s">
        <v>530</v>
      </c>
      <c r="D90" s="37" t="s">
        <v>531</v>
      </c>
      <c r="E90" s="37" t="s">
        <v>1347</v>
      </c>
      <c r="F90" s="37" t="s">
        <v>1244</v>
      </c>
      <c r="G90" s="38" t="s">
        <v>19</v>
      </c>
      <c r="H90" s="39" t="s">
        <v>419</v>
      </c>
      <c r="I90" s="39" t="s">
        <v>23</v>
      </c>
      <c r="J90" s="29"/>
      <c r="K90" s="29" t="str">
        <f>"245,0"</f>
        <v>245,0</v>
      </c>
      <c r="L90" s="29" t="str">
        <f>"145,6035"</f>
        <v>145,6035</v>
      </c>
      <c r="M90" s="37"/>
    </row>
    <row r="91" spans="1:13">
      <c r="A91" s="35">
        <v>2</v>
      </c>
      <c r="B91" s="50" t="s">
        <v>978</v>
      </c>
      <c r="C91" s="50" t="s">
        <v>979</v>
      </c>
      <c r="D91" s="50" t="s">
        <v>980</v>
      </c>
      <c r="E91" s="50" t="s">
        <v>1347</v>
      </c>
      <c r="F91" s="50" t="s">
        <v>1244</v>
      </c>
      <c r="G91" s="51" t="s">
        <v>15</v>
      </c>
      <c r="H91" s="52" t="s">
        <v>419</v>
      </c>
      <c r="I91" s="52" t="s">
        <v>419</v>
      </c>
      <c r="J91" s="35"/>
      <c r="K91" s="35" t="str">
        <f>"240,0"</f>
        <v>240,0</v>
      </c>
      <c r="L91" s="35" t="str">
        <f>"143,2800"</f>
        <v>143,2800</v>
      </c>
      <c r="M91" s="50" t="s">
        <v>981</v>
      </c>
    </row>
    <row r="92" spans="1:13">
      <c r="A92" s="30">
        <v>1</v>
      </c>
      <c r="B92" s="40" t="s">
        <v>982</v>
      </c>
      <c r="C92" s="40" t="s">
        <v>1115</v>
      </c>
      <c r="D92" s="40" t="s">
        <v>983</v>
      </c>
      <c r="E92" s="40" t="s">
        <v>1348</v>
      </c>
      <c r="F92" s="40" t="s">
        <v>1253</v>
      </c>
      <c r="G92" s="41" t="s">
        <v>14</v>
      </c>
      <c r="H92" s="41" t="s">
        <v>15</v>
      </c>
      <c r="I92" s="42" t="s">
        <v>419</v>
      </c>
      <c r="J92" s="30"/>
      <c r="K92" s="30" t="str">
        <f>"240,0"</f>
        <v>240,0</v>
      </c>
      <c r="L92" s="30" t="str">
        <f>"150,9875"</f>
        <v>150,9875</v>
      </c>
      <c r="M92" s="40"/>
    </row>
    <row r="94" spans="1:13" ht="16">
      <c r="A94" s="66" t="s">
        <v>20</v>
      </c>
      <c r="B94" s="66"/>
      <c r="C94" s="67"/>
      <c r="D94" s="67"/>
      <c r="E94" s="67"/>
      <c r="F94" s="67"/>
      <c r="G94" s="67"/>
      <c r="H94" s="67"/>
      <c r="I94" s="67"/>
      <c r="J94" s="67"/>
    </row>
    <row r="95" spans="1:13">
      <c r="A95" s="29">
        <v>1</v>
      </c>
      <c r="B95" s="37" t="s">
        <v>984</v>
      </c>
      <c r="C95" s="37" t="s">
        <v>1116</v>
      </c>
      <c r="D95" s="37" t="s">
        <v>985</v>
      </c>
      <c r="E95" s="37" t="s">
        <v>1349</v>
      </c>
      <c r="F95" s="37" t="s">
        <v>1244</v>
      </c>
      <c r="G95" s="38" t="s">
        <v>41</v>
      </c>
      <c r="H95" s="38" t="s">
        <v>19</v>
      </c>
      <c r="I95" s="38" t="s">
        <v>845</v>
      </c>
      <c r="J95" s="29"/>
      <c r="K95" s="29" t="str">
        <f>"252,5"</f>
        <v>252,5</v>
      </c>
      <c r="L95" s="29" t="str">
        <f>"164,1236"</f>
        <v>164,1236</v>
      </c>
      <c r="M95" s="37"/>
    </row>
    <row r="96" spans="1:13">
      <c r="A96" s="30">
        <v>1</v>
      </c>
      <c r="B96" s="40" t="s">
        <v>986</v>
      </c>
      <c r="C96" s="40" t="s">
        <v>1117</v>
      </c>
      <c r="D96" s="40" t="s">
        <v>987</v>
      </c>
      <c r="E96" s="40" t="s">
        <v>1352</v>
      </c>
      <c r="F96" s="40" t="s">
        <v>1244</v>
      </c>
      <c r="G96" s="41" t="s">
        <v>35</v>
      </c>
      <c r="H96" s="41" t="s">
        <v>37</v>
      </c>
      <c r="I96" s="42" t="s">
        <v>80</v>
      </c>
      <c r="J96" s="30"/>
      <c r="K96" s="30" t="str">
        <f>"215,0"</f>
        <v>215,0</v>
      </c>
      <c r="L96" s="30" t="str">
        <f>"144,6953"</f>
        <v>144,6953</v>
      </c>
      <c r="M96" s="40" t="s">
        <v>988</v>
      </c>
    </row>
    <row r="98" spans="2:13" ht="16">
      <c r="F98" s="45"/>
      <c r="G98" s="24"/>
      <c r="M98" s="28"/>
    </row>
    <row r="99" spans="2:13">
      <c r="G99" s="24"/>
      <c r="M99" s="28"/>
    </row>
    <row r="100" spans="2:13" ht="18">
      <c r="B100" s="46" t="s">
        <v>7</v>
      </c>
      <c r="C100" s="46"/>
      <c r="G100" s="3"/>
      <c r="M100" s="28"/>
    </row>
    <row r="101" spans="2:13" ht="16">
      <c r="B101" s="47" t="s">
        <v>183</v>
      </c>
      <c r="C101" s="47"/>
      <c r="G101" s="3"/>
      <c r="M101" s="28"/>
    </row>
    <row r="102" spans="2:13" ht="14">
      <c r="B102" s="48"/>
      <c r="C102" s="49" t="s">
        <v>184</v>
      </c>
      <c r="G102" s="3"/>
      <c r="M102" s="28"/>
    </row>
    <row r="103" spans="2:13" ht="14">
      <c r="B103" s="27" t="s">
        <v>27</v>
      </c>
      <c r="C103" s="27" t="s">
        <v>28</v>
      </c>
      <c r="D103" s="27" t="s">
        <v>1214</v>
      </c>
      <c r="E103" s="27" t="s">
        <v>618</v>
      </c>
      <c r="F103" s="27" t="s">
        <v>30</v>
      </c>
      <c r="G103" s="3"/>
      <c r="M103" s="28"/>
    </row>
    <row r="104" spans="2:13">
      <c r="B104" s="24" t="s">
        <v>241</v>
      </c>
      <c r="C104" s="24" t="s">
        <v>184</v>
      </c>
      <c r="D104" s="28">
        <v>56</v>
      </c>
      <c r="E104" s="28" t="s">
        <v>245</v>
      </c>
      <c r="F104" s="28">
        <v>2038260</v>
      </c>
      <c r="G104" s="3"/>
      <c r="M104" s="28"/>
    </row>
    <row r="105" spans="2:13">
      <c r="B105" s="24" t="s">
        <v>871</v>
      </c>
      <c r="C105" s="24" t="s">
        <v>184</v>
      </c>
      <c r="D105" s="28">
        <v>56</v>
      </c>
      <c r="E105" s="28" t="s">
        <v>95</v>
      </c>
      <c r="F105" s="28">
        <v>2005830</v>
      </c>
      <c r="G105" s="3"/>
      <c r="M105" s="28"/>
    </row>
    <row r="106" spans="2:13">
      <c r="B106" s="24" t="s">
        <v>198</v>
      </c>
      <c r="C106" s="24" t="s">
        <v>184</v>
      </c>
      <c r="D106" s="28">
        <v>52</v>
      </c>
      <c r="E106" s="28" t="s">
        <v>64</v>
      </c>
      <c r="F106" s="28">
        <v>1795072</v>
      </c>
      <c r="G106" s="3"/>
      <c r="M106" s="28"/>
    </row>
    <row r="107" spans="2:13">
      <c r="G107" s="3"/>
      <c r="M107" s="28"/>
    </row>
    <row r="108" spans="2:13" ht="16">
      <c r="B108" s="47" t="s">
        <v>25</v>
      </c>
      <c r="C108" s="47"/>
      <c r="G108" s="3"/>
      <c r="M108" s="28"/>
    </row>
    <row r="109" spans="2:13" ht="14">
      <c r="B109" s="48"/>
      <c r="C109" s="49" t="s">
        <v>184</v>
      </c>
      <c r="G109" s="3"/>
      <c r="M109" s="28"/>
    </row>
    <row r="110" spans="2:13" ht="14">
      <c r="B110" s="27" t="s">
        <v>27</v>
      </c>
      <c r="C110" s="27" t="s">
        <v>28</v>
      </c>
      <c r="D110" s="27" t="s">
        <v>1214</v>
      </c>
      <c r="E110" s="27" t="s">
        <v>618</v>
      </c>
      <c r="F110" s="27" t="s">
        <v>30</v>
      </c>
      <c r="G110" s="3"/>
      <c r="M110" s="28"/>
    </row>
    <row r="111" spans="2:13">
      <c r="B111" s="24" t="s">
        <v>941</v>
      </c>
      <c r="C111" s="24" t="s">
        <v>184</v>
      </c>
      <c r="D111" s="28">
        <v>82.5</v>
      </c>
      <c r="E111" s="28" t="s">
        <v>23</v>
      </c>
      <c r="F111" s="28">
        <v>1775020</v>
      </c>
      <c r="G111" s="3"/>
      <c r="M111" s="28"/>
    </row>
    <row r="112" spans="2:13">
      <c r="B112" s="24" t="s">
        <v>944</v>
      </c>
      <c r="C112" s="24" t="s">
        <v>184</v>
      </c>
      <c r="D112" s="28">
        <v>82.5</v>
      </c>
      <c r="E112" s="28" t="s">
        <v>16</v>
      </c>
      <c r="F112" s="28">
        <v>1681000</v>
      </c>
      <c r="G112" s="3"/>
      <c r="M112" s="28"/>
    </row>
    <row r="113" spans="2:13">
      <c r="B113" s="24" t="s">
        <v>947</v>
      </c>
      <c r="C113" s="24" t="s">
        <v>184</v>
      </c>
      <c r="D113" s="28">
        <v>82.5</v>
      </c>
      <c r="E113" s="28" t="s">
        <v>19</v>
      </c>
      <c r="F113" s="28">
        <v>1642480</v>
      </c>
      <c r="G113" s="3"/>
      <c r="M113" s="28"/>
    </row>
    <row r="114" spans="2:13">
      <c r="G114" s="3"/>
      <c r="M114" s="28"/>
    </row>
    <row r="115" spans="2:13" ht="14">
      <c r="B115" s="48"/>
      <c r="C115" s="49" t="s">
        <v>26</v>
      </c>
      <c r="G115" s="3"/>
      <c r="M115" s="28"/>
    </row>
    <row r="116" spans="2:13" ht="14">
      <c r="B116" s="27" t="s">
        <v>27</v>
      </c>
      <c r="C116" s="27" t="s">
        <v>28</v>
      </c>
      <c r="D116" s="27" t="s">
        <v>1214</v>
      </c>
      <c r="E116" s="27" t="s">
        <v>618</v>
      </c>
      <c r="F116" s="27" t="s">
        <v>30</v>
      </c>
      <c r="G116" s="3"/>
      <c r="M116" s="28"/>
    </row>
    <row r="117" spans="2:13">
      <c r="B117" s="24" t="s">
        <v>952</v>
      </c>
      <c r="C117" s="24" t="s">
        <v>1090</v>
      </c>
      <c r="D117" s="28">
        <v>82.5</v>
      </c>
      <c r="E117" s="28" t="s">
        <v>37</v>
      </c>
      <c r="F117" s="28">
        <v>2266427</v>
      </c>
      <c r="G117" s="3"/>
      <c r="M117" s="28"/>
    </row>
    <row r="118" spans="2:13">
      <c r="B118" s="24" t="s">
        <v>963</v>
      </c>
      <c r="C118" s="24" t="s">
        <v>1090</v>
      </c>
      <c r="D118" s="28">
        <v>90</v>
      </c>
      <c r="E118" s="28" t="s">
        <v>15</v>
      </c>
      <c r="F118" s="28">
        <v>2210429</v>
      </c>
      <c r="G118" s="3"/>
      <c r="M118" s="28"/>
    </row>
    <row r="119" spans="2:13">
      <c r="B119" s="24" t="s">
        <v>976</v>
      </c>
      <c r="C119" s="24" t="s">
        <v>1118</v>
      </c>
      <c r="D119" s="28">
        <v>100</v>
      </c>
      <c r="E119" s="28" t="s">
        <v>95</v>
      </c>
      <c r="F119" s="28">
        <v>1988065</v>
      </c>
      <c r="G119" s="3"/>
      <c r="M119" s="28"/>
    </row>
    <row r="120" spans="2:13">
      <c r="G120" s="24"/>
      <c r="M120" s="28"/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79:J79"/>
    <mergeCell ref="A89:J89"/>
    <mergeCell ref="A94:J94"/>
    <mergeCell ref="B3:B4"/>
    <mergeCell ref="A45:J45"/>
    <mergeCell ref="A48:J48"/>
    <mergeCell ref="A51:J51"/>
    <mergeCell ref="A55:J55"/>
    <mergeCell ref="A59:J59"/>
    <mergeCell ref="A70:J70"/>
    <mergeCell ref="A9:J9"/>
    <mergeCell ref="A16:J16"/>
    <mergeCell ref="A23:J23"/>
    <mergeCell ref="A29:J29"/>
    <mergeCell ref="A37:J37"/>
    <mergeCell ref="A41:J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Лист28"/>
  <dimension ref="A1:M56"/>
  <sheetViews>
    <sheetView topLeftCell="A17" workbookViewId="0">
      <selection activeCell="E46" sqref="E46"/>
    </sheetView>
  </sheetViews>
  <sheetFormatPr baseColWidth="10" defaultColWidth="9.1640625" defaultRowHeight="13"/>
  <cols>
    <col min="1" max="1" width="7.1640625" style="24" bestFit="1" customWidth="1"/>
    <col min="2" max="2" width="23.6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3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8.5" style="28" bestFit="1" customWidth="1"/>
    <col min="13" max="13" width="28.83203125" style="24" bestFit="1" customWidth="1"/>
    <col min="14" max="16384" width="9.1640625" style="3"/>
  </cols>
  <sheetData>
    <row r="1" spans="1:13" s="2" customFormat="1" ht="29" customHeight="1">
      <c r="A1" s="78" t="s">
        <v>1201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10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54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9">
        <v>1</v>
      </c>
      <c r="B6" s="37" t="s">
        <v>811</v>
      </c>
      <c r="C6" s="37" t="s">
        <v>812</v>
      </c>
      <c r="D6" s="37" t="s">
        <v>813</v>
      </c>
      <c r="E6" s="37" t="s">
        <v>1347</v>
      </c>
      <c r="F6" s="37" t="s">
        <v>1256</v>
      </c>
      <c r="G6" s="38" t="s">
        <v>211</v>
      </c>
      <c r="H6" s="38" t="s">
        <v>48</v>
      </c>
      <c r="I6" s="38" t="s">
        <v>220</v>
      </c>
      <c r="J6" s="29"/>
      <c r="K6" s="29" t="str">
        <f>"85,0"</f>
        <v>85,0</v>
      </c>
      <c r="L6" s="29" t="str">
        <f>"107,8820"</f>
        <v>107,8820</v>
      </c>
      <c r="M6" s="37" t="s">
        <v>321</v>
      </c>
    </row>
    <row r="7" spans="1:13">
      <c r="A7" s="30">
        <v>1</v>
      </c>
      <c r="B7" s="40" t="s">
        <v>814</v>
      </c>
      <c r="C7" s="40" t="s">
        <v>1119</v>
      </c>
      <c r="D7" s="40" t="s">
        <v>815</v>
      </c>
      <c r="E7" s="40" t="s">
        <v>1349</v>
      </c>
      <c r="F7" s="40" t="s">
        <v>1326</v>
      </c>
      <c r="G7" s="41" t="s">
        <v>211</v>
      </c>
      <c r="H7" s="41" t="s">
        <v>47</v>
      </c>
      <c r="I7" s="41" t="s">
        <v>276</v>
      </c>
      <c r="J7" s="30"/>
      <c r="K7" s="30" t="str">
        <f>"77,5"</f>
        <v>77,5</v>
      </c>
      <c r="L7" s="30" t="str">
        <f>"109,4123"</f>
        <v>109,4123</v>
      </c>
      <c r="M7" s="40" t="s">
        <v>321</v>
      </c>
    </row>
    <row r="9" spans="1:13" ht="16">
      <c r="A9" s="66" t="s">
        <v>266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29">
        <v>1</v>
      </c>
      <c r="B10" s="37" t="s">
        <v>816</v>
      </c>
      <c r="C10" s="37" t="s">
        <v>817</v>
      </c>
      <c r="D10" s="37" t="s">
        <v>818</v>
      </c>
      <c r="E10" s="37" t="s">
        <v>1350</v>
      </c>
      <c r="F10" s="37" t="s">
        <v>1279</v>
      </c>
      <c r="G10" s="39" t="s">
        <v>61</v>
      </c>
      <c r="H10" s="38" t="s">
        <v>61</v>
      </c>
      <c r="I10" s="38" t="s">
        <v>220</v>
      </c>
      <c r="J10" s="29"/>
      <c r="K10" s="29" t="str">
        <f>"85,0"</f>
        <v>85,0</v>
      </c>
      <c r="L10" s="29" t="str">
        <f>"99,0420"</f>
        <v>99,0420</v>
      </c>
      <c r="M10" s="37" t="s">
        <v>822</v>
      </c>
    </row>
    <row r="11" spans="1:13">
      <c r="A11" s="30">
        <v>1</v>
      </c>
      <c r="B11" s="40" t="s">
        <v>819</v>
      </c>
      <c r="C11" s="40" t="s">
        <v>820</v>
      </c>
      <c r="D11" s="40" t="s">
        <v>821</v>
      </c>
      <c r="E11" s="40" t="s">
        <v>1347</v>
      </c>
      <c r="F11" s="40" t="s">
        <v>1279</v>
      </c>
      <c r="G11" s="41" t="s">
        <v>221</v>
      </c>
      <c r="H11" s="41" t="s">
        <v>58</v>
      </c>
      <c r="I11" s="41" t="s">
        <v>166</v>
      </c>
      <c r="J11" s="30"/>
      <c r="K11" s="30" t="str">
        <f>"110,0"</f>
        <v>110,0</v>
      </c>
      <c r="L11" s="30" t="str">
        <f>"125,9170"</f>
        <v>125,9170</v>
      </c>
      <c r="M11" s="40" t="s">
        <v>822</v>
      </c>
    </row>
    <row r="13" spans="1:13" ht="16">
      <c r="A13" s="66" t="s">
        <v>54</v>
      </c>
      <c r="B13" s="66"/>
      <c r="C13" s="67"/>
      <c r="D13" s="67"/>
      <c r="E13" s="67"/>
      <c r="F13" s="67"/>
      <c r="G13" s="67"/>
      <c r="H13" s="67"/>
      <c r="I13" s="67"/>
      <c r="J13" s="67"/>
    </row>
    <row r="14" spans="1:13">
      <c r="A14" s="23">
        <v>1</v>
      </c>
      <c r="B14" s="26" t="s">
        <v>823</v>
      </c>
      <c r="C14" s="26" t="s">
        <v>824</v>
      </c>
      <c r="D14" s="26" t="s">
        <v>622</v>
      </c>
      <c r="E14" s="26" t="s">
        <v>1350</v>
      </c>
      <c r="F14" s="26" t="s">
        <v>1279</v>
      </c>
      <c r="G14" s="43" t="s">
        <v>51</v>
      </c>
      <c r="H14" s="43" t="s">
        <v>209</v>
      </c>
      <c r="I14" s="43" t="s">
        <v>211</v>
      </c>
      <c r="J14" s="23"/>
      <c r="K14" s="23" t="str">
        <f>"65,0"</f>
        <v>65,0</v>
      </c>
      <c r="L14" s="23" t="str">
        <f>"69,7320"</f>
        <v>69,7320</v>
      </c>
      <c r="M14" s="26" t="s">
        <v>822</v>
      </c>
    </row>
    <row r="16" spans="1:13" ht="16">
      <c r="A16" s="66" t="s">
        <v>43</v>
      </c>
      <c r="B16" s="66"/>
      <c r="C16" s="67"/>
      <c r="D16" s="67"/>
      <c r="E16" s="67"/>
      <c r="F16" s="67"/>
      <c r="G16" s="67"/>
      <c r="H16" s="67"/>
      <c r="I16" s="67"/>
      <c r="J16" s="67"/>
    </row>
    <row r="17" spans="1:13">
      <c r="A17" s="23">
        <v>1</v>
      </c>
      <c r="B17" s="26" t="s">
        <v>825</v>
      </c>
      <c r="C17" s="26" t="s">
        <v>826</v>
      </c>
      <c r="D17" s="26" t="s">
        <v>827</v>
      </c>
      <c r="E17" s="26" t="s">
        <v>1350</v>
      </c>
      <c r="F17" s="26" t="s">
        <v>1279</v>
      </c>
      <c r="G17" s="43" t="s">
        <v>194</v>
      </c>
      <c r="H17" s="43" t="s">
        <v>167</v>
      </c>
      <c r="I17" s="43" t="s">
        <v>244</v>
      </c>
      <c r="J17" s="23"/>
      <c r="K17" s="23" t="str">
        <f>"122,5"</f>
        <v>122,5</v>
      </c>
      <c r="L17" s="23" t="str">
        <f>"95,1335"</f>
        <v>95,1335</v>
      </c>
      <c r="M17" s="26" t="s">
        <v>822</v>
      </c>
    </row>
    <row r="19" spans="1:13" ht="16">
      <c r="A19" s="66" t="s">
        <v>67</v>
      </c>
      <c r="B19" s="66"/>
      <c r="C19" s="67"/>
      <c r="D19" s="67"/>
      <c r="E19" s="67"/>
      <c r="F19" s="67"/>
      <c r="G19" s="67"/>
      <c r="H19" s="67"/>
      <c r="I19" s="67"/>
      <c r="J19" s="67"/>
    </row>
    <row r="20" spans="1:13">
      <c r="A20" s="29">
        <v>1</v>
      </c>
      <c r="B20" s="37" t="s">
        <v>828</v>
      </c>
      <c r="C20" s="37" t="s">
        <v>829</v>
      </c>
      <c r="D20" s="37" t="s">
        <v>689</v>
      </c>
      <c r="E20" s="37" t="s">
        <v>1350</v>
      </c>
      <c r="F20" s="53" t="s">
        <v>1286</v>
      </c>
      <c r="G20" s="59" t="s">
        <v>58</v>
      </c>
      <c r="H20" s="38" t="s">
        <v>166</v>
      </c>
      <c r="I20" s="60" t="s">
        <v>167</v>
      </c>
      <c r="J20" s="56"/>
      <c r="K20" s="29" t="str">
        <f>"115,0"</f>
        <v>115,0</v>
      </c>
      <c r="L20" s="29" t="str">
        <f>"86,4685"</f>
        <v>86,4685</v>
      </c>
      <c r="M20" s="37" t="s">
        <v>1224</v>
      </c>
    </row>
    <row r="21" spans="1:13">
      <c r="A21" s="35">
        <v>1</v>
      </c>
      <c r="B21" s="50" t="s">
        <v>68</v>
      </c>
      <c r="C21" s="50" t="s">
        <v>69</v>
      </c>
      <c r="D21" s="50" t="s">
        <v>70</v>
      </c>
      <c r="E21" s="50" t="s">
        <v>1347</v>
      </c>
      <c r="F21" s="54" t="s">
        <v>1279</v>
      </c>
      <c r="G21" s="61" t="s">
        <v>23</v>
      </c>
      <c r="H21" s="51" t="s">
        <v>23</v>
      </c>
      <c r="I21" s="62" t="s">
        <v>73</v>
      </c>
      <c r="J21" s="57"/>
      <c r="K21" s="35" t="str">
        <f>"260,0"</f>
        <v>260,0</v>
      </c>
      <c r="L21" s="35" t="str">
        <f>"185,2760"</f>
        <v>185,2760</v>
      </c>
      <c r="M21" s="50"/>
    </row>
    <row r="22" spans="1:13">
      <c r="A22" s="35">
        <v>2</v>
      </c>
      <c r="B22" s="50" t="s">
        <v>473</v>
      </c>
      <c r="C22" s="50" t="s">
        <v>830</v>
      </c>
      <c r="D22" s="50" t="s">
        <v>475</v>
      </c>
      <c r="E22" s="50" t="s">
        <v>1347</v>
      </c>
      <c r="F22" s="54" t="s">
        <v>1295</v>
      </c>
      <c r="G22" s="63" t="s">
        <v>15</v>
      </c>
      <c r="H22" s="52" t="s">
        <v>16</v>
      </c>
      <c r="I22" s="57"/>
      <c r="J22" s="57"/>
      <c r="K22" s="35" t="str">
        <f>"240,0"</f>
        <v>240,0</v>
      </c>
      <c r="L22" s="35" t="str">
        <f>"173,6400"</f>
        <v>173,6400</v>
      </c>
      <c r="M22" s="50" t="s">
        <v>1221</v>
      </c>
    </row>
    <row r="23" spans="1:13">
      <c r="A23" s="30">
        <v>1</v>
      </c>
      <c r="B23" s="40" t="s">
        <v>81</v>
      </c>
      <c r="C23" s="40" t="s">
        <v>1120</v>
      </c>
      <c r="D23" s="40" t="s">
        <v>82</v>
      </c>
      <c r="E23" s="40" t="s">
        <v>1352</v>
      </c>
      <c r="F23" s="55" t="s">
        <v>1279</v>
      </c>
      <c r="G23" s="64" t="s">
        <v>35</v>
      </c>
      <c r="H23" s="41" t="s">
        <v>36</v>
      </c>
      <c r="I23" s="65" t="s">
        <v>37</v>
      </c>
      <c r="J23" s="58"/>
      <c r="K23" s="30" t="str">
        <f>"215,0"</f>
        <v>215,0</v>
      </c>
      <c r="L23" s="30" t="str">
        <f>"182,1909"</f>
        <v>182,1909</v>
      </c>
      <c r="M23" s="40" t="s">
        <v>822</v>
      </c>
    </row>
    <row r="25" spans="1:13" ht="16">
      <c r="A25" s="66" t="s">
        <v>99</v>
      </c>
      <c r="B25" s="66"/>
      <c r="C25" s="67"/>
      <c r="D25" s="67"/>
      <c r="E25" s="67"/>
      <c r="F25" s="67"/>
      <c r="G25" s="67"/>
      <c r="H25" s="67"/>
      <c r="I25" s="67"/>
      <c r="J25" s="67"/>
    </row>
    <row r="26" spans="1:13">
      <c r="A26" s="29">
        <v>1</v>
      </c>
      <c r="B26" s="37" t="s">
        <v>831</v>
      </c>
      <c r="C26" s="37" t="s">
        <v>832</v>
      </c>
      <c r="D26" s="37" t="s">
        <v>562</v>
      </c>
      <c r="E26" s="37" t="s">
        <v>1347</v>
      </c>
      <c r="F26" s="37" t="s">
        <v>1343</v>
      </c>
      <c r="G26" s="38" t="s">
        <v>174</v>
      </c>
      <c r="H26" s="39" t="s">
        <v>1004</v>
      </c>
      <c r="I26" s="39" t="s">
        <v>1004</v>
      </c>
      <c r="J26" s="29"/>
      <c r="K26" s="29" t="str">
        <f>"325,0"</f>
        <v>325,0</v>
      </c>
      <c r="L26" s="29" t="str">
        <f>"207,8375"</f>
        <v>207,8375</v>
      </c>
      <c r="M26" s="37"/>
    </row>
    <row r="27" spans="1:13">
      <c r="A27" s="35">
        <v>2</v>
      </c>
      <c r="B27" s="50" t="s">
        <v>121</v>
      </c>
      <c r="C27" s="50" t="s">
        <v>122</v>
      </c>
      <c r="D27" s="50" t="s">
        <v>123</v>
      </c>
      <c r="E27" s="50" t="s">
        <v>1347</v>
      </c>
      <c r="F27" s="50" t="s">
        <v>1244</v>
      </c>
      <c r="G27" s="51" t="s">
        <v>73</v>
      </c>
      <c r="H27" s="52" t="s">
        <v>90</v>
      </c>
      <c r="I27" s="52" t="s">
        <v>90</v>
      </c>
      <c r="J27" s="35"/>
      <c r="K27" s="35" t="str">
        <f>"272,5"</f>
        <v>272,5</v>
      </c>
      <c r="L27" s="35" t="str">
        <f>"174,9722"</f>
        <v>174,9722</v>
      </c>
      <c r="M27" s="50"/>
    </row>
    <row r="28" spans="1:13">
      <c r="A28" s="35">
        <v>3</v>
      </c>
      <c r="B28" s="50" t="s">
        <v>833</v>
      </c>
      <c r="C28" s="50" t="s">
        <v>834</v>
      </c>
      <c r="D28" s="50" t="s">
        <v>835</v>
      </c>
      <c r="E28" s="50" t="s">
        <v>1347</v>
      </c>
      <c r="F28" s="50" t="s">
        <v>1279</v>
      </c>
      <c r="G28" s="51" t="s">
        <v>95</v>
      </c>
      <c r="H28" s="51" t="s">
        <v>97</v>
      </c>
      <c r="I28" s="52" t="s">
        <v>35</v>
      </c>
      <c r="J28" s="35"/>
      <c r="K28" s="35" t="str">
        <f>"185,0"</f>
        <v>185,0</v>
      </c>
      <c r="L28" s="35" t="str">
        <f>"119,4175"</f>
        <v>119,4175</v>
      </c>
      <c r="M28" s="50" t="s">
        <v>822</v>
      </c>
    </row>
    <row r="29" spans="1:13">
      <c r="A29" s="35" t="s">
        <v>31</v>
      </c>
      <c r="B29" s="50" t="s">
        <v>836</v>
      </c>
      <c r="C29" s="50" t="s">
        <v>837</v>
      </c>
      <c r="D29" s="50" t="s">
        <v>118</v>
      </c>
      <c r="E29" s="50" t="s">
        <v>1347</v>
      </c>
      <c r="F29" s="50" t="s">
        <v>1256</v>
      </c>
      <c r="G29" s="52" t="s">
        <v>89</v>
      </c>
      <c r="H29" s="52" t="s">
        <v>89</v>
      </c>
      <c r="I29" s="52" t="s">
        <v>89</v>
      </c>
      <c r="J29" s="35"/>
      <c r="K29" s="35" t="str">
        <f>"0.00"</f>
        <v>0.00</v>
      </c>
      <c r="L29" s="35" t="str">
        <f>"0,0000"</f>
        <v>0,0000</v>
      </c>
      <c r="M29" s="50" t="s">
        <v>361</v>
      </c>
    </row>
    <row r="30" spans="1:13">
      <c r="A30" s="30">
        <v>1</v>
      </c>
      <c r="B30" s="40" t="s">
        <v>838</v>
      </c>
      <c r="C30" s="40" t="s">
        <v>1121</v>
      </c>
      <c r="D30" s="40" t="s">
        <v>835</v>
      </c>
      <c r="E30" s="40" t="s">
        <v>1353</v>
      </c>
      <c r="F30" s="40" t="s">
        <v>1301</v>
      </c>
      <c r="G30" s="41" t="s">
        <v>17</v>
      </c>
      <c r="H30" s="41" t="s">
        <v>95</v>
      </c>
      <c r="I30" s="41" t="s">
        <v>78</v>
      </c>
      <c r="J30" s="30"/>
      <c r="K30" s="30" t="str">
        <f>"190,0"</f>
        <v>190,0</v>
      </c>
      <c r="L30" s="30" t="str">
        <f>"162,1367"</f>
        <v>162,1367</v>
      </c>
      <c r="M30" s="40"/>
    </row>
    <row r="32" spans="1:13" ht="16">
      <c r="A32" s="66" t="s">
        <v>32</v>
      </c>
      <c r="B32" s="66"/>
      <c r="C32" s="67"/>
      <c r="D32" s="67"/>
      <c r="E32" s="67"/>
      <c r="F32" s="67"/>
      <c r="G32" s="67"/>
      <c r="H32" s="67"/>
      <c r="I32" s="67"/>
      <c r="J32" s="67"/>
    </row>
    <row r="33" spans="1:13">
      <c r="A33" s="29">
        <v>1</v>
      </c>
      <c r="B33" s="37" t="s">
        <v>839</v>
      </c>
      <c r="C33" s="37" t="s">
        <v>1122</v>
      </c>
      <c r="D33" s="37" t="s">
        <v>840</v>
      </c>
      <c r="E33" s="37" t="s">
        <v>1351</v>
      </c>
      <c r="F33" s="37" t="s">
        <v>1244</v>
      </c>
      <c r="G33" s="38" t="s">
        <v>89</v>
      </c>
      <c r="H33" s="39" t="s">
        <v>114</v>
      </c>
      <c r="I33" s="39" t="s">
        <v>114</v>
      </c>
      <c r="J33" s="29"/>
      <c r="K33" s="29" t="str">
        <f>"280,0"</f>
        <v>280,0</v>
      </c>
      <c r="L33" s="29" t="str">
        <f>"171,3880"</f>
        <v>171,3880</v>
      </c>
      <c r="M33" s="37" t="s">
        <v>841</v>
      </c>
    </row>
    <row r="34" spans="1:13">
      <c r="A34" s="35">
        <v>1</v>
      </c>
      <c r="B34" s="50" t="s">
        <v>842</v>
      </c>
      <c r="C34" s="50" t="s">
        <v>843</v>
      </c>
      <c r="D34" s="50" t="s">
        <v>844</v>
      </c>
      <c r="E34" s="50" t="s">
        <v>1347</v>
      </c>
      <c r="F34" s="50" t="s">
        <v>1244</v>
      </c>
      <c r="G34" s="51" t="s">
        <v>845</v>
      </c>
      <c r="H34" s="52" t="s">
        <v>418</v>
      </c>
      <c r="I34" s="52" t="s">
        <v>418</v>
      </c>
      <c r="J34" s="35"/>
      <c r="K34" s="35" t="str">
        <f>"252,5"</f>
        <v>252,5</v>
      </c>
      <c r="L34" s="35" t="str">
        <f>"153,7220"</f>
        <v>153,7220</v>
      </c>
      <c r="M34" s="50" t="s">
        <v>846</v>
      </c>
    </row>
    <row r="35" spans="1:13">
      <c r="A35" s="35">
        <v>1</v>
      </c>
      <c r="B35" s="50" t="s">
        <v>847</v>
      </c>
      <c r="C35" s="50" t="s">
        <v>1113</v>
      </c>
      <c r="D35" s="50" t="s">
        <v>848</v>
      </c>
      <c r="E35" s="50" t="s">
        <v>1353</v>
      </c>
      <c r="F35" s="50" t="s">
        <v>1267</v>
      </c>
      <c r="G35" s="51" t="s">
        <v>14</v>
      </c>
      <c r="H35" s="51" t="s">
        <v>541</v>
      </c>
      <c r="I35" s="52" t="s">
        <v>15</v>
      </c>
      <c r="J35" s="35"/>
      <c r="K35" s="35" t="str">
        <f>"232,5"</f>
        <v>232,5</v>
      </c>
      <c r="L35" s="35" t="str">
        <f>"183,8285"</f>
        <v>183,8285</v>
      </c>
      <c r="M35" s="50"/>
    </row>
    <row r="36" spans="1:13">
      <c r="A36" s="30">
        <v>1</v>
      </c>
      <c r="B36" s="40" t="s">
        <v>365</v>
      </c>
      <c r="C36" s="40" t="s">
        <v>1123</v>
      </c>
      <c r="D36" s="40" t="s">
        <v>849</v>
      </c>
      <c r="E36" s="40" t="s">
        <v>1358</v>
      </c>
      <c r="F36" s="40" t="s">
        <v>1342</v>
      </c>
      <c r="G36" s="41" t="s">
        <v>103</v>
      </c>
      <c r="H36" s="41" t="s">
        <v>38</v>
      </c>
      <c r="I36" s="41" t="s">
        <v>18</v>
      </c>
      <c r="J36" s="30"/>
      <c r="K36" s="30" t="str">
        <f>"160,0"</f>
        <v>160,0</v>
      </c>
      <c r="L36" s="30" t="str">
        <f>"155,2132"</f>
        <v>155,2132</v>
      </c>
      <c r="M36" s="40"/>
    </row>
    <row r="38" spans="1:13" ht="16">
      <c r="A38" s="66" t="s">
        <v>11</v>
      </c>
      <c r="B38" s="66"/>
      <c r="C38" s="67"/>
      <c r="D38" s="67"/>
      <c r="E38" s="67"/>
      <c r="F38" s="67"/>
      <c r="G38" s="67"/>
      <c r="H38" s="67"/>
      <c r="I38" s="67"/>
      <c r="J38" s="67"/>
    </row>
    <row r="39" spans="1:13">
      <c r="A39" s="23">
        <v>1</v>
      </c>
      <c r="B39" s="26" t="s">
        <v>850</v>
      </c>
      <c r="C39" s="26" t="s">
        <v>851</v>
      </c>
      <c r="D39" s="26" t="s">
        <v>852</v>
      </c>
      <c r="E39" s="26" t="s">
        <v>1347</v>
      </c>
      <c r="F39" s="26" t="s">
        <v>1330</v>
      </c>
      <c r="G39" s="43" t="s">
        <v>89</v>
      </c>
      <c r="H39" s="44" t="s">
        <v>114</v>
      </c>
      <c r="I39" s="43" t="s">
        <v>114</v>
      </c>
      <c r="J39" s="23"/>
      <c r="K39" s="23" t="str">
        <f>"290,0"</f>
        <v>290,0</v>
      </c>
      <c r="L39" s="23" t="str">
        <f>"172,4920"</f>
        <v>172,4920</v>
      </c>
      <c r="M39" s="26" t="s">
        <v>1242</v>
      </c>
    </row>
    <row r="41" spans="1:13" ht="16">
      <c r="A41" s="66" t="s">
        <v>20</v>
      </c>
      <c r="B41" s="66"/>
      <c r="C41" s="67"/>
      <c r="D41" s="67"/>
      <c r="E41" s="67"/>
      <c r="F41" s="67"/>
      <c r="G41" s="67"/>
      <c r="H41" s="67"/>
      <c r="I41" s="67"/>
      <c r="J41" s="67"/>
    </row>
    <row r="42" spans="1:13">
      <c r="A42" s="23">
        <v>1</v>
      </c>
      <c r="B42" s="26" t="s">
        <v>853</v>
      </c>
      <c r="C42" s="26" t="s">
        <v>854</v>
      </c>
      <c r="D42" s="26" t="s">
        <v>855</v>
      </c>
      <c r="E42" s="26" t="s">
        <v>1347</v>
      </c>
      <c r="F42" s="26" t="s">
        <v>1297</v>
      </c>
      <c r="G42" s="43" t="s">
        <v>91</v>
      </c>
      <c r="H42" s="23"/>
      <c r="I42" s="23"/>
      <c r="J42" s="23"/>
      <c r="K42" s="23" t="str">
        <f>"310,0"</f>
        <v>310,0</v>
      </c>
      <c r="L42" s="23" t="str">
        <f>"177,5990"</f>
        <v>177,5990</v>
      </c>
      <c r="M42" s="26"/>
    </row>
    <row r="44" spans="1:13" ht="16">
      <c r="A44" s="66" t="s">
        <v>179</v>
      </c>
      <c r="B44" s="66"/>
      <c r="C44" s="67"/>
      <c r="D44" s="67"/>
      <c r="E44" s="67"/>
      <c r="F44" s="67"/>
      <c r="G44" s="67"/>
      <c r="H44" s="67"/>
      <c r="I44" s="67"/>
      <c r="J44" s="67"/>
    </row>
    <row r="45" spans="1:13">
      <c r="A45" s="23">
        <v>1</v>
      </c>
      <c r="B45" s="26" t="s">
        <v>856</v>
      </c>
      <c r="C45" s="26" t="s">
        <v>1124</v>
      </c>
      <c r="D45" s="26" t="s">
        <v>857</v>
      </c>
      <c r="E45" s="26" t="s">
        <v>1349</v>
      </c>
      <c r="F45" s="26" t="s">
        <v>1266</v>
      </c>
      <c r="G45" s="43" t="s">
        <v>91</v>
      </c>
      <c r="H45" s="43" t="s">
        <v>115</v>
      </c>
      <c r="I45" s="43" t="s">
        <v>858</v>
      </c>
      <c r="J45" s="23"/>
      <c r="K45" s="23" t="str">
        <f>"330,0"</f>
        <v>330,0</v>
      </c>
      <c r="L45" s="23" t="str">
        <f>"202,4161"</f>
        <v>202,4161</v>
      </c>
      <c r="M45" s="26"/>
    </row>
    <row r="47" spans="1:13" ht="16">
      <c r="F47" s="45"/>
      <c r="G47" s="24"/>
      <c r="M47" s="28"/>
    </row>
    <row r="48" spans="1:13">
      <c r="G48" s="24"/>
      <c r="M48" s="28"/>
    </row>
    <row r="49" spans="2:13" ht="18">
      <c r="B49" s="46" t="s">
        <v>7</v>
      </c>
      <c r="C49" s="46"/>
      <c r="G49" s="3"/>
      <c r="M49" s="28"/>
    </row>
    <row r="50" spans="2:13" ht="16">
      <c r="B50" s="47" t="s">
        <v>25</v>
      </c>
      <c r="C50" s="47"/>
      <c r="G50" s="3"/>
      <c r="M50" s="28"/>
    </row>
    <row r="51" spans="2:13" ht="14">
      <c r="B51" s="48"/>
      <c r="C51" s="49" t="s">
        <v>184</v>
      </c>
      <c r="G51" s="3"/>
      <c r="M51" s="28"/>
    </row>
    <row r="52" spans="2:13" ht="14">
      <c r="B52" s="27" t="s">
        <v>27</v>
      </c>
      <c r="C52" s="27" t="s">
        <v>28</v>
      </c>
      <c r="D52" s="27" t="s">
        <v>1214</v>
      </c>
      <c r="E52" s="27" t="s">
        <v>618</v>
      </c>
      <c r="F52" s="27" t="s">
        <v>30</v>
      </c>
      <c r="G52" s="3"/>
      <c r="M52" s="28"/>
    </row>
    <row r="53" spans="2:13">
      <c r="B53" s="24" t="s">
        <v>831</v>
      </c>
      <c r="C53" s="24" t="s">
        <v>184</v>
      </c>
      <c r="D53" s="28">
        <v>90</v>
      </c>
      <c r="E53" s="28" t="s">
        <v>174</v>
      </c>
      <c r="F53" s="28">
        <v>2078375</v>
      </c>
      <c r="G53" s="3"/>
      <c r="M53" s="28"/>
    </row>
    <row r="54" spans="2:13">
      <c r="B54" s="24" t="s">
        <v>68</v>
      </c>
      <c r="C54" s="24" t="s">
        <v>184</v>
      </c>
      <c r="D54" s="28">
        <v>75</v>
      </c>
      <c r="E54" s="28" t="s">
        <v>23</v>
      </c>
      <c r="F54" s="28">
        <v>1852760</v>
      </c>
      <c r="G54" s="3"/>
      <c r="M54" s="28"/>
    </row>
    <row r="55" spans="2:13">
      <c r="B55" s="24" t="s">
        <v>853</v>
      </c>
      <c r="C55" s="24" t="s">
        <v>184</v>
      </c>
      <c r="D55" s="28">
        <v>125</v>
      </c>
      <c r="E55" s="28" t="s">
        <v>91</v>
      </c>
      <c r="F55" s="28">
        <v>1775990</v>
      </c>
      <c r="G55" s="3"/>
      <c r="M55" s="28"/>
    </row>
    <row r="56" spans="2:13">
      <c r="G56" s="24"/>
      <c r="M56" s="28"/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8:J38"/>
    <mergeCell ref="A41:J41"/>
    <mergeCell ref="A44:J44"/>
    <mergeCell ref="B3:B4"/>
    <mergeCell ref="A9:J9"/>
    <mergeCell ref="A13:J13"/>
    <mergeCell ref="A16:J16"/>
    <mergeCell ref="A19:J19"/>
    <mergeCell ref="A25:J25"/>
    <mergeCell ref="A32:J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Лист29"/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1640625" style="24" bestFit="1" customWidth="1"/>
    <col min="2" max="2" width="19.164062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0.33203125" style="24" customWidth="1"/>
    <col min="7" max="9" width="5.5" style="28" customWidth="1"/>
    <col min="10" max="10" width="4.5" style="28" customWidth="1"/>
    <col min="11" max="11" width="10.5" style="28" bestFit="1" customWidth="1"/>
    <col min="12" max="12" width="10.33203125" style="28" customWidth="1"/>
    <col min="13" max="13" width="19.83203125" style="24" customWidth="1"/>
    <col min="14" max="16384" width="9.1640625" style="3"/>
  </cols>
  <sheetData>
    <row r="1" spans="1:13" s="2" customFormat="1" ht="29" customHeight="1">
      <c r="A1" s="78" t="s">
        <v>1199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10</v>
      </c>
      <c r="H3" s="72"/>
      <c r="I3" s="72"/>
      <c r="J3" s="72"/>
      <c r="K3" s="72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3"/>
      <c r="L4" s="73"/>
      <c r="M4" s="75"/>
    </row>
    <row r="5" spans="1:13" ht="16">
      <c r="A5" s="76" t="s">
        <v>54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3">
        <v>1</v>
      </c>
      <c r="B6" s="26" t="s">
        <v>989</v>
      </c>
      <c r="C6" s="26" t="s">
        <v>990</v>
      </c>
      <c r="D6" s="26" t="s">
        <v>991</v>
      </c>
      <c r="E6" s="26" t="s">
        <v>1350</v>
      </c>
      <c r="F6" s="26" t="s">
        <v>1294</v>
      </c>
      <c r="G6" s="43" t="s">
        <v>209</v>
      </c>
      <c r="H6" s="43" t="s">
        <v>211</v>
      </c>
      <c r="I6" s="43" t="s">
        <v>61</v>
      </c>
      <c r="J6" s="23"/>
      <c r="K6" s="23" t="str">
        <f>"70,0"</f>
        <v>70,0</v>
      </c>
      <c r="L6" s="23" t="str">
        <f>"93,4780"</f>
        <v>93,4780</v>
      </c>
      <c r="M6" s="26" t="s">
        <v>1029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Лист2"/>
  <dimension ref="A1:U27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24" bestFit="1" customWidth="1"/>
    <col min="2" max="2" width="20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3.16406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20" style="24" customWidth="1"/>
    <col min="22" max="16384" width="9.1640625" style="3"/>
  </cols>
  <sheetData>
    <row r="1" spans="1:21" s="2" customFormat="1" ht="29" customHeight="1">
      <c r="A1" s="78" t="s">
        <v>1206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0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1"/>
      <c r="T4" s="73"/>
      <c r="U4" s="75"/>
    </row>
    <row r="5" spans="1:21" ht="16">
      <c r="A5" s="76" t="s">
        <v>54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507</v>
      </c>
      <c r="C6" s="26" t="s">
        <v>508</v>
      </c>
      <c r="D6" s="26" t="s">
        <v>509</v>
      </c>
      <c r="E6" s="26" t="s">
        <v>1347</v>
      </c>
      <c r="F6" s="26" t="s">
        <v>1256</v>
      </c>
      <c r="G6" s="43" t="s">
        <v>220</v>
      </c>
      <c r="H6" s="43" t="s">
        <v>221</v>
      </c>
      <c r="I6" s="44" t="s">
        <v>58</v>
      </c>
      <c r="J6" s="23"/>
      <c r="K6" s="44" t="s">
        <v>230</v>
      </c>
      <c r="L6" s="43" t="s">
        <v>230</v>
      </c>
      <c r="M6" s="43" t="s">
        <v>195</v>
      </c>
      <c r="N6" s="23"/>
      <c r="O6" s="44" t="s">
        <v>232</v>
      </c>
      <c r="P6" s="44" t="s">
        <v>232</v>
      </c>
      <c r="Q6" s="43" t="s">
        <v>232</v>
      </c>
      <c r="R6" s="23"/>
      <c r="S6" s="34" t="str">
        <f>"232,5"</f>
        <v>232,5</v>
      </c>
      <c r="T6" s="23" t="str">
        <f>"296,8793"</f>
        <v>296,8793</v>
      </c>
      <c r="U6" s="26" t="s">
        <v>510</v>
      </c>
    </row>
    <row r="8" spans="1:21" ht="16">
      <c r="A8" s="66" t="s">
        <v>266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23">
        <v>1</v>
      </c>
      <c r="B9" s="26" t="s">
        <v>511</v>
      </c>
      <c r="C9" s="26" t="s">
        <v>512</v>
      </c>
      <c r="D9" s="26" t="s">
        <v>513</v>
      </c>
      <c r="E9" s="26" t="s">
        <v>1347</v>
      </c>
      <c r="F9" s="26" t="s">
        <v>1244</v>
      </c>
      <c r="G9" s="43" t="s">
        <v>167</v>
      </c>
      <c r="H9" s="44" t="s">
        <v>79</v>
      </c>
      <c r="I9" s="44" t="s">
        <v>71</v>
      </c>
      <c r="J9" s="23"/>
      <c r="K9" s="43" t="s">
        <v>210</v>
      </c>
      <c r="L9" s="44" t="s">
        <v>211</v>
      </c>
      <c r="M9" s="44" t="s">
        <v>211</v>
      </c>
      <c r="N9" s="23"/>
      <c r="O9" s="43" t="s">
        <v>166</v>
      </c>
      <c r="P9" s="43" t="s">
        <v>60</v>
      </c>
      <c r="Q9" s="44" t="s">
        <v>72</v>
      </c>
      <c r="R9" s="23"/>
      <c r="S9" s="34" t="str">
        <f>"295,0"</f>
        <v>295,0</v>
      </c>
      <c r="T9" s="23" t="str">
        <f>"331,4620"</f>
        <v>331,4620</v>
      </c>
      <c r="U9" s="26" t="s">
        <v>510</v>
      </c>
    </row>
    <row r="11" spans="1:21" ht="16">
      <c r="A11" s="66" t="s">
        <v>84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21">
      <c r="A12" s="23">
        <v>1</v>
      </c>
      <c r="B12" s="26" t="s">
        <v>514</v>
      </c>
      <c r="C12" s="26" t="s">
        <v>515</v>
      </c>
      <c r="D12" s="26" t="s">
        <v>516</v>
      </c>
      <c r="E12" s="26" t="s">
        <v>1347</v>
      </c>
      <c r="F12" s="26" t="s">
        <v>1274</v>
      </c>
      <c r="G12" s="43" t="s">
        <v>166</v>
      </c>
      <c r="H12" s="43" t="s">
        <v>244</v>
      </c>
      <c r="I12" s="44" t="s">
        <v>280</v>
      </c>
      <c r="J12" s="23"/>
      <c r="K12" s="43" t="s">
        <v>209</v>
      </c>
      <c r="L12" s="43" t="s">
        <v>211</v>
      </c>
      <c r="M12" s="44" t="s">
        <v>294</v>
      </c>
      <c r="N12" s="23"/>
      <c r="O12" s="43" t="s">
        <v>194</v>
      </c>
      <c r="P12" s="44" t="s">
        <v>167</v>
      </c>
      <c r="Q12" s="44" t="s">
        <v>167</v>
      </c>
      <c r="R12" s="23"/>
      <c r="S12" s="34" t="str">
        <f>"292,5"</f>
        <v>292,5</v>
      </c>
      <c r="T12" s="23" t="str">
        <f>"267,8130"</f>
        <v>267,8130</v>
      </c>
      <c r="U12" s="26" t="s">
        <v>517</v>
      </c>
    </row>
    <row r="14" spans="1:21" ht="16">
      <c r="A14" s="66" t="s">
        <v>99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21">
      <c r="A15" s="29">
        <v>1</v>
      </c>
      <c r="B15" s="37" t="s">
        <v>518</v>
      </c>
      <c r="C15" s="37" t="s">
        <v>519</v>
      </c>
      <c r="D15" s="37" t="s">
        <v>127</v>
      </c>
      <c r="E15" s="37" t="s">
        <v>1347</v>
      </c>
      <c r="F15" s="37" t="s">
        <v>1289</v>
      </c>
      <c r="G15" s="38" t="s">
        <v>14</v>
      </c>
      <c r="H15" s="38" t="s">
        <v>41</v>
      </c>
      <c r="I15" s="39" t="s">
        <v>15</v>
      </c>
      <c r="J15" s="29"/>
      <c r="K15" s="38" t="s">
        <v>72</v>
      </c>
      <c r="L15" s="38" t="s">
        <v>88</v>
      </c>
      <c r="M15" s="38" t="s">
        <v>83</v>
      </c>
      <c r="N15" s="29"/>
      <c r="O15" s="38" t="s">
        <v>14</v>
      </c>
      <c r="P15" s="38" t="s">
        <v>41</v>
      </c>
      <c r="Q15" s="38" t="s">
        <v>15</v>
      </c>
      <c r="R15" s="29"/>
      <c r="S15" s="32" t="str">
        <f>"610,0"</f>
        <v>610,0</v>
      </c>
      <c r="T15" s="29" t="str">
        <f>"391,8640"</f>
        <v>391,8640</v>
      </c>
      <c r="U15" s="37"/>
    </row>
    <row r="16" spans="1:21">
      <c r="A16" s="30">
        <v>2</v>
      </c>
      <c r="B16" s="40" t="s">
        <v>520</v>
      </c>
      <c r="C16" s="40" t="s">
        <v>521</v>
      </c>
      <c r="D16" s="40" t="s">
        <v>522</v>
      </c>
      <c r="E16" s="40" t="s">
        <v>1347</v>
      </c>
      <c r="F16" s="40" t="s">
        <v>1290</v>
      </c>
      <c r="G16" s="41" t="s">
        <v>78</v>
      </c>
      <c r="H16" s="41" t="s">
        <v>35</v>
      </c>
      <c r="I16" s="41" t="s">
        <v>102</v>
      </c>
      <c r="J16" s="30"/>
      <c r="K16" s="41" t="s">
        <v>166</v>
      </c>
      <c r="L16" s="42" t="s">
        <v>60</v>
      </c>
      <c r="M16" s="30"/>
      <c r="N16" s="30"/>
      <c r="O16" s="41" t="s">
        <v>78</v>
      </c>
      <c r="P16" s="41" t="s">
        <v>35</v>
      </c>
      <c r="Q16" s="41" t="s">
        <v>102</v>
      </c>
      <c r="R16" s="30"/>
      <c r="S16" s="33" t="str">
        <f>"520,0"</f>
        <v>520,0</v>
      </c>
      <c r="T16" s="30" t="str">
        <f>"336,0760"</f>
        <v>336,0760</v>
      </c>
      <c r="U16" s="40"/>
    </row>
    <row r="18" spans="1:21" ht="16">
      <c r="A18" s="66" t="s">
        <v>11</v>
      </c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21">
      <c r="A19" s="29">
        <v>1</v>
      </c>
      <c r="B19" s="37" t="s">
        <v>525</v>
      </c>
      <c r="C19" s="37" t="s">
        <v>526</v>
      </c>
      <c r="D19" s="37" t="s">
        <v>527</v>
      </c>
      <c r="E19" s="37" t="s">
        <v>1347</v>
      </c>
      <c r="F19" s="37" t="s">
        <v>1291</v>
      </c>
      <c r="G19" s="39" t="s">
        <v>78</v>
      </c>
      <c r="H19" s="39" t="s">
        <v>78</v>
      </c>
      <c r="I19" s="38" t="s">
        <v>78</v>
      </c>
      <c r="J19" s="29"/>
      <c r="K19" s="38" t="s">
        <v>18</v>
      </c>
      <c r="L19" s="38" t="s">
        <v>95</v>
      </c>
      <c r="M19" s="39" t="s">
        <v>246</v>
      </c>
      <c r="N19" s="29"/>
      <c r="O19" s="38" t="s">
        <v>35</v>
      </c>
      <c r="P19" s="38" t="s">
        <v>14</v>
      </c>
      <c r="Q19" s="38" t="s">
        <v>15</v>
      </c>
      <c r="R19" s="29"/>
      <c r="S19" s="32" t="str">
        <f>"600,0"</f>
        <v>600,0</v>
      </c>
      <c r="T19" s="29" t="str">
        <f>"355,1400"</f>
        <v>355,1400</v>
      </c>
      <c r="U19" s="37" t="s">
        <v>528</v>
      </c>
    </row>
    <row r="20" spans="1:21">
      <c r="A20" s="30" t="s">
        <v>31</v>
      </c>
      <c r="B20" s="40" t="s">
        <v>529</v>
      </c>
      <c r="C20" s="40" t="s">
        <v>530</v>
      </c>
      <c r="D20" s="40" t="s">
        <v>531</v>
      </c>
      <c r="E20" s="40" t="s">
        <v>1347</v>
      </c>
      <c r="F20" s="40" t="s">
        <v>1244</v>
      </c>
      <c r="G20" s="41" t="s">
        <v>15</v>
      </c>
      <c r="H20" s="41" t="s">
        <v>419</v>
      </c>
      <c r="I20" s="42" t="s">
        <v>23</v>
      </c>
      <c r="J20" s="30"/>
      <c r="K20" s="42" t="s">
        <v>83</v>
      </c>
      <c r="L20" s="42" t="s">
        <v>83</v>
      </c>
      <c r="M20" s="42" t="s">
        <v>83</v>
      </c>
      <c r="N20" s="30"/>
      <c r="O20" s="42"/>
      <c r="P20" s="30"/>
      <c r="Q20" s="30"/>
      <c r="R20" s="30"/>
      <c r="S20" s="33">
        <v>0</v>
      </c>
      <c r="T20" s="30" t="str">
        <f>"0,0000"</f>
        <v>0,0000</v>
      </c>
      <c r="U20" s="40"/>
    </row>
    <row r="22" spans="1:21" ht="16">
      <c r="A22" s="66" t="s">
        <v>20</v>
      </c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</row>
    <row r="23" spans="1:21">
      <c r="A23" s="29">
        <v>1</v>
      </c>
      <c r="B23" s="37" t="s">
        <v>532</v>
      </c>
      <c r="C23" s="37" t="s">
        <v>533</v>
      </c>
      <c r="D23" s="37" t="s">
        <v>534</v>
      </c>
      <c r="E23" s="37" t="s">
        <v>1347</v>
      </c>
      <c r="F23" s="37" t="s">
        <v>1292</v>
      </c>
      <c r="G23" s="38" t="s">
        <v>134</v>
      </c>
      <c r="H23" s="38" t="s">
        <v>158</v>
      </c>
      <c r="I23" s="38" t="s">
        <v>114</v>
      </c>
      <c r="J23" s="29"/>
      <c r="K23" s="38" t="s">
        <v>39</v>
      </c>
      <c r="L23" s="38" t="s">
        <v>40</v>
      </c>
      <c r="M23" s="39" t="s">
        <v>77</v>
      </c>
      <c r="N23" s="29"/>
      <c r="O23" s="38" t="s">
        <v>90</v>
      </c>
      <c r="P23" s="38" t="s">
        <v>115</v>
      </c>
      <c r="Q23" s="39" t="s">
        <v>185</v>
      </c>
      <c r="R23" s="29"/>
      <c r="S23" s="32" t="str">
        <f>"785,0"</f>
        <v>785,0</v>
      </c>
      <c r="T23" s="29" t="str">
        <f>"447,9995"</f>
        <v>447,9995</v>
      </c>
      <c r="U23" s="37"/>
    </row>
    <row r="24" spans="1:21">
      <c r="A24" s="30">
        <v>2</v>
      </c>
      <c r="B24" s="40" t="s">
        <v>535</v>
      </c>
      <c r="C24" s="40" t="s">
        <v>536</v>
      </c>
      <c r="D24" s="40" t="s">
        <v>537</v>
      </c>
      <c r="E24" s="40" t="s">
        <v>1347</v>
      </c>
      <c r="F24" s="40" t="s">
        <v>1293</v>
      </c>
      <c r="G24" s="42" t="s">
        <v>35</v>
      </c>
      <c r="H24" s="41" t="s">
        <v>36</v>
      </c>
      <c r="I24" s="41" t="s">
        <v>41</v>
      </c>
      <c r="J24" s="30"/>
      <c r="K24" s="41" t="s">
        <v>103</v>
      </c>
      <c r="L24" s="42" t="s">
        <v>38</v>
      </c>
      <c r="M24" s="41" t="s">
        <v>38</v>
      </c>
      <c r="N24" s="30"/>
      <c r="O24" s="41" t="s">
        <v>78</v>
      </c>
      <c r="P24" s="41" t="s">
        <v>36</v>
      </c>
      <c r="Q24" s="41" t="s">
        <v>14</v>
      </c>
      <c r="R24" s="30"/>
      <c r="S24" s="33" t="str">
        <f>"605,0"</f>
        <v>605,0</v>
      </c>
      <c r="T24" s="30" t="str">
        <f>"345,5155"</f>
        <v>345,5155</v>
      </c>
      <c r="U24" s="40" t="s">
        <v>517</v>
      </c>
    </row>
    <row r="26" spans="1:21" ht="16">
      <c r="A26" s="66" t="s">
        <v>179</v>
      </c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1:21">
      <c r="A27" s="23">
        <v>1</v>
      </c>
      <c r="B27" s="26" t="s">
        <v>538</v>
      </c>
      <c r="C27" s="26" t="s">
        <v>539</v>
      </c>
      <c r="D27" s="26" t="s">
        <v>540</v>
      </c>
      <c r="E27" s="26" t="s">
        <v>1347</v>
      </c>
      <c r="F27" s="26" t="s">
        <v>1272</v>
      </c>
      <c r="G27" s="43" t="s">
        <v>36</v>
      </c>
      <c r="H27" s="43" t="s">
        <v>344</v>
      </c>
      <c r="I27" s="43" t="s">
        <v>345</v>
      </c>
      <c r="J27" s="23"/>
      <c r="K27" s="43" t="s">
        <v>65</v>
      </c>
      <c r="L27" s="44" t="s">
        <v>38</v>
      </c>
      <c r="M27" s="43" t="s">
        <v>38</v>
      </c>
      <c r="N27" s="23"/>
      <c r="O27" s="43" t="s">
        <v>14</v>
      </c>
      <c r="P27" s="43" t="s">
        <v>41</v>
      </c>
      <c r="Q27" s="43" t="s">
        <v>15</v>
      </c>
      <c r="R27" s="23"/>
      <c r="S27" s="34" t="str">
        <f>"617,5"</f>
        <v>617,5</v>
      </c>
      <c r="T27" s="23" t="str">
        <f>"345,6148"</f>
        <v>345,6148</v>
      </c>
      <c r="U27" s="26"/>
    </row>
  </sheetData>
  <mergeCells count="20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6:R26"/>
    <mergeCell ref="B3:B4"/>
    <mergeCell ref="A8:R8"/>
    <mergeCell ref="A11:R11"/>
    <mergeCell ref="A14:R14"/>
    <mergeCell ref="A18:R18"/>
    <mergeCell ref="A22:R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Лист3"/>
  <dimension ref="A1:U37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24" bestFit="1" customWidth="1"/>
    <col min="2" max="2" width="18.6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2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28" bestFit="1" customWidth="1"/>
    <col min="20" max="20" width="8.5" style="28" bestFit="1" customWidth="1"/>
    <col min="21" max="21" width="23.6640625" style="24" customWidth="1"/>
    <col min="22" max="16384" width="9.1640625" style="3"/>
  </cols>
  <sheetData>
    <row r="1" spans="1:21" s="2" customFormat="1" ht="29" customHeight="1">
      <c r="A1" s="78" t="s">
        <v>1207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2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3"/>
      <c r="U4" s="75"/>
    </row>
    <row r="5" spans="1:21" ht="16">
      <c r="A5" s="76" t="s">
        <v>67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471</v>
      </c>
      <c r="C6" s="26" t="s">
        <v>1160</v>
      </c>
      <c r="D6" s="26" t="s">
        <v>472</v>
      </c>
      <c r="E6" s="26" t="s">
        <v>1348</v>
      </c>
      <c r="F6" s="26" t="s">
        <v>1294</v>
      </c>
      <c r="G6" s="43" t="s">
        <v>143</v>
      </c>
      <c r="H6" s="43" t="s">
        <v>40</v>
      </c>
      <c r="I6" s="43" t="s">
        <v>120</v>
      </c>
      <c r="J6" s="23"/>
      <c r="K6" s="43" t="s">
        <v>220</v>
      </c>
      <c r="L6" s="43" t="s">
        <v>221</v>
      </c>
      <c r="M6" s="44" t="s">
        <v>255</v>
      </c>
      <c r="N6" s="23"/>
      <c r="O6" s="43" t="s">
        <v>372</v>
      </c>
      <c r="P6" s="44" t="s">
        <v>35</v>
      </c>
      <c r="Q6" s="44" t="s">
        <v>35</v>
      </c>
      <c r="R6" s="23"/>
      <c r="S6" s="23" t="str">
        <f>"465,0"</f>
        <v>465,0</v>
      </c>
      <c r="T6" s="23" t="str">
        <f>"448,4451"</f>
        <v>448,4451</v>
      </c>
      <c r="U6" s="26" t="s">
        <v>1029</v>
      </c>
    </row>
    <row r="8" spans="1:21" ht="16">
      <c r="A8" s="66" t="s">
        <v>67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29">
        <v>1</v>
      </c>
      <c r="B9" s="37" t="s">
        <v>473</v>
      </c>
      <c r="C9" s="37" t="s">
        <v>474</v>
      </c>
      <c r="D9" s="37" t="s">
        <v>475</v>
      </c>
      <c r="E9" s="37" t="s">
        <v>1350</v>
      </c>
      <c r="F9" s="37" t="s">
        <v>1295</v>
      </c>
      <c r="G9" s="38" t="s">
        <v>36</v>
      </c>
      <c r="H9" s="38" t="s">
        <v>41</v>
      </c>
      <c r="I9" s="29"/>
      <c r="J9" s="29"/>
      <c r="K9" s="38" t="s">
        <v>88</v>
      </c>
      <c r="L9" s="38" t="s">
        <v>83</v>
      </c>
      <c r="M9" s="39" t="s">
        <v>17</v>
      </c>
      <c r="N9" s="29"/>
      <c r="O9" s="38" t="s">
        <v>15</v>
      </c>
      <c r="P9" s="39" t="s">
        <v>16</v>
      </c>
      <c r="Q9" s="29"/>
      <c r="R9" s="29"/>
      <c r="S9" s="29" t="str">
        <f>"610,0"</f>
        <v>610,0</v>
      </c>
      <c r="T9" s="29" t="str">
        <f>"441,3350"</f>
        <v>441,3350</v>
      </c>
      <c r="U9" s="37" t="s">
        <v>1221</v>
      </c>
    </row>
    <row r="10" spans="1:21">
      <c r="A10" s="30">
        <v>1</v>
      </c>
      <c r="B10" s="40" t="s">
        <v>476</v>
      </c>
      <c r="C10" s="40" t="s">
        <v>477</v>
      </c>
      <c r="D10" s="40" t="s">
        <v>478</v>
      </c>
      <c r="E10" s="40" t="s">
        <v>1347</v>
      </c>
      <c r="F10" s="40" t="s">
        <v>1296</v>
      </c>
      <c r="G10" s="42" t="s">
        <v>36</v>
      </c>
      <c r="H10" s="42" t="s">
        <v>36</v>
      </c>
      <c r="I10" s="41" t="s">
        <v>37</v>
      </c>
      <c r="J10" s="30"/>
      <c r="K10" s="41" t="s">
        <v>83</v>
      </c>
      <c r="L10" s="41" t="s">
        <v>65</v>
      </c>
      <c r="M10" s="42" t="s">
        <v>17</v>
      </c>
      <c r="N10" s="30"/>
      <c r="O10" s="41" t="s">
        <v>36</v>
      </c>
      <c r="P10" s="41" t="s">
        <v>14</v>
      </c>
      <c r="Q10" s="42" t="s">
        <v>80</v>
      </c>
      <c r="R10" s="30"/>
      <c r="S10" s="30" t="str">
        <f>"582,5"</f>
        <v>582,5</v>
      </c>
      <c r="T10" s="30" t="str">
        <f>"419,8078"</f>
        <v>419,8078</v>
      </c>
      <c r="U10" s="40"/>
    </row>
    <row r="12" spans="1:21" ht="16">
      <c r="A12" s="66" t="s">
        <v>84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21">
      <c r="A13" s="29">
        <v>1</v>
      </c>
      <c r="B13" s="37" t="s">
        <v>479</v>
      </c>
      <c r="C13" s="37" t="s">
        <v>480</v>
      </c>
      <c r="D13" s="37" t="s">
        <v>392</v>
      </c>
      <c r="E13" s="37" t="s">
        <v>1347</v>
      </c>
      <c r="F13" s="37" t="s">
        <v>1297</v>
      </c>
      <c r="G13" s="38" t="s">
        <v>24</v>
      </c>
      <c r="H13" s="39" t="s">
        <v>481</v>
      </c>
      <c r="I13" s="39" t="s">
        <v>114</v>
      </c>
      <c r="J13" s="29"/>
      <c r="K13" s="38" t="s">
        <v>95</v>
      </c>
      <c r="L13" s="38" t="s">
        <v>77</v>
      </c>
      <c r="M13" s="38" t="s">
        <v>124</v>
      </c>
      <c r="N13" s="29"/>
      <c r="O13" s="38" t="s">
        <v>16</v>
      </c>
      <c r="P13" s="38" t="s">
        <v>23</v>
      </c>
      <c r="Q13" s="39" t="s">
        <v>24</v>
      </c>
      <c r="R13" s="29"/>
      <c r="S13" s="29" t="str">
        <f>"717,5"</f>
        <v>717,5</v>
      </c>
      <c r="T13" s="29" t="str">
        <f>"480,6533"</f>
        <v>480,6533</v>
      </c>
      <c r="U13" s="37"/>
    </row>
    <row r="14" spans="1:21">
      <c r="A14" s="35">
        <v>2</v>
      </c>
      <c r="B14" s="50" t="s">
        <v>482</v>
      </c>
      <c r="C14" s="50" t="s">
        <v>483</v>
      </c>
      <c r="D14" s="50" t="s">
        <v>484</v>
      </c>
      <c r="E14" s="50" t="s">
        <v>1347</v>
      </c>
      <c r="F14" s="50" t="s">
        <v>1298</v>
      </c>
      <c r="G14" s="52" t="s">
        <v>35</v>
      </c>
      <c r="H14" s="51" t="s">
        <v>35</v>
      </c>
      <c r="I14" s="52" t="s">
        <v>37</v>
      </c>
      <c r="J14" s="35"/>
      <c r="K14" s="51" t="s">
        <v>88</v>
      </c>
      <c r="L14" s="51" t="s">
        <v>83</v>
      </c>
      <c r="M14" s="51" t="s">
        <v>103</v>
      </c>
      <c r="N14" s="35"/>
      <c r="O14" s="52" t="s">
        <v>80</v>
      </c>
      <c r="P14" s="51" t="s">
        <v>119</v>
      </c>
      <c r="Q14" s="51" t="s">
        <v>19</v>
      </c>
      <c r="R14" s="35"/>
      <c r="S14" s="35" t="str">
        <f>"590,0"</f>
        <v>590,0</v>
      </c>
      <c r="T14" s="35" t="str">
        <f>"412,2330"</f>
        <v>412,2330</v>
      </c>
      <c r="U14" s="50"/>
    </row>
    <row r="15" spans="1:21">
      <c r="A15" s="30">
        <v>3</v>
      </c>
      <c r="B15" s="40" t="s">
        <v>485</v>
      </c>
      <c r="C15" s="40" t="s">
        <v>486</v>
      </c>
      <c r="D15" s="40" t="s">
        <v>487</v>
      </c>
      <c r="E15" s="40" t="s">
        <v>1347</v>
      </c>
      <c r="F15" s="40" t="s">
        <v>1344</v>
      </c>
      <c r="G15" s="41" t="s">
        <v>78</v>
      </c>
      <c r="H15" s="42" t="s">
        <v>35</v>
      </c>
      <c r="I15" s="42" t="s">
        <v>35</v>
      </c>
      <c r="J15" s="30"/>
      <c r="K15" s="41" t="s">
        <v>88</v>
      </c>
      <c r="L15" s="41" t="s">
        <v>83</v>
      </c>
      <c r="M15" s="42" t="s">
        <v>103</v>
      </c>
      <c r="N15" s="30"/>
      <c r="O15" s="41" t="s">
        <v>19</v>
      </c>
      <c r="P15" s="42" t="s">
        <v>419</v>
      </c>
      <c r="Q15" s="42" t="s">
        <v>419</v>
      </c>
      <c r="R15" s="30"/>
      <c r="S15" s="30" t="str">
        <f>"575,0"</f>
        <v>575,0</v>
      </c>
      <c r="T15" s="30" t="str">
        <f>"387,4925"</f>
        <v>387,4925</v>
      </c>
      <c r="U15" s="40" t="s">
        <v>1220</v>
      </c>
    </row>
    <row r="17" spans="1:21" ht="16">
      <c r="A17" s="66" t="s">
        <v>99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1:21">
      <c r="A18" s="29">
        <v>1</v>
      </c>
      <c r="B18" s="37" t="s">
        <v>488</v>
      </c>
      <c r="C18" s="37" t="s">
        <v>489</v>
      </c>
      <c r="D18" s="37" t="s">
        <v>123</v>
      </c>
      <c r="E18" s="37" t="s">
        <v>1347</v>
      </c>
      <c r="F18" s="37" t="s">
        <v>1245</v>
      </c>
      <c r="G18" s="38" t="s">
        <v>39</v>
      </c>
      <c r="H18" s="39" t="s">
        <v>77</v>
      </c>
      <c r="I18" s="39" t="s">
        <v>77</v>
      </c>
      <c r="J18" s="29"/>
      <c r="K18" s="38" t="s">
        <v>83</v>
      </c>
      <c r="L18" s="38" t="s">
        <v>381</v>
      </c>
      <c r="M18" s="38" t="s">
        <v>18</v>
      </c>
      <c r="N18" s="29"/>
      <c r="O18" s="38" t="s">
        <v>77</v>
      </c>
      <c r="P18" s="38" t="s">
        <v>102</v>
      </c>
      <c r="Q18" s="38" t="s">
        <v>37</v>
      </c>
      <c r="R18" s="29"/>
      <c r="S18" s="29" t="str">
        <f>"540,0"</f>
        <v>540,0</v>
      </c>
      <c r="T18" s="29" t="str">
        <f>"346,7340"</f>
        <v>346,7340</v>
      </c>
      <c r="U18" s="37" t="s">
        <v>1219</v>
      </c>
    </row>
    <row r="19" spans="1:21">
      <c r="A19" s="30">
        <v>1</v>
      </c>
      <c r="B19" s="40" t="s">
        <v>490</v>
      </c>
      <c r="C19" s="40" t="s">
        <v>1161</v>
      </c>
      <c r="D19" s="40" t="s">
        <v>491</v>
      </c>
      <c r="E19" s="40" t="s">
        <v>1348</v>
      </c>
      <c r="F19" s="40" t="s">
        <v>1245</v>
      </c>
      <c r="G19" s="41" t="s">
        <v>35</v>
      </c>
      <c r="H19" s="41" t="s">
        <v>36</v>
      </c>
      <c r="I19" s="42" t="s">
        <v>14</v>
      </c>
      <c r="J19" s="30"/>
      <c r="K19" s="42" t="s">
        <v>103</v>
      </c>
      <c r="L19" s="41" t="s">
        <v>65</v>
      </c>
      <c r="M19" s="41" t="s">
        <v>38</v>
      </c>
      <c r="N19" s="30"/>
      <c r="O19" s="41" t="s">
        <v>41</v>
      </c>
      <c r="P19" s="41" t="s">
        <v>15</v>
      </c>
      <c r="Q19" s="41" t="s">
        <v>492</v>
      </c>
      <c r="R19" s="30"/>
      <c r="S19" s="30" t="str">
        <f>"612,5"</f>
        <v>612,5</v>
      </c>
      <c r="T19" s="30" t="str">
        <f>"397,6122"</f>
        <v>397,6122</v>
      </c>
      <c r="U19" s="40" t="s">
        <v>1218</v>
      </c>
    </row>
    <row r="21" spans="1:21" ht="16">
      <c r="A21" s="66" t="s">
        <v>32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1:21">
      <c r="A22" s="29">
        <v>1</v>
      </c>
      <c r="B22" s="37" t="s">
        <v>493</v>
      </c>
      <c r="C22" s="37" t="s">
        <v>494</v>
      </c>
      <c r="D22" s="37" t="s">
        <v>495</v>
      </c>
      <c r="E22" s="37" t="s">
        <v>1347</v>
      </c>
      <c r="F22" s="37" t="s">
        <v>1244</v>
      </c>
      <c r="G22" s="38" t="s">
        <v>23</v>
      </c>
      <c r="H22" s="39" t="s">
        <v>24</v>
      </c>
      <c r="I22" s="39" t="s">
        <v>24</v>
      </c>
      <c r="J22" s="29"/>
      <c r="K22" s="38" t="s">
        <v>38</v>
      </c>
      <c r="L22" s="38" t="s">
        <v>39</v>
      </c>
      <c r="M22" s="38" t="s">
        <v>95</v>
      </c>
      <c r="N22" s="29"/>
      <c r="O22" s="39" t="s">
        <v>90</v>
      </c>
      <c r="P22" s="38" t="s">
        <v>90</v>
      </c>
      <c r="Q22" s="39" t="s">
        <v>496</v>
      </c>
      <c r="R22" s="29"/>
      <c r="S22" s="29" t="str">
        <f>"730,0"</f>
        <v>730,0</v>
      </c>
      <c r="T22" s="29" t="str">
        <f>"444,6430"</f>
        <v>444,6430</v>
      </c>
      <c r="U22" s="37"/>
    </row>
    <row r="23" spans="1:21">
      <c r="A23" s="30">
        <v>1</v>
      </c>
      <c r="B23" s="40" t="s">
        <v>497</v>
      </c>
      <c r="C23" s="40" t="s">
        <v>1162</v>
      </c>
      <c r="D23" s="40" t="s">
        <v>137</v>
      </c>
      <c r="E23" s="40" t="s">
        <v>1349</v>
      </c>
      <c r="F23" s="40" t="s">
        <v>1244</v>
      </c>
      <c r="G23" s="41" t="s">
        <v>37</v>
      </c>
      <c r="H23" s="41" t="s">
        <v>41</v>
      </c>
      <c r="I23" s="41" t="s">
        <v>142</v>
      </c>
      <c r="J23" s="30"/>
      <c r="K23" s="41" t="s">
        <v>194</v>
      </c>
      <c r="L23" s="42" t="s">
        <v>166</v>
      </c>
      <c r="M23" s="30"/>
      <c r="N23" s="30"/>
      <c r="O23" s="41" t="s">
        <v>36</v>
      </c>
      <c r="P23" s="41" t="s">
        <v>41</v>
      </c>
      <c r="Q23" s="42" t="s">
        <v>119</v>
      </c>
      <c r="R23" s="30"/>
      <c r="S23" s="30" t="str">
        <f>"572,5"</f>
        <v>572,5</v>
      </c>
      <c r="T23" s="30" t="str">
        <f>"369,3289"</f>
        <v>369,3289</v>
      </c>
      <c r="U23" s="40" t="s">
        <v>357</v>
      </c>
    </row>
    <row r="25" spans="1:21" ht="16">
      <c r="A25" s="66" t="s">
        <v>11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</row>
    <row r="26" spans="1:21">
      <c r="A26" s="29">
        <v>1</v>
      </c>
      <c r="B26" s="37" t="s">
        <v>498</v>
      </c>
      <c r="C26" s="37" t="s">
        <v>499</v>
      </c>
      <c r="D26" s="37" t="s">
        <v>500</v>
      </c>
      <c r="E26" s="37" t="s">
        <v>1347</v>
      </c>
      <c r="F26" s="37" t="s">
        <v>1299</v>
      </c>
      <c r="G26" s="38" t="s">
        <v>134</v>
      </c>
      <c r="H26" s="38" t="s">
        <v>114</v>
      </c>
      <c r="I26" s="38" t="s">
        <v>90</v>
      </c>
      <c r="J26" s="29"/>
      <c r="K26" s="38" t="s">
        <v>38</v>
      </c>
      <c r="L26" s="38" t="s">
        <v>143</v>
      </c>
      <c r="M26" s="39" t="s">
        <v>113</v>
      </c>
      <c r="N26" s="29"/>
      <c r="O26" s="38" t="s">
        <v>23</v>
      </c>
      <c r="P26" s="39" t="s">
        <v>134</v>
      </c>
      <c r="Q26" s="29"/>
      <c r="R26" s="29"/>
      <c r="S26" s="29" t="str">
        <f>"722,5"</f>
        <v>722,5</v>
      </c>
      <c r="T26" s="29" t="str">
        <f>"426,2750"</f>
        <v>426,2750</v>
      </c>
      <c r="U26" s="37" t="s">
        <v>1217</v>
      </c>
    </row>
    <row r="27" spans="1:21">
      <c r="A27" s="30">
        <v>2</v>
      </c>
      <c r="B27" s="40" t="s">
        <v>501</v>
      </c>
      <c r="C27" s="40" t="s">
        <v>502</v>
      </c>
      <c r="D27" s="40" t="s">
        <v>503</v>
      </c>
      <c r="E27" s="40" t="s">
        <v>1347</v>
      </c>
      <c r="F27" s="40" t="s">
        <v>1256</v>
      </c>
      <c r="G27" s="41" t="s">
        <v>119</v>
      </c>
      <c r="H27" s="41" t="s">
        <v>16</v>
      </c>
      <c r="I27" s="41" t="s">
        <v>23</v>
      </c>
      <c r="J27" s="30"/>
      <c r="K27" s="41" t="s">
        <v>83</v>
      </c>
      <c r="L27" s="41" t="s">
        <v>17</v>
      </c>
      <c r="M27" s="42" t="s">
        <v>96</v>
      </c>
      <c r="N27" s="30"/>
      <c r="O27" s="41" t="s">
        <v>37</v>
      </c>
      <c r="P27" s="41" t="s">
        <v>41</v>
      </c>
      <c r="Q27" s="41" t="s">
        <v>15</v>
      </c>
      <c r="R27" s="30"/>
      <c r="S27" s="30" t="str">
        <f>"650,0"</f>
        <v>650,0</v>
      </c>
      <c r="T27" s="30" t="str">
        <f>"389,7400"</f>
        <v>389,7400</v>
      </c>
      <c r="U27" s="40" t="s">
        <v>98</v>
      </c>
    </row>
    <row r="29" spans="1:21" ht="16">
      <c r="F29" s="45"/>
      <c r="G29" s="24"/>
    </row>
    <row r="30" spans="1:21">
      <c r="G30" s="24"/>
    </row>
    <row r="31" spans="1:21" ht="18">
      <c r="B31" s="46" t="s">
        <v>7</v>
      </c>
      <c r="C31" s="46"/>
      <c r="G31" s="3"/>
    </row>
    <row r="32" spans="1:21" ht="16">
      <c r="B32" s="47" t="s">
        <v>25</v>
      </c>
      <c r="C32" s="47"/>
      <c r="G32" s="3"/>
    </row>
    <row r="33" spans="2:7" ht="14">
      <c r="B33" s="48"/>
      <c r="C33" s="49" t="s">
        <v>184</v>
      </c>
      <c r="G33" s="3"/>
    </row>
    <row r="34" spans="2:7" ht="14">
      <c r="B34" s="27" t="s">
        <v>27</v>
      </c>
      <c r="C34" s="27" t="s">
        <v>28</v>
      </c>
      <c r="D34" s="27" t="s">
        <v>1214</v>
      </c>
      <c r="E34" s="27" t="s">
        <v>29</v>
      </c>
      <c r="F34" s="27" t="s">
        <v>30</v>
      </c>
      <c r="G34" s="3"/>
    </row>
    <row r="35" spans="2:7">
      <c r="B35" s="24" t="s">
        <v>479</v>
      </c>
      <c r="C35" s="24" t="s">
        <v>184</v>
      </c>
      <c r="D35" s="28">
        <v>82.5</v>
      </c>
      <c r="E35" s="28" t="s">
        <v>504</v>
      </c>
      <c r="F35" s="28">
        <v>4806533</v>
      </c>
      <c r="G35" s="3"/>
    </row>
    <row r="36" spans="2:7">
      <c r="B36" s="24" t="s">
        <v>493</v>
      </c>
      <c r="C36" s="24" t="s">
        <v>184</v>
      </c>
      <c r="D36" s="28">
        <v>100</v>
      </c>
      <c r="E36" s="28" t="s">
        <v>505</v>
      </c>
      <c r="F36" s="28">
        <v>4446430</v>
      </c>
      <c r="G36" s="3"/>
    </row>
    <row r="37" spans="2:7">
      <c r="B37" s="24" t="s">
        <v>498</v>
      </c>
      <c r="C37" s="24" t="s">
        <v>184</v>
      </c>
      <c r="D37" s="28">
        <v>110</v>
      </c>
      <c r="E37" s="28" t="s">
        <v>506</v>
      </c>
      <c r="F37" s="28">
        <v>4262750</v>
      </c>
      <c r="G37" s="3"/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5:R25"/>
    <mergeCell ref="A5:R5"/>
    <mergeCell ref="A8:R8"/>
    <mergeCell ref="A12:R12"/>
    <mergeCell ref="A17:R17"/>
    <mergeCell ref="A21:R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Лист5"/>
  <dimension ref="A1:U6"/>
  <sheetViews>
    <sheetView workbookViewId="0">
      <selection sqref="A1:U2"/>
    </sheetView>
  </sheetViews>
  <sheetFormatPr baseColWidth="10" defaultColWidth="9.1640625" defaultRowHeight="13"/>
  <cols>
    <col min="1" max="1" width="7.1640625" style="24" bestFit="1" customWidth="1"/>
    <col min="2" max="2" width="19.6640625" style="24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7" width="5.5" style="28" customWidth="1"/>
    <col min="18" max="18" width="4.5" style="28" customWidth="1"/>
    <col min="19" max="19" width="7.6640625" style="28" bestFit="1" customWidth="1"/>
    <col min="20" max="20" width="8.5" style="28" bestFit="1" customWidth="1"/>
    <col min="21" max="21" width="19.33203125" style="24" customWidth="1"/>
    <col min="22" max="16384" width="9.1640625" style="3"/>
  </cols>
  <sheetData>
    <row r="1" spans="1:21" s="2" customFormat="1" ht="29" customHeight="1">
      <c r="A1" s="78" t="s">
        <v>1210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2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3"/>
      <c r="T4" s="73"/>
      <c r="U4" s="75"/>
    </row>
    <row r="5" spans="1:21" ht="16">
      <c r="A5" s="76" t="s">
        <v>32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33</v>
      </c>
      <c r="C6" s="26" t="s">
        <v>1186</v>
      </c>
      <c r="D6" s="26" t="s">
        <v>34</v>
      </c>
      <c r="E6" s="26" t="s">
        <v>1348</v>
      </c>
      <c r="F6" s="26" t="s">
        <v>1300</v>
      </c>
      <c r="G6" s="43" t="s">
        <v>35</v>
      </c>
      <c r="H6" s="44" t="s">
        <v>36</v>
      </c>
      <c r="I6" s="43" t="s">
        <v>37</v>
      </c>
      <c r="J6" s="23"/>
      <c r="K6" s="43" t="s">
        <v>38</v>
      </c>
      <c r="L6" s="43" t="s">
        <v>39</v>
      </c>
      <c r="M6" s="43" t="s">
        <v>40</v>
      </c>
      <c r="N6" s="23"/>
      <c r="O6" s="43" t="s">
        <v>14</v>
      </c>
      <c r="P6" s="43" t="s">
        <v>41</v>
      </c>
      <c r="Q6" s="43" t="s">
        <v>15</v>
      </c>
      <c r="R6" s="23"/>
      <c r="S6" s="23" t="str">
        <f>"630,0"</f>
        <v>630,0</v>
      </c>
      <c r="T6" s="23" t="str">
        <f>"390,6000"</f>
        <v>390,6000</v>
      </c>
      <c r="U6" s="26" t="s">
        <v>42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Лист6"/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24" bestFit="1" customWidth="1"/>
    <col min="2" max="2" width="18.6640625" style="24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21.3320312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6" width="5.5" style="28" customWidth="1"/>
    <col min="17" max="17" width="5" style="28" customWidth="1"/>
    <col min="18" max="18" width="4.5" style="28" customWidth="1"/>
    <col min="19" max="19" width="7.6640625" style="31" bestFit="1" customWidth="1"/>
    <col min="20" max="20" width="8.5" style="28" bestFit="1" customWidth="1"/>
    <col min="21" max="21" width="18.83203125" style="24" customWidth="1"/>
    <col min="22" max="16384" width="9.1640625" style="3"/>
  </cols>
  <sheetData>
    <row r="1" spans="1:21" s="2" customFormat="1" ht="29" customHeight="1">
      <c r="A1" s="78" t="s">
        <v>1211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2" t="s">
        <v>9</v>
      </c>
      <c r="L3" s="72"/>
      <c r="M3" s="72"/>
      <c r="N3" s="72"/>
      <c r="O3" s="72" t="s">
        <v>10</v>
      </c>
      <c r="P3" s="72"/>
      <c r="Q3" s="72"/>
      <c r="R3" s="72"/>
      <c r="S3" s="70" t="s">
        <v>1</v>
      </c>
      <c r="T3" s="72" t="s">
        <v>3</v>
      </c>
      <c r="U3" s="74" t="s">
        <v>2</v>
      </c>
    </row>
    <row r="4" spans="1:21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25">
        <v>1</v>
      </c>
      <c r="P4" s="25">
        <v>2</v>
      </c>
      <c r="Q4" s="25">
        <v>3</v>
      </c>
      <c r="R4" s="25" t="s">
        <v>4</v>
      </c>
      <c r="S4" s="71"/>
      <c r="T4" s="73"/>
      <c r="U4" s="75"/>
    </row>
    <row r="5" spans="1:21" ht="16">
      <c r="A5" s="76" t="s">
        <v>11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21">
      <c r="A6" s="23">
        <v>1</v>
      </c>
      <c r="B6" s="26" t="s">
        <v>12</v>
      </c>
      <c r="C6" s="26" t="s">
        <v>1187</v>
      </c>
      <c r="D6" s="26" t="s">
        <v>13</v>
      </c>
      <c r="E6" s="26" t="s">
        <v>1352</v>
      </c>
      <c r="F6" s="26" t="s">
        <v>1301</v>
      </c>
      <c r="G6" s="43" t="s">
        <v>14</v>
      </c>
      <c r="H6" s="43" t="s">
        <v>15</v>
      </c>
      <c r="I6" s="44" t="s">
        <v>16</v>
      </c>
      <c r="J6" s="23"/>
      <c r="K6" s="43" t="s">
        <v>17</v>
      </c>
      <c r="L6" s="43" t="s">
        <v>18</v>
      </c>
      <c r="M6" s="23"/>
      <c r="N6" s="23"/>
      <c r="O6" s="43" t="s">
        <v>14</v>
      </c>
      <c r="P6" s="43" t="s">
        <v>19</v>
      </c>
      <c r="Q6" s="23"/>
      <c r="R6" s="23"/>
      <c r="S6" s="34" t="str">
        <f>"645,0"</f>
        <v>645,0</v>
      </c>
      <c r="T6" s="23" t="str">
        <f>"471,4341"</f>
        <v>471,4341</v>
      </c>
      <c r="U6" s="26"/>
    </row>
    <row r="8" spans="1:21" ht="16">
      <c r="A8" s="66" t="s">
        <v>20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21">
      <c r="A9" s="23" t="s">
        <v>31</v>
      </c>
      <c r="B9" s="26" t="s">
        <v>21</v>
      </c>
      <c r="C9" s="26" t="s">
        <v>1188</v>
      </c>
      <c r="D9" s="26" t="s">
        <v>22</v>
      </c>
      <c r="E9" s="26" t="s">
        <v>1355</v>
      </c>
      <c r="F9" s="26" t="s">
        <v>1265</v>
      </c>
      <c r="G9" s="43" t="s">
        <v>16</v>
      </c>
      <c r="H9" s="43" t="s">
        <v>23</v>
      </c>
      <c r="I9" s="43" t="s">
        <v>24</v>
      </c>
      <c r="J9" s="23"/>
      <c r="K9" s="44" t="s">
        <v>16</v>
      </c>
      <c r="L9" s="44" t="s">
        <v>23</v>
      </c>
      <c r="M9" s="44" t="s">
        <v>23</v>
      </c>
      <c r="N9" s="23"/>
      <c r="O9" s="44"/>
      <c r="P9" s="23"/>
      <c r="Q9" s="23"/>
      <c r="R9" s="23"/>
      <c r="S9" s="34">
        <v>0</v>
      </c>
      <c r="T9" s="23" t="str">
        <f>"0,0000"</f>
        <v>0,0000</v>
      </c>
      <c r="U9" s="26"/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7"/>
  <dimension ref="A1:Q20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24" bestFit="1" customWidth="1"/>
    <col min="2" max="2" width="17.1640625" style="24" bestFit="1" customWidth="1"/>
    <col min="3" max="3" width="28.6640625" style="24" bestFit="1" customWidth="1"/>
    <col min="4" max="4" width="20.83203125" style="24" bestFit="1" customWidth="1"/>
    <col min="5" max="5" width="10.1640625" style="24" bestFit="1" customWidth="1"/>
    <col min="6" max="6" width="19.83203125" style="24" bestFit="1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5" width="7.6640625" style="28" bestFit="1" customWidth="1"/>
    <col min="16" max="16" width="8.5" style="28" bestFit="1" customWidth="1"/>
    <col min="17" max="17" width="21.1640625" style="24" customWidth="1"/>
    <col min="18" max="16384" width="9.1640625" style="3"/>
  </cols>
  <sheetData>
    <row r="1" spans="1:17" s="2" customFormat="1" ht="29" customHeight="1">
      <c r="A1" s="78" t="s">
        <v>1194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</row>
    <row r="2" spans="1:17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9</v>
      </c>
      <c r="H3" s="72"/>
      <c r="I3" s="72"/>
      <c r="J3" s="72"/>
      <c r="K3" s="72" t="s">
        <v>10</v>
      </c>
      <c r="L3" s="72"/>
      <c r="M3" s="72"/>
      <c r="N3" s="72"/>
      <c r="O3" s="72" t="s">
        <v>1</v>
      </c>
      <c r="P3" s="72" t="s">
        <v>3</v>
      </c>
      <c r="Q3" s="74" t="s">
        <v>2</v>
      </c>
    </row>
    <row r="4" spans="1:17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3"/>
      <c r="P4" s="73"/>
      <c r="Q4" s="75"/>
    </row>
    <row r="5" spans="1:17" ht="16">
      <c r="A5" s="76" t="s">
        <v>240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7">
      <c r="A6" s="23">
        <v>1</v>
      </c>
      <c r="B6" s="26" t="s">
        <v>1007</v>
      </c>
      <c r="C6" s="26" t="s">
        <v>1008</v>
      </c>
      <c r="D6" s="26" t="s">
        <v>1009</v>
      </c>
      <c r="E6" s="26" t="s">
        <v>1347</v>
      </c>
      <c r="F6" s="26" t="s">
        <v>1245</v>
      </c>
      <c r="G6" s="44" t="s">
        <v>230</v>
      </c>
      <c r="H6" s="44" t="s">
        <v>231</v>
      </c>
      <c r="I6" s="43" t="s">
        <v>231</v>
      </c>
      <c r="J6" s="23"/>
      <c r="K6" s="43" t="s">
        <v>193</v>
      </c>
      <c r="L6" s="43" t="s">
        <v>232</v>
      </c>
      <c r="M6" s="43" t="s">
        <v>215</v>
      </c>
      <c r="N6" s="23"/>
      <c r="O6" s="23" t="str">
        <f>"145,0"</f>
        <v>145,0</v>
      </c>
      <c r="P6" s="23" t="str">
        <f>"172,5500"</f>
        <v>172,5500</v>
      </c>
      <c r="Q6" s="26" t="s">
        <v>1010</v>
      </c>
    </row>
    <row r="8" spans="1:17" ht="16">
      <c r="A8" s="66" t="s">
        <v>67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3">
        <v>1</v>
      </c>
      <c r="B9" s="26" t="s">
        <v>1011</v>
      </c>
      <c r="C9" s="26" t="s">
        <v>1091</v>
      </c>
      <c r="D9" s="26" t="s">
        <v>1012</v>
      </c>
      <c r="E9" s="26" t="s">
        <v>1352</v>
      </c>
      <c r="F9" s="26" t="s">
        <v>1302</v>
      </c>
      <c r="G9" s="43" t="s">
        <v>201</v>
      </c>
      <c r="H9" s="44" t="s">
        <v>209</v>
      </c>
      <c r="I9" s="44" t="s">
        <v>209</v>
      </c>
      <c r="J9" s="23"/>
      <c r="K9" s="43" t="s">
        <v>71</v>
      </c>
      <c r="L9" s="43" t="s">
        <v>88</v>
      </c>
      <c r="M9" s="44" t="s">
        <v>152</v>
      </c>
      <c r="N9" s="23"/>
      <c r="O9" s="23" t="str">
        <f>"192,5"</f>
        <v>192,5</v>
      </c>
      <c r="P9" s="23" t="str">
        <f>"232,4659"</f>
        <v>232,4659</v>
      </c>
      <c r="Q9" s="26" t="s">
        <v>1013</v>
      </c>
    </row>
    <row r="11" spans="1:17" ht="16">
      <c r="A11" s="66" t="s">
        <v>67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7">
      <c r="A12" s="23">
        <v>1</v>
      </c>
      <c r="B12" s="26" t="s">
        <v>1014</v>
      </c>
      <c r="C12" s="26" t="s">
        <v>1092</v>
      </c>
      <c r="D12" s="26" t="s">
        <v>1015</v>
      </c>
      <c r="E12" s="26" t="s">
        <v>1351</v>
      </c>
      <c r="F12" s="26" t="s">
        <v>1262</v>
      </c>
      <c r="G12" s="43" t="s">
        <v>63</v>
      </c>
      <c r="H12" s="44" t="s">
        <v>88</v>
      </c>
      <c r="I12" s="44" t="s">
        <v>88</v>
      </c>
      <c r="J12" s="23"/>
      <c r="K12" s="43" t="s">
        <v>95</v>
      </c>
      <c r="L12" s="43" t="s">
        <v>97</v>
      </c>
      <c r="M12" s="44" t="s">
        <v>35</v>
      </c>
      <c r="N12" s="23"/>
      <c r="O12" s="23" t="str">
        <f>"315,0"</f>
        <v>315,0</v>
      </c>
      <c r="P12" s="23" t="str">
        <f>"225,0990"</f>
        <v>225,0990</v>
      </c>
      <c r="Q12" s="26" t="s">
        <v>336</v>
      </c>
    </row>
    <row r="14" spans="1:17" ht="16">
      <c r="A14" s="66" t="s">
        <v>99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7">
      <c r="A15" s="29">
        <v>1</v>
      </c>
      <c r="B15" s="37" t="s">
        <v>1016</v>
      </c>
      <c r="C15" s="37" t="s">
        <v>1017</v>
      </c>
      <c r="D15" s="37" t="s">
        <v>733</v>
      </c>
      <c r="E15" s="37" t="s">
        <v>1347</v>
      </c>
      <c r="F15" s="37" t="s">
        <v>1245</v>
      </c>
      <c r="G15" s="38" t="s">
        <v>63</v>
      </c>
      <c r="H15" s="38" t="s">
        <v>83</v>
      </c>
      <c r="I15" s="39" t="s">
        <v>103</v>
      </c>
      <c r="J15" s="29"/>
      <c r="K15" s="38" t="s">
        <v>14</v>
      </c>
      <c r="L15" s="38" t="s">
        <v>41</v>
      </c>
      <c r="M15" s="38" t="s">
        <v>119</v>
      </c>
      <c r="N15" s="29"/>
      <c r="O15" s="29" t="str">
        <f>"375,0"</f>
        <v>375,0</v>
      </c>
      <c r="P15" s="29" t="str">
        <f>"242,2125"</f>
        <v>242,2125</v>
      </c>
      <c r="Q15" s="37"/>
    </row>
    <row r="16" spans="1:17">
      <c r="A16" s="35">
        <v>2</v>
      </c>
      <c r="B16" s="50" t="s">
        <v>957</v>
      </c>
      <c r="C16" s="50" t="s">
        <v>958</v>
      </c>
      <c r="D16" s="50" t="s">
        <v>959</v>
      </c>
      <c r="E16" s="50" t="s">
        <v>1347</v>
      </c>
      <c r="F16" s="50" t="s">
        <v>1279</v>
      </c>
      <c r="G16" s="51" t="s">
        <v>166</v>
      </c>
      <c r="H16" s="51" t="s">
        <v>167</v>
      </c>
      <c r="I16" s="52" t="s">
        <v>79</v>
      </c>
      <c r="J16" s="35"/>
      <c r="K16" s="51" t="s">
        <v>78</v>
      </c>
      <c r="L16" s="51" t="s">
        <v>125</v>
      </c>
      <c r="M16" s="52" t="s">
        <v>368</v>
      </c>
      <c r="N16" s="35"/>
      <c r="O16" s="35" t="str">
        <f>"310,0"</f>
        <v>310,0</v>
      </c>
      <c r="P16" s="35" t="str">
        <f>"202,0890"</f>
        <v>202,0890</v>
      </c>
      <c r="Q16" s="50" t="s">
        <v>822</v>
      </c>
    </row>
    <row r="17" spans="1:17">
      <c r="A17" s="30">
        <v>1</v>
      </c>
      <c r="B17" s="40" t="s">
        <v>433</v>
      </c>
      <c r="C17" s="40" t="s">
        <v>1093</v>
      </c>
      <c r="D17" s="40" t="s">
        <v>430</v>
      </c>
      <c r="E17" s="40" t="s">
        <v>1349</v>
      </c>
      <c r="F17" s="40" t="s">
        <v>1273</v>
      </c>
      <c r="G17" s="41" t="s">
        <v>79</v>
      </c>
      <c r="H17" s="41" t="s">
        <v>71</v>
      </c>
      <c r="I17" s="42" t="s">
        <v>63</v>
      </c>
      <c r="J17" s="30"/>
      <c r="K17" s="42" t="s">
        <v>35</v>
      </c>
      <c r="L17" s="41" t="s">
        <v>35</v>
      </c>
      <c r="M17" s="41" t="s">
        <v>36</v>
      </c>
      <c r="N17" s="30"/>
      <c r="O17" s="30" t="str">
        <f>"335,0"</f>
        <v>335,0</v>
      </c>
      <c r="P17" s="30" t="str">
        <f>"228,8264"</f>
        <v>228,8264</v>
      </c>
      <c r="Q17" s="40"/>
    </row>
    <row r="19" spans="1:17" ht="16">
      <c r="A19" s="66" t="s">
        <v>32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7">
      <c r="A20" s="23">
        <v>1</v>
      </c>
      <c r="B20" s="26" t="s">
        <v>1018</v>
      </c>
      <c r="C20" s="26" t="s">
        <v>1019</v>
      </c>
      <c r="D20" s="26" t="s">
        <v>137</v>
      </c>
      <c r="E20" s="26" t="s">
        <v>1347</v>
      </c>
      <c r="F20" s="26" t="s">
        <v>1303</v>
      </c>
      <c r="G20" s="43" t="s">
        <v>83</v>
      </c>
      <c r="H20" s="43" t="s">
        <v>103</v>
      </c>
      <c r="I20" s="44" t="s">
        <v>17</v>
      </c>
      <c r="J20" s="23"/>
      <c r="K20" s="44" t="s">
        <v>78</v>
      </c>
      <c r="L20" s="43" t="s">
        <v>78</v>
      </c>
      <c r="M20" s="43" t="s">
        <v>36</v>
      </c>
      <c r="N20" s="23"/>
      <c r="O20" s="23" t="str">
        <f>"355,0"</f>
        <v>355,0</v>
      </c>
      <c r="P20" s="23" t="str">
        <f>"216,0530"</f>
        <v>216,0530</v>
      </c>
      <c r="Q20" s="26" t="s">
        <v>822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9:N19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8"/>
  <dimension ref="A1:Q17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24" bestFit="1" customWidth="1"/>
    <col min="2" max="2" width="18.5" style="24" bestFit="1" customWidth="1"/>
    <col min="3" max="3" width="26.5" style="24" bestFit="1" customWidth="1"/>
    <col min="4" max="4" width="20.83203125" style="24" bestFit="1" customWidth="1"/>
    <col min="5" max="5" width="10.1640625" style="24" bestFit="1" customWidth="1"/>
    <col min="6" max="6" width="23.5" style="24" customWidth="1"/>
    <col min="7" max="9" width="5.5" style="28" customWidth="1"/>
    <col min="10" max="10" width="4.5" style="28" customWidth="1"/>
    <col min="11" max="13" width="5.5" style="28" customWidth="1"/>
    <col min="14" max="14" width="4.5" style="28" customWidth="1"/>
    <col min="15" max="15" width="7.6640625" style="28" bestFit="1" customWidth="1"/>
    <col min="16" max="16" width="8.5" style="28" bestFit="1" customWidth="1"/>
    <col min="17" max="17" width="21.33203125" style="24" customWidth="1"/>
    <col min="18" max="16384" width="9.1640625" style="3"/>
  </cols>
  <sheetData>
    <row r="1" spans="1:17" s="2" customFormat="1" ht="29" customHeight="1">
      <c r="A1" s="78" t="s">
        <v>1195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</row>
    <row r="2" spans="1:17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1:17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9</v>
      </c>
      <c r="H3" s="72"/>
      <c r="I3" s="72"/>
      <c r="J3" s="72"/>
      <c r="K3" s="72" t="s">
        <v>10</v>
      </c>
      <c r="L3" s="72"/>
      <c r="M3" s="72"/>
      <c r="N3" s="72"/>
      <c r="O3" s="72" t="s">
        <v>1</v>
      </c>
      <c r="P3" s="72" t="s">
        <v>3</v>
      </c>
      <c r="Q3" s="74" t="s">
        <v>2</v>
      </c>
    </row>
    <row r="4" spans="1:17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25">
        <v>1</v>
      </c>
      <c r="L4" s="25">
        <v>2</v>
      </c>
      <c r="M4" s="25">
        <v>3</v>
      </c>
      <c r="N4" s="25" t="s">
        <v>4</v>
      </c>
      <c r="O4" s="73"/>
      <c r="P4" s="73"/>
      <c r="Q4" s="75"/>
    </row>
    <row r="5" spans="1:17" ht="16">
      <c r="A5" s="76" t="s">
        <v>67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7">
      <c r="A6" s="23">
        <v>1</v>
      </c>
      <c r="B6" s="26" t="s">
        <v>1001</v>
      </c>
      <c r="C6" s="26" t="s">
        <v>1002</v>
      </c>
      <c r="D6" s="26" t="s">
        <v>1003</v>
      </c>
      <c r="E6" s="26" t="s">
        <v>1347</v>
      </c>
      <c r="F6" s="26" t="s">
        <v>1304</v>
      </c>
      <c r="G6" s="43" t="s">
        <v>193</v>
      </c>
      <c r="H6" s="43" t="s">
        <v>194</v>
      </c>
      <c r="I6" s="44" t="s">
        <v>166</v>
      </c>
      <c r="J6" s="23"/>
      <c r="K6" s="43" t="s">
        <v>18</v>
      </c>
      <c r="L6" s="44" t="s">
        <v>77</v>
      </c>
      <c r="M6" s="43" t="s">
        <v>77</v>
      </c>
      <c r="N6" s="23"/>
      <c r="O6" s="23" t="str">
        <f>"285,0"</f>
        <v>285,0</v>
      </c>
      <c r="P6" s="23" t="str">
        <f>"210,6150"</f>
        <v>210,6150</v>
      </c>
      <c r="Q6" s="26" t="s">
        <v>1227</v>
      </c>
    </row>
    <row r="8" spans="1:17" ht="16">
      <c r="A8" s="66" t="s">
        <v>99</v>
      </c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7">
      <c r="A9" s="29">
        <v>1</v>
      </c>
      <c r="B9" s="37" t="s">
        <v>831</v>
      </c>
      <c r="C9" s="37" t="s">
        <v>832</v>
      </c>
      <c r="D9" s="37" t="s">
        <v>562</v>
      </c>
      <c r="E9" s="37" t="s">
        <v>1347</v>
      </c>
      <c r="F9" s="37" t="s">
        <v>1343</v>
      </c>
      <c r="G9" s="38" t="s">
        <v>40</v>
      </c>
      <c r="H9" s="39" t="s">
        <v>97</v>
      </c>
      <c r="I9" s="39" t="s">
        <v>97</v>
      </c>
      <c r="J9" s="29"/>
      <c r="K9" s="38" t="s">
        <v>174</v>
      </c>
      <c r="L9" s="39" t="s">
        <v>1004</v>
      </c>
      <c r="M9" s="39" t="s">
        <v>1004</v>
      </c>
      <c r="N9" s="29"/>
      <c r="O9" s="29" t="str">
        <f>"500,0"</f>
        <v>500,0</v>
      </c>
      <c r="P9" s="29" t="str">
        <f>"319,7500"</f>
        <v>319,7500</v>
      </c>
      <c r="Q9" s="37"/>
    </row>
    <row r="10" spans="1:17">
      <c r="A10" s="30">
        <v>2</v>
      </c>
      <c r="B10" s="40" t="s">
        <v>121</v>
      </c>
      <c r="C10" s="40" t="s">
        <v>122</v>
      </c>
      <c r="D10" s="40" t="s">
        <v>123</v>
      </c>
      <c r="E10" s="40" t="s">
        <v>1347</v>
      </c>
      <c r="F10" s="40" t="s">
        <v>1244</v>
      </c>
      <c r="G10" s="42" t="s">
        <v>17</v>
      </c>
      <c r="H10" s="41" t="s">
        <v>96</v>
      </c>
      <c r="I10" s="41" t="s">
        <v>39</v>
      </c>
      <c r="J10" s="30"/>
      <c r="K10" s="41" t="s">
        <v>73</v>
      </c>
      <c r="L10" s="42" t="s">
        <v>90</v>
      </c>
      <c r="M10" s="42" t="s">
        <v>90</v>
      </c>
      <c r="N10" s="30"/>
      <c r="O10" s="30" t="str">
        <f>"437,5"</f>
        <v>437,5</v>
      </c>
      <c r="P10" s="30" t="str">
        <f>"280,9187"</f>
        <v>280,9187</v>
      </c>
      <c r="Q10" s="40"/>
    </row>
    <row r="12" spans="1:17" ht="16">
      <c r="A12" s="66" t="s">
        <v>32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7">
      <c r="A13" s="29">
        <v>1</v>
      </c>
      <c r="B13" s="37" t="s">
        <v>128</v>
      </c>
      <c r="C13" s="37" t="s">
        <v>129</v>
      </c>
      <c r="D13" s="37" t="s">
        <v>130</v>
      </c>
      <c r="E13" s="37" t="s">
        <v>1350</v>
      </c>
      <c r="F13" s="37" t="s">
        <v>1283</v>
      </c>
      <c r="G13" s="38" t="s">
        <v>61</v>
      </c>
      <c r="H13" s="38" t="s">
        <v>52</v>
      </c>
      <c r="I13" s="39" t="s">
        <v>62</v>
      </c>
      <c r="J13" s="29"/>
      <c r="K13" s="38" t="s">
        <v>63</v>
      </c>
      <c r="L13" s="38" t="s">
        <v>103</v>
      </c>
      <c r="M13" s="38" t="s">
        <v>38</v>
      </c>
      <c r="N13" s="29"/>
      <c r="O13" s="29" t="str">
        <f>"235,0"</f>
        <v>235,0</v>
      </c>
      <c r="P13" s="29" t="str">
        <f>"147,7680"</f>
        <v>147,7680</v>
      </c>
      <c r="Q13" s="37" t="s">
        <v>66</v>
      </c>
    </row>
    <row r="14" spans="1:17">
      <c r="A14" s="30">
        <v>1</v>
      </c>
      <c r="B14" s="40" t="s">
        <v>1005</v>
      </c>
      <c r="C14" s="40" t="s">
        <v>1006</v>
      </c>
      <c r="D14" s="40" t="s">
        <v>571</v>
      </c>
      <c r="E14" s="40" t="s">
        <v>1347</v>
      </c>
      <c r="F14" s="40" t="s">
        <v>1277</v>
      </c>
      <c r="G14" s="41" t="s">
        <v>40</v>
      </c>
      <c r="H14" s="42" t="s">
        <v>97</v>
      </c>
      <c r="I14" s="42" t="s">
        <v>78</v>
      </c>
      <c r="J14" s="30"/>
      <c r="K14" s="41" t="s">
        <v>162</v>
      </c>
      <c r="L14" s="41" t="s">
        <v>89</v>
      </c>
      <c r="M14" s="41" t="s">
        <v>114</v>
      </c>
      <c r="N14" s="30"/>
      <c r="O14" s="30" t="str">
        <f>"465,0"</f>
        <v>465,0</v>
      </c>
      <c r="P14" s="30" t="str">
        <f>"285,2310"</f>
        <v>285,2310</v>
      </c>
      <c r="Q14" s="40" t="s">
        <v>104</v>
      </c>
    </row>
    <row r="16" spans="1:17" ht="16">
      <c r="A16" s="66" t="s">
        <v>20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7">
      <c r="A17" s="23">
        <v>1</v>
      </c>
      <c r="B17" s="26" t="s">
        <v>175</v>
      </c>
      <c r="C17" s="26" t="s">
        <v>176</v>
      </c>
      <c r="D17" s="26" t="s">
        <v>177</v>
      </c>
      <c r="E17" s="26" t="s">
        <v>1347</v>
      </c>
      <c r="F17" s="26" t="s">
        <v>1244</v>
      </c>
      <c r="G17" s="43" t="s">
        <v>40</v>
      </c>
      <c r="H17" s="43" t="s">
        <v>97</v>
      </c>
      <c r="I17" s="44" t="s">
        <v>125</v>
      </c>
      <c r="J17" s="23"/>
      <c r="K17" s="43" t="s">
        <v>90</v>
      </c>
      <c r="L17" s="43" t="s">
        <v>173</v>
      </c>
      <c r="M17" s="43" t="s">
        <v>174</v>
      </c>
      <c r="N17" s="23"/>
      <c r="O17" s="23" t="str">
        <f>"510,0"</f>
        <v>510,0</v>
      </c>
      <c r="P17" s="23" t="str">
        <f>"294,4740"</f>
        <v>294,4740</v>
      </c>
      <c r="Q17" s="26"/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6:N16"/>
    <mergeCell ref="B3:B4"/>
    <mergeCell ref="O3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9"/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24" bestFit="1" customWidth="1"/>
    <col min="2" max="2" width="23" style="24" customWidth="1"/>
    <col min="3" max="3" width="28.83203125" style="24" bestFit="1" customWidth="1"/>
    <col min="4" max="4" width="20.83203125" style="24" bestFit="1" customWidth="1"/>
    <col min="5" max="5" width="10.1640625" style="24" bestFit="1" customWidth="1"/>
    <col min="6" max="6" width="20.83203125" style="24" customWidth="1"/>
    <col min="7" max="9" width="5.5" style="28" customWidth="1"/>
    <col min="10" max="10" width="4.5" style="28" customWidth="1"/>
    <col min="11" max="11" width="10.5" style="31" bestFit="1" customWidth="1"/>
    <col min="12" max="12" width="8.5" style="28" bestFit="1" customWidth="1"/>
    <col min="13" max="13" width="24.83203125" style="24" customWidth="1"/>
    <col min="14" max="16384" width="9.1640625" style="3"/>
  </cols>
  <sheetData>
    <row r="1" spans="1:13" s="2" customFormat="1" ht="29" customHeight="1">
      <c r="A1" s="78" t="s">
        <v>1198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s="1" customFormat="1" ht="12.75" customHeight="1">
      <c r="A3" s="86" t="s">
        <v>1243</v>
      </c>
      <c r="B3" s="68" t="s">
        <v>0</v>
      </c>
      <c r="C3" s="88" t="s">
        <v>1345</v>
      </c>
      <c r="D3" s="88" t="s">
        <v>5</v>
      </c>
      <c r="E3" s="72" t="s">
        <v>1346</v>
      </c>
      <c r="F3" s="72" t="s">
        <v>6</v>
      </c>
      <c r="G3" s="72" t="s">
        <v>8</v>
      </c>
      <c r="H3" s="72"/>
      <c r="I3" s="72"/>
      <c r="J3" s="72"/>
      <c r="K3" s="70" t="s">
        <v>619</v>
      </c>
      <c r="L3" s="72" t="s">
        <v>3</v>
      </c>
      <c r="M3" s="74" t="s">
        <v>2</v>
      </c>
    </row>
    <row r="4" spans="1:13" s="1" customFormat="1" ht="21" customHeight="1" thickBot="1">
      <c r="A4" s="87"/>
      <c r="B4" s="69"/>
      <c r="C4" s="73"/>
      <c r="D4" s="73"/>
      <c r="E4" s="73"/>
      <c r="F4" s="73"/>
      <c r="G4" s="25">
        <v>1</v>
      </c>
      <c r="H4" s="25">
        <v>2</v>
      </c>
      <c r="I4" s="25">
        <v>3</v>
      </c>
      <c r="J4" s="25" t="s">
        <v>4</v>
      </c>
      <c r="K4" s="71"/>
      <c r="L4" s="73"/>
      <c r="M4" s="75"/>
    </row>
    <row r="5" spans="1:13" ht="16">
      <c r="A5" s="76" t="s">
        <v>54</v>
      </c>
      <c r="B5" s="76"/>
      <c r="C5" s="77"/>
      <c r="D5" s="77"/>
      <c r="E5" s="77"/>
      <c r="F5" s="77"/>
      <c r="G5" s="77"/>
      <c r="H5" s="77"/>
      <c r="I5" s="77"/>
      <c r="J5" s="77"/>
    </row>
    <row r="6" spans="1:13">
      <c r="A6" s="29">
        <v>1</v>
      </c>
      <c r="B6" s="37" t="s">
        <v>198</v>
      </c>
      <c r="C6" s="37" t="s">
        <v>199</v>
      </c>
      <c r="D6" s="37" t="s">
        <v>200</v>
      </c>
      <c r="E6" s="37" t="s">
        <v>1347</v>
      </c>
      <c r="F6" s="37" t="s">
        <v>1245</v>
      </c>
      <c r="G6" s="38" t="s">
        <v>79</v>
      </c>
      <c r="H6" s="39" t="s">
        <v>72</v>
      </c>
      <c r="I6" s="39" t="s">
        <v>72</v>
      </c>
      <c r="J6" s="29"/>
      <c r="K6" s="32" t="str">
        <f>"120,0"</f>
        <v>120,0</v>
      </c>
      <c r="L6" s="29" t="str">
        <f>"151,1640"</f>
        <v>151,1640</v>
      </c>
      <c r="M6" s="37" t="s">
        <v>202</v>
      </c>
    </row>
    <row r="7" spans="1:13">
      <c r="A7" s="30">
        <v>2</v>
      </c>
      <c r="B7" s="40" t="s">
        <v>203</v>
      </c>
      <c r="C7" s="40" t="s">
        <v>204</v>
      </c>
      <c r="D7" s="40" t="s">
        <v>205</v>
      </c>
      <c r="E7" s="40" t="s">
        <v>1347</v>
      </c>
      <c r="F7" s="40" t="s">
        <v>1246</v>
      </c>
      <c r="G7" s="41" t="s">
        <v>166</v>
      </c>
      <c r="H7" s="42" t="s">
        <v>167</v>
      </c>
      <c r="I7" s="41" t="s">
        <v>167</v>
      </c>
      <c r="J7" s="30"/>
      <c r="K7" s="33" t="str">
        <f>"115,0"</f>
        <v>115,0</v>
      </c>
      <c r="L7" s="30" t="str">
        <f>"144,6470"</f>
        <v>144,6470</v>
      </c>
      <c r="M7" s="40" t="s">
        <v>202</v>
      </c>
    </row>
    <row r="9" spans="1:13" ht="16">
      <c r="A9" s="66" t="s">
        <v>266</v>
      </c>
      <c r="B9" s="66"/>
      <c r="C9" s="67"/>
      <c r="D9" s="67"/>
      <c r="E9" s="67"/>
      <c r="F9" s="67"/>
      <c r="G9" s="67"/>
      <c r="H9" s="67"/>
      <c r="I9" s="67"/>
      <c r="J9" s="67"/>
    </row>
    <row r="10" spans="1:13">
      <c r="A10" s="23" t="s">
        <v>31</v>
      </c>
      <c r="B10" s="26" t="s">
        <v>270</v>
      </c>
      <c r="C10" s="26" t="s">
        <v>1095</v>
      </c>
      <c r="D10" s="26" t="s">
        <v>271</v>
      </c>
      <c r="E10" s="26" t="s">
        <v>1351</v>
      </c>
      <c r="F10" s="26" t="s">
        <v>1251</v>
      </c>
      <c r="G10" s="44" t="s">
        <v>58</v>
      </c>
      <c r="H10" s="44" t="s">
        <v>194</v>
      </c>
      <c r="I10" s="44" t="s">
        <v>194</v>
      </c>
      <c r="J10" s="23"/>
      <c r="K10" s="34">
        <v>0</v>
      </c>
      <c r="L10" s="23" t="str">
        <f>"0,0000"</f>
        <v>0,0000</v>
      </c>
      <c r="M10" s="26" t="s">
        <v>272</v>
      </c>
    </row>
    <row r="12" spans="1:13" ht="16">
      <c r="A12" s="66" t="s">
        <v>43</v>
      </c>
      <c r="B12" s="66"/>
      <c r="C12" s="67"/>
      <c r="D12" s="67"/>
      <c r="E12" s="67"/>
      <c r="F12" s="67"/>
      <c r="G12" s="67"/>
      <c r="H12" s="67"/>
      <c r="I12" s="67"/>
      <c r="J12" s="67"/>
    </row>
    <row r="13" spans="1:13">
      <c r="A13" s="23">
        <v>1</v>
      </c>
      <c r="B13" s="26" t="s">
        <v>311</v>
      </c>
      <c r="C13" s="26" t="s">
        <v>1096</v>
      </c>
      <c r="D13" s="26" t="s">
        <v>312</v>
      </c>
      <c r="E13" s="26" t="s">
        <v>1349</v>
      </c>
      <c r="F13" s="26" t="s">
        <v>1258</v>
      </c>
      <c r="G13" s="43" t="s">
        <v>232</v>
      </c>
      <c r="H13" s="43" t="s">
        <v>194</v>
      </c>
      <c r="I13" s="43" t="s">
        <v>166</v>
      </c>
      <c r="J13" s="23"/>
      <c r="K13" s="34" t="str">
        <f>"110,0"</f>
        <v>110,0</v>
      </c>
      <c r="L13" s="23" t="str">
        <f>"124,1177"</f>
        <v>124,1177</v>
      </c>
      <c r="M13" s="26"/>
    </row>
    <row r="15" spans="1:13" ht="16">
      <c r="A15" s="66" t="s">
        <v>266</v>
      </c>
      <c r="B15" s="66"/>
      <c r="C15" s="67"/>
      <c r="D15" s="67"/>
      <c r="E15" s="67"/>
      <c r="F15" s="67"/>
      <c r="G15" s="67"/>
      <c r="H15" s="67"/>
      <c r="I15" s="67"/>
      <c r="J15" s="67"/>
    </row>
    <row r="16" spans="1:13">
      <c r="A16" s="23" t="s">
        <v>31</v>
      </c>
      <c r="B16" s="26" t="s">
        <v>992</v>
      </c>
      <c r="C16" s="26" t="s">
        <v>993</v>
      </c>
      <c r="D16" s="26" t="s">
        <v>994</v>
      </c>
      <c r="E16" s="26" t="s">
        <v>1347</v>
      </c>
      <c r="F16" s="26" t="s">
        <v>1275</v>
      </c>
      <c r="G16" s="44" t="s">
        <v>194</v>
      </c>
      <c r="H16" s="44" t="s">
        <v>194</v>
      </c>
      <c r="I16" s="44" t="s">
        <v>194</v>
      </c>
      <c r="J16" s="23"/>
      <c r="K16" s="34">
        <v>0</v>
      </c>
      <c r="L16" s="23" t="str">
        <f>"0,0000"</f>
        <v>0,0000</v>
      </c>
      <c r="M16" s="26" t="s">
        <v>1228</v>
      </c>
    </row>
    <row r="18" spans="1:13" ht="16">
      <c r="A18" s="66" t="s">
        <v>99</v>
      </c>
      <c r="B18" s="66"/>
      <c r="C18" s="67"/>
      <c r="D18" s="67"/>
      <c r="E18" s="67"/>
      <c r="F18" s="67"/>
      <c r="G18" s="67"/>
      <c r="H18" s="67"/>
      <c r="I18" s="67"/>
      <c r="J18" s="67"/>
    </row>
    <row r="19" spans="1:13">
      <c r="A19" s="23">
        <v>1</v>
      </c>
      <c r="B19" s="26" t="s">
        <v>421</v>
      </c>
      <c r="C19" s="26" t="s">
        <v>422</v>
      </c>
      <c r="D19" s="26" t="s">
        <v>423</v>
      </c>
      <c r="E19" s="26" t="s">
        <v>1347</v>
      </c>
      <c r="F19" s="26" t="s">
        <v>1269</v>
      </c>
      <c r="G19" s="43" t="s">
        <v>141</v>
      </c>
      <c r="H19" s="43" t="s">
        <v>344</v>
      </c>
      <c r="I19" s="43" t="s">
        <v>345</v>
      </c>
      <c r="J19" s="23"/>
      <c r="K19" s="34" t="str">
        <f>"222,5"</f>
        <v>222,5</v>
      </c>
      <c r="L19" s="23" t="str">
        <f>"142,3555"</f>
        <v>142,3555</v>
      </c>
      <c r="M19" s="26" t="s">
        <v>104</v>
      </c>
    </row>
    <row r="21" spans="1:13" ht="16">
      <c r="A21" s="66" t="s">
        <v>32</v>
      </c>
      <c r="B21" s="66"/>
      <c r="C21" s="67"/>
      <c r="D21" s="67"/>
      <c r="E21" s="67"/>
      <c r="F21" s="67"/>
      <c r="G21" s="67"/>
      <c r="H21" s="67"/>
      <c r="I21" s="67"/>
      <c r="J21" s="67"/>
    </row>
    <row r="22" spans="1:13">
      <c r="A22" s="23">
        <v>1</v>
      </c>
      <c r="B22" s="26" t="s">
        <v>973</v>
      </c>
      <c r="C22" s="26" t="s">
        <v>1097</v>
      </c>
      <c r="D22" s="26" t="s">
        <v>974</v>
      </c>
      <c r="E22" s="26" t="s">
        <v>1349</v>
      </c>
      <c r="F22" s="26" t="s">
        <v>1305</v>
      </c>
      <c r="G22" s="43" t="s">
        <v>35</v>
      </c>
      <c r="H22" s="43" t="s">
        <v>36</v>
      </c>
      <c r="I22" s="44" t="s">
        <v>14</v>
      </c>
      <c r="J22" s="23"/>
      <c r="K22" s="34" t="str">
        <f>"210,0"</f>
        <v>210,0</v>
      </c>
      <c r="L22" s="23" t="str">
        <f>"142,5396"</f>
        <v>142,5396</v>
      </c>
      <c r="M22" s="26"/>
    </row>
    <row r="24" spans="1:13" ht="16">
      <c r="A24" s="66" t="s">
        <v>11</v>
      </c>
      <c r="B24" s="66"/>
      <c r="C24" s="67"/>
      <c r="D24" s="67"/>
      <c r="E24" s="67"/>
      <c r="F24" s="67"/>
      <c r="G24" s="67"/>
      <c r="H24" s="67"/>
      <c r="I24" s="67"/>
      <c r="J24" s="67"/>
    </row>
    <row r="25" spans="1:13">
      <c r="A25" s="23" t="s">
        <v>31</v>
      </c>
      <c r="B25" s="26" t="s">
        <v>525</v>
      </c>
      <c r="C25" s="26" t="s">
        <v>526</v>
      </c>
      <c r="D25" s="26" t="s">
        <v>527</v>
      </c>
      <c r="E25" s="26" t="s">
        <v>1347</v>
      </c>
      <c r="F25" s="26" t="s">
        <v>1291</v>
      </c>
      <c r="G25" s="44" t="s">
        <v>35</v>
      </c>
      <c r="H25" s="44" t="s">
        <v>35</v>
      </c>
      <c r="I25" s="44" t="s">
        <v>35</v>
      </c>
      <c r="J25" s="23"/>
      <c r="K25" s="34">
        <v>0</v>
      </c>
      <c r="L25" s="23" t="str">
        <f>"0,0000"</f>
        <v>0,0000</v>
      </c>
      <c r="M25" s="26" t="s">
        <v>528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4:J24"/>
    <mergeCell ref="K3:K4"/>
    <mergeCell ref="L3:L4"/>
    <mergeCell ref="M3:M4"/>
    <mergeCell ref="A5:J5"/>
    <mergeCell ref="B3:B4"/>
    <mergeCell ref="A9:J9"/>
    <mergeCell ref="A12:J12"/>
    <mergeCell ref="A15:J15"/>
    <mergeCell ref="A18:J18"/>
    <mergeCell ref="A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 ДК</vt:lpstr>
      <vt:lpstr>IPL ПЛ однослой</vt:lpstr>
      <vt:lpstr>IPL Двоеборье без экип ДК</vt:lpstr>
      <vt:lpstr>IPL Двоеборье без экип</vt:lpstr>
      <vt:lpstr>IPL Присед без экипировки ДК</vt:lpstr>
      <vt:lpstr>IPL Присед в бинтах ДК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многопетельная ДК</vt:lpstr>
      <vt:lpstr>СПР Жим софт многопетельная</vt:lpstr>
      <vt:lpstr>СПР Жим софт однопетельная ДК</vt:lpstr>
      <vt:lpstr>СПР Жим софт однопетельная</vt:lpstr>
      <vt:lpstr>СПР Жим СФО</vt:lpstr>
      <vt:lpstr>IPL Тяга без экипировки ДК</vt:lpstr>
      <vt:lpstr>IPL Тяга без экипировки</vt:lpstr>
      <vt:lpstr>IPL Тяга однослой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2022-05-17T13:03:11Z</dcterms:modified>
</cp:coreProperties>
</file>