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F8F2BA89-E55C-0348-ADB6-83B196AAAF13}" xr6:coauthVersionLast="45" xr6:coauthVersionMax="45" xr10:uidLastSave="{00000000-0000-0000-0000-000000000000}"/>
  <bookViews>
    <workbookView xWindow="720" yWindow="460" windowWidth="28080" windowHeight="15900" firstSheet="18" activeTab="24" xr2:uid="{00000000-000D-0000-FFFF-FFFF00000000}"/>
  </bookViews>
  <sheets>
    <sheet name="WRPF ПЛ без экипировки ДК" sheetId="22" r:id="rId1"/>
    <sheet name="WRPF ПЛ без экипировки" sheetId="21" r:id="rId2"/>
    <sheet name="WRPF Двоеборье без экип ДК" sheetId="36" r:id="rId3"/>
    <sheet name="WRPF Двоеборье без экип" sheetId="35" r:id="rId4"/>
    <sheet name="WRPF Жим лежа без экип ДК" sheetId="26" r:id="rId5"/>
    <sheet name="WRPF Жим лежа без экип" sheetId="25" r:id="rId6"/>
    <sheet name="WEPF Жим однослой" sheetId="28" r:id="rId7"/>
    <sheet name="WEPF Жим софт однопетельная ДК" sheetId="27" r:id="rId8"/>
    <sheet name="WEPF Жим софт однопетельная" sheetId="23" r:id="rId9"/>
    <sheet name="WEPF Жим софт многопетельнаяДК" sheetId="32" r:id="rId10"/>
    <sheet name="WEPF Жим софт многопетельная" sheetId="31" r:id="rId11"/>
    <sheet name="WRPF Военный жим ДК" sheetId="30" r:id="rId12"/>
    <sheet name="WRPF Военный жим" sheetId="24" r:id="rId13"/>
    <sheet name="WRPF Жим СФО" sheetId="41" r:id="rId14"/>
    <sheet name="WRPF Тяга без экипировки ДК" sheetId="34" r:id="rId15"/>
    <sheet name="WRPF Тяга без экипировки" sheetId="33" r:id="rId16"/>
    <sheet name="WRPF Подъем на бицепс ДК" sheetId="38" r:id="rId17"/>
    <sheet name="WRPF Подъем на бицепс" sheetId="37" r:id="rId18"/>
    <sheet name="СПР Пауэрспорт ДК" sheetId="10" r:id="rId19"/>
    <sheet name="СПР Жим стоя ДК" sheetId="7" r:id="rId20"/>
    <sheet name="СПР Жим стоя" sheetId="6" r:id="rId21"/>
    <sheet name="СПР Подъем на бицепс ДК" sheetId="9" r:id="rId22"/>
    <sheet name="СПР Подъем на бицепс" sheetId="8" r:id="rId23"/>
    <sheet name="ФЖД Армейский жим макс.ДК" sheetId="14" r:id="rId24"/>
    <sheet name="ФЖД Армейский жим макс." sheetId="11" r:id="rId2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4" l="1"/>
  <c r="L21" i="41" l="1"/>
  <c r="K21" i="41"/>
  <c r="L18" i="41"/>
  <c r="K18" i="41"/>
  <c r="L15" i="41"/>
  <c r="K15" i="41"/>
  <c r="L12" i="41"/>
  <c r="K12" i="41"/>
  <c r="L9" i="41"/>
  <c r="K9" i="41"/>
  <c r="L6" i="41"/>
  <c r="K6" i="41"/>
  <c r="L6" i="38"/>
  <c r="K6" i="38"/>
  <c r="L9" i="37"/>
  <c r="K9" i="37"/>
  <c r="L6" i="37"/>
  <c r="K6" i="37"/>
  <c r="P12" i="36"/>
  <c r="O12" i="36"/>
  <c r="P9" i="36"/>
  <c r="O9" i="36"/>
  <c r="P6" i="36"/>
  <c r="O6" i="36"/>
  <c r="P10" i="35"/>
  <c r="O10" i="35"/>
  <c r="P9" i="35"/>
  <c r="O9" i="35"/>
  <c r="P6" i="35"/>
  <c r="O6" i="35"/>
  <c r="L46" i="34"/>
  <c r="K46" i="34"/>
  <c r="L45" i="34"/>
  <c r="K45" i="34"/>
  <c r="L44" i="34"/>
  <c r="K44" i="34"/>
  <c r="L41" i="34"/>
  <c r="K41" i="34"/>
  <c r="L40" i="34"/>
  <c r="K40" i="34"/>
  <c r="L37" i="34"/>
  <c r="K37" i="34"/>
  <c r="L36" i="34"/>
  <c r="K36" i="34"/>
  <c r="L33" i="34"/>
  <c r="K33" i="34"/>
  <c r="L32" i="34"/>
  <c r="K32" i="34"/>
  <c r="L31" i="34"/>
  <c r="K31" i="34"/>
  <c r="L28" i="34"/>
  <c r="L27" i="34"/>
  <c r="K27" i="34"/>
  <c r="L26" i="34"/>
  <c r="K26" i="34"/>
  <c r="L23" i="34"/>
  <c r="K23" i="34"/>
  <c r="L20" i="34"/>
  <c r="K20" i="34"/>
  <c r="L17" i="34"/>
  <c r="K17" i="34"/>
  <c r="L16" i="34"/>
  <c r="K16" i="34"/>
  <c r="L13" i="34"/>
  <c r="K13" i="34"/>
  <c r="L10" i="34"/>
  <c r="K10" i="34"/>
  <c r="L7" i="34"/>
  <c r="K7" i="34"/>
  <c r="L6" i="34"/>
  <c r="K6" i="34"/>
  <c r="L9" i="33"/>
  <c r="K9" i="33"/>
  <c r="L6" i="33"/>
  <c r="K6" i="33"/>
  <c r="L6" i="32"/>
  <c r="K6" i="32"/>
  <c r="L6" i="31"/>
  <c r="K6" i="31"/>
  <c r="L15" i="30"/>
  <c r="K15" i="30"/>
  <c r="L12" i="30"/>
  <c r="K12" i="30"/>
  <c r="L9" i="30"/>
  <c r="K9" i="30"/>
  <c r="L6" i="30"/>
  <c r="K6" i="30"/>
  <c r="L6" i="28"/>
  <c r="K6" i="28"/>
  <c r="L24" i="27"/>
  <c r="K24" i="27"/>
  <c r="L21" i="27"/>
  <c r="K21" i="27"/>
  <c r="L18" i="27"/>
  <c r="K18" i="27"/>
  <c r="L17" i="27"/>
  <c r="K17" i="27"/>
  <c r="L16" i="27"/>
  <c r="K16" i="27"/>
  <c r="L15" i="27"/>
  <c r="K15" i="27"/>
  <c r="L12" i="27"/>
  <c r="L9" i="27"/>
  <c r="K9" i="27"/>
  <c r="L6" i="27"/>
  <c r="K6" i="27"/>
  <c r="L40" i="26"/>
  <c r="K40" i="26"/>
  <c r="L37" i="26"/>
  <c r="K37" i="26"/>
  <c r="L34" i="26"/>
  <c r="K34" i="26"/>
  <c r="L33" i="26"/>
  <c r="K33" i="26"/>
  <c r="L32" i="26"/>
  <c r="K32" i="26"/>
  <c r="L31" i="26"/>
  <c r="K31" i="26"/>
  <c r="L28" i="26"/>
  <c r="K28" i="26"/>
  <c r="L27" i="26"/>
  <c r="K27" i="26"/>
  <c r="L26" i="26"/>
  <c r="K26" i="26"/>
  <c r="L25" i="26"/>
  <c r="K25" i="26"/>
  <c r="L22" i="26"/>
  <c r="K22" i="26"/>
  <c r="L21" i="26"/>
  <c r="K21" i="26"/>
  <c r="L20" i="26"/>
  <c r="K20" i="26"/>
  <c r="L19" i="26"/>
  <c r="K19" i="26"/>
  <c r="L18" i="26"/>
  <c r="K18" i="26"/>
  <c r="L17" i="26"/>
  <c r="K17" i="26"/>
  <c r="L14" i="26"/>
  <c r="K14" i="26"/>
  <c r="L13" i="26"/>
  <c r="K13" i="26"/>
  <c r="L12" i="26"/>
  <c r="K12" i="26"/>
  <c r="L9" i="26"/>
  <c r="K9" i="26"/>
  <c r="L6" i="26"/>
  <c r="K6" i="26"/>
  <c r="L28" i="25"/>
  <c r="K28" i="25"/>
  <c r="L27" i="25"/>
  <c r="K27" i="25"/>
  <c r="L26" i="25"/>
  <c r="K26" i="25"/>
  <c r="L23" i="25"/>
  <c r="K23" i="25"/>
  <c r="L20" i="25"/>
  <c r="K20" i="25"/>
  <c r="L19" i="25"/>
  <c r="K19" i="25"/>
  <c r="L18" i="25"/>
  <c r="K18" i="25"/>
  <c r="L15" i="25"/>
  <c r="K15" i="25"/>
  <c r="L14" i="25"/>
  <c r="K14" i="25"/>
  <c r="L13" i="25"/>
  <c r="K13" i="25"/>
  <c r="L12" i="25"/>
  <c r="K12" i="25"/>
  <c r="L9" i="25"/>
  <c r="K9" i="25"/>
  <c r="L6" i="25"/>
  <c r="K6" i="25"/>
  <c r="L6" i="24"/>
  <c r="K6" i="24"/>
  <c r="L13" i="23"/>
  <c r="K13" i="23"/>
  <c r="L10" i="23"/>
  <c r="K10" i="23"/>
  <c r="L7" i="23"/>
  <c r="K7" i="23"/>
  <c r="L6" i="23"/>
  <c r="K6" i="23"/>
  <c r="T16" i="22"/>
  <c r="S16" i="22"/>
  <c r="T13" i="22"/>
  <c r="S13" i="22"/>
  <c r="T10" i="22"/>
  <c r="S10" i="22"/>
  <c r="T7" i="22"/>
  <c r="S7" i="22"/>
  <c r="T6" i="22"/>
  <c r="S6" i="22"/>
  <c r="T12" i="21"/>
  <c r="S12" i="21"/>
  <c r="T9" i="21"/>
  <c r="S9" i="21"/>
  <c r="T6" i="21"/>
  <c r="S6" i="21"/>
  <c r="L12" i="14"/>
  <c r="K12" i="14"/>
  <c r="L9" i="14"/>
  <c r="K9" i="14"/>
  <c r="L6" i="11"/>
  <c r="K6" i="11"/>
  <c r="P12" i="10"/>
  <c r="O12" i="10"/>
  <c r="P9" i="10"/>
  <c r="O9" i="10"/>
  <c r="P6" i="10"/>
  <c r="O6" i="10"/>
  <c r="L27" i="9"/>
  <c r="K27" i="9"/>
  <c r="L24" i="9"/>
  <c r="K24" i="9"/>
  <c r="L23" i="9"/>
  <c r="K23" i="9"/>
  <c r="L20" i="9"/>
  <c r="K20" i="9"/>
  <c r="L19" i="9"/>
  <c r="K19" i="9"/>
  <c r="L16" i="9"/>
  <c r="K16" i="9"/>
  <c r="L15" i="9"/>
  <c r="K15" i="9"/>
  <c r="L12" i="9"/>
  <c r="K12" i="9"/>
  <c r="L9" i="9"/>
  <c r="K9" i="9"/>
  <c r="L6" i="9"/>
  <c r="K6" i="9"/>
  <c r="L9" i="8"/>
  <c r="K9" i="8"/>
  <c r="L6" i="8"/>
  <c r="K6" i="8"/>
  <c r="L6" i="7"/>
  <c r="K6" i="7"/>
  <c r="L6" i="6"/>
  <c r="K6" i="6"/>
</calcChain>
</file>

<file path=xl/sharedStrings.xml><?xml version="1.0" encoding="utf-8"?>
<sst xmlns="http://schemas.openxmlformats.org/spreadsheetml/2006/main" count="1569" uniqueCount="504">
  <si>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</si>
  <si>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</si>
  <si>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</si>
  <si>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</si>
  <si>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</si>
  <si>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</si>
  <si>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</si>
  <si>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Тяга</t>
  </si>
  <si>
    <t>ВЕСОВАЯ КАТЕГОРИЯ   70</t>
  </si>
  <si>
    <t>Малахов Сергей</t>
  </si>
  <si>
    <t>Открытая (20.08.1991)/30</t>
  </si>
  <si>
    <t>66,90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</si>
  <si>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</si>
  <si>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</si>
  <si>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</si>
  <si>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</si>
  <si>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</si>
  <si>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Результат </t>
  </si>
  <si>
    <t xml:space="preserve">Gloss </t>
  </si>
  <si>
    <t>Результат</t>
  </si>
  <si>
    <t>Место</t>
  </si>
  <si>
    <t>Жим стоя</t>
  </si>
  <si>
    <t>ВЕСОВАЯ КАТЕГОРИЯ   125</t>
  </si>
  <si>
    <t>Хомяков Виталий</t>
  </si>
  <si>
    <t>Открытая (19.05.1996)/26</t>
  </si>
  <si>
    <t>123,20</t>
  </si>
  <si>
    <t xml:space="preserve">RUS/Самара </t>
  </si>
  <si>
    <t>125,0</t>
  </si>
  <si>
    <t>132,5</t>
  </si>
  <si>
    <t>135,0</t>
  </si>
  <si>
    <t>ВЕСОВАЯ КАТЕГОРИЯ   100</t>
  </si>
  <si>
    <t>Бутыркин Артем</t>
  </si>
  <si>
    <t>Открытая (08.04.1988)/34</t>
  </si>
  <si>
    <t>99,60</t>
  </si>
  <si>
    <t>85,0</t>
  </si>
  <si>
    <t>87,5</t>
  </si>
  <si>
    <t>90,0</t>
  </si>
  <si>
    <t>ВЕСОВАЯ КАТЕГОРИЯ   67.5</t>
  </si>
  <si>
    <t>67,5</t>
  </si>
  <si>
    <t>70,5</t>
  </si>
  <si>
    <t>ВЕСОВАЯ КАТЕГОРИЯ   82.5</t>
  </si>
  <si>
    <t>Никитин Дмитрий</t>
  </si>
  <si>
    <t>Открытая (02.08.1996)/25</t>
  </si>
  <si>
    <t>82,50</t>
  </si>
  <si>
    <t>55,0</t>
  </si>
  <si>
    <t>65,0</t>
  </si>
  <si>
    <t>75,0</t>
  </si>
  <si>
    <t>ВЕСОВАЯ КАТЕГОРИЯ   56</t>
  </si>
  <si>
    <t>Горожанина Ольга</t>
  </si>
  <si>
    <t>Открытая (05.11.1983)/38</t>
  </si>
  <si>
    <t>55,00</t>
  </si>
  <si>
    <t xml:space="preserve">RUS/Ульяновск </t>
  </si>
  <si>
    <t>25,0</t>
  </si>
  <si>
    <t>30,0</t>
  </si>
  <si>
    <t>32,5</t>
  </si>
  <si>
    <t>ВЕСОВАЯ КАТЕГОРИЯ   60</t>
  </si>
  <si>
    <t>Егорова Ольга</t>
  </si>
  <si>
    <t>59,30</t>
  </si>
  <si>
    <t>35,0</t>
  </si>
  <si>
    <t>40,0</t>
  </si>
  <si>
    <t>42,5</t>
  </si>
  <si>
    <t>Перепелица Георгий</t>
  </si>
  <si>
    <t>59,40</t>
  </si>
  <si>
    <t>45,0</t>
  </si>
  <si>
    <t>47,5</t>
  </si>
  <si>
    <t>50,5</t>
  </si>
  <si>
    <t>Расеев Никита</t>
  </si>
  <si>
    <t>65,80</t>
  </si>
  <si>
    <t>57,5</t>
  </si>
  <si>
    <t>62,0</t>
  </si>
  <si>
    <t>63,0</t>
  </si>
  <si>
    <t>Пискунов Кирилл</t>
  </si>
  <si>
    <t>63,90</t>
  </si>
  <si>
    <t>ВЕСОВАЯ КАТЕГОРИЯ   75</t>
  </si>
  <si>
    <t>Илларионов Сергей</t>
  </si>
  <si>
    <t>Открытая (27.07.1982)/39</t>
  </si>
  <si>
    <t>72,20</t>
  </si>
  <si>
    <t>60,0</t>
  </si>
  <si>
    <t>Хасанов Рустам</t>
  </si>
  <si>
    <t>Открытая (29.03.1994)/28</t>
  </si>
  <si>
    <t>71,60</t>
  </si>
  <si>
    <t>50,0</t>
  </si>
  <si>
    <t>Андро-Де-Бюи-Гинглятт Иван</t>
  </si>
  <si>
    <t>80,80</t>
  </si>
  <si>
    <t xml:space="preserve">RUS/Отрадный </t>
  </si>
  <si>
    <t>52,5</t>
  </si>
  <si>
    <t xml:space="preserve">Луговой А. </t>
  </si>
  <si>
    <t>Летвяков Андрей</t>
  </si>
  <si>
    <t>Открытая (26.06.1986)/35</t>
  </si>
  <si>
    <t>81,90</t>
  </si>
  <si>
    <t>70,0</t>
  </si>
  <si>
    <t>72,5</t>
  </si>
  <si>
    <t>80,5</t>
  </si>
  <si>
    <t>Пожидаев Олег</t>
  </si>
  <si>
    <t>Открытая (25.06.1992)/29</t>
  </si>
  <si>
    <t>123,60</t>
  </si>
  <si>
    <t>95,0</t>
  </si>
  <si>
    <t xml:space="preserve">Женщины </t>
  </si>
  <si>
    <t>ВЕСОВАЯ КАТЕГОРИЯ   130</t>
  </si>
  <si>
    <t xml:space="preserve">Wilks </t>
  </si>
  <si>
    <t>Черняев Дмитрий</t>
  </si>
  <si>
    <t>Открытая (14.05.1985)/37</t>
  </si>
  <si>
    <t>69,50</t>
  </si>
  <si>
    <t>82,5</t>
  </si>
  <si>
    <t>ВЕСОВАЯ КАТЕГОРИЯ   80</t>
  </si>
  <si>
    <t>Семенов Андрей</t>
  </si>
  <si>
    <t>79,30</t>
  </si>
  <si>
    <t>77,5</t>
  </si>
  <si>
    <t>Мирзахметов Вадим</t>
  </si>
  <si>
    <t>99,70</t>
  </si>
  <si>
    <t>97,5</t>
  </si>
  <si>
    <t>100,0</t>
  </si>
  <si>
    <t>Приседание</t>
  </si>
  <si>
    <t>Жим лёжа</t>
  </si>
  <si>
    <t>Становая тяга</t>
  </si>
  <si>
    <t>Семенов Даниил</t>
  </si>
  <si>
    <t>Юноши 17-19 (12.08.2003)/18</t>
  </si>
  <si>
    <t>72,00</t>
  </si>
  <si>
    <t xml:space="preserve">RUS/Набережные Челны </t>
  </si>
  <si>
    <t>170,0</t>
  </si>
  <si>
    <t>180,0</t>
  </si>
  <si>
    <t>110,0</t>
  </si>
  <si>
    <t>117,5</t>
  </si>
  <si>
    <t>200,0</t>
  </si>
  <si>
    <t>210,0</t>
  </si>
  <si>
    <t>ВЕСОВАЯ КАТЕГОРИЯ   90</t>
  </si>
  <si>
    <t>Жеребенков Александр</t>
  </si>
  <si>
    <t>Открытая (06.04.1997)/25</t>
  </si>
  <si>
    <t>89,70</t>
  </si>
  <si>
    <t>215,0</t>
  </si>
  <si>
    <t>222,5</t>
  </si>
  <si>
    <t>140,0</t>
  </si>
  <si>
    <t>150,0</t>
  </si>
  <si>
    <t>240,0</t>
  </si>
  <si>
    <t>255,0</t>
  </si>
  <si>
    <t xml:space="preserve">Никишин С. </t>
  </si>
  <si>
    <t>Зайцев Владимир</t>
  </si>
  <si>
    <t>Мастера 70-79 (02.11.1949)/72</t>
  </si>
  <si>
    <t>99,50</t>
  </si>
  <si>
    <t>105,0</t>
  </si>
  <si>
    <t>115,0</t>
  </si>
  <si>
    <t>127,5</t>
  </si>
  <si>
    <t>107,5</t>
  </si>
  <si>
    <t>145,0</t>
  </si>
  <si>
    <t>155,0</t>
  </si>
  <si>
    <t>167,5</t>
  </si>
  <si>
    <t>Стрельникова Мария</t>
  </si>
  <si>
    <t>Девушки 17-19 (07.04.2005)/17</t>
  </si>
  <si>
    <t>54,70</t>
  </si>
  <si>
    <t>Найденова Евгения</t>
  </si>
  <si>
    <t>Открытая (07.12.1985)/36</t>
  </si>
  <si>
    <t>55,20</t>
  </si>
  <si>
    <t>92,5</t>
  </si>
  <si>
    <t>Бурочкина Мария</t>
  </si>
  <si>
    <t>Открытая (24.02.1990)/32</t>
  </si>
  <si>
    <t>58,60</t>
  </si>
  <si>
    <t>120,0</t>
  </si>
  <si>
    <t>Сидоров Евгений</t>
  </si>
  <si>
    <t>Открытая (04.05.1993)/29</t>
  </si>
  <si>
    <t>81,60</t>
  </si>
  <si>
    <t>160,0</t>
  </si>
  <si>
    <t>182,5</t>
  </si>
  <si>
    <t>Дементьев Илья</t>
  </si>
  <si>
    <t>Юноши 14-16 (02.08.2005)/16</t>
  </si>
  <si>
    <t>86,80</t>
  </si>
  <si>
    <t>190,0</t>
  </si>
  <si>
    <t>130,0</t>
  </si>
  <si>
    <t>137,5</t>
  </si>
  <si>
    <t>220,0</t>
  </si>
  <si>
    <t>230,0</t>
  </si>
  <si>
    <t>Замятина Наталья</t>
  </si>
  <si>
    <t>Открытая (14.04.1980)/42</t>
  </si>
  <si>
    <t>70,40</t>
  </si>
  <si>
    <t>Мастера 40-49 (14.04.1980)/42</t>
  </si>
  <si>
    <t>Плотников Владимир</t>
  </si>
  <si>
    <t>Мастера 40-49 (24.06.1981)/40</t>
  </si>
  <si>
    <t>78,00</t>
  </si>
  <si>
    <t>202,5</t>
  </si>
  <si>
    <t>Бакунц Гагик</t>
  </si>
  <si>
    <t>Открытая (22.03.1990)/32</t>
  </si>
  <si>
    <t>117,80</t>
  </si>
  <si>
    <t>235,0</t>
  </si>
  <si>
    <t>245,0</t>
  </si>
  <si>
    <t>250,0</t>
  </si>
  <si>
    <t>Власов Александр</t>
  </si>
  <si>
    <t>Юниоры (18.10.1998)/23</t>
  </si>
  <si>
    <t>72,60</t>
  </si>
  <si>
    <t>152,5</t>
  </si>
  <si>
    <t>ВЕСОВАЯ КАТЕГОРИЯ   52</t>
  </si>
  <si>
    <t>Конаныкин Степан</t>
  </si>
  <si>
    <t>Юноши 14-16 (20.11.2007)/14</t>
  </si>
  <si>
    <t>44,80</t>
  </si>
  <si>
    <t>37,5</t>
  </si>
  <si>
    <t>157,5</t>
  </si>
  <si>
    <t>Зубов Глеб</t>
  </si>
  <si>
    <t>Юноши 14-16 (26.12.2008)/13</t>
  </si>
  <si>
    <t>79,20</t>
  </si>
  <si>
    <t>62,5</t>
  </si>
  <si>
    <t>Севрюков Евгений</t>
  </si>
  <si>
    <t>Открытая (08.07.1991)/30</t>
  </si>
  <si>
    <t>80,20</t>
  </si>
  <si>
    <t xml:space="preserve">RUS/Сорочинск </t>
  </si>
  <si>
    <t>Иваев Руслан</t>
  </si>
  <si>
    <t>Открытая (08.09.1986)/35</t>
  </si>
  <si>
    <t>177,5</t>
  </si>
  <si>
    <t>Сухомберлиев Руслан</t>
  </si>
  <si>
    <t>Открытая (16.11.1991)/30</t>
  </si>
  <si>
    <t>99,00</t>
  </si>
  <si>
    <t xml:space="preserve">KAZ/Алматы </t>
  </si>
  <si>
    <t>187,5</t>
  </si>
  <si>
    <t>Прохода Андрей</t>
  </si>
  <si>
    <t>Открытая (24.04.1983)/39</t>
  </si>
  <si>
    <t>94,90</t>
  </si>
  <si>
    <t>175,0</t>
  </si>
  <si>
    <t>Попков Юрий</t>
  </si>
  <si>
    <t>Мастера 40-49 (08.05.1981)/41</t>
  </si>
  <si>
    <t>95,00</t>
  </si>
  <si>
    <t>165,0</t>
  </si>
  <si>
    <t>172,5</t>
  </si>
  <si>
    <t>ВЕСОВАЯ КАТЕГОРИЯ   110</t>
  </si>
  <si>
    <t>Подторжнов Алексей</t>
  </si>
  <si>
    <t>Открытая (06.04.1979)/43</t>
  </si>
  <si>
    <t>108,30</t>
  </si>
  <si>
    <t xml:space="preserve">RUS/Саратов </t>
  </si>
  <si>
    <t>185,0</t>
  </si>
  <si>
    <t>192,5</t>
  </si>
  <si>
    <t>Кулагин Андрей</t>
  </si>
  <si>
    <t>Открытая (16.09.1978)/43</t>
  </si>
  <si>
    <t>116,30</t>
  </si>
  <si>
    <t>Магер Дмитрий</t>
  </si>
  <si>
    <t>Открытая (19.07.1989)/32</t>
  </si>
  <si>
    <t>114,90</t>
  </si>
  <si>
    <t>205,0</t>
  </si>
  <si>
    <t>Мастера 40-49 (16.09.1978)/43</t>
  </si>
  <si>
    <t>Дорш Олеся</t>
  </si>
  <si>
    <t>Открытая (28.06.1986)/35</t>
  </si>
  <si>
    <t>58,00</t>
  </si>
  <si>
    <t>Бирюков Вячеслав</t>
  </si>
  <si>
    <t>Юниоры (05.04.2000)/22</t>
  </si>
  <si>
    <t>65,90</t>
  </si>
  <si>
    <t>Головин Иван</t>
  </si>
  <si>
    <t>Юноши 17-19 (28.12.2003)/18</t>
  </si>
  <si>
    <t>70,30</t>
  </si>
  <si>
    <t>122,5</t>
  </si>
  <si>
    <t>Подгорнов Олег</t>
  </si>
  <si>
    <t>Открытая (02.12.1987)/34</t>
  </si>
  <si>
    <t>75,00</t>
  </si>
  <si>
    <t>Борух Сергей</t>
  </si>
  <si>
    <t>Открытая (07.06.1988)/33</t>
  </si>
  <si>
    <t>73,40</t>
  </si>
  <si>
    <t xml:space="preserve">Севрюков Е. </t>
  </si>
  <si>
    <t>Чернявский Вадим</t>
  </si>
  <si>
    <t>Юниоры (04.08.1998)/23</t>
  </si>
  <si>
    <t>112,5</t>
  </si>
  <si>
    <t xml:space="preserve">Егорова О. </t>
  </si>
  <si>
    <t>Пажера Эрикас</t>
  </si>
  <si>
    <t>Открытая (18.01.1988)/34</t>
  </si>
  <si>
    <t>Латыпов Радик</t>
  </si>
  <si>
    <t>Открытая (03.10.1984)/37</t>
  </si>
  <si>
    <t>81,40</t>
  </si>
  <si>
    <t xml:space="preserve">RUS/Октябрьский </t>
  </si>
  <si>
    <t>Князев Андрей</t>
  </si>
  <si>
    <t>Мастера 40-49 (10.03.1982)/40</t>
  </si>
  <si>
    <t>82,40</t>
  </si>
  <si>
    <t>Майда Александр</t>
  </si>
  <si>
    <t>Открытая (23.02.1988)/34</t>
  </si>
  <si>
    <t>88,10</t>
  </si>
  <si>
    <t xml:space="preserve">RUS/Бузулук </t>
  </si>
  <si>
    <t>Царенюк Даниил</t>
  </si>
  <si>
    <t>Открытая (18.03.1993)/29</t>
  </si>
  <si>
    <t>86,10</t>
  </si>
  <si>
    <t>147,5</t>
  </si>
  <si>
    <t>Трухнев Андрей</t>
  </si>
  <si>
    <t>Открытая (09.05.1986)/36</t>
  </si>
  <si>
    <t>89,00</t>
  </si>
  <si>
    <t>Калашников Александр</t>
  </si>
  <si>
    <t>Мастера 40-49 (27.10.1980)/41</t>
  </si>
  <si>
    <t>87,80</t>
  </si>
  <si>
    <t>Открытая (15.10.1980)/41</t>
  </si>
  <si>
    <t>162,5</t>
  </si>
  <si>
    <t>Фазылов Раиф</t>
  </si>
  <si>
    <t>Открытая (07.09.1988)/33</t>
  </si>
  <si>
    <t>96,60</t>
  </si>
  <si>
    <t>Степанов Алексей</t>
  </si>
  <si>
    <t>Мастера 40-49 (16.06.1976)/45</t>
  </si>
  <si>
    <t>Побежимов Владимир</t>
  </si>
  <si>
    <t>Открытая (21.03.1987)/35</t>
  </si>
  <si>
    <t>103,40</t>
  </si>
  <si>
    <t>Богданов Алексей</t>
  </si>
  <si>
    <t>Мастера 40-49 (25.07.1981)/40</t>
  </si>
  <si>
    <t>119,00</t>
  </si>
  <si>
    <t>Мелконян Тигран</t>
  </si>
  <si>
    <t>Юниоры (29.09.1999)/22</t>
  </si>
  <si>
    <t>66,40</t>
  </si>
  <si>
    <t>Луценко Сергей</t>
  </si>
  <si>
    <t>Юноши 17-19 (01.08.2002)/19</t>
  </si>
  <si>
    <t>Открытая (24.06.1981)/40</t>
  </si>
  <si>
    <t>Пархоменко Максим</t>
  </si>
  <si>
    <t>Открытая (21.09.1993)/28</t>
  </si>
  <si>
    <t>86,60</t>
  </si>
  <si>
    <t>225,0</t>
  </si>
  <si>
    <t>232,5</t>
  </si>
  <si>
    <t>-</t>
  </si>
  <si>
    <t>Яковлев Максим</t>
  </si>
  <si>
    <t>Открытая (17.06.1982)/39</t>
  </si>
  <si>
    <t>87,00</t>
  </si>
  <si>
    <t>Луцук Виталий</t>
  </si>
  <si>
    <t>Открытая (20.03.1991)/31</t>
  </si>
  <si>
    <t>98,00</t>
  </si>
  <si>
    <t>Усачев Илья</t>
  </si>
  <si>
    <t>Открытая (26.01.1986)/36</t>
  </si>
  <si>
    <t>110,00</t>
  </si>
  <si>
    <t>Бутузов Сергей</t>
  </si>
  <si>
    <t>Мастера 40-49 (29.11.1981)/40</t>
  </si>
  <si>
    <t>121,30</t>
  </si>
  <si>
    <t>102,5</t>
  </si>
  <si>
    <t>Гридин Роман</t>
  </si>
  <si>
    <t>Мастера 50-59 (28.01.1972)/50</t>
  </si>
  <si>
    <t>87,40</t>
  </si>
  <si>
    <t>Калинина Татьяна</t>
  </si>
  <si>
    <t>Открытая (09.06.1989)/32</t>
  </si>
  <si>
    <t>53,60</t>
  </si>
  <si>
    <t>80,0</t>
  </si>
  <si>
    <t>Мороз Эльмира</t>
  </si>
  <si>
    <t>Открытая (08.02.1986)/36</t>
  </si>
  <si>
    <t>57,70</t>
  </si>
  <si>
    <t>Севрюкова Светлана</t>
  </si>
  <si>
    <t>Мастера 50-59 (07.02.1968)/54</t>
  </si>
  <si>
    <t>71,30</t>
  </si>
  <si>
    <t>ВЕСОВАЯ КАТЕГОРИЯ   90+</t>
  </si>
  <si>
    <t>Милушкина Юлия</t>
  </si>
  <si>
    <t>Открытая (23.11.1994)/27</t>
  </si>
  <si>
    <t>91,80</t>
  </si>
  <si>
    <t>142,5</t>
  </si>
  <si>
    <t>Андреева Ангелина</t>
  </si>
  <si>
    <t>Открытая (30.05.1995)/27</t>
  </si>
  <si>
    <t>102,30</t>
  </si>
  <si>
    <t>Папшев Максим</t>
  </si>
  <si>
    <t>Юноши 17-19 (11.10.2003)/18</t>
  </si>
  <si>
    <t>58,40</t>
  </si>
  <si>
    <t>Акимов Артур</t>
  </si>
  <si>
    <t>Юниоры (24.12.2000)/21</t>
  </si>
  <si>
    <t>66,50</t>
  </si>
  <si>
    <t>Евграфов Виталий</t>
  </si>
  <si>
    <t>Юниоры (10.02.2002)/20</t>
  </si>
  <si>
    <t>72,40</t>
  </si>
  <si>
    <t>207,5</t>
  </si>
  <si>
    <t>Нарыков Дмитрий</t>
  </si>
  <si>
    <t>Открытая (11.06.1992)/29</t>
  </si>
  <si>
    <t>72,80</t>
  </si>
  <si>
    <t>Бобочонов Умеджон</t>
  </si>
  <si>
    <t>Юноши 17-19 (11.04.2003)/19</t>
  </si>
  <si>
    <t xml:space="preserve">RUS/Москва </t>
  </si>
  <si>
    <t>Федоров Александр</t>
  </si>
  <si>
    <t>Открытая (03.06.1992)/30</t>
  </si>
  <si>
    <t>82,30</t>
  </si>
  <si>
    <t>Кузнецов Сергей</t>
  </si>
  <si>
    <t>Открытая (04.05.1994)/28</t>
  </si>
  <si>
    <t>78,70</t>
  </si>
  <si>
    <t>Григорьев Илья</t>
  </si>
  <si>
    <t>Юноши 14-16 (24.03.2006)/16</t>
  </si>
  <si>
    <t>82,80</t>
  </si>
  <si>
    <t>Карпунин Сергей</t>
  </si>
  <si>
    <t>Открытая (18.10.1987)/34</t>
  </si>
  <si>
    <t>88,90</t>
  </si>
  <si>
    <t>Овинов Сергей</t>
  </si>
  <si>
    <t>Открытая (17.09.1976)/45</t>
  </si>
  <si>
    <t>95,30</t>
  </si>
  <si>
    <t>Мастера 40-49 (17.09.1976)/45</t>
  </si>
  <si>
    <t>Матушкин Артём</t>
  </si>
  <si>
    <t>Юниоры (06.04.1999)/23</t>
  </si>
  <si>
    <t>107,70</t>
  </si>
  <si>
    <t>Смирнов Антон</t>
  </si>
  <si>
    <t>Открытая (07.06.1985)/36</t>
  </si>
  <si>
    <t>108,20</t>
  </si>
  <si>
    <t xml:space="preserve">RUS/Уфа </t>
  </si>
  <si>
    <t>282,5</t>
  </si>
  <si>
    <t>300,0</t>
  </si>
  <si>
    <t>Стецко Юрий</t>
  </si>
  <si>
    <t>Открытая (02.04.1986)/36</t>
  </si>
  <si>
    <t>101,50</t>
  </si>
  <si>
    <t>260,0</t>
  </si>
  <si>
    <t>270,0</t>
  </si>
  <si>
    <t>90+</t>
  </si>
  <si>
    <t>Губанов Александр</t>
  </si>
  <si>
    <t>Мастера 70-79 (06.02.1951)/71</t>
  </si>
  <si>
    <t>Идиятуллин Рустам</t>
  </si>
  <si>
    <t>Открытая (14.05.1990)/32</t>
  </si>
  <si>
    <t>119,90</t>
  </si>
  <si>
    <t xml:space="preserve">RUS/Туймазы </t>
  </si>
  <si>
    <t>195,0</t>
  </si>
  <si>
    <t>315,0</t>
  </si>
  <si>
    <t>320,0</t>
  </si>
  <si>
    <t>Штукерт Герман</t>
  </si>
  <si>
    <t>Открытая (07.02.1995)/27</t>
  </si>
  <si>
    <t>120,90</t>
  </si>
  <si>
    <t>Акбашев Эмиль</t>
  </si>
  <si>
    <t>Юноши 17-19 (06.03.2003)/19</t>
  </si>
  <si>
    <t>59,00</t>
  </si>
  <si>
    <t>Ярков Сергей</t>
  </si>
  <si>
    <t>Открытая (08.10.1991)/30</t>
  </si>
  <si>
    <t>90,70</t>
  </si>
  <si>
    <t>Краснобаева Анастасия</t>
  </si>
  <si>
    <t>Ситник Игорь</t>
  </si>
  <si>
    <t xml:space="preserve">RUS/Люберцы </t>
  </si>
  <si>
    <t>71,0</t>
  </si>
  <si>
    <t>74,0</t>
  </si>
  <si>
    <t>Попов Антон</t>
  </si>
  <si>
    <t>Открытая (11.01.1989)/33</t>
  </si>
  <si>
    <t>60,00</t>
  </si>
  <si>
    <t>Воровкин Максим</t>
  </si>
  <si>
    <t>Мастера 40-49 (31.03.1980)/42</t>
  </si>
  <si>
    <t>67,00</t>
  </si>
  <si>
    <t>73,0</t>
  </si>
  <si>
    <t>Гугняков Александр</t>
  </si>
  <si>
    <t>Открытая (17.09.1974)/47</t>
  </si>
  <si>
    <t>71,70</t>
  </si>
  <si>
    <t>Исаев Андрей</t>
  </si>
  <si>
    <t>Мастера 50-59 (30.03.1970)/52</t>
  </si>
  <si>
    <t>90,00</t>
  </si>
  <si>
    <t>Титов Андрей</t>
  </si>
  <si>
    <t>Мастера 40-49 (15.11.1977)/44</t>
  </si>
  <si>
    <t xml:space="preserve">RUS/Новокуйбышевск </t>
  </si>
  <si>
    <t>ВЕСОВАЯ КАТЕГОРИЯ   140+</t>
  </si>
  <si>
    <t>Сурков Алексей</t>
  </si>
  <si>
    <t>Мастера 40-49 (15.08.1978)/43</t>
  </si>
  <si>
    <t>145,00</t>
  </si>
  <si>
    <t xml:space="preserve">Губанов А. </t>
  </si>
  <si>
    <t xml:space="preserve">RUS/Новокуйбышевск  </t>
  </si>
  <si>
    <t>Открытый Кубок Содружества Независимых Государств
WRPF Жим лежа среди спортсменов с физическими особенностями
Самара/Самарская область, 04 июня 2022 года</t>
  </si>
  <si>
    <t>Открытый Кубок Содружества Независимых Государств
WRPF Строгий подъем штанги на бицепс ДК
Самара/Самарская область, 04 июня 2022 года</t>
  </si>
  <si>
    <t>Открытый Кубок Содружества Независимых Государств
WRPF Строгий подъем штанги на бицепс
Самара/Самарская область, 04 июня 2022 года</t>
  </si>
  <si>
    <t>Открытый Кубок Содружества Независимых Государств
WRPF Силовое двоеборье без экипировки ДК
Самара/Самарская область, 04 июня 2022 года</t>
  </si>
  <si>
    <t>Открытый Кубок Содружества Независимых Государств
WRPF Силовое двоеборье без экипировки
Самара/Самарская область, 04 июня 2022 года</t>
  </si>
  <si>
    <t>Открытый Кубок Содружества Независимых Государств
WRPF Становая тяга без экипировки ДК
Самара/Самарская область, 04 июня 2022 года</t>
  </si>
  <si>
    <t>Открытый Кубок Содружества Независимых Государств
WRPF Становая тяга без экипировки
Самара/Самарская область, 04 июня 2022 года</t>
  </si>
  <si>
    <t>Открытый Кубок Содружества Независимых Государств
WEPF Жим лежа в многопетельной софт экипировке ДК
Самара/Самарская область, 04 июня 2022 года</t>
  </si>
  <si>
    <t>Открытый Кубок Содружества Независимых Государств
WEPF Жим лежа в многопетельной софт экипировке
Самара/Самарская область, 04 июня 2022 года</t>
  </si>
  <si>
    <t>Открытый Кубок Содружества Независимых Государств
WRPF Военный жим лежа с ДК
Самара/Самарская область, 04 июня 2022 года</t>
  </si>
  <si>
    <t>Открытый Кубок Содружества Независимых Государств
WEPF Жим лежа в однослойной экипировке
Самара/Самарская область, 04 июня 2022 года</t>
  </si>
  <si>
    <t>Открытый Кубок Содружества Независимых Государств
WEPF Жим лежа в однопетельной софт экипировке ДК
Самара/Самарская область, 04 июня 2022 года</t>
  </si>
  <si>
    <t>Открытый Кубок Содружества Независимых Государств
WRPF Жим лежа без экипировки ДК
Самара/Самарская область, 04 июня 2022 года</t>
  </si>
  <si>
    <t>Открытый Кубок Содружества Независимых Государств
WRPF Жим лежа без экипировки
Самара/Самарская область, 04 июня 2022 года</t>
  </si>
  <si>
    <t>Открытый Кубок Содружества Независимых Государств
WRPF Военный жим лежа
Самара/Самарская область, 04 июня 2022 года</t>
  </si>
  <si>
    <t>Открытый Кубок Содружества Независимых Государств
WEPF Жим лежа в однопетельной софт экипировке
Самара/Самарская область, 04 июня 2022 года</t>
  </si>
  <si>
    <t>Открытый Кубок Содружества Независимых Государств
WRPF Пауэрлифтинг без экипировки ДК
Самара/Самарская область, 04 июня 2022 года</t>
  </si>
  <si>
    <t>Открытый Кубок Содружества Независимых Государств
WRPF Пауэрлифтинг без экипировки
Самара/Самарская область, 04 июня 2022 года</t>
  </si>
  <si>
    <t>Открытый Кубок Содружества Независимых Государств
ФЖД Армейский жим на максимум ДК
Самара/Самарская область, 04 июня 2022 года</t>
  </si>
  <si>
    <t>Открытый Кубок Содружества Независимых Государств
ФЖД Армейский жим на максимум
Самара/Самарская область, 04 июня 2022 года</t>
  </si>
  <si>
    <t xml:space="preserve">Замятин И. </t>
  </si>
  <si>
    <t>Юниорки 20-23 (28.04.2000)/22</t>
  </si>
  <si>
    <t>Юноши 13-19 (22.10.2002)/19</t>
  </si>
  <si>
    <t>Мастера 55-59 (07.09.1963)/58</t>
  </si>
  <si>
    <t>Мастера 40-44 (15.10.1980)/41</t>
  </si>
  <si>
    <t>Мастера 40-49 (14.03.1975)/47</t>
  </si>
  <si>
    <t>Юниоры 20-23 (17.04.2000)/22</t>
  </si>
  <si>
    <t>Юноши 13-19 (27.08.2005)/16</t>
  </si>
  <si>
    <t>Юноши 13-19 (23.05.2005)/17</t>
  </si>
  <si>
    <t>Юноши 13-19 (21.10.2004)/17</t>
  </si>
  <si>
    <t xml:space="preserve">Арусланов Ш. </t>
  </si>
  <si>
    <t xml:space="preserve">RUS/Санкт-Петербург </t>
  </si>
  <si>
    <t xml:space="preserve">Ситник И. </t>
  </si>
  <si>
    <t xml:space="preserve">Овинов С. </t>
  </si>
  <si>
    <t>Весовая категория</t>
  </si>
  <si>
    <t xml:space="preserve">Калинин Д. </t>
  </si>
  <si>
    <t xml:space="preserve">Самоятоятельно </t>
  </si>
  <si>
    <t xml:space="preserve">Нойман Ю. </t>
  </si>
  <si>
    <t xml:space="preserve"> RUS/Тоцкое </t>
  </si>
  <si>
    <t xml:space="preserve"> RUS/Самара </t>
  </si>
  <si>
    <t xml:space="preserve">Луцук В. </t>
  </si>
  <si>
    <t xml:space="preserve">Самостотоятельно </t>
  </si>
  <si>
    <t xml:space="preserve"> RUS/Инза </t>
  </si>
  <si>
    <t xml:space="preserve">Трухтанов П. </t>
  </si>
  <si>
    <t xml:space="preserve">Хитрин Д. </t>
  </si>
  <si>
    <t xml:space="preserve">Гугняков А. </t>
  </si>
  <si>
    <t xml:space="preserve">Гатауллин Т. </t>
  </si>
  <si>
    <t xml:space="preserve">Тресков В. </t>
  </si>
  <si>
    <t xml:space="preserve">Гусев А. </t>
  </si>
  <si>
    <t xml:space="preserve">Аверьянов В. </t>
  </si>
  <si>
    <t xml:space="preserve">Суслов Н. </t>
  </si>
  <si>
    <t xml:space="preserve">Стецко Ю. </t>
  </si>
  <si>
    <t>Всероссийский турнир по пауэрспорту
СПР Пауэрспорт ДК
Самара/Самарская область, 04 июня 2022 года</t>
  </si>
  <si>
    <t>Всероссийский турнир по пауэрспорту
СПР Строгий подъем штанги на бицепс ДК
Самара/Самарская область, 04 июня 2022 года</t>
  </si>
  <si>
    <t>Всероссийский турнир по пауэрспорту
СПР Строгий подъем штанги на бицепс
Самара/Самарская область, 04 июня 2022 года</t>
  </si>
  <si>
    <t>Всероссийский турнир по пауэрспорту
СПР Жим штанги стоя ДК
Самара/Самарская область, 04 июня 2022 года</t>
  </si>
  <si>
    <t>Всероссийский турнир по пауэрспорту
СПР Жим штанги стоя
Самара/Самарская область, 04 июня 2022 года</t>
  </si>
  <si>
    <t xml:space="preserve">  RUS/Самара </t>
  </si>
  <si>
    <t xml:space="preserve">Поздняков И. </t>
  </si>
  <si>
    <t xml:space="preserve">  RUS/Черноречье </t>
  </si>
  <si>
    <t xml:space="preserve">  RUS/Новокуйбышевск </t>
  </si>
  <si>
    <t xml:space="preserve">   RUS/Новокуйбышевск</t>
  </si>
  <si>
    <t xml:space="preserve"> RUS/Радищево</t>
  </si>
  <si>
    <t>Жим</t>
  </si>
  <si>
    <t>2</t>
  </si>
  <si>
    <t xml:space="preserve">
Дата рождения/Возраст</t>
  </si>
  <si>
    <t>Возрастная группа</t>
  </si>
  <si>
    <t>T2</t>
  </si>
  <si>
    <t>O</t>
  </si>
  <si>
    <t>T1</t>
  </si>
  <si>
    <t>M4</t>
  </si>
  <si>
    <t>J</t>
  </si>
  <si>
    <t>M1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</si>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</sst>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16"/>
  <sheetViews>
    <sheetView workbookViewId="0">
      <selection activeCell="E17" sqref="E17"/>
    </sheetView>
  </sheetViews>
  <sheetFormatPr baseColWidth="10" defaultColWidth="8.83203125" defaultRowHeight="13"/>
  <cols>
    <col min="1" max="1" width="7.5" style="9" bestFit="1" customWidth="1"/>
    <col min="2" max="2" width="19.33203125" style="9" bestFit="1" customWidth="1"/>
    <col min="3" max="3" width="27.83203125" style="9" bestFit="1" customWidth="1"/>
    <col min="4" max="4" width="21.5" style="9" bestFit="1" customWidth="1"/>
    <col min="5" max="5" width="10.5" style="9" bestFit="1" customWidth="1"/>
    <col min="6" max="6" width="27" style="9" customWidth="1"/>
    <col min="7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7" width="5.5" style="17" customWidth="1"/>
    <col min="18" max="18" width="4.83203125" style="17" customWidth="1"/>
    <col min="19" max="19" width="7.83203125" style="17" bestFit="1" customWidth="1"/>
    <col min="20" max="20" width="8.5" style="17" bestFit="1" customWidth="1"/>
    <col min="21" max="21" width="26.6640625" style="9" bestFit="1" customWidth="1"/>
  </cols>
  <sheetData>
    <row r="1" spans="1:21" s="2" customFormat="1" ht="29" customHeight="1">
      <c r="A1" s="44" t="s">
        <v>445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112</v>
      </c>
      <c r="H3" s="56"/>
      <c r="I3" s="56"/>
      <c r="J3" s="56"/>
      <c r="K3" s="56" t="s">
        <v>113</v>
      </c>
      <c r="L3" s="56"/>
      <c r="M3" s="56"/>
      <c r="N3" s="56"/>
      <c r="O3" s="56" t="s">
        <v>114</v>
      </c>
      <c r="P3" s="56"/>
      <c r="Q3" s="56"/>
      <c r="R3" s="56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s="3" customFormat="1" ht="16">
      <c r="A5" s="42" t="s">
        <v>47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6"/>
      <c r="T5" s="6"/>
      <c r="U5" s="5"/>
    </row>
    <row r="6" spans="1:21">
      <c r="A6" s="24">
        <v>1</v>
      </c>
      <c r="B6" s="22" t="s">
        <v>146</v>
      </c>
      <c r="C6" s="22" t="s">
        <v>147</v>
      </c>
      <c r="D6" s="22" t="s">
        <v>148</v>
      </c>
      <c r="E6" s="22" t="s">
        <v>496</v>
      </c>
      <c r="F6" s="22" t="s">
        <v>84</v>
      </c>
      <c r="G6" s="29" t="s">
        <v>34</v>
      </c>
      <c r="H6" s="29" t="s">
        <v>34</v>
      </c>
      <c r="I6" s="25" t="s">
        <v>34</v>
      </c>
      <c r="J6" s="24"/>
      <c r="K6" s="25" t="s">
        <v>59</v>
      </c>
      <c r="L6" s="25" t="s">
        <v>63</v>
      </c>
      <c r="M6" s="29" t="s">
        <v>81</v>
      </c>
      <c r="N6" s="24"/>
      <c r="O6" s="25" t="s">
        <v>36</v>
      </c>
      <c r="P6" s="25" t="s">
        <v>96</v>
      </c>
      <c r="Q6" s="25" t="s">
        <v>110</v>
      </c>
      <c r="R6" s="24"/>
      <c r="S6" s="24" t="str">
        <f>"227,5"</f>
        <v>227,5</v>
      </c>
      <c r="T6" s="24" t="str">
        <f>"272,6588"</f>
        <v>272,6588</v>
      </c>
      <c r="U6" s="22"/>
    </row>
    <row r="7" spans="1:21">
      <c r="A7" s="26">
        <v>1</v>
      </c>
      <c r="B7" s="23" t="s">
        <v>149</v>
      </c>
      <c r="C7" s="23" t="s">
        <v>150</v>
      </c>
      <c r="D7" s="23" t="s">
        <v>151</v>
      </c>
      <c r="E7" s="23" t="s">
        <v>497</v>
      </c>
      <c r="F7" s="23" t="s">
        <v>26</v>
      </c>
      <c r="G7" s="27" t="s">
        <v>36</v>
      </c>
      <c r="H7" s="27" t="s">
        <v>110</v>
      </c>
      <c r="I7" s="28" t="s">
        <v>111</v>
      </c>
      <c r="J7" s="26"/>
      <c r="K7" s="28" t="s">
        <v>63</v>
      </c>
      <c r="L7" s="27" t="s">
        <v>63</v>
      </c>
      <c r="M7" s="27" t="s">
        <v>64</v>
      </c>
      <c r="N7" s="26"/>
      <c r="O7" s="27" t="s">
        <v>152</v>
      </c>
      <c r="P7" s="27" t="s">
        <v>110</v>
      </c>
      <c r="Q7" s="27" t="s">
        <v>139</v>
      </c>
      <c r="R7" s="26"/>
      <c r="S7" s="26" t="str">
        <f>"250,0"</f>
        <v>250,0</v>
      </c>
      <c r="T7" s="26" t="str">
        <f>"297,5000"</f>
        <v>297,5000</v>
      </c>
      <c r="U7" s="23" t="s">
        <v>478</v>
      </c>
    </row>
    <row r="9" spans="1:21" ht="16">
      <c r="A9" s="57" t="s">
        <v>55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21">
      <c r="A10" s="19">
        <v>1</v>
      </c>
      <c r="B10" s="8" t="s">
        <v>153</v>
      </c>
      <c r="C10" s="8" t="s">
        <v>154</v>
      </c>
      <c r="D10" s="8" t="s">
        <v>155</v>
      </c>
      <c r="E10" s="8" t="s">
        <v>497</v>
      </c>
      <c r="F10" s="8" t="s">
        <v>26</v>
      </c>
      <c r="G10" s="20" t="s">
        <v>103</v>
      </c>
      <c r="H10" s="20" t="s">
        <v>35</v>
      </c>
      <c r="I10" s="21" t="s">
        <v>36</v>
      </c>
      <c r="J10" s="19"/>
      <c r="K10" s="20" t="s">
        <v>85</v>
      </c>
      <c r="L10" s="20" t="s">
        <v>44</v>
      </c>
      <c r="M10" s="21" t="s">
        <v>68</v>
      </c>
      <c r="N10" s="19"/>
      <c r="O10" s="20" t="s">
        <v>121</v>
      </c>
      <c r="P10" s="20" t="s">
        <v>122</v>
      </c>
      <c r="Q10" s="21" t="s">
        <v>156</v>
      </c>
      <c r="R10" s="19"/>
      <c r="S10" s="19" t="str">
        <f>"260,0"</f>
        <v>260,0</v>
      </c>
      <c r="T10" s="19" t="str">
        <f>"295,2300"</f>
        <v>295,2300</v>
      </c>
      <c r="U10" s="8" t="s">
        <v>474</v>
      </c>
    </row>
    <row r="12" spans="1:21" ht="16">
      <c r="A12" s="57" t="s">
        <v>40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</row>
    <row r="13" spans="1:21">
      <c r="A13" s="19">
        <v>1</v>
      </c>
      <c r="B13" s="8" t="s">
        <v>157</v>
      </c>
      <c r="C13" s="8" t="s">
        <v>158</v>
      </c>
      <c r="D13" s="8" t="s">
        <v>159</v>
      </c>
      <c r="E13" s="8" t="s">
        <v>497</v>
      </c>
      <c r="F13" s="8" t="s">
        <v>26</v>
      </c>
      <c r="G13" s="21" t="s">
        <v>27</v>
      </c>
      <c r="H13" s="20" t="s">
        <v>27</v>
      </c>
      <c r="I13" s="20" t="s">
        <v>131</v>
      </c>
      <c r="J13" s="19"/>
      <c r="K13" s="20" t="s">
        <v>36</v>
      </c>
      <c r="L13" s="20" t="s">
        <v>111</v>
      </c>
      <c r="M13" s="21" t="s">
        <v>121</v>
      </c>
      <c r="N13" s="19"/>
      <c r="O13" s="20" t="s">
        <v>131</v>
      </c>
      <c r="P13" s="20" t="s">
        <v>160</v>
      </c>
      <c r="Q13" s="21" t="s">
        <v>161</v>
      </c>
      <c r="R13" s="19"/>
      <c r="S13" s="19" t="str">
        <f>"400,0"</f>
        <v>400,0</v>
      </c>
      <c r="T13" s="19" t="str">
        <f>"269,7600"</f>
        <v>269,7600</v>
      </c>
      <c r="U13" s="8" t="s">
        <v>254</v>
      </c>
    </row>
    <row r="15" spans="1:21" ht="16">
      <c r="A15" s="57" t="s">
        <v>125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21">
      <c r="A16" s="19">
        <v>1</v>
      </c>
      <c r="B16" s="8" t="s">
        <v>162</v>
      </c>
      <c r="C16" s="8" t="s">
        <v>163</v>
      </c>
      <c r="D16" s="8" t="s">
        <v>164</v>
      </c>
      <c r="E16" s="8" t="s">
        <v>498</v>
      </c>
      <c r="F16" s="8" t="s">
        <v>467</v>
      </c>
      <c r="G16" s="20" t="s">
        <v>119</v>
      </c>
      <c r="H16" s="20" t="s">
        <v>165</v>
      </c>
      <c r="I16" s="20" t="s">
        <v>123</v>
      </c>
      <c r="J16" s="19"/>
      <c r="K16" s="20" t="s">
        <v>156</v>
      </c>
      <c r="L16" s="20" t="s">
        <v>166</v>
      </c>
      <c r="M16" s="20" t="s">
        <v>167</v>
      </c>
      <c r="N16" s="19"/>
      <c r="O16" s="20" t="s">
        <v>123</v>
      </c>
      <c r="P16" s="20" t="s">
        <v>168</v>
      </c>
      <c r="Q16" s="20" t="s">
        <v>169</v>
      </c>
      <c r="R16" s="19"/>
      <c r="S16" s="19" t="str">
        <f>"567,5"</f>
        <v>567,5</v>
      </c>
      <c r="T16" s="19" t="str">
        <f>"369,2722"</f>
        <v>369,2722</v>
      </c>
      <c r="U16" s="8" t="s">
        <v>480</v>
      </c>
    </row>
  </sheetData>
  <mergeCells count="17">
    <mergeCell ref="A9:R9"/>
    <mergeCell ref="A12:R12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9" bestFit="1" customWidth="1"/>
    <col min="2" max="2" width="19.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15.5" style="9" bestFit="1" customWidth="1"/>
    <col min="7" max="9" width="5.5" style="17" customWidth="1"/>
    <col min="10" max="10" width="4.83203125" style="17" customWidth="1"/>
    <col min="11" max="11" width="10.5" style="9" bestFit="1" customWidth="1"/>
    <col min="12" max="12" width="8.6640625" style="9" bestFit="1" customWidth="1"/>
    <col min="13" max="13" width="21.1640625" style="9" customWidth="1"/>
  </cols>
  <sheetData>
    <row r="1" spans="1:13" s="2" customFormat="1" ht="29" customHeight="1">
      <c r="A1" s="44" t="s">
        <v>436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40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174</v>
      </c>
      <c r="C6" s="8" t="s">
        <v>175</v>
      </c>
      <c r="D6" s="8" t="s">
        <v>176</v>
      </c>
      <c r="E6" s="8" t="s">
        <v>501</v>
      </c>
      <c r="F6" s="8" t="s">
        <v>26</v>
      </c>
      <c r="G6" s="20" t="s">
        <v>120</v>
      </c>
      <c r="H6" s="21" t="s">
        <v>177</v>
      </c>
      <c r="I6" s="21" t="s">
        <v>177</v>
      </c>
      <c r="J6" s="19"/>
      <c r="K6" s="19" t="str">
        <f>"180,0"</f>
        <v>180,0</v>
      </c>
      <c r="L6" s="19" t="str">
        <f>"120,4830"</f>
        <v>120,4830</v>
      </c>
      <c r="M6" s="8" t="s">
        <v>470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9" bestFit="1" customWidth="1"/>
    <col min="2" max="2" width="19.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15.5" style="9" bestFit="1" customWidth="1"/>
    <col min="7" max="9" width="5.5" style="17" customWidth="1"/>
    <col min="10" max="10" width="4.83203125" style="17" customWidth="1"/>
    <col min="11" max="11" width="10.5" style="9" bestFit="1" customWidth="1"/>
    <col min="12" max="12" width="8.6640625" style="9" bestFit="1" customWidth="1"/>
    <col min="13" max="13" width="21.5" style="9" customWidth="1"/>
  </cols>
  <sheetData>
    <row r="1" spans="1:13" s="2" customFormat="1" ht="29" customHeight="1">
      <c r="A1" s="44" t="s">
        <v>437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40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174</v>
      </c>
      <c r="C6" s="8" t="s">
        <v>175</v>
      </c>
      <c r="D6" s="8" t="s">
        <v>176</v>
      </c>
      <c r="E6" s="8" t="s">
        <v>501</v>
      </c>
      <c r="F6" s="8" t="s">
        <v>26</v>
      </c>
      <c r="G6" s="20" t="s">
        <v>120</v>
      </c>
      <c r="H6" s="21" t="s">
        <v>177</v>
      </c>
      <c r="I6" s="21" t="s">
        <v>177</v>
      </c>
      <c r="J6" s="19"/>
      <c r="K6" s="19" t="str">
        <f>"180,0"</f>
        <v>180,0</v>
      </c>
      <c r="L6" s="19" t="str">
        <f>"120,4830"</f>
        <v>120,4830</v>
      </c>
      <c r="M6" s="8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5"/>
  <sheetViews>
    <sheetView workbookViewId="0">
      <selection activeCell="E16" sqref="E16"/>
    </sheetView>
  </sheetViews>
  <sheetFormatPr baseColWidth="10" defaultColWidth="8.83203125" defaultRowHeight="13"/>
  <cols>
    <col min="1" max="1" width="7.5" style="9" bestFit="1" customWidth="1"/>
    <col min="2" max="2" width="17.3320312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0" style="9" customWidth="1"/>
    <col min="7" max="9" width="5.5" style="17" customWidth="1"/>
    <col min="10" max="10" width="4.83203125" style="17" customWidth="1"/>
    <col min="11" max="11" width="10.5" style="17" bestFit="1" customWidth="1"/>
    <col min="12" max="12" width="8.6640625" style="17" bestFit="1" customWidth="1"/>
    <col min="13" max="13" width="22.1640625" style="9" customWidth="1"/>
  </cols>
  <sheetData>
    <row r="1" spans="1:13" s="2" customFormat="1" ht="29" customHeight="1">
      <c r="A1" s="44" t="s">
        <v>438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47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48</v>
      </c>
      <c r="C6" s="8" t="s">
        <v>49</v>
      </c>
      <c r="D6" s="8" t="s">
        <v>50</v>
      </c>
      <c r="E6" s="8" t="s">
        <v>497</v>
      </c>
      <c r="F6" s="8" t="s">
        <v>51</v>
      </c>
      <c r="G6" s="20" t="s">
        <v>63</v>
      </c>
      <c r="H6" s="20" t="s">
        <v>64</v>
      </c>
      <c r="I6" s="20" t="s">
        <v>81</v>
      </c>
      <c r="J6" s="19"/>
      <c r="K6" s="19" t="str">
        <f>"50,0"</f>
        <v>50,0</v>
      </c>
      <c r="L6" s="19" t="str">
        <f>"59,6650"</f>
        <v>59,6650</v>
      </c>
      <c r="M6" s="8"/>
    </row>
    <row r="8" spans="1:13" ht="16">
      <c r="A8" s="57" t="s">
        <v>30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9">
        <v>1</v>
      </c>
      <c r="B9" s="8" t="s">
        <v>306</v>
      </c>
      <c r="C9" s="8" t="s">
        <v>307</v>
      </c>
      <c r="D9" s="8" t="s">
        <v>308</v>
      </c>
      <c r="E9" s="8" t="s">
        <v>497</v>
      </c>
      <c r="F9" s="8" t="s">
        <v>26</v>
      </c>
      <c r="G9" s="20" t="s">
        <v>132</v>
      </c>
      <c r="H9" s="20" t="s">
        <v>160</v>
      </c>
      <c r="I9" s="19"/>
      <c r="J9" s="19"/>
      <c r="K9" s="19" t="str">
        <f>"160,0"</f>
        <v>160,0</v>
      </c>
      <c r="L9" s="19" t="str">
        <f>"98,1760"</f>
        <v>98,1760</v>
      </c>
      <c r="M9" s="8"/>
    </row>
    <row r="11" spans="1:13" ht="16">
      <c r="A11" s="57" t="s">
        <v>219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19">
        <v>1</v>
      </c>
      <c r="B12" s="8" t="s">
        <v>309</v>
      </c>
      <c r="C12" s="8" t="s">
        <v>310</v>
      </c>
      <c r="D12" s="8" t="s">
        <v>311</v>
      </c>
      <c r="E12" s="8" t="s">
        <v>497</v>
      </c>
      <c r="F12" s="8" t="s">
        <v>26</v>
      </c>
      <c r="G12" s="20" t="s">
        <v>160</v>
      </c>
      <c r="H12" s="20" t="s">
        <v>119</v>
      </c>
      <c r="I12" s="20" t="s">
        <v>213</v>
      </c>
      <c r="J12" s="19"/>
      <c r="K12" s="19" t="str">
        <f>"175,0"</f>
        <v>175,0</v>
      </c>
      <c r="L12" s="19" t="str">
        <f>"102,9875"</f>
        <v>102,9875</v>
      </c>
      <c r="M12" s="8"/>
    </row>
    <row r="14" spans="1:13" ht="16">
      <c r="A14" s="57" t="s">
        <v>22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>
      <c r="A15" s="19">
        <v>1</v>
      </c>
      <c r="B15" s="8" t="s">
        <v>312</v>
      </c>
      <c r="C15" s="8" t="s">
        <v>313</v>
      </c>
      <c r="D15" s="8" t="s">
        <v>314</v>
      </c>
      <c r="E15" s="8" t="s">
        <v>501</v>
      </c>
      <c r="F15" s="8" t="s">
        <v>471</v>
      </c>
      <c r="G15" s="21" t="s">
        <v>160</v>
      </c>
      <c r="H15" s="20" t="s">
        <v>160</v>
      </c>
      <c r="I15" s="21" t="s">
        <v>217</v>
      </c>
      <c r="J15" s="19"/>
      <c r="K15" s="19" t="str">
        <f>"160,0"</f>
        <v>160,0</v>
      </c>
      <c r="L15" s="19" t="str">
        <f>"91,7600"</f>
        <v>91,7600</v>
      </c>
      <c r="M15" s="8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9" bestFit="1" customWidth="1"/>
    <col min="2" max="2" width="17.5" style="9" bestFit="1" customWidth="1"/>
    <col min="3" max="3" width="26" style="9" bestFit="1" customWidth="1"/>
    <col min="4" max="4" width="21.5" style="9" bestFit="1" customWidth="1"/>
    <col min="5" max="5" width="10.5" style="9" bestFit="1" customWidth="1"/>
    <col min="6" max="6" width="21.6640625" style="9" customWidth="1"/>
    <col min="7" max="9" width="5.5" style="17" customWidth="1"/>
    <col min="10" max="10" width="4.83203125" style="17" customWidth="1"/>
    <col min="11" max="11" width="12.33203125" style="9" customWidth="1"/>
    <col min="12" max="12" width="10.33203125" style="9" customWidth="1"/>
    <col min="13" max="13" width="18.33203125" style="9" customWidth="1"/>
  </cols>
  <sheetData>
    <row r="1" spans="1:13" s="2" customFormat="1" ht="29" customHeight="1">
      <c r="A1" s="44" t="s">
        <v>443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73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184</v>
      </c>
      <c r="C6" s="8" t="s">
        <v>185</v>
      </c>
      <c r="D6" s="8" t="s">
        <v>186</v>
      </c>
      <c r="E6" s="8" t="s">
        <v>500</v>
      </c>
      <c r="F6" s="8" t="s">
        <v>51</v>
      </c>
      <c r="G6" s="20" t="s">
        <v>143</v>
      </c>
      <c r="H6" s="20" t="s">
        <v>132</v>
      </c>
      <c r="I6" s="20" t="s">
        <v>187</v>
      </c>
      <c r="J6" s="19"/>
      <c r="K6" s="19" t="str">
        <f>"152,5"</f>
        <v>152,5</v>
      </c>
      <c r="L6" s="19" t="str">
        <f>"111,2183"</f>
        <v>111,2183</v>
      </c>
      <c r="M6" s="8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workbookViewId="0">
      <selection activeCell="E22" sqref="E22"/>
    </sheetView>
  </sheetViews>
  <sheetFormatPr baseColWidth="10" defaultColWidth="8.83203125" defaultRowHeight="13"/>
  <cols>
    <col min="1" max="1" width="7.5" style="9" bestFit="1" customWidth="1"/>
    <col min="2" max="2" width="18.664062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1.1640625" style="9" bestFit="1" customWidth="1"/>
    <col min="7" max="10" width="5.5" style="17" customWidth="1"/>
    <col min="11" max="11" width="10.5" style="17" bestFit="1" customWidth="1"/>
    <col min="12" max="12" width="12.5" style="17" customWidth="1"/>
    <col min="13" max="13" width="20.6640625" style="9" customWidth="1"/>
  </cols>
  <sheetData>
    <row r="1" spans="1:13" s="2" customFormat="1" ht="29" customHeight="1">
      <c r="A1" s="44" t="s">
        <v>429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55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407</v>
      </c>
      <c r="C6" s="8" t="s">
        <v>408</v>
      </c>
      <c r="D6" s="8" t="s">
        <v>409</v>
      </c>
      <c r="E6" s="8" t="s">
        <v>497</v>
      </c>
      <c r="F6" s="8" t="s">
        <v>428</v>
      </c>
      <c r="G6" s="20" t="s">
        <v>121</v>
      </c>
      <c r="H6" s="20" t="s">
        <v>156</v>
      </c>
      <c r="I6" s="20" t="s">
        <v>141</v>
      </c>
      <c r="J6" s="21" t="s">
        <v>29</v>
      </c>
      <c r="K6" s="19" t="str">
        <f>"127,5"</f>
        <v>127,5</v>
      </c>
      <c r="L6" s="19" t="str">
        <f>"106,1884"</f>
        <v>106,1884</v>
      </c>
      <c r="M6" s="8" t="s">
        <v>427</v>
      </c>
    </row>
    <row r="8" spans="1:13" ht="16">
      <c r="A8" s="57" t="s">
        <v>37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9">
        <v>1</v>
      </c>
      <c r="B9" s="8" t="s">
        <v>410</v>
      </c>
      <c r="C9" s="8" t="s">
        <v>411</v>
      </c>
      <c r="D9" s="8" t="s">
        <v>412</v>
      </c>
      <c r="E9" s="8" t="s">
        <v>501</v>
      </c>
      <c r="F9" s="8" t="s">
        <v>428</v>
      </c>
      <c r="G9" s="20" t="s">
        <v>45</v>
      </c>
      <c r="H9" s="20" t="s">
        <v>91</v>
      </c>
      <c r="I9" s="21" t="s">
        <v>413</v>
      </c>
      <c r="J9" s="19"/>
      <c r="K9" s="19" t="str">
        <f>"72,5"</f>
        <v>72,5</v>
      </c>
      <c r="L9" s="19" t="str">
        <f>"55,6954"</f>
        <v>55,6954</v>
      </c>
      <c r="M9" s="8" t="s">
        <v>427</v>
      </c>
    </row>
    <row r="11" spans="1:13" ht="16">
      <c r="A11" s="57" t="s">
        <v>73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19">
        <v>1</v>
      </c>
      <c r="B12" s="8" t="s">
        <v>414</v>
      </c>
      <c r="C12" s="8" t="s">
        <v>415</v>
      </c>
      <c r="D12" s="8" t="s">
        <v>416</v>
      </c>
      <c r="E12" s="8" t="s">
        <v>497</v>
      </c>
      <c r="F12" s="8" t="s">
        <v>26</v>
      </c>
      <c r="G12" s="20" t="s">
        <v>132</v>
      </c>
      <c r="H12" s="20" t="s">
        <v>144</v>
      </c>
      <c r="I12" s="20" t="s">
        <v>193</v>
      </c>
      <c r="J12" s="21" t="s">
        <v>160</v>
      </c>
      <c r="K12" s="19" t="str">
        <f>"157,5"</f>
        <v>157,5</v>
      </c>
      <c r="L12" s="19" t="str">
        <f>"112,2187"</f>
        <v>112,2187</v>
      </c>
      <c r="M12" s="8"/>
    </row>
    <row r="14" spans="1:13" ht="16">
      <c r="A14" s="57" t="s">
        <v>125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>
      <c r="A15" s="19">
        <v>1</v>
      </c>
      <c r="B15" s="8" t="s">
        <v>417</v>
      </c>
      <c r="C15" s="8" t="s">
        <v>418</v>
      </c>
      <c r="D15" s="8" t="s">
        <v>419</v>
      </c>
      <c r="E15" s="8" t="s">
        <v>502</v>
      </c>
      <c r="F15" s="8" t="s">
        <v>428</v>
      </c>
      <c r="G15" s="20" t="s">
        <v>36</v>
      </c>
      <c r="H15" s="21" t="s">
        <v>111</v>
      </c>
      <c r="I15" s="21" t="s">
        <v>139</v>
      </c>
      <c r="J15" s="19"/>
      <c r="K15" s="19" t="str">
        <f>"90,0"</f>
        <v>90,0</v>
      </c>
      <c r="L15" s="19" t="str">
        <f>"64,1525"</f>
        <v>64,1525</v>
      </c>
      <c r="M15" s="8" t="s">
        <v>427</v>
      </c>
    </row>
    <row r="17" spans="1:13" ht="16">
      <c r="A17" s="57" t="s">
        <v>30</v>
      </c>
      <c r="B17" s="57"/>
      <c r="C17" s="57"/>
      <c r="D17" s="57"/>
      <c r="E17" s="57"/>
      <c r="F17" s="57"/>
      <c r="G17" s="57"/>
      <c r="H17" s="57"/>
      <c r="I17" s="57"/>
      <c r="J17" s="57"/>
    </row>
    <row r="18" spans="1:13">
      <c r="A18" s="19">
        <v>1</v>
      </c>
      <c r="B18" s="8" t="s">
        <v>420</v>
      </c>
      <c r="C18" s="8" t="s">
        <v>421</v>
      </c>
      <c r="D18" s="8" t="s">
        <v>138</v>
      </c>
      <c r="E18" s="8" t="s">
        <v>501</v>
      </c>
      <c r="F18" s="8" t="s">
        <v>422</v>
      </c>
      <c r="G18" s="20" t="s">
        <v>36</v>
      </c>
      <c r="H18" s="20" t="s">
        <v>110</v>
      </c>
      <c r="I18" s="20" t="s">
        <v>139</v>
      </c>
      <c r="J18" s="19"/>
      <c r="K18" s="19" t="str">
        <f>"105,0"</f>
        <v>105,0</v>
      </c>
      <c r="L18" s="19" t="str">
        <f>"63,7980"</f>
        <v>63,7980</v>
      </c>
      <c r="M18" s="8"/>
    </row>
    <row r="20" spans="1:13" ht="16">
      <c r="A20" s="57" t="s">
        <v>423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3">
      <c r="A21" s="19">
        <v>1</v>
      </c>
      <c r="B21" s="8" t="s">
        <v>424</v>
      </c>
      <c r="C21" s="8" t="s">
        <v>425</v>
      </c>
      <c r="D21" s="8" t="s">
        <v>426</v>
      </c>
      <c r="E21" s="8" t="s">
        <v>501</v>
      </c>
      <c r="F21" s="8" t="s">
        <v>422</v>
      </c>
      <c r="G21" s="20" t="s">
        <v>111</v>
      </c>
      <c r="H21" s="20" t="s">
        <v>139</v>
      </c>
      <c r="I21" s="20" t="s">
        <v>142</v>
      </c>
      <c r="J21" s="19"/>
      <c r="K21" s="19" t="str">
        <f>"107,5"</f>
        <v>107,5</v>
      </c>
      <c r="L21" s="19" t="str">
        <f>"58,4115"</f>
        <v>58,4115</v>
      </c>
      <c r="M21" s="8" t="s">
        <v>427</v>
      </c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3"/>
  <sheetViews>
    <sheetView topLeftCell="A16" workbookViewId="0">
      <selection activeCell="E47" sqref="E47"/>
    </sheetView>
  </sheetViews>
  <sheetFormatPr baseColWidth="10" defaultColWidth="8.83203125" defaultRowHeight="13"/>
  <cols>
    <col min="1" max="1" width="7.5" style="9" bestFit="1" customWidth="1"/>
    <col min="2" max="2" width="19.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1.83203125" style="9" customWidth="1"/>
    <col min="7" max="9" width="5.5" style="17" customWidth="1"/>
    <col min="10" max="10" width="4.83203125" style="17" customWidth="1"/>
    <col min="11" max="11" width="10.5" style="18" bestFit="1" customWidth="1"/>
    <col min="12" max="12" width="11.5" style="17" customWidth="1"/>
    <col min="13" max="13" width="22.83203125" style="9" customWidth="1"/>
  </cols>
  <sheetData>
    <row r="1" spans="1:13" s="2" customFormat="1" ht="29" customHeight="1">
      <c r="A1" s="44" t="s">
        <v>434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114</v>
      </c>
      <c r="H3" s="56"/>
      <c r="I3" s="56"/>
      <c r="J3" s="56"/>
      <c r="K3" s="60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61"/>
      <c r="L4" s="39"/>
      <c r="M4" s="41"/>
    </row>
    <row r="5" spans="1:13" s="3" customFormat="1" ht="16">
      <c r="A5" s="42" t="s">
        <v>47</v>
      </c>
      <c r="B5" s="42"/>
      <c r="C5" s="43"/>
      <c r="D5" s="43"/>
      <c r="E5" s="43"/>
      <c r="F5" s="43"/>
      <c r="G5" s="43"/>
      <c r="H5" s="43"/>
      <c r="I5" s="43"/>
      <c r="J5" s="43"/>
      <c r="K5" s="7"/>
      <c r="L5" s="6"/>
      <c r="M5" s="5"/>
    </row>
    <row r="6" spans="1:13">
      <c r="A6" s="24">
        <v>1</v>
      </c>
      <c r="B6" s="22" t="s">
        <v>319</v>
      </c>
      <c r="C6" s="22" t="s">
        <v>320</v>
      </c>
      <c r="D6" s="22" t="s">
        <v>321</v>
      </c>
      <c r="E6" s="22" t="s">
        <v>497</v>
      </c>
      <c r="F6" s="22" t="s">
        <v>267</v>
      </c>
      <c r="G6" s="25" t="s">
        <v>322</v>
      </c>
      <c r="H6" s="25" t="s">
        <v>152</v>
      </c>
      <c r="I6" s="25" t="s">
        <v>111</v>
      </c>
      <c r="J6" s="24"/>
      <c r="K6" s="34" t="str">
        <f>"100,0"</f>
        <v>100,0</v>
      </c>
      <c r="L6" s="24" t="str">
        <f>"121,7600"</f>
        <v>121,7600</v>
      </c>
      <c r="M6" s="22" t="s">
        <v>464</v>
      </c>
    </row>
    <row r="7" spans="1:13">
      <c r="A7" s="26">
        <v>2</v>
      </c>
      <c r="B7" s="23" t="s">
        <v>48</v>
      </c>
      <c r="C7" s="23" t="s">
        <v>49</v>
      </c>
      <c r="D7" s="23" t="s">
        <v>50</v>
      </c>
      <c r="E7" s="23" t="s">
        <v>497</v>
      </c>
      <c r="F7" s="23" t="s">
        <v>51</v>
      </c>
      <c r="G7" s="27" t="s">
        <v>90</v>
      </c>
      <c r="H7" s="27" t="s">
        <v>322</v>
      </c>
      <c r="I7" s="27" t="s">
        <v>36</v>
      </c>
      <c r="J7" s="26"/>
      <c r="K7" s="35" t="str">
        <f>"90,0"</f>
        <v>90,0</v>
      </c>
      <c r="L7" s="26" t="str">
        <f>"107,3970"</f>
        <v>107,3970</v>
      </c>
      <c r="M7" s="23"/>
    </row>
    <row r="9" spans="1:13" ht="16">
      <c r="A9" s="57" t="s">
        <v>55</v>
      </c>
      <c r="B9" s="57"/>
      <c r="C9" s="57"/>
      <c r="D9" s="57"/>
      <c r="E9" s="57"/>
      <c r="F9" s="57"/>
      <c r="G9" s="57"/>
      <c r="H9" s="57"/>
      <c r="I9" s="57"/>
      <c r="J9" s="57"/>
    </row>
    <row r="10" spans="1:13">
      <c r="A10" s="19">
        <v>1</v>
      </c>
      <c r="B10" s="8" t="s">
        <v>323</v>
      </c>
      <c r="C10" s="8" t="s">
        <v>324</v>
      </c>
      <c r="D10" s="8" t="s">
        <v>325</v>
      </c>
      <c r="E10" s="8" t="s">
        <v>497</v>
      </c>
      <c r="F10" s="8" t="s">
        <v>267</v>
      </c>
      <c r="G10" s="21" t="s">
        <v>322</v>
      </c>
      <c r="H10" s="20" t="s">
        <v>322</v>
      </c>
      <c r="I10" s="20" t="s">
        <v>36</v>
      </c>
      <c r="J10" s="19"/>
      <c r="K10" s="36" t="str">
        <f>"90,0"</f>
        <v>90,0</v>
      </c>
      <c r="L10" s="19" t="str">
        <f>"103,4460"</f>
        <v>103,4460</v>
      </c>
      <c r="M10" s="8" t="s">
        <v>462</v>
      </c>
    </row>
    <row r="12" spans="1:13" ht="16">
      <c r="A12" s="57" t="s">
        <v>73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3">
      <c r="A13" s="19">
        <v>1</v>
      </c>
      <c r="B13" s="8" t="s">
        <v>326</v>
      </c>
      <c r="C13" s="8" t="s">
        <v>327</v>
      </c>
      <c r="D13" s="8" t="s">
        <v>328</v>
      </c>
      <c r="E13" s="8" t="s">
        <v>502</v>
      </c>
      <c r="F13" s="8" t="s">
        <v>26</v>
      </c>
      <c r="G13" s="20" t="s">
        <v>322</v>
      </c>
      <c r="H13" s="20" t="s">
        <v>36</v>
      </c>
      <c r="I13" s="21" t="s">
        <v>315</v>
      </c>
      <c r="J13" s="19"/>
      <c r="K13" s="36" t="str">
        <f>"90,0"</f>
        <v>90,0</v>
      </c>
      <c r="L13" s="19" t="str">
        <f>"108,5748"</f>
        <v>108,5748</v>
      </c>
      <c r="M13" s="8" t="s">
        <v>254</v>
      </c>
    </row>
    <row r="15" spans="1:13" ht="16">
      <c r="A15" s="57" t="s">
        <v>329</v>
      </c>
      <c r="B15" s="57"/>
      <c r="C15" s="57"/>
      <c r="D15" s="57"/>
      <c r="E15" s="57"/>
      <c r="F15" s="57"/>
      <c r="G15" s="57"/>
      <c r="H15" s="57"/>
      <c r="I15" s="57"/>
      <c r="J15" s="57"/>
    </row>
    <row r="16" spans="1:13">
      <c r="A16" s="24">
        <v>1</v>
      </c>
      <c r="B16" s="22" t="s">
        <v>330</v>
      </c>
      <c r="C16" s="22" t="s">
        <v>331</v>
      </c>
      <c r="D16" s="22" t="s">
        <v>332</v>
      </c>
      <c r="E16" s="22" t="s">
        <v>497</v>
      </c>
      <c r="F16" s="22" t="s">
        <v>26</v>
      </c>
      <c r="G16" s="25" t="s">
        <v>27</v>
      </c>
      <c r="H16" s="25" t="s">
        <v>29</v>
      </c>
      <c r="I16" s="25" t="s">
        <v>333</v>
      </c>
      <c r="J16" s="24"/>
      <c r="K16" s="34" t="str">
        <f>"142,5"</f>
        <v>142,5</v>
      </c>
      <c r="L16" s="24" t="str">
        <f>"122,1510"</f>
        <v>122,1510</v>
      </c>
      <c r="M16" s="22" t="s">
        <v>449</v>
      </c>
    </row>
    <row r="17" spans="1:13">
      <c r="A17" s="26">
        <v>2</v>
      </c>
      <c r="B17" s="23" t="s">
        <v>334</v>
      </c>
      <c r="C17" s="23" t="s">
        <v>335</v>
      </c>
      <c r="D17" s="23" t="s">
        <v>336</v>
      </c>
      <c r="E17" s="23" t="s">
        <v>497</v>
      </c>
      <c r="F17" s="23" t="s">
        <v>267</v>
      </c>
      <c r="G17" s="27" t="s">
        <v>121</v>
      </c>
      <c r="H17" s="27" t="s">
        <v>156</v>
      </c>
      <c r="I17" s="27" t="s">
        <v>166</v>
      </c>
      <c r="J17" s="26"/>
      <c r="K17" s="35" t="str">
        <f>"130,0"</f>
        <v>130,0</v>
      </c>
      <c r="L17" s="26" t="str">
        <f>"107,5490"</f>
        <v>107,5490</v>
      </c>
      <c r="M17" s="23" t="s">
        <v>462</v>
      </c>
    </row>
    <row r="19" spans="1:13" ht="16">
      <c r="A19" s="57" t="s">
        <v>55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3">
      <c r="A20" s="19">
        <v>1</v>
      </c>
      <c r="B20" s="8" t="s">
        <v>337</v>
      </c>
      <c r="C20" s="8" t="s">
        <v>338</v>
      </c>
      <c r="D20" s="8" t="s">
        <v>339</v>
      </c>
      <c r="E20" s="8" t="s">
        <v>496</v>
      </c>
      <c r="F20" s="8" t="s">
        <v>26</v>
      </c>
      <c r="G20" s="20" t="s">
        <v>29</v>
      </c>
      <c r="H20" s="20" t="s">
        <v>143</v>
      </c>
      <c r="I20" s="20" t="s">
        <v>187</v>
      </c>
      <c r="J20" s="19"/>
      <c r="K20" s="36" t="str">
        <f>"152,5"</f>
        <v>152,5</v>
      </c>
      <c r="L20" s="19" t="str">
        <f>"133,3612"</f>
        <v>133,3612</v>
      </c>
      <c r="M20" s="8"/>
    </row>
    <row r="22" spans="1:13" ht="16">
      <c r="A22" s="57" t="s">
        <v>37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3">
      <c r="A23" s="19">
        <v>1</v>
      </c>
      <c r="B23" s="8" t="s">
        <v>340</v>
      </c>
      <c r="C23" s="8" t="s">
        <v>341</v>
      </c>
      <c r="D23" s="8" t="s">
        <v>342</v>
      </c>
      <c r="E23" s="8" t="s">
        <v>500</v>
      </c>
      <c r="F23" s="8" t="s">
        <v>26</v>
      </c>
      <c r="G23" s="21" t="s">
        <v>144</v>
      </c>
      <c r="H23" s="21" t="s">
        <v>144</v>
      </c>
      <c r="I23" s="20" t="s">
        <v>119</v>
      </c>
      <c r="J23" s="19"/>
      <c r="K23" s="36" t="str">
        <f>"170,0"</f>
        <v>170,0</v>
      </c>
      <c r="L23" s="19" t="str">
        <f>"132,6680"</f>
        <v>132,6680</v>
      </c>
      <c r="M23" s="8" t="s">
        <v>465</v>
      </c>
    </row>
    <row r="25" spans="1:13" ht="16">
      <c r="A25" s="57" t="s">
        <v>73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3">
      <c r="A26" s="24">
        <v>1</v>
      </c>
      <c r="B26" s="22" t="s">
        <v>343</v>
      </c>
      <c r="C26" s="22" t="s">
        <v>344</v>
      </c>
      <c r="D26" s="22" t="s">
        <v>345</v>
      </c>
      <c r="E26" s="22" t="s">
        <v>500</v>
      </c>
      <c r="F26" s="22" t="s">
        <v>267</v>
      </c>
      <c r="G26" s="25" t="s">
        <v>119</v>
      </c>
      <c r="H26" s="25" t="s">
        <v>161</v>
      </c>
      <c r="I26" s="29" t="s">
        <v>346</v>
      </c>
      <c r="J26" s="24"/>
      <c r="K26" s="34" t="str">
        <f>"182,5"</f>
        <v>182,5</v>
      </c>
      <c r="L26" s="24" t="str">
        <f>"133,3528"</f>
        <v>133,3528</v>
      </c>
      <c r="M26" s="22"/>
    </row>
    <row r="27" spans="1:13">
      <c r="A27" s="31">
        <v>1</v>
      </c>
      <c r="B27" s="30" t="s">
        <v>78</v>
      </c>
      <c r="C27" s="30" t="s">
        <v>79</v>
      </c>
      <c r="D27" s="30" t="s">
        <v>80</v>
      </c>
      <c r="E27" s="30" t="s">
        <v>497</v>
      </c>
      <c r="F27" s="30" t="s">
        <v>468</v>
      </c>
      <c r="G27" s="33" t="s">
        <v>322</v>
      </c>
      <c r="H27" s="33" t="s">
        <v>121</v>
      </c>
      <c r="I27" s="32" t="s">
        <v>121</v>
      </c>
      <c r="J27" s="31"/>
      <c r="K27" s="37" t="str">
        <f>"110,0"</f>
        <v>110,0</v>
      </c>
      <c r="L27" s="31" t="str">
        <f>"81,0370"</f>
        <v>81,0370</v>
      </c>
      <c r="M27" s="30"/>
    </row>
    <row r="28" spans="1:13">
      <c r="A28" s="26" t="s">
        <v>302</v>
      </c>
      <c r="B28" s="23" t="s">
        <v>347</v>
      </c>
      <c r="C28" s="23" t="s">
        <v>348</v>
      </c>
      <c r="D28" s="23" t="s">
        <v>349</v>
      </c>
      <c r="E28" s="23" t="s">
        <v>497</v>
      </c>
      <c r="F28" s="23" t="s">
        <v>267</v>
      </c>
      <c r="G28" s="28" t="s">
        <v>161</v>
      </c>
      <c r="H28" s="28" t="s">
        <v>161</v>
      </c>
      <c r="I28" s="28" t="s">
        <v>161</v>
      </c>
      <c r="J28" s="26"/>
      <c r="K28" s="35">
        <v>0</v>
      </c>
      <c r="L28" s="26" t="str">
        <f>"0,0000"</f>
        <v>0,0000</v>
      </c>
      <c r="M28" s="23"/>
    </row>
    <row r="30" spans="1:13" ht="16">
      <c r="A30" s="57" t="s">
        <v>40</v>
      </c>
      <c r="B30" s="57"/>
      <c r="C30" s="57"/>
      <c r="D30" s="57"/>
      <c r="E30" s="57"/>
      <c r="F30" s="57"/>
      <c r="G30" s="57"/>
      <c r="H30" s="57"/>
      <c r="I30" s="57"/>
      <c r="J30" s="57"/>
    </row>
    <row r="31" spans="1:13">
      <c r="A31" s="24">
        <v>1</v>
      </c>
      <c r="B31" s="22" t="s">
        <v>350</v>
      </c>
      <c r="C31" s="22" t="s">
        <v>351</v>
      </c>
      <c r="D31" s="22" t="s">
        <v>196</v>
      </c>
      <c r="E31" s="22" t="s">
        <v>496</v>
      </c>
      <c r="F31" s="22" t="s">
        <v>352</v>
      </c>
      <c r="G31" s="25" t="s">
        <v>160</v>
      </c>
      <c r="H31" s="25" t="s">
        <v>120</v>
      </c>
      <c r="I31" s="25" t="s">
        <v>165</v>
      </c>
      <c r="J31" s="24"/>
      <c r="K31" s="34" t="str">
        <f>"190,0"</f>
        <v>190,0</v>
      </c>
      <c r="L31" s="24" t="str">
        <f>"130,5490"</f>
        <v>130,5490</v>
      </c>
      <c r="M31" s="22"/>
    </row>
    <row r="32" spans="1:13">
      <c r="A32" s="31">
        <v>1</v>
      </c>
      <c r="B32" s="30" t="s">
        <v>353</v>
      </c>
      <c r="C32" s="30" t="s">
        <v>354</v>
      </c>
      <c r="D32" s="30" t="s">
        <v>355</v>
      </c>
      <c r="E32" s="30" t="s">
        <v>497</v>
      </c>
      <c r="F32" s="30" t="s">
        <v>26</v>
      </c>
      <c r="G32" s="32" t="s">
        <v>165</v>
      </c>
      <c r="H32" s="32" t="s">
        <v>232</v>
      </c>
      <c r="I32" s="32" t="s">
        <v>124</v>
      </c>
      <c r="J32" s="31"/>
      <c r="K32" s="37" t="str">
        <f>"210,0"</f>
        <v>210,0</v>
      </c>
      <c r="L32" s="31" t="str">
        <f>"140,8890"</f>
        <v>140,8890</v>
      </c>
      <c r="M32" s="30"/>
    </row>
    <row r="33" spans="1:13">
      <c r="A33" s="26">
        <v>2</v>
      </c>
      <c r="B33" s="23" t="s">
        <v>356</v>
      </c>
      <c r="C33" s="23" t="s">
        <v>357</v>
      </c>
      <c r="D33" s="23" t="s">
        <v>358</v>
      </c>
      <c r="E33" s="23" t="s">
        <v>497</v>
      </c>
      <c r="F33" s="23" t="s">
        <v>26</v>
      </c>
      <c r="G33" s="27" t="s">
        <v>217</v>
      </c>
      <c r="H33" s="28" t="s">
        <v>120</v>
      </c>
      <c r="I33" s="28" t="s">
        <v>165</v>
      </c>
      <c r="J33" s="26"/>
      <c r="K33" s="35" t="str">
        <f>"165,0"</f>
        <v>165,0</v>
      </c>
      <c r="L33" s="26" t="str">
        <f>"113,8335"</f>
        <v>113,8335</v>
      </c>
      <c r="M33" s="23"/>
    </row>
    <row r="35" spans="1:13" ht="16">
      <c r="A35" s="57" t="s">
        <v>125</v>
      </c>
      <c r="B35" s="57"/>
      <c r="C35" s="57"/>
      <c r="D35" s="57"/>
      <c r="E35" s="57"/>
      <c r="F35" s="57"/>
      <c r="G35" s="57"/>
      <c r="H35" s="57"/>
      <c r="I35" s="57"/>
      <c r="J35" s="57"/>
    </row>
    <row r="36" spans="1:13">
      <c r="A36" s="24">
        <v>1</v>
      </c>
      <c r="B36" s="22" t="s">
        <v>359</v>
      </c>
      <c r="C36" s="22" t="s">
        <v>360</v>
      </c>
      <c r="D36" s="22" t="s">
        <v>361</v>
      </c>
      <c r="E36" s="22" t="s">
        <v>498</v>
      </c>
      <c r="F36" s="22" t="s">
        <v>267</v>
      </c>
      <c r="G36" s="25" t="s">
        <v>166</v>
      </c>
      <c r="H36" s="25" t="s">
        <v>131</v>
      </c>
      <c r="I36" s="29" t="s">
        <v>333</v>
      </c>
      <c r="J36" s="24"/>
      <c r="K36" s="34" t="str">
        <f>"140,0"</f>
        <v>140,0</v>
      </c>
      <c r="L36" s="24" t="str">
        <f>"93,5900"</f>
        <v>93,5900</v>
      </c>
      <c r="M36" s="22" t="s">
        <v>462</v>
      </c>
    </row>
    <row r="37" spans="1:13">
      <c r="A37" s="26">
        <v>1</v>
      </c>
      <c r="B37" s="23" t="s">
        <v>362</v>
      </c>
      <c r="C37" s="23" t="s">
        <v>363</v>
      </c>
      <c r="D37" s="23" t="s">
        <v>364</v>
      </c>
      <c r="E37" s="23" t="s">
        <v>497</v>
      </c>
      <c r="F37" s="23" t="s">
        <v>267</v>
      </c>
      <c r="G37" s="27" t="s">
        <v>124</v>
      </c>
      <c r="H37" s="28" t="s">
        <v>169</v>
      </c>
      <c r="I37" s="27" t="s">
        <v>169</v>
      </c>
      <c r="J37" s="26"/>
      <c r="K37" s="35" t="str">
        <f>"230,0"</f>
        <v>230,0</v>
      </c>
      <c r="L37" s="26" t="str">
        <f>"147,7520"</f>
        <v>147,7520</v>
      </c>
      <c r="M37" s="23"/>
    </row>
    <row r="39" spans="1:13" ht="16">
      <c r="A39" s="57" t="s">
        <v>30</v>
      </c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24">
        <v>1</v>
      </c>
      <c r="B40" s="22" t="s">
        <v>365</v>
      </c>
      <c r="C40" s="22" t="s">
        <v>366</v>
      </c>
      <c r="D40" s="22" t="s">
        <v>367</v>
      </c>
      <c r="E40" s="22" t="s">
        <v>497</v>
      </c>
      <c r="F40" s="22" t="s">
        <v>267</v>
      </c>
      <c r="G40" s="25" t="s">
        <v>129</v>
      </c>
      <c r="H40" s="25" t="s">
        <v>130</v>
      </c>
      <c r="I40" s="25" t="s">
        <v>300</v>
      </c>
      <c r="J40" s="24"/>
      <c r="K40" s="34" t="str">
        <f>"225,0"</f>
        <v>225,0</v>
      </c>
      <c r="L40" s="24" t="str">
        <f>"139,7475"</f>
        <v>139,7475</v>
      </c>
      <c r="M40" s="22"/>
    </row>
    <row r="41" spans="1:13">
      <c r="A41" s="26">
        <v>1</v>
      </c>
      <c r="B41" s="23" t="s">
        <v>365</v>
      </c>
      <c r="C41" s="23" t="s">
        <v>368</v>
      </c>
      <c r="D41" s="23" t="s">
        <v>367</v>
      </c>
      <c r="E41" s="23" t="s">
        <v>501</v>
      </c>
      <c r="F41" s="23" t="s">
        <v>267</v>
      </c>
      <c r="G41" s="27" t="s">
        <v>129</v>
      </c>
      <c r="H41" s="27" t="s">
        <v>130</v>
      </c>
      <c r="I41" s="27" t="s">
        <v>300</v>
      </c>
      <c r="J41" s="26"/>
      <c r="K41" s="35" t="str">
        <f>"225,0"</f>
        <v>225,0</v>
      </c>
      <c r="L41" s="26" t="str">
        <f>"148,1324"</f>
        <v>148,1324</v>
      </c>
      <c r="M41" s="23"/>
    </row>
    <row r="43" spans="1:13" ht="16">
      <c r="A43" s="57" t="s">
        <v>219</v>
      </c>
      <c r="B43" s="57"/>
      <c r="C43" s="57"/>
      <c r="D43" s="57"/>
      <c r="E43" s="57"/>
      <c r="F43" s="57"/>
      <c r="G43" s="57"/>
      <c r="H43" s="57"/>
      <c r="I43" s="57"/>
      <c r="J43" s="57"/>
    </row>
    <row r="44" spans="1:13">
      <c r="A44" s="24">
        <v>1</v>
      </c>
      <c r="B44" s="22" t="s">
        <v>369</v>
      </c>
      <c r="C44" s="22" t="s">
        <v>370</v>
      </c>
      <c r="D44" s="22" t="s">
        <v>371</v>
      </c>
      <c r="E44" s="22" t="s">
        <v>500</v>
      </c>
      <c r="F44" s="22" t="s">
        <v>267</v>
      </c>
      <c r="G44" s="25" t="s">
        <v>165</v>
      </c>
      <c r="H44" s="29" t="s">
        <v>123</v>
      </c>
      <c r="I44" s="29" t="s">
        <v>123</v>
      </c>
      <c r="J44" s="24"/>
      <c r="K44" s="34" t="str">
        <f>"190,0"</f>
        <v>190,0</v>
      </c>
      <c r="L44" s="24" t="str">
        <f>"112,5560"</f>
        <v>112,5560</v>
      </c>
      <c r="M44" s="22"/>
    </row>
    <row r="45" spans="1:13">
      <c r="A45" s="31">
        <v>1</v>
      </c>
      <c r="B45" s="30" t="s">
        <v>372</v>
      </c>
      <c r="C45" s="30" t="s">
        <v>373</v>
      </c>
      <c r="D45" s="30" t="s">
        <v>374</v>
      </c>
      <c r="E45" s="30" t="s">
        <v>497</v>
      </c>
      <c r="F45" s="30" t="s">
        <v>375</v>
      </c>
      <c r="G45" s="32" t="s">
        <v>376</v>
      </c>
      <c r="H45" s="33" t="s">
        <v>377</v>
      </c>
      <c r="I45" s="33" t="s">
        <v>377</v>
      </c>
      <c r="J45" s="31"/>
      <c r="K45" s="37" t="str">
        <f>"282,5"</f>
        <v>282,5</v>
      </c>
      <c r="L45" s="31" t="str">
        <f>"167,1270"</f>
        <v>167,1270</v>
      </c>
      <c r="M45" s="30" t="s">
        <v>466</v>
      </c>
    </row>
    <row r="46" spans="1:13">
      <c r="A46" s="26">
        <v>2</v>
      </c>
      <c r="B46" s="23" t="s">
        <v>378</v>
      </c>
      <c r="C46" s="23" t="s">
        <v>379</v>
      </c>
      <c r="D46" s="23" t="s">
        <v>380</v>
      </c>
      <c r="E46" s="23" t="s">
        <v>497</v>
      </c>
      <c r="F46" s="23" t="s">
        <v>467</v>
      </c>
      <c r="G46" s="27" t="s">
        <v>169</v>
      </c>
      <c r="H46" s="27" t="s">
        <v>381</v>
      </c>
      <c r="I46" s="28" t="s">
        <v>382</v>
      </c>
      <c r="J46" s="26"/>
      <c r="K46" s="35" t="str">
        <f>"260,0"</f>
        <v>260,0</v>
      </c>
      <c r="L46" s="26" t="str">
        <f>"157,3000"</f>
        <v>157,3000</v>
      </c>
      <c r="M46" s="23"/>
    </row>
    <row r="48" spans="1:13" ht="16">
      <c r="F48" s="10"/>
      <c r="G48" s="9"/>
    </row>
    <row r="49" spans="2:7">
      <c r="G49" s="9"/>
    </row>
    <row r="50" spans="2:7" ht="18">
      <c r="B50" s="11" t="s">
        <v>12</v>
      </c>
      <c r="C50" s="11"/>
    </row>
    <row r="51" spans="2:7" ht="16">
      <c r="B51" s="12" t="s">
        <v>97</v>
      </c>
      <c r="C51" s="12"/>
    </row>
    <row r="52" spans="2:7" ht="14">
      <c r="B52" s="13"/>
      <c r="C52" s="14" t="s">
        <v>14</v>
      </c>
    </row>
    <row r="53" spans="2:7" ht="14">
      <c r="B53" s="15" t="s">
        <v>15</v>
      </c>
      <c r="C53" s="15" t="s">
        <v>16</v>
      </c>
      <c r="D53" s="15" t="s">
        <v>463</v>
      </c>
      <c r="E53" s="15" t="s">
        <v>17</v>
      </c>
      <c r="F53" s="15" t="s">
        <v>99</v>
      </c>
    </row>
    <row r="54" spans="2:7">
      <c r="B54" s="9" t="s">
        <v>330</v>
      </c>
      <c r="C54" s="9" t="s">
        <v>14</v>
      </c>
      <c r="D54" s="17" t="s">
        <v>383</v>
      </c>
      <c r="E54" s="18">
        <v>142.5</v>
      </c>
      <c r="F54" s="16">
        <v>122.151003777981</v>
      </c>
    </row>
    <row r="55" spans="2:7">
      <c r="B55" s="9" t="s">
        <v>319</v>
      </c>
      <c r="C55" s="9" t="s">
        <v>14</v>
      </c>
      <c r="D55" s="17">
        <v>56</v>
      </c>
      <c r="E55" s="18">
        <v>100</v>
      </c>
      <c r="F55" s="16">
        <v>121.75999879837001</v>
      </c>
    </row>
    <row r="56" spans="2:7">
      <c r="B56" s="9" t="s">
        <v>334</v>
      </c>
      <c r="C56" s="9" t="s">
        <v>14</v>
      </c>
      <c r="D56" s="17" t="s">
        <v>383</v>
      </c>
      <c r="E56" s="18">
        <v>130</v>
      </c>
      <c r="F56" s="16">
        <v>107.549001574516</v>
      </c>
    </row>
    <row r="58" spans="2:7" ht="16">
      <c r="B58" s="12" t="s">
        <v>13</v>
      </c>
      <c r="C58" s="12"/>
    </row>
    <row r="59" spans="2:7" ht="14">
      <c r="B59" s="13"/>
      <c r="C59" s="14" t="s">
        <v>14</v>
      </c>
    </row>
    <row r="60" spans="2:7" ht="14">
      <c r="B60" s="15" t="s">
        <v>15</v>
      </c>
      <c r="C60" s="15" t="s">
        <v>16</v>
      </c>
      <c r="D60" s="15" t="s">
        <v>463</v>
      </c>
      <c r="E60" s="15" t="s">
        <v>17</v>
      </c>
      <c r="F60" s="15" t="s">
        <v>99</v>
      </c>
    </row>
    <row r="61" spans="2:7">
      <c r="B61" s="9" t="s">
        <v>372</v>
      </c>
      <c r="C61" s="9" t="s">
        <v>14</v>
      </c>
      <c r="D61" s="17">
        <v>110</v>
      </c>
      <c r="E61" s="18">
        <v>282.5</v>
      </c>
      <c r="F61" s="16">
        <v>167.12700024247201</v>
      </c>
    </row>
    <row r="62" spans="2:7">
      <c r="B62" s="9" t="s">
        <v>378</v>
      </c>
      <c r="C62" s="9" t="s">
        <v>14</v>
      </c>
      <c r="D62" s="17">
        <v>110</v>
      </c>
      <c r="E62" s="18">
        <v>260</v>
      </c>
      <c r="F62" s="16">
        <v>157.30000495910599</v>
      </c>
    </row>
    <row r="63" spans="2:7">
      <c r="B63" s="9" t="s">
        <v>362</v>
      </c>
      <c r="C63" s="9" t="s">
        <v>14</v>
      </c>
      <c r="D63" s="17">
        <v>90</v>
      </c>
      <c r="E63" s="18">
        <v>230</v>
      </c>
      <c r="F63" s="16">
        <v>147.75200605392499</v>
      </c>
    </row>
  </sheetData>
  <mergeCells count="22">
    <mergeCell ref="A30:J30"/>
    <mergeCell ref="A35:J35"/>
    <mergeCell ref="A39:J39"/>
    <mergeCell ref="A43:J43"/>
    <mergeCell ref="B3:B4"/>
    <mergeCell ref="A9:J9"/>
    <mergeCell ref="A12:J12"/>
    <mergeCell ref="A15:J15"/>
    <mergeCell ref="A19:J19"/>
    <mergeCell ref="A22:J22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workbookViewId="0">
      <selection activeCell="E10" sqref="E10"/>
    </sheetView>
  </sheetViews>
  <sheetFormatPr baseColWidth="10" defaultColWidth="8.83203125" defaultRowHeight="13"/>
  <cols>
    <col min="1" max="1" width="7.5" style="9" bestFit="1" customWidth="1"/>
    <col min="2" max="2" width="19.33203125" style="9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1.1640625" style="9" customWidth="1"/>
    <col min="7" max="9" width="5.5" style="17" customWidth="1"/>
    <col min="10" max="10" width="4.83203125" style="17" customWidth="1"/>
    <col min="11" max="11" width="10.5" style="17" bestFit="1" customWidth="1"/>
    <col min="12" max="12" width="10.6640625" style="17" customWidth="1"/>
    <col min="13" max="13" width="23.6640625" style="9" customWidth="1"/>
  </cols>
  <sheetData>
    <row r="1" spans="1:13" s="2" customFormat="1" ht="29" customHeight="1">
      <c r="A1" s="44" t="s">
        <v>435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114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40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194</v>
      </c>
      <c r="C6" s="8" t="s">
        <v>195</v>
      </c>
      <c r="D6" s="8" t="s">
        <v>196</v>
      </c>
      <c r="E6" s="8" t="s">
        <v>498</v>
      </c>
      <c r="F6" s="8" t="s">
        <v>26</v>
      </c>
      <c r="G6" s="20" t="s">
        <v>96</v>
      </c>
      <c r="H6" s="20" t="s">
        <v>315</v>
      </c>
      <c r="I6" s="20" t="s">
        <v>121</v>
      </c>
      <c r="J6" s="19"/>
      <c r="K6" s="19" t="str">
        <f>"110,0"</f>
        <v>110,0</v>
      </c>
      <c r="L6" s="19" t="str">
        <f>"75,5810"</f>
        <v>75,5810</v>
      </c>
      <c r="M6" s="8"/>
    </row>
    <row r="8" spans="1:13" ht="16">
      <c r="A8" s="57" t="s">
        <v>125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9">
        <v>1</v>
      </c>
      <c r="B9" s="8" t="s">
        <v>316</v>
      </c>
      <c r="C9" s="8" t="s">
        <v>317</v>
      </c>
      <c r="D9" s="8" t="s">
        <v>318</v>
      </c>
      <c r="E9" s="8" t="s">
        <v>502</v>
      </c>
      <c r="F9" s="8" t="s">
        <v>26</v>
      </c>
      <c r="G9" s="20" t="s">
        <v>143</v>
      </c>
      <c r="H9" s="20" t="s">
        <v>160</v>
      </c>
      <c r="I9" s="20" t="s">
        <v>119</v>
      </c>
      <c r="J9" s="19"/>
      <c r="K9" s="19" t="str">
        <f>"170,0"</f>
        <v>170,0</v>
      </c>
      <c r="L9" s="19" t="str">
        <f>"126,7426"</f>
        <v>126,7426</v>
      </c>
      <c r="M9" s="8" t="s">
        <v>469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9" bestFit="1" customWidth="1"/>
    <col min="2" max="2" width="17.83203125" style="9" customWidth="1"/>
    <col min="3" max="3" width="28.5" style="9" bestFit="1" customWidth="1"/>
    <col min="4" max="4" width="21.5" style="9" bestFit="1" customWidth="1"/>
    <col min="5" max="5" width="10.5" style="9" bestFit="1" customWidth="1"/>
    <col min="6" max="6" width="15.5" style="9" bestFit="1" customWidth="1"/>
    <col min="7" max="9" width="5.5" style="17" customWidth="1"/>
    <col min="10" max="10" width="4.83203125" style="17" customWidth="1"/>
    <col min="11" max="11" width="10.5" style="9" bestFit="1" customWidth="1"/>
    <col min="12" max="12" width="12.33203125" style="9" customWidth="1"/>
    <col min="13" max="13" width="16.83203125" style="9" customWidth="1"/>
  </cols>
  <sheetData>
    <row r="1" spans="1:13" s="2" customFormat="1" ht="29" customHeight="1">
      <c r="A1" s="44" t="s">
        <v>430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492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40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261</v>
      </c>
      <c r="C6" s="8" t="s">
        <v>262</v>
      </c>
      <c r="D6" s="8" t="s">
        <v>263</v>
      </c>
      <c r="E6" s="8" t="s">
        <v>501</v>
      </c>
      <c r="F6" s="8" t="s">
        <v>26</v>
      </c>
      <c r="G6" s="20" t="s">
        <v>85</v>
      </c>
      <c r="H6" s="20" t="s">
        <v>77</v>
      </c>
      <c r="I6" s="21" t="s">
        <v>90</v>
      </c>
      <c r="J6" s="19"/>
      <c r="K6" s="19" t="str">
        <f>"60,0"</f>
        <v>60,0</v>
      </c>
      <c r="L6" s="19" t="str">
        <f>"38,7060"</f>
        <v>38,7060</v>
      </c>
      <c r="M6" s="8" t="s">
        <v>459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workbookViewId="0">
      <selection activeCell="E10" sqref="E10"/>
    </sheetView>
  </sheetViews>
  <sheetFormatPr baseColWidth="10" defaultColWidth="8.83203125" defaultRowHeight="13"/>
  <cols>
    <col min="1" max="1" width="7.5" style="9" bestFit="1" customWidth="1"/>
    <col min="2" max="2" width="22.1640625" style="9" bestFit="1" customWidth="1"/>
    <col min="3" max="3" width="29" style="9" bestFit="1" customWidth="1"/>
    <col min="4" max="4" width="21.5" style="9" bestFit="1" customWidth="1"/>
    <col min="5" max="5" width="10.5" style="9" bestFit="1" customWidth="1"/>
    <col min="6" max="6" width="24.83203125" style="9" customWidth="1"/>
    <col min="7" max="9" width="5.5" style="17" customWidth="1"/>
    <col min="10" max="10" width="4.83203125" style="17" customWidth="1"/>
    <col min="11" max="11" width="10.5" style="9" bestFit="1" customWidth="1"/>
    <col min="12" max="12" width="10" style="9" customWidth="1"/>
    <col min="13" max="13" width="23" style="9" bestFit="1" customWidth="1"/>
  </cols>
  <sheetData>
    <row r="1" spans="1:13" s="2" customFormat="1" ht="29" customHeight="1">
      <c r="A1" s="44" t="s">
        <v>431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492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37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402</v>
      </c>
      <c r="C6" s="8" t="s">
        <v>450</v>
      </c>
      <c r="D6" s="8" t="s">
        <v>67</v>
      </c>
      <c r="E6" s="8" t="s">
        <v>500</v>
      </c>
      <c r="F6" s="8" t="s">
        <v>460</v>
      </c>
      <c r="G6" s="20" t="s">
        <v>53</v>
      </c>
      <c r="H6" s="20" t="s">
        <v>54</v>
      </c>
      <c r="I6" s="20" t="s">
        <v>58</v>
      </c>
      <c r="J6" s="19"/>
      <c r="K6" s="8" t="str">
        <f>"35,0"</f>
        <v>35,0</v>
      </c>
      <c r="L6" s="8" t="str">
        <f>"32,1230"</f>
        <v>32,1230</v>
      </c>
      <c r="M6" s="8" t="s">
        <v>461</v>
      </c>
    </row>
    <row r="8" spans="1:13" ht="16">
      <c r="A8" s="57" t="s">
        <v>30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9">
        <v>1</v>
      </c>
      <c r="B9" s="8" t="s">
        <v>403</v>
      </c>
      <c r="C9" s="8" t="s">
        <v>451</v>
      </c>
      <c r="D9" s="8" t="s">
        <v>212</v>
      </c>
      <c r="E9" s="8" t="s">
        <v>503</v>
      </c>
      <c r="F9" s="8" t="s">
        <v>404</v>
      </c>
      <c r="G9" s="20" t="s">
        <v>405</v>
      </c>
      <c r="H9" s="20" t="s">
        <v>91</v>
      </c>
      <c r="I9" s="21" t="s">
        <v>406</v>
      </c>
      <c r="J9" s="19"/>
      <c r="K9" s="8" t="str">
        <f>"72,5"</f>
        <v>72,5</v>
      </c>
      <c r="L9" s="8" t="str">
        <f>"43,1520"</f>
        <v>43,1520</v>
      </c>
      <c r="M9" s="8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2"/>
  <sheetViews>
    <sheetView workbookViewId="0">
      <selection activeCell="E13" sqref="E13"/>
    </sheetView>
  </sheetViews>
  <sheetFormatPr baseColWidth="10" defaultColWidth="8.83203125" defaultRowHeight="13"/>
  <cols>
    <col min="1" max="1" width="7.5" style="9" bestFit="1" customWidth="1"/>
    <col min="2" max="2" width="26.6640625" style="9" bestFit="1" customWidth="1"/>
    <col min="3" max="3" width="28.5" style="9" bestFit="1" customWidth="1"/>
    <col min="4" max="4" width="21.5" style="9" bestFit="1" customWidth="1"/>
    <col min="5" max="5" width="10.5" style="9" bestFit="1" customWidth="1"/>
    <col min="6" max="6" width="19.5" style="9" customWidth="1"/>
    <col min="7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5" width="7.83203125" style="17" bestFit="1" customWidth="1"/>
    <col min="16" max="16" width="7.5" style="17" bestFit="1" customWidth="1"/>
    <col min="17" max="17" width="21.6640625" style="9" customWidth="1"/>
  </cols>
  <sheetData>
    <row r="1" spans="1:17" s="2" customFormat="1" ht="29" customHeight="1">
      <c r="A1" s="44" t="s">
        <v>481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492</v>
      </c>
      <c r="H3" s="56"/>
      <c r="I3" s="56"/>
      <c r="J3" s="56"/>
      <c r="K3" s="56" t="s">
        <v>7</v>
      </c>
      <c r="L3" s="56"/>
      <c r="M3" s="56"/>
      <c r="N3" s="56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 t="s">
        <v>493</v>
      </c>
      <c r="M4" s="4">
        <v>3</v>
      </c>
      <c r="N4" s="4" t="s">
        <v>4</v>
      </c>
      <c r="O4" s="39"/>
      <c r="P4" s="39"/>
      <c r="Q4" s="41"/>
    </row>
    <row r="5" spans="1:17" s="3" customFormat="1" ht="16">
      <c r="A5" s="42" t="s">
        <v>47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6"/>
      <c r="P5" s="6"/>
      <c r="Q5" s="5"/>
    </row>
    <row r="6" spans="1:17">
      <c r="A6" s="19">
        <v>1</v>
      </c>
      <c r="B6" s="8" t="s">
        <v>48</v>
      </c>
      <c r="C6" s="8" t="s">
        <v>49</v>
      </c>
      <c r="D6" s="8" t="s">
        <v>50</v>
      </c>
      <c r="E6" s="8" t="s">
        <v>497</v>
      </c>
      <c r="F6" s="8" t="s">
        <v>51</v>
      </c>
      <c r="G6" s="20" t="s">
        <v>52</v>
      </c>
      <c r="H6" s="20" t="s">
        <v>53</v>
      </c>
      <c r="I6" s="20" t="s">
        <v>54</v>
      </c>
      <c r="J6" s="19"/>
      <c r="K6" s="20" t="s">
        <v>52</v>
      </c>
      <c r="L6" s="20" t="s">
        <v>53</v>
      </c>
      <c r="M6" s="21" t="s">
        <v>54</v>
      </c>
      <c r="N6" s="19"/>
      <c r="O6" s="19" t="str">
        <f>"62,5"</f>
        <v>62,5</v>
      </c>
      <c r="P6" s="19" t="str">
        <f>"66,1938"</f>
        <v>66,1938</v>
      </c>
      <c r="Q6" s="8"/>
    </row>
    <row r="8" spans="1:17" ht="16">
      <c r="A8" s="57" t="s">
        <v>55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7">
      <c r="A9" s="19">
        <v>1</v>
      </c>
      <c r="B9" s="8" t="s">
        <v>56</v>
      </c>
      <c r="C9" s="8" t="s">
        <v>454</v>
      </c>
      <c r="D9" s="8" t="s">
        <v>57</v>
      </c>
      <c r="E9" s="8" t="s">
        <v>501</v>
      </c>
      <c r="F9" s="8" t="s">
        <v>26</v>
      </c>
      <c r="G9" s="20" t="s">
        <v>58</v>
      </c>
      <c r="H9" s="20" t="s">
        <v>59</v>
      </c>
      <c r="I9" s="20" t="s">
        <v>60</v>
      </c>
      <c r="J9" s="19"/>
      <c r="K9" s="20" t="s">
        <v>53</v>
      </c>
      <c r="L9" s="20" t="s">
        <v>54</v>
      </c>
      <c r="M9" s="21" t="s">
        <v>58</v>
      </c>
      <c r="N9" s="19"/>
      <c r="O9" s="19" t="str">
        <f>"75,0"</f>
        <v>75,0</v>
      </c>
      <c r="P9" s="19" t="str">
        <f>"80,9025"</f>
        <v>80,9025</v>
      </c>
      <c r="Q9" s="8"/>
    </row>
    <row r="11" spans="1:17" ht="16">
      <c r="A11" s="5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7">
      <c r="A12" s="19">
        <v>1</v>
      </c>
      <c r="B12" s="8" t="s">
        <v>82</v>
      </c>
      <c r="C12" s="8" t="s">
        <v>455</v>
      </c>
      <c r="D12" s="8" t="s">
        <v>83</v>
      </c>
      <c r="E12" s="8" t="s">
        <v>500</v>
      </c>
      <c r="F12" s="8" t="s">
        <v>84</v>
      </c>
      <c r="G12" s="20" t="s">
        <v>44</v>
      </c>
      <c r="H12" s="20" t="s">
        <v>77</v>
      </c>
      <c r="I12" s="21" t="s">
        <v>45</v>
      </c>
      <c r="J12" s="19"/>
      <c r="K12" s="20" t="s">
        <v>64</v>
      </c>
      <c r="L12" s="21" t="s">
        <v>85</v>
      </c>
      <c r="M12" s="21" t="s">
        <v>77</v>
      </c>
      <c r="N12" s="19"/>
      <c r="O12" s="19" t="str">
        <f>"107,5"</f>
        <v>107,5</v>
      </c>
      <c r="P12" s="19" t="str">
        <f>"70,2459"</f>
        <v>70,2459</v>
      </c>
      <c r="Q12" s="8" t="s">
        <v>86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12"/>
  <sheetViews>
    <sheetView workbookViewId="0">
      <selection activeCell="E13" sqref="E13"/>
    </sheetView>
  </sheetViews>
  <sheetFormatPr baseColWidth="10" defaultColWidth="8.83203125" defaultRowHeight="13"/>
  <cols>
    <col min="1" max="1" width="7.5" style="9" bestFit="1" customWidth="1"/>
    <col min="2" max="2" width="21.664062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9.1640625" style="9" customWidth="1"/>
    <col min="7" max="13" width="5.5" style="17" customWidth="1"/>
    <col min="14" max="14" width="4.83203125" style="17" customWidth="1"/>
    <col min="15" max="17" width="5.5" style="17" customWidth="1"/>
    <col min="18" max="18" width="4.83203125" style="17" customWidth="1"/>
    <col min="19" max="19" width="7.83203125" style="17" bestFit="1" customWidth="1"/>
    <col min="20" max="20" width="8.5" style="17" bestFit="1" customWidth="1"/>
    <col min="21" max="21" width="20.1640625" style="9" customWidth="1"/>
  </cols>
  <sheetData>
    <row r="1" spans="1:21" s="2" customFormat="1" ht="29" customHeight="1">
      <c r="A1" s="44" t="s">
        <v>446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112</v>
      </c>
      <c r="H3" s="56"/>
      <c r="I3" s="56"/>
      <c r="J3" s="56"/>
      <c r="K3" s="56" t="s">
        <v>113</v>
      </c>
      <c r="L3" s="56"/>
      <c r="M3" s="56"/>
      <c r="N3" s="56"/>
      <c r="O3" s="56" t="s">
        <v>114</v>
      </c>
      <c r="P3" s="56"/>
      <c r="Q3" s="56"/>
      <c r="R3" s="56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s="3" customFormat="1" ht="16">
      <c r="A5" s="42" t="s">
        <v>73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6"/>
      <c r="T5" s="6"/>
      <c r="U5" s="5"/>
    </row>
    <row r="6" spans="1:21">
      <c r="A6" s="19">
        <v>1</v>
      </c>
      <c r="B6" s="8" t="s">
        <v>115</v>
      </c>
      <c r="C6" s="8" t="s">
        <v>116</v>
      </c>
      <c r="D6" s="8" t="s">
        <v>117</v>
      </c>
      <c r="E6" s="8" t="s">
        <v>496</v>
      </c>
      <c r="F6" s="8" t="s">
        <v>118</v>
      </c>
      <c r="G6" s="21" t="s">
        <v>119</v>
      </c>
      <c r="H6" s="20" t="s">
        <v>119</v>
      </c>
      <c r="I6" s="20" t="s">
        <v>120</v>
      </c>
      <c r="J6" s="19"/>
      <c r="K6" s="20" t="s">
        <v>111</v>
      </c>
      <c r="L6" s="20" t="s">
        <v>121</v>
      </c>
      <c r="M6" s="20" t="s">
        <v>122</v>
      </c>
      <c r="N6" s="19"/>
      <c r="O6" s="20" t="s">
        <v>123</v>
      </c>
      <c r="P6" s="21" t="s">
        <v>124</v>
      </c>
      <c r="Q6" s="21" t="s">
        <v>124</v>
      </c>
      <c r="R6" s="19"/>
      <c r="S6" s="19" t="str">
        <f>"497,5"</f>
        <v>497,5</v>
      </c>
      <c r="T6" s="19" t="str">
        <f>"365,0157"</f>
        <v>365,0157</v>
      </c>
      <c r="U6" s="8" t="s">
        <v>135</v>
      </c>
    </row>
    <row r="8" spans="1:21" ht="16">
      <c r="A8" s="57" t="s">
        <v>125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>
      <c r="A9" s="19">
        <v>1</v>
      </c>
      <c r="B9" s="8" t="s">
        <v>126</v>
      </c>
      <c r="C9" s="8" t="s">
        <v>127</v>
      </c>
      <c r="D9" s="8" t="s">
        <v>128</v>
      </c>
      <c r="E9" s="8" t="s">
        <v>497</v>
      </c>
      <c r="F9" s="8" t="s">
        <v>118</v>
      </c>
      <c r="G9" s="20" t="s">
        <v>124</v>
      </c>
      <c r="H9" s="20" t="s">
        <v>129</v>
      </c>
      <c r="I9" s="20" t="s">
        <v>130</v>
      </c>
      <c r="J9" s="19"/>
      <c r="K9" s="20" t="s">
        <v>131</v>
      </c>
      <c r="L9" s="21" t="s">
        <v>132</v>
      </c>
      <c r="M9" s="20" t="s">
        <v>132</v>
      </c>
      <c r="N9" s="19"/>
      <c r="O9" s="20" t="s">
        <v>133</v>
      </c>
      <c r="P9" s="21" t="s">
        <v>134</v>
      </c>
      <c r="Q9" s="21" t="s">
        <v>134</v>
      </c>
      <c r="R9" s="19"/>
      <c r="S9" s="19" t="str">
        <f>"612,5"</f>
        <v>612,5</v>
      </c>
      <c r="T9" s="19" t="str">
        <f>"391,6938"</f>
        <v>391,6938</v>
      </c>
      <c r="U9" s="8" t="s">
        <v>135</v>
      </c>
    </row>
    <row r="11" spans="1:21" ht="16">
      <c r="A11" s="57" t="s">
        <v>30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1">
      <c r="A12" s="19">
        <v>1</v>
      </c>
      <c r="B12" s="8" t="s">
        <v>136</v>
      </c>
      <c r="C12" s="8" t="s">
        <v>137</v>
      </c>
      <c r="D12" s="8" t="s">
        <v>138</v>
      </c>
      <c r="E12" s="8" t="s">
        <v>499</v>
      </c>
      <c r="F12" s="8" t="s">
        <v>26</v>
      </c>
      <c r="G12" s="20" t="s">
        <v>139</v>
      </c>
      <c r="H12" s="21" t="s">
        <v>140</v>
      </c>
      <c r="I12" s="20" t="s">
        <v>27</v>
      </c>
      <c r="J12" s="20" t="s">
        <v>141</v>
      </c>
      <c r="K12" s="20" t="s">
        <v>96</v>
      </c>
      <c r="L12" s="20" t="s">
        <v>142</v>
      </c>
      <c r="M12" s="20" t="s">
        <v>121</v>
      </c>
      <c r="N12" s="19"/>
      <c r="O12" s="20" t="s">
        <v>143</v>
      </c>
      <c r="P12" s="20" t="s">
        <v>144</v>
      </c>
      <c r="Q12" s="20" t="s">
        <v>145</v>
      </c>
      <c r="R12" s="19"/>
      <c r="S12" s="19" t="str">
        <f>"402,5"</f>
        <v>402,5</v>
      </c>
      <c r="T12" s="19" t="str">
        <f>"436,8912"</f>
        <v>436,8912</v>
      </c>
      <c r="U12" s="8"/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9" bestFit="1" customWidth="1"/>
    <col min="2" max="2" width="20" style="9" customWidth="1"/>
    <col min="3" max="3" width="26" style="9" bestFit="1" customWidth="1"/>
    <col min="4" max="4" width="21.5" style="9" bestFit="1" customWidth="1"/>
    <col min="5" max="5" width="10.5" style="9" bestFit="1" customWidth="1"/>
    <col min="6" max="6" width="15.5" style="9" bestFit="1" customWidth="1"/>
    <col min="7" max="9" width="5.5" style="17" customWidth="1"/>
    <col min="10" max="10" width="4.83203125" style="17" customWidth="1"/>
    <col min="11" max="12" width="11.5" style="17" customWidth="1"/>
    <col min="13" max="13" width="16.6640625" style="9" bestFit="1" customWidth="1"/>
  </cols>
  <sheetData>
    <row r="1" spans="1:13" s="2" customFormat="1" ht="29" customHeight="1">
      <c r="A1" s="44" t="s">
        <v>484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21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30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31</v>
      </c>
      <c r="C6" s="8" t="s">
        <v>32</v>
      </c>
      <c r="D6" s="8" t="s">
        <v>33</v>
      </c>
      <c r="E6" s="8" t="s">
        <v>497</v>
      </c>
      <c r="F6" s="8" t="s">
        <v>26</v>
      </c>
      <c r="G6" s="20" t="s">
        <v>34</v>
      </c>
      <c r="H6" s="20" t="s">
        <v>35</v>
      </c>
      <c r="I6" s="21" t="s">
        <v>36</v>
      </c>
      <c r="J6" s="19"/>
      <c r="K6" s="19" t="str">
        <f>"87,5"</f>
        <v>87,5</v>
      </c>
      <c r="L6" s="19" t="str">
        <f>"50,9513"</f>
        <v>50,9513</v>
      </c>
      <c r="M6" s="8" t="s">
        <v>476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9" bestFit="1" customWidth="1"/>
    <col min="2" max="2" width="15.83203125" style="9" bestFit="1" customWidth="1"/>
    <col min="3" max="3" width="26" style="9" bestFit="1" customWidth="1"/>
    <col min="4" max="4" width="21.5" style="9" bestFit="1" customWidth="1"/>
    <col min="5" max="5" width="10.5" style="9" bestFit="1" customWidth="1"/>
    <col min="6" max="6" width="15.5" style="9" bestFit="1" customWidth="1"/>
    <col min="7" max="9" width="5.5" style="17" customWidth="1"/>
    <col min="10" max="10" width="4.83203125" style="17" customWidth="1"/>
    <col min="11" max="11" width="10.33203125" style="9" customWidth="1"/>
    <col min="12" max="12" width="10.6640625" style="9" customWidth="1"/>
    <col min="13" max="13" width="18.1640625" style="9" customWidth="1"/>
  </cols>
  <sheetData>
    <row r="1" spans="1:13" s="2" customFormat="1" ht="29" customHeight="1">
      <c r="A1" s="44" t="s">
        <v>485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21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22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23</v>
      </c>
      <c r="C6" s="8" t="s">
        <v>24</v>
      </c>
      <c r="D6" s="8" t="s">
        <v>25</v>
      </c>
      <c r="E6" s="8" t="s">
        <v>497</v>
      </c>
      <c r="F6" s="8" t="s">
        <v>26</v>
      </c>
      <c r="G6" s="20" t="s">
        <v>27</v>
      </c>
      <c r="H6" s="20" t="s">
        <v>28</v>
      </c>
      <c r="I6" s="20" t="s">
        <v>29</v>
      </c>
      <c r="J6" s="19"/>
      <c r="K6" s="19" t="str">
        <f>"135,0"</f>
        <v>135,0</v>
      </c>
      <c r="L6" s="19" t="str">
        <f>"73,9193"</f>
        <v>73,9193</v>
      </c>
      <c r="M6" s="8" t="s">
        <v>449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7"/>
  <sheetViews>
    <sheetView workbookViewId="0">
      <selection activeCell="E28" sqref="E28"/>
    </sheetView>
  </sheetViews>
  <sheetFormatPr baseColWidth="10" defaultColWidth="8.83203125" defaultRowHeight="13"/>
  <cols>
    <col min="1" max="1" width="7.5" style="9" bestFit="1" customWidth="1"/>
    <col min="2" max="2" width="26.6640625" style="9" bestFit="1" customWidth="1"/>
    <col min="3" max="3" width="28.5" style="9" bestFit="1" customWidth="1"/>
    <col min="4" max="4" width="21.5" style="9" bestFit="1" customWidth="1"/>
    <col min="5" max="5" width="10.5" style="9" bestFit="1" customWidth="1"/>
    <col min="6" max="6" width="21.83203125" style="9" customWidth="1"/>
    <col min="7" max="10" width="5.5" style="17" customWidth="1"/>
    <col min="11" max="11" width="10" style="17" customWidth="1"/>
    <col min="12" max="12" width="10.1640625" style="17" customWidth="1"/>
    <col min="13" max="13" width="24" style="9" customWidth="1"/>
  </cols>
  <sheetData>
    <row r="1" spans="1:13" s="2" customFormat="1" ht="29" customHeight="1">
      <c r="A1" s="44" t="s">
        <v>482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492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47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48</v>
      </c>
      <c r="C6" s="8" t="s">
        <v>49</v>
      </c>
      <c r="D6" s="8" t="s">
        <v>50</v>
      </c>
      <c r="E6" s="8" t="s">
        <v>497</v>
      </c>
      <c r="F6" s="8" t="s">
        <v>51</v>
      </c>
      <c r="G6" s="20" t="s">
        <v>52</v>
      </c>
      <c r="H6" s="20" t="s">
        <v>53</v>
      </c>
      <c r="I6" s="21" t="s">
        <v>54</v>
      </c>
      <c r="J6" s="19"/>
      <c r="K6" s="19" t="str">
        <f>"30,0"</f>
        <v>30,0</v>
      </c>
      <c r="L6" s="19" t="str">
        <f>"31,7730"</f>
        <v>31,7730</v>
      </c>
      <c r="M6" s="8"/>
    </row>
    <row r="8" spans="1:13" ht="16">
      <c r="A8" s="57" t="s">
        <v>55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9">
        <v>1</v>
      </c>
      <c r="B9" s="8" t="s">
        <v>56</v>
      </c>
      <c r="C9" s="8" t="s">
        <v>454</v>
      </c>
      <c r="D9" s="8" t="s">
        <v>57</v>
      </c>
      <c r="E9" s="8" t="s">
        <v>501</v>
      </c>
      <c r="F9" s="8" t="s">
        <v>26</v>
      </c>
      <c r="G9" s="20" t="s">
        <v>53</v>
      </c>
      <c r="H9" s="20" t="s">
        <v>54</v>
      </c>
      <c r="I9" s="21" t="s">
        <v>58</v>
      </c>
      <c r="J9" s="19"/>
      <c r="K9" s="19" t="str">
        <f>"32,5"</f>
        <v>32,5</v>
      </c>
      <c r="L9" s="19" t="str">
        <f>"35,0577"</f>
        <v>35,0577</v>
      </c>
      <c r="M9" s="8"/>
    </row>
    <row r="11" spans="1:13" ht="16">
      <c r="A11" s="57" t="s">
        <v>55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19">
        <v>1</v>
      </c>
      <c r="B12" s="8" t="s">
        <v>61</v>
      </c>
      <c r="C12" s="8" t="s">
        <v>456</v>
      </c>
      <c r="D12" s="8" t="s">
        <v>62</v>
      </c>
      <c r="E12" s="8" t="s">
        <v>503</v>
      </c>
      <c r="F12" s="8" t="s">
        <v>26</v>
      </c>
      <c r="G12" s="20" t="s">
        <v>63</v>
      </c>
      <c r="H12" s="20" t="s">
        <v>64</v>
      </c>
      <c r="I12" s="20" t="s">
        <v>65</v>
      </c>
      <c r="J12" s="19"/>
      <c r="K12" s="19" t="str">
        <f>"50,5"</f>
        <v>50,5</v>
      </c>
      <c r="L12" s="19" t="str">
        <f>"42,4730"</f>
        <v>42,4730</v>
      </c>
      <c r="M12" s="8" t="s">
        <v>487</v>
      </c>
    </row>
    <row r="14" spans="1:13" ht="16">
      <c r="A14" s="57" t="s">
        <v>37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>
      <c r="A15" s="24">
        <v>1</v>
      </c>
      <c r="B15" s="22" t="s">
        <v>66</v>
      </c>
      <c r="C15" s="22" t="s">
        <v>457</v>
      </c>
      <c r="D15" s="22" t="s">
        <v>67</v>
      </c>
      <c r="E15" s="22" t="s">
        <v>503</v>
      </c>
      <c r="F15" s="22" t="s">
        <v>26</v>
      </c>
      <c r="G15" s="25" t="s">
        <v>68</v>
      </c>
      <c r="H15" s="25" t="s">
        <v>69</v>
      </c>
      <c r="I15" s="25" t="s">
        <v>70</v>
      </c>
      <c r="J15" s="24"/>
      <c r="K15" s="24" t="str">
        <f>"63,0"</f>
        <v>63,0</v>
      </c>
      <c r="L15" s="24" t="str">
        <f>"48,1981"</f>
        <v>48,1981</v>
      </c>
      <c r="M15" s="22"/>
    </row>
    <row r="16" spans="1:13">
      <c r="A16" s="26">
        <v>2</v>
      </c>
      <c r="B16" s="23" t="s">
        <v>71</v>
      </c>
      <c r="C16" s="23" t="s">
        <v>458</v>
      </c>
      <c r="D16" s="23" t="s">
        <v>72</v>
      </c>
      <c r="E16" s="23" t="s">
        <v>503</v>
      </c>
      <c r="F16" s="23" t="s">
        <v>26</v>
      </c>
      <c r="G16" s="27" t="s">
        <v>58</v>
      </c>
      <c r="H16" s="27" t="s">
        <v>59</v>
      </c>
      <c r="I16" s="27" t="s">
        <v>60</v>
      </c>
      <c r="J16" s="26"/>
      <c r="K16" s="26" t="str">
        <f>"42,5"</f>
        <v>42,5</v>
      </c>
      <c r="L16" s="26" t="str">
        <f>"33,3689"</f>
        <v>33,3689</v>
      </c>
      <c r="M16" s="23" t="s">
        <v>469</v>
      </c>
    </row>
    <row r="18" spans="1:13" ht="16">
      <c r="A18" s="57" t="s">
        <v>73</v>
      </c>
      <c r="B18" s="57"/>
      <c r="C18" s="57"/>
      <c r="D18" s="57"/>
      <c r="E18" s="57"/>
      <c r="F18" s="57"/>
      <c r="G18" s="57"/>
      <c r="H18" s="57"/>
      <c r="I18" s="57"/>
      <c r="J18" s="57"/>
    </row>
    <row r="19" spans="1:13">
      <c r="A19" s="24">
        <v>1</v>
      </c>
      <c r="B19" s="22" t="s">
        <v>74</v>
      </c>
      <c r="C19" s="22" t="s">
        <v>75</v>
      </c>
      <c r="D19" s="22" t="s">
        <v>76</v>
      </c>
      <c r="E19" s="22" t="s">
        <v>497</v>
      </c>
      <c r="F19" s="22" t="s">
        <v>26</v>
      </c>
      <c r="G19" s="25" t="s">
        <v>44</v>
      </c>
      <c r="H19" s="25" t="s">
        <v>77</v>
      </c>
      <c r="I19" s="25" t="s">
        <v>45</v>
      </c>
      <c r="J19" s="24"/>
      <c r="K19" s="24" t="str">
        <f>"65,0"</f>
        <v>65,0</v>
      </c>
      <c r="L19" s="24" t="str">
        <f>"46,0622"</f>
        <v>46,0622</v>
      </c>
      <c r="M19" s="22"/>
    </row>
    <row r="20" spans="1:13">
      <c r="A20" s="26">
        <v>2</v>
      </c>
      <c r="B20" s="23" t="s">
        <v>78</v>
      </c>
      <c r="C20" s="23" t="s">
        <v>79</v>
      </c>
      <c r="D20" s="23" t="s">
        <v>80</v>
      </c>
      <c r="E20" s="23" t="s">
        <v>497</v>
      </c>
      <c r="F20" s="23" t="s">
        <v>486</v>
      </c>
      <c r="G20" s="27" t="s">
        <v>59</v>
      </c>
      <c r="H20" s="27" t="s">
        <v>64</v>
      </c>
      <c r="I20" s="28" t="s">
        <v>81</v>
      </c>
      <c r="J20" s="26"/>
      <c r="K20" s="26" t="str">
        <f>"47,5"</f>
        <v>47,5</v>
      </c>
      <c r="L20" s="26" t="str">
        <f>"33,8794"</f>
        <v>33,8794</v>
      </c>
      <c r="M20" s="23"/>
    </row>
    <row r="22" spans="1:13" ht="16">
      <c r="A22" s="57" t="s">
        <v>40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3">
      <c r="A23" s="24">
        <v>1</v>
      </c>
      <c r="B23" s="22" t="s">
        <v>82</v>
      </c>
      <c r="C23" s="22" t="s">
        <v>455</v>
      </c>
      <c r="D23" s="22" t="s">
        <v>83</v>
      </c>
      <c r="E23" s="22" t="s">
        <v>500</v>
      </c>
      <c r="F23" s="22" t="s">
        <v>84</v>
      </c>
      <c r="G23" s="25" t="s">
        <v>64</v>
      </c>
      <c r="H23" s="29" t="s">
        <v>85</v>
      </c>
      <c r="I23" s="29" t="s">
        <v>77</v>
      </c>
      <c r="J23" s="24"/>
      <c r="K23" s="24" t="str">
        <f>"47,5"</f>
        <v>47,5</v>
      </c>
      <c r="L23" s="24" t="str">
        <f>"31,0389"</f>
        <v>31,0389</v>
      </c>
      <c r="M23" s="22" t="s">
        <v>86</v>
      </c>
    </row>
    <row r="24" spans="1:13">
      <c r="A24" s="26">
        <v>1</v>
      </c>
      <c r="B24" s="23" t="s">
        <v>87</v>
      </c>
      <c r="C24" s="23" t="s">
        <v>88</v>
      </c>
      <c r="D24" s="23" t="s">
        <v>89</v>
      </c>
      <c r="E24" s="23" t="s">
        <v>497</v>
      </c>
      <c r="F24" s="23" t="s">
        <v>26</v>
      </c>
      <c r="G24" s="27" t="s">
        <v>90</v>
      </c>
      <c r="H24" s="27" t="s">
        <v>91</v>
      </c>
      <c r="I24" s="27" t="s">
        <v>46</v>
      </c>
      <c r="J24" s="28" t="s">
        <v>92</v>
      </c>
      <c r="K24" s="26" t="str">
        <f>"75,0"</f>
        <v>75,0</v>
      </c>
      <c r="L24" s="26" t="str">
        <f>"48,5738"</f>
        <v>48,5738</v>
      </c>
      <c r="M24" s="23"/>
    </row>
    <row r="26" spans="1:13" ht="16">
      <c r="A26" s="57" t="s">
        <v>22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3">
      <c r="A27" s="19">
        <v>1</v>
      </c>
      <c r="B27" s="8" t="s">
        <v>93</v>
      </c>
      <c r="C27" s="8" t="s">
        <v>94</v>
      </c>
      <c r="D27" s="8" t="s">
        <v>95</v>
      </c>
      <c r="E27" s="8" t="s">
        <v>497</v>
      </c>
      <c r="F27" s="8" t="s">
        <v>26</v>
      </c>
      <c r="G27" s="20" t="s">
        <v>34</v>
      </c>
      <c r="H27" s="20" t="s">
        <v>36</v>
      </c>
      <c r="I27" s="21" t="s">
        <v>96</v>
      </c>
      <c r="J27" s="19"/>
      <c r="K27" s="19" t="str">
        <f>"90,0"</f>
        <v>90,0</v>
      </c>
      <c r="L27" s="19" t="str">
        <f>"49,2390"</f>
        <v>49,2390</v>
      </c>
      <c r="M27" s="8" t="s">
        <v>476</v>
      </c>
    </row>
  </sheetData>
  <mergeCells count="18">
    <mergeCell ref="A26:J26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2:J22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9"/>
  <sheetViews>
    <sheetView workbookViewId="0">
      <selection activeCell="E10" sqref="E10"/>
    </sheetView>
  </sheetViews>
  <sheetFormatPr baseColWidth="10" defaultColWidth="8.83203125" defaultRowHeight="13"/>
  <cols>
    <col min="1" max="1" width="7.5" style="9" bestFit="1" customWidth="1"/>
    <col min="2" max="2" width="15.83203125" style="9" bestFit="1" customWidth="1"/>
    <col min="3" max="3" width="26" style="9" bestFit="1" customWidth="1"/>
    <col min="4" max="4" width="21.5" style="9" bestFit="1" customWidth="1"/>
    <col min="5" max="5" width="10.5" style="9" bestFit="1" customWidth="1"/>
    <col min="6" max="6" width="21.5" style="9" customWidth="1"/>
    <col min="7" max="9" width="5.5" style="17" customWidth="1"/>
    <col min="10" max="10" width="4.83203125" style="17" customWidth="1"/>
    <col min="11" max="11" width="11" style="17" customWidth="1"/>
    <col min="12" max="12" width="11.6640625" style="17" customWidth="1"/>
    <col min="13" max="13" width="19.5" style="9" customWidth="1"/>
  </cols>
  <sheetData>
    <row r="1" spans="1:13" s="2" customFormat="1" ht="29" customHeight="1">
      <c r="A1" s="44" t="s">
        <v>483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492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37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9</v>
      </c>
      <c r="C6" s="8" t="s">
        <v>10</v>
      </c>
      <c r="D6" s="8" t="s">
        <v>11</v>
      </c>
      <c r="E6" s="8" t="s">
        <v>497</v>
      </c>
      <c r="F6" s="8" t="s">
        <v>488</v>
      </c>
      <c r="G6" s="20" t="s">
        <v>38</v>
      </c>
      <c r="H6" s="21" t="s">
        <v>39</v>
      </c>
      <c r="I6" s="19"/>
      <c r="J6" s="19"/>
      <c r="K6" s="19" t="str">
        <f>"67,5"</f>
        <v>67,5</v>
      </c>
      <c r="L6" s="19" t="str">
        <f>"50,9051"</f>
        <v>50,9051</v>
      </c>
      <c r="M6" s="8"/>
    </row>
    <row r="8" spans="1:13" ht="16">
      <c r="A8" s="57" t="s">
        <v>40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9">
        <v>1</v>
      </c>
      <c r="B9" s="8" t="s">
        <v>41</v>
      </c>
      <c r="C9" s="8" t="s">
        <v>42</v>
      </c>
      <c r="D9" s="8" t="s">
        <v>43</v>
      </c>
      <c r="E9" s="8" t="s">
        <v>497</v>
      </c>
      <c r="F9" s="8" t="s">
        <v>26</v>
      </c>
      <c r="G9" s="20" t="s">
        <v>44</v>
      </c>
      <c r="H9" s="20" t="s">
        <v>45</v>
      </c>
      <c r="I9" s="21" t="s">
        <v>46</v>
      </c>
      <c r="J9" s="19"/>
      <c r="K9" s="19" t="str">
        <f>"65,0"</f>
        <v>65,0</v>
      </c>
      <c r="L9" s="19" t="str">
        <f>"41,8990"</f>
        <v>41,8990</v>
      </c>
      <c r="M9" s="8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2"/>
  <sheetViews>
    <sheetView workbookViewId="0">
      <selection activeCell="E13" sqref="E13"/>
    </sheetView>
  </sheetViews>
  <sheetFormatPr baseColWidth="10" defaultColWidth="8.83203125" defaultRowHeight="13"/>
  <cols>
    <col min="1" max="1" width="7.5" style="9" bestFit="1" customWidth="1"/>
    <col min="2" max="2" width="19" style="9" bestFit="1" customWidth="1"/>
    <col min="3" max="3" width="28.5" style="9" bestFit="1" customWidth="1"/>
    <col min="4" max="4" width="21.5" style="9" bestFit="1" customWidth="1"/>
    <col min="5" max="5" width="10.5" style="9" bestFit="1" customWidth="1"/>
    <col min="6" max="6" width="22.6640625" style="9" customWidth="1"/>
    <col min="7" max="9" width="5.5" style="17" customWidth="1"/>
    <col min="10" max="10" width="4.83203125" style="17" customWidth="1"/>
    <col min="11" max="11" width="10.5" style="17" bestFit="1" customWidth="1"/>
    <col min="12" max="12" width="9.1640625" style="17" customWidth="1"/>
    <col min="13" max="13" width="21.33203125" style="9" customWidth="1"/>
  </cols>
  <sheetData>
    <row r="1" spans="1:13" s="2" customFormat="1" ht="29" customHeight="1">
      <c r="A1" s="44" t="s">
        <v>447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21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8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6"/>
    </row>
    <row r="6" spans="1:13">
      <c r="A6" s="19">
        <v>1</v>
      </c>
      <c r="B6" s="8" t="s">
        <v>100</v>
      </c>
      <c r="C6" s="8" t="s">
        <v>101</v>
      </c>
      <c r="D6" s="8" t="s">
        <v>102</v>
      </c>
      <c r="E6" s="8" t="s">
        <v>497</v>
      </c>
      <c r="F6" s="8" t="s">
        <v>490</v>
      </c>
      <c r="G6" s="20" t="s">
        <v>46</v>
      </c>
      <c r="H6" s="20" t="s">
        <v>103</v>
      </c>
      <c r="I6" s="19"/>
      <c r="J6" s="19"/>
      <c r="K6" s="36">
        <v>82.5</v>
      </c>
      <c r="L6" s="63" t="e">
        <f>K6*E6</f>
        <v>#VALUE!</v>
      </c>
      <c r="M6" s="19"/>
    </row>
    <row r="7" spans="1:13" ht="14" thickBot="1"/>
    <row r="8" spans="1:13" s="3" customFormat="1" ht="16">
      <c r="A8" s="62" t="s">
        <v>104</v>
      </c>
      <c r="B8" s="62"/>
      <c r="C8" s="62"/>
      <c r="D8" s="62"/>
      <c r="E8" s="62"/>
      <c r="F8" s="62"/>
      <c r="G8" s="62"/>
      <c r="H8" s="62"/>
      <c r="I8" s="62"/>
      <c r="J8" s="62"/>
      <c r="K8" s="6"/>
      <c r="L8" s="6"/>
      <c r="M8" s="5"/>
    </row>
    <row r="9" spans="1:13">
      <c r="A9" s="19">
        <v>1</v>
      </c>
      <c r="B9" s="8" t="s">
        <v>105</v>
      </c>
      <c r="C9" s="8" t="s">
        <v>452</v>
      </c>
      <c r="D9" s="8" t="s">
        <v>106</v>
      </c>
      <c r="E9" s="8" t="s">
        <v>499</v>
      </c>
      <c r="F9" s="8" t="s">
        <v>26</v>
      </c>
      <c r="G9" s="20" t="s">
        <v>38</v>
      </c>
      <c r="H9" s="20" t="s">
        <v>91</v>
      </c>
      <c r="I9" s="21" t="s">
        <v>107</v>
      </c>
      <c r="J9" s="19"/>
      <c r="K9" s="19" t="str">
        <f>"72,5"</f>
        <v>72,5</v>
      </c>
      <c r="L9" s="19" t="str">
        <f>"65,7976"</f>
        <v>65,7976</v>
      </c>
      <c r="M9" s="8"/>
    </row>
    <row r="11" spans="1:13" ht="16">
      <c r="A11" s="57" t="s">
        <v>30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19">
        <v>1</v>
      </c>
      <c r="B12" s="8" t="s">
        <v>108</v>
      </c>
      <c r="C12" s="8" t="s">
        <v>453</v>
      </c>
      <c r="D12" s="8" t="s">
        <v>109</v>
      </c>
      <c r="E12" s="8" t="s">
        <v>501</v>
      </c>
      <c r="F12" s="8" t="s">
        <v>26</v>
      </c>
      <c r="G12" s="20" t="s">
        <v>110</v>
      </c>
      <c r="H12" s="20" t="s">
        <v>111</v>
      </c>
      <c r="I12" s="19"/>
      <c r="J12" s="19"/>
      <c r="K12" s="19" t="str">
        <f>"100,0"</f>
        <v>100,0</v>
      </c>
      <c r="L12" s="19" t="str">
        <f>"61,2347"</f>
        <v>61,2347</v>
      </c>
      <c r="M12" s="8" t="s">
        <v>449</v>
      </c>
    </row>
  </sheetData>
  <mergeCells count="14">
    <mergeCell ref="A11:J11"/>
    <mergeCell ref="B3:B4"/>
    <mergeCell ref="K3:K4"/>
    <mergeCell ref="L3:L4"/>
    <mergeCell ref="M3:M4"/>
    <mergeCell ref="A8:J8"/>
    <mergeCell ref="A5:L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6"/>
  <sheetViews>
    <sheetView tabSelected="1" workbookViewId="0">
      <selection activeCell="E7" sqref="E7"/>
    </sheetView>
  </sheetViews>
  <sheetFormatPr baseColWidth="10" defaultColWidth="8.83203125" defaultRowHeight="13"/>
  <cols>
    <col min="1" max="1" width="7.5" style="9" bestFit="1" customWidth="1"/>
    <col min="2" max="2" width="15.83203125" style="9" bestFit="1" customWidth="1"/>
    <col min="3" max="3" width="26" style="9" bestFit="1" customWidth="1"/>
    <col min="4" max="4" width="21.5" style="9" bestFit="1" customWidth="1"/>
    <col min="5" max="5" width="10.5" style="9" bestFit="1" customWidth="1"/>
    <col min="6" max="6" width="20.83203125" style="9" customWidth="1"/>
    <col min="7" max="9" width="5.5" style="17" customWidth="1"/>
    <col min="10" max="10" width="4.83203125" style="17" customWidth="1"/>
    <col min="11" max="11" width="10.5" style="9" bestFit="1" customWidth="1"/>
    <col min="12" max="12" width="9.6640625" style="9" customWidth="1"/>
    <col min="13" max="13" width="20.33203125" style="9" customWidth="1"/>
  </cols>
  <sheetData>
    <row r="1" spans="1:13" s="2" customFormat="1" ht="29" customHeight="1">
      <c r="A1" s="44" t="s">
        <v>448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21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98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23</v>
      </c>
      <c r="C6" s="8" t="s">
        <v>24</v>
      </c>
      <c r="D6" s="8" t="s">
        <v>25</v>
      </c>
      <c r="E6" s="8" t="s">
        <v>497</v>
      </c>
      <c r="F6" s="8" t="s">
        <v>26</v>
      </c>
      <c r="G6" s="20" t="s">
        <v>27</v>
      </c>
      <c r="H6" s="20" t="s">
        <v>28</v>
      </c>
      <c r="I6" s="20" t="s">
        <v>29</v>
      </c>
      <c r="J6" s="19"/>
      <c r="K6" s="19" t="str">
        <f>"135,0"</f>
        <v>135,0</v>
      </c>
      <c r="L6" s="19" t="str">
        <f>"77,1660"</f>
        <v>77,1660</v>
      </c>
      <c r="M6" s="8" t="s">
        <v>449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4"/>
  <sheetViews>
    <sheetView workbookViewId="0">
      <selection sqref="A1:Q2"/>
    </sheetView>
  </sheetViews>
  <sheetFormatPr baseColWidth="10" defaultColWidth="8.83203125" defaultRowHeight="13"/>
  <cols>
    <col min="1" max="1" width="7.5" style="9" bestFit="1" customWidth="1"/>
    <col min="2" max="2" width="21" style="9" customWidth="1"/>
    <col min="3" max="3" width="26.5" style="9" bestFit="1" customWidth="1"/>
    <col min="4" max="4" width="21.5" style="9" bestFit="1" customWidth="1"/>
    <col min="5" max="5" width="10.5" style="9" bestFit="1" customWidth="1"/>
    <col min="6" max="6" width="21.6640625" style="9" customWidth="1"/>
    <col min="7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5" width="7.83203125" style="17" bestFit="1" customWidth="1"/>
    <col min="16" max="16" width="8.5" style="17" bestFit="1" customWidth="1"/>
    <col min="17" max="17" width="20.6640625" style="9" customWidth="1"/>
  </cols>
  <sheetData>
    <row r="1" spans="1:17" s="2" customFormat="1" ht="29" customHeight="1">
      <c r="A1" s="44" t="s">
        <v>432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56" t="s">
        <v>114</v>
      </c>
      <c r="L3" s="56"/>
      <c r="M3" s="56"/>
      <c r="N3" s="56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s="3" customFormat="1" ht="16">
      <c r="A5" s="42" t="s">
        <v>55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6"/>
      <c r="P5" s="6"/>
      <c r="Q5" s="5"/>
    </row>
    <row r="6" spans="1:17">
      <c r="A6" s="19">
        <v>1</v>
      </c>
      <c r="B6" s="8" t="s">
        <v>396</v>
      </c>
      <c r="C6" s="8" t="s">
        <v>397</v>
      </c>
      <c r="D6" s="8" t="s">
        <v>398</v>
      </c>
      <c r="E6" s="8" t="s">
        <v>496</v>
      </c>
      <c r="F6" s="8" t="s">
        <v>26</v>
      </c>
      <c r="G6" s="20" t="s">
        <v>111</v>
      </c>
      <c r="H6" s="21" t="s">
        <v>139</v>
      </c>
      <c r="I6" s="20" t="s">
        <v>139</v>
      </c>
      <c r="J6" s="19"/>
      <c r="K6" s="21" t="s">
        <v>143</v>
      </c>
      <c r="L6" s="20" t="s">
        <v>132</v>
      </c>
      <c r="M6" s="20" t="s">
        <v>144</v>
      </c>
      <c r="N6" s="19"/>
      <c r="O6" s="19" t="str">
        <f>"260,0"</f>
        <v>260,0</v>
      </c>
      <c r="P6" s="19" t="str">
        <f>"225,2120"</f>
        <v>225,2120</v>
      </c>
      <c r="Q6" s="8"/>
    </row>
    <row r="8" spans="1:17" ht="16">
      <c r="A8" s="57" t="s">
        <v>30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7">
      <c r="A9" s="19">
        <v>1</v>
      </c>
      <c r="B9" s="8" t="s">
        <v>399</v>
      </c>
      <c r="C9" s="8" t="s">
        <v>400</v>
      </c>
      <c r="D9" s="8" t="s">
        <v>401</v>
      </c>
      <c r="E9" s="8" t="s">
        <v>497</v>
      </c>
      <c r="F9" s="8" t="s">
        <v>267</v>
      </c>
      <c r="G9" s="20" t="s">
        <v>156</v>
      </c>
      <c r="H9" s="20" t="s">
        <v>27</v>
      </c>
      <c r="I9" s="20" t="s">
        <v>166</v>
      </c>
      <c r="J9" s="19"/>
      <c r="K9" s="20" t="s">
        <v>119</v>
      </c>
      <c r="L9" s="20" t="s">
        <v>213</v>
      </c>
      <c r="M9" s="20" t="s">
        <v>120</v>
      </c>
      <c r="N9" s="19"/>
      <c r="O9" s="19" t="str">
        <f>"310,0"</f>
        <v>310,0</v>
      </c>
      <c r="P9" s="19" t="str">
        <f>"197,1290"</f>
        <v>197,1290</v>
      </c>
      <c r="Q9" s="8" t="s">
        <v>462</v>
      </c>
    </row>
    <row r="11" spans="1:17" ht="16">
      <c r="A11" s="57" t="s">
        <v>219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7">
      <c r="A12" s="19">
        <v>1</v>
      </c>
      <c r="B12" s="8" t="s">
        <v>369</v>
      </c>
      <c r="C12" s="8" t="s">
        <v>370</v>
      </c>
      <c r="D12" s="8" t="s">
        <v>371</v>
      </c>
      <c r="E12" s="8" t="s">
        <v>500</v>
      </c>
      <c r="F12" s="8" t="s">
        <v>267</v>
      </c>
      <c r="G12" s="20" t="s">
        <v>29</v>
      </c>
      <c r="H12" s="21" t="s">
        <v>131</v>
      </c>
      <c r="I12" s="21" t="s">
        <v>131</v>
      </c>
      <c r="J12" s="19"/>
      <c r="K12" s="20" t="s">
        <v>165</v>
      </c>
      <c r="L12" s="21" t="s">
        <v>123</v>
      </c>
      <c r="M12" s="21" t="s">
        <v>123</v>
      </c>
      <c r="N12" s="19"/>
      <c r="O12" s="19" t="str">
        <f>"325,0"</f>
        <v>325,0</v>
      </c>
      <c r="P12" s="19" t="str">
        <f>"192,5300"</f>
        <v>192,5300</v>
      </c>
      <c r="Q12" s="8"/>
    </row>
    <row r="14" spans="1:17">
      <c r="G14" s="9"/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"/>
  <sheetViews>
    <sheetView workbookViewId="0">
      <selection activeCell="E11" sqref="E11"/>
    </sheetView>
  </sheetViews>
  <sheetFormatPr baseColWidth="10" defaultColWidth="8.83203125" defaultRowHeight="13"/>
  <cols>
    <col min="1" max="1" width="7.5" style="9" bestFit="1" customWidth="1"/>
    <col min="2" max="2" width="18.3320312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2.83203125" style="9" customWidth="1"/>
    <col min="7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5" width="7.83203125" style="17" bestFit="1" customWidth="1"/>
    <col min="16" max="16" width="8.5" style="17" bestFit="1" customWidth="1"/>
    <col min="17" max="17" width="19.1640625" style="9" customWidth="1"/>
  </cols>
  <sheetData>
    <row r="1" spans="1:17" s="2" customFormat="1" ht="29" customHeight="1">
      <c r="A1" s="44" t="s">
        <v>433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56" t="s">
        <v>114</v>
      </c>
      <c r="L3" s="56"/>
      <c r="M3" s="56"/>
      <c r="N3" s="56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s="3" customFormat="1" ht="16">
      <c r="A5" s="42" t="s">
        <v>73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6"/>
      <c r="P5" s="6"/>
      <c r="Q5" s="5"/>
    </row>
    <row r="6" spans="1:17">
      <c r="A6" s="19">
        <v>1</v>
      </c>
      <c r="B6" s="8" t="s">
        <v>384</v>
      </c>
      <c r="C6" s="8" t="s">
        <v>385</v>
      </c>
      <c r="D6" s="8" t="s">
        <v>246</v>
      </c>
      <c r="E6" s="8" t="s">
        <v>499</v>
      </c>
      <c r="F6" s="8" t="s">
        <v>26</v>
      </c>
      <c r="G6" s="20" t="s">
        <v>322</v>
      </c>
      <c r="H6" s="20" t="s">
        <v>34</v>
      </c>
      <c r="I6" s="21" t="s">
        <v>36</v>
      </c>
      <c r="J6" s="19"/>
      <c r="K6" s="20" t="s">
        <v>111</v>
      </c>
      <c r="L6" s="20" t="s">
        <v>139</v>
      </c>
      <c r="M6" s="19"/>
      <c r="N6" s="19"/>
      <c r="O6" s="19" t="str">
        <f>"190,0"</f>
        <v>190,0</v>
      </c>
      <c r="P6" s="19" t="str">
        <f>"235,5856"</f>
        <v>235,5856</v>
      </c>
      <c r="Q6" s="8"/>
    </row>
    <row r="8" spans="1:17" ht="16">
      <c r="A8" s="57" t="s">
        <v>22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7">
      <c r="A9" s="24">
        <v>1</v>
      </c>
      <c r="B9" s="22" t="s">
        <v>386</v>
      </c>
      <c r="C9" s="22" t="s">
        <v>387</v>
      </c>
      <c r="D9" s="22" t="s">
        <v>388</v>
      </c>
      <c r="E9" s="22" t="s">
        <v>497</v>
      </c>
      <c r="F9" s="22" t="s">
        <v>389</v>
      </c>
      <c r="G9" s="25" t="s">
        <v>390</v>
      </c>
      <c r="H9" s="25" t="s">
        <v>232</v>
      </c>
      <c r="I9" s="25" t="s">
        <v>124</v>
      </c>
      <c r="J9" s="24"/>
      <c r="K9" s="25" t="s">
        <v>377</v>
      </c>
      <c r="L9" s="29" t="s">
        <v>391</v>
      </c>
      <c r="M9" s="25" t="s">
        <v>392</v>
      </c>
      <c r="N9" s="24"/>
      <c r="O9" s="24" t="str">
        <f>"530,0"</f>
        <v>530,0</v>
      </c>
      <c r="P9" s="24" t="str">
        <f>"304,7500"</f>
        <v>304,7500</v>
      </c>
      <c r="Q9" s="22"/>
    </row>
    <row r="10" spans="1:17">
      <c r="A10" s="26">
        <v>2</v>
      </c>
      <c r="B10" s="23" t="s">
        <v>393</v>
      </c>
      <c r="C10" s="23" t="s">
        <v>394</v>
      </c>
      <c r="D10" s="23" t="s">
        <v>395</v>
      </c>
      <c r="E10" s="23" t="s">
        <v>497</v>
      </c>
      <c r="F10" s="23" t="s">
        <v>260</v>
      </c>
      <c r="G10" s="27" t="s">
        <v>120</v>
      </c>
      <c r="H10" s="27" t="s">
        <v>165</v>
      </c>
      <c r="I10" s="27" t="s">
        <v>123</v>
      </c>
      <c r="J10" s="26"/>
      <c r="K10" s="28" t="s">
        <v>381</v>
      </c>
      <c r="L10" s="27" t="s">
        <v>381</v>
      </c>
      <c r="M10" s="27" t="s">
        <v>382</v>
      </c>
      <c r="N10" s="26"/>
      <c r="O10" s="26" t="str">
        <f>"470,0"</f>
        <v>470,0</v>
      </c>
      <c r="P10" s="26" t="str">
        <f>"269,7330"</f>
        <v>269,7330</v>
      </c>
      <c r="Q10" s="23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0"/>
  <sheetViews>
    <sheetView topLeftCell="A11" workbookViewId="0">
      <selection activeCell="E41" sqref="E41"/>
    </sheetView>
  </sheetViews>
  <sheetFormatPr baseColWidth="10" defaultColWidth="8.83203125" defaultRowHeight="13"/>
  <cols>
    <col min="1" max="1" width="7.5" style="9" bestFit="1" customWidth="1"/>
    <col min="2" max="2" width="21.8320312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4.6640625" style="9" customWidth="1"/>
    <col min="7" max="9" width="5.5" style="17" customWidth="1"/>
    <col min="10" max="10" width="4.83203125" style="17" customWidth="1"/>
    <col min="11" max="11" width="10.5" style="17" bestFit="1" customWidth="1"/>
    <col min="12" max="12" width="12.1640625" style="17" customWidth="1"/>
    <col min="13" max="13" width="28.5" style="9" bestFit="1" customWidth="1"/>
  </cols>
  <sheetData>
    <row r="1" spans="1:13" s="2" customFormat="1" ht="29" customHeight="1">
      <c r="A1" s="44" t="s">
        <v>441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55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234</v>
      </c>
      <c r="C6" s="8" t="s">
        <v>235</v>
      </c>
      <c r="D6" s="8" t="s">
        <v>236</v>
      </c>
      <c r="E6" s="8" t="s">
        <v>497</v>
      </c>
      <c r="F6" s="8" t="s">
        <v>26</v>
      </c>
      <c r="G6" s="21" t="s">
        <v>44</v>
      </c>
      <c r="H6" s="21" t="s">
        <v>44</v>
      </c>
      <c r="I6" s="20" t="s">
        <v>44</v>
      </c>
      <c r="J6" s="19"/>
      <c r="K6" s="19" t="str">
        <f>"55,0"</f>
        <v>55,0</v>
      </c>
      <c r="L6" s="19" t="str">
        <f>"62,9585"</f>
        <v>62,9585</v>
      </c>
      <c r="M6" s="8" t="s">
        <v>474</v>
      </c>
    </row>
    <row r="8" spans="1:13" ht="16">
      <c r="A8" s="57" t="s">
        <v>37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9">
        <v>1</v>
      </c>
      <c r="B9" s="8" t="s">
        <v>237</v>
      </c>
      <c r="C9" s="8" t="s">
        <v>238</v>
      </c>
      <c r="D9" s="8" t="s">
        <v>239</v>
      </c>
      <c r="E9" s="8" t="s">
        <v>500</v>
      </c>
      <c r="F9" s="8" t="s">
        <v>491</v>
      </c>
      <c r="G9" s="21" t="s">
        <v>121</v>
      </c>
      <c r="H9" s="21" t="s">
        <v>121</v>
      </c>
      <c r="I9" s="20" t="s">
        <v>121</v>
      </c>
      <c r="J9" s="19"/>
      <c r="K9" s="19" t="str">
        <f>"110,0"</f>
        <v>110,0</v>
      </c>
      <c r="L9" s="19" t="str">
        <f>"86,4820"</f>
        <v>86,4820</v>
      </c>
      <c r="M9" s="8"/>
    </row>
    <row r="11" spans="1:13" ht="16">
      <c r="A11" s="57" t="s">
        <v>73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24">
        <v>1</v>
      </c>
      <c r="B12" s="22" t="s">
        <v>240</v>
      </c>
      <c r="C12" s="22" t="s">
        <v>241</v>
      </c>
      <c r="D12" s="22" t="s">
        <v>242</v>
      </c>
      <c r="E12" s="22" t="s">
        <v>496</v>
      </c>
      <c r="F12" s="22" t="s">
        <v>26</v>
      </c>
      <c r="G12" s="25" t="s">
        <v>122</v>
      </c>
      <c r="H12" s="25" t="s">
        <v>243</v>
      </c>
      <c r="I12" s="25" t="s">
        <v>27</v>
      </c>
      <c r="J12" s="24"/>
      <c r="K12" s="24" t="str">
        <f>"125,0"</f>
        <v>125,0</v>
      </c>
      <c r="L12" s="24" t="str">
        <f>"93,3625"</f>
        <v>93,3625</v>
      </c>
      <c r="M12" s="22" t="s">
        <v>459</v>
      </c>
    </row>
    <row r="13" spans="1:13">
      <c r="A13" s="31">
        <v>1</v>
      </c>
      <c r="B13" s="30" t="s">
        <v>244</v>
      </c>
      <c r="C13" s="30" t="s">
        <v>245</v>
      </c>
      <c r="D13" s="30" t="s">
        <v>246</v>
      </c>
      <c r="E13" s="30" t="s">
        <v>497</v>
      </c>
      <c r="F13" s="30" t="s">
        <v>26</v>
      </c>
      <c r="G13" s="32" t="s">
        <v>122</v>
      </c>
      <c r="H13" s="32" t="s">
        <v>243</v>
      </c>
      <c r="I13" s="32" t="s">
        <v>141</v>
      </c>
      <c r="J13" s="31"/>
      <c r="K13" s="31" t="str">
        <f>"127,5"</f>
        <v>127,5</v>
      </c>
      <c r="L13" s="31" t="str">
        <f>"90,8565"</f>
        <v>90,8565</v>
      </c>
      <c r="M13" s="30" t="s">
        <v>459</v>
      </c>
    </row>
    <row r="14" spans="1:13">
      <c r="A14" s="26">
        <v>2</v>
      </c>
      <c r="B14" s="23" t="s">
        <v>247</v>
      </c>
      <c r="C14" s="23" t="s">
        <v>248</v>
      </c>
      <c r="D14" s="23" t="s">
        <v>249</v>
      </c>
      <c r="E14" s="23" t="s">
        <v>497</v>
      </c>
      <c r="F14" s="23" t="s">
        <v>201</v>
      </c>
      <c r="G14" s="27" t="s">
        <v>156</v>
      </c>
      <c r="H14" s="28" t="s">
        <v>141</v>
      </c>
      <c r="I14" s="28" t="s">
        <v>141</v>
      </c>
      <c r="J14" s="26"/>
      <c r="K14" s="26" t="str">
        <f>"120,0"</f>
        <v>120,0</v>
      </c>
      <c r="L14" s="26" t="str">
        <f>"86,8200"</f>
        <v>86,8200</v>
      </c>
      <c r="M14" s="23" t="s">
        <v>250</v>
      </c>
    </row>
    <row r="16" spans="1:13" ht="16">
      <c r="A16" s="57" t="s">
        <v>40</v>
      </c>
      <c r="B16" s="57"/>
      <c r="C16" s="57"/>
      <c r="D16" s="57"/>
      <c r="E16" s="57"/>
      <c r="F16" s="57"/>
      <c r="G16" s="57"/>
      <c r="H16" s="57"/>
      <c r="I16" s="57"/>
      <c r="J16" s="57"/>
    </row>
    <row r="17" spans="1:13">
      <c r="A17" s="24">
        <v>1</v>
      </c>
      <c r="B17" s="22" t="s">
        <v>251</v>
      </c>
      <c r="C17" s="22" t="s">
        <v>252</v>
      </c>
      <c r="D17" s="22" t="s">
        <v>83</v>
      </c>
      <c r="E17" s="22" t="s">
        <v>500</v>
      </c>
      <c r="F17" s="22" t="s">
        <v>26</v>
      </c>
      <c r="G17" s="25" t="s">
        <v>253</v>
      </c>
      <c r="H17" s="29" t="s">
        <v>141</v>
      </c>
      <c r="I17" s="29" t="s">
        <v>141</v>
      </c>
      <c r="J17" s="24"/>
      <c r="K17" s="24" t="str">
        <f>"112,5"</f>
        <v>112,5</v>
      </c>
      <c r="L17" s="24" t="str">
        <f>"76,3312"</f>
        <v>76,3312</v>
      </c>
      <c r="M17" s="22" t="s">
        <v>254</v>
      </c>
    </row>
    <row r="18" spans="1:13">
      <c r="A18" s="31">
        <v>1</v>
      </c>
      <c r="B18" s="30" t="s">
        <v>198</v>
      </c>
      <c r="C18" s="30" t="s">
        <v>199</v>
      </c>
      <c r="D18" s="30" t="s">
        <v>200</v>
      </c>
      <c r="E18" s="30" t="s">
        <v>497</v>
      </c>
      <c r="F18" s="30" t="s">
        <v>201</v>
      </c>
      <c r="G18" s="32" t="s">
        <v>165</v>
      </c>
      <c r="H18" s="32" t="s">
        <v>123</v>
      </c>
      <c r="I18" s="33" t="s">
        <v>177</v>
      </c>
      <c r="J18" s="31"/>
      <c r="K18" s="31" t="str">
        <f>"200,0"</f>
        <v>200,0</v>
      </c>
      <c r="L18" s="31" t="str">
        <f>"136,3200"</f>
        <v>136,3200</v>
      </c>
      <c r="M18" s="30"/>
    </row>
    <row r="19" spans="1:13">
      <c r="A19" s="31">
        <v>2</v>
      </c>
      <c r="B19" s="30" t="s">
        <v>255</v>
      </c>
      <c r="C19" s="30" t="s">
        <v>256</v>
      </c>
      <c r="D19" s="30" t="s">
        <v>159</v>
      </c>
      <c r="E19" s="30" t="s">
        <v>497</v>
      </c>
      <c r="F19" s="30" t="s">
        <v>26</v>
      </c>
      <c r="G19" s="32" t="s">
        <v>156</v>
      </c>
      <c r="H19" s="32" t="s">
        <v>141</v>
      </c>
      <c r="I19" s="33" t="s">
        <v>28</v>
      </c>
      <c r="J19" s="31"/>
      <c r="K19" s="31" t="str">
        <f>"127,5"</f>
        <v>127,5</v>
      </c>
      <c r="L19" s="31" t="str">
        <f>"85,9860"</f>
        <v>85,9860</v>
      </c>
      <c r="M19" s="30"/>
    </row>
    <row r="20" spans="1:13">
      <c r="A20" s="31">
        <v>3</v>
      </c>
      <c r="B20" s="30" t="s">
        <v>257</v>
      </c>
      <c r="C20" s="30" t="s">
        <v>258</v>
      </c>
      <c r="D20" s="30" t="s">
        <v>259</v>
      </c>
      <c r="E20" s="30" t="s">
        <v>497</v>
      </c>
      <c r="F20" s="30" t="s">
        <v>260</v>
      </c>
      <c r="G20" s="33" t="s">
        <v>156</v>
      </c>
      <c r="H20" s="32" t="s">
        <v>156</v>
      </c>
      <c r="I20" s="33" t="s">
        <v>141</v>
      </c>
      <c r="J20" s="31"/>
      <c r="K20" s="31" t="str">
        <f>"120,0"</f>
        <v>120,0</v>
      </c>
      <c r="L20" s="31" t="str">
        <f>"81,0480"</f>
        <v>81,0480</v>
      </c>
      <c r="M20" s="30"/>
    </row>
    <row r="21" spans="1:13">
      <c r="A21" s="31">
        <v>1</v>
      </c>
      <c r="B21" s="30" t="s">
        <v>174</v>
      </c>
      <c r="C21" s="30" t="s">
        <v>175</v>
      </c>
      <c r="D21" s="30" t="s">
        <v>176</v>
      </c>
      <c r="E21" s="30" t="s">
        <v>501</v>
      </c>
      <c r="F21" s="30" t="s">
        <v>26</v>
      </c>
      <c r="G21" s="32" t="s">
        <v>143</v>
      </c>
      <c r="H21" s="31"/>
      <c r="I21" s="31"/>
      <c r="J21" s="31"/>
      <c r="K21" s="31" t="str">
        <f>"145,0"</f>
        <v>145,0</v>
      </c>
      <c r="L21" s="31" t="str">
        <f>"100,6155"</f>
        <v>100,6155</v>
      </c>
      <c r="M21" s="30"/>
    </row>
    <row r="22" spans="1:13">
      <c r="A22" s="26">
        <v>2</v>
      </c>
      <c r="B22" s="23" t="s">
        <v>261</v>
      </c>
      <c r="C22" s="23" t="s">
        <v>262</v>
      </c>
      <c r="D22" s="23" t="s">
        <v>263</v>
      </c>
      <c r="E22" s="23" t="s">
        <v>501</v>
      </c>
      <c r="F22" s="23" t="s">
        <v>26</v>
      </c>
      <c r="G22" s="27" t="s">
        <v>29</v>
      </c>
      <c r="H22" s="28" t="s">
        <v>143</v>
      </c>
      <c r="I22" s="28" t="s">
        <v>143</v>
      </c>
      <c r="J22" s="26"/>
      <c r="K22" s="26" t="str">
        <f>"135,0"</f>
        <v>135,0</v>
      </c>
      <c r="L22" s="26" t="str">
        <f>"90,5040"</f>
        <v>90,5040</v>
      </c>
      <c r="M22" s="23" t="s">
        <v>459</v>
      </c>
    </row>
    <row r="24" spans="1:13" ht="16">
      <c r="A24" s="57" t="s">
        <v>125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3">
      <c r="A25" s="24">
        <v>1</v>
      </c>
      <c r="B25" s="22" t="s">
        <v>264</v>
      </c>
      <c r="C25" s="22" t="s">
        <v>265</v>
      </c>
      <c r="D25" s="22" t="s">
        <v>266</v>
      </c>
      <c r="E25" s="22" t="s">
        <v>497</v>
      </c>
      <c r="F25" s="22" t="s">
        <v>267</v>
      </c>
      <c r="G25" s="25" t="s">
        <v>187</v>
      </c>
      <c r="H25" s="25" t="s">
        <v>193</v>
      </c>
      <c r="I25" s="25" t="s">
        <v>217</v>
      </c>
      <c r="J25" s="24"/>
      <c r="K25" s="24" t="str">
        <f>"165,0"</f>
        <v>165,0</v>
      </c>
      <c r="L25" s="24" t="str">
        <f>"106,5075"</f>
        <v>106,5075</v>
      </c>
      <c r="M25" s="22"/>
    </row>
    <row r="26" spans="1:13">
      <c r="A26" s="31">
        <v>2</v>
      </c>
      <c r="B26" s="30" t="s">
        <v>268</v>
      </c>
      <c r="C26" s="30" t="s">
        <v>269</v>
      </c>
      <c r="D26" s="30" t="s">
        <v>270</v>
      </c>
      <c r="E26" s="30" t="s">
        <v>497</v>
      </c>
      <c r="F26" s="30" t="s">
        <v>489</v>
      </c>
      <c r="G26" s="32" t="s">
        <v>271</v>
      </c>
      <c r="H26" s="32" t="s">
        <v>187</v>
      </c>
      <c r="I26" s="32" t="s">
        <v>193</v>
      </c>
      <c r="J26" s="31"/>
      <c r="K26" s="31" t="str">
        <f>"157,5"</f>
        <v>157,5</v>
      </c>
      <c r="L26" s="31" t="str">
        <f>"102,9420"</f>
        <v>102,9420</v>
      </c>
      <c r="M26" s="30"/>
    </row>
    <row r="27" spans="1:13">
      <c r="A27" s="31">
        <v>3</v>
      </c>
      <c r="B27" s="30" t="s">
        <v>272</v>
      </c>
      <c r="C27" s="30" t="s">
        <v>273</v>
      </c>
      <c r="D27" s="30" t="s">
        <v>274</v>
      </c>
      <c r="E27" s="30" t="s">
        <v>497</v>
      </c>
      <c r="F27" s="30" t="s">
        <v>26</v>
      </c>
      <c r="G27" s="32" t="s">
        <v>121</v>
      </c>
      <c r="H27" s="33" t="s">
        <v>156</v>
      </c>
      <c r="I27" s="32" t="s">
        <v>156</v>
      </c>
      <c r="J27" s="31"/>
      <c r="K27" s="31" t="str">
        <f>"120,0"</f>
        <v>120,0</v>
      </c>
      <c r="L27" s="31" t="str">
        <f>"77,0520"</f>
        <v>77,0520</v>
      </c>
      <c r="M27" s="30" t="s">
        <v>459</v>
      </c>
    </row>
    <row r="28" spans="1:13">
      <c r="A28" s="26">
        <v>1</v>
      </c>
      <c r="B28" s="23" t="s">
        <v>275</v>
      </c>
      <c r="C28" s="23" t="s">
        <v>276</v>
      </c>
      <c r="D28" s="23" t="s">
        <v>277</v>
      </c>
      <c r="E28" s="23" t="s">
        <v>501</v>
      </c>
      <c r="F28" s="23" t="s">
        <v>26</v>
      </c>
      <c r="G28" s="28" t="s">
        <v>28</v>
      </c>
      <c r="H28" s="27" t="s">
        <v>28</v>
      </c>
      <c r="I28" s="28" t="s">
        <v>131</v>
      </c>
      <c r="J28" s="26"/>
      <c r="K28" s="26" t="str">
        <f>"132,5"</f>
        <v>132,5</v>
      </c>
      <c r="L28" s="26" t="str">
        <f>"86,1162"</f>
        <v>86,1162</v>
      </c>
      <c r="M28" s="23" t="s">
        <v>475</v>
      </c>
    </row>
    <row r="30" spans="1:13" ht="16">
      <c r="A30" s="57" t="s">
        <v>30</v>
      </c>
      <c r="B30" s="57"/>
      <c r="C30" s="57"/>
      <c r="D30" s="57"/>
      <c r="E30" s="57"/>
      <c r="F30" s="57"/>
      <c r="G30" s="57"/>
      <c r="H30" s="57"/>
      <c r="I30" s="57"/>
      <c r="J30" s="57"/>
    </row>
    <row r="31" spans="1:13">
      <c r="A31" s="24">
        <v>1</v>
      </c>
      <c r="B31" s="22" t="s">
        <v>108</v>
      </c>
      <c r="C31" s="22" t="s">
        <v>278</v>
      </c>
      <c r="D31" s="22" t="s">
        <v>109</v>
      </c>
      <c r="E31" s="22" t="s">
        <v>497</v>
      </c>
      <c r="F31" s="22" t="s">
        <v>26</v>
      </c>
      <c r="G31" s="25" t="s">
        <v>279</v>
      </c>
      <c r="H31" s="25" t="s">
        <v>145</v>
      </c>
      <c r="I31" s="25" t="s">
        <v>119</v>
      </c>
      <c r="J31" s="24"/>
      <c r="K31" s="24" t="str">
        <f>"170,0"</f>
        <v>170,0</v>
      </c>
      <c r="L31" s="24" t="str">
        <f>"103,5810"</f>
        <v>103,5810</v>
      </c>
      <c r="M31" s="22" t="s">
        <v>449</v>
      </c>
    </row>
    <row r="32" spans="1:13">
      <c r="A32" s="31">
        <v>2</v>
      </c>
      <c r="B32" s="30" t="s">
        <v>280</v>
      </c>
      <c r="C32" s="30" t="s">
        <v>281</v>
      </c>
      <c r="D32" s="30" t="s">
        <v>282</v>
      </c>
      <c r="E32" s="30" t="s">
        <v>497</v>
      </c>
      <c r="F32" s="30" t="s">
        <v>26</v>
      </c>
      <c r="G32" s="33" t="s">
        <v>166</v>
      </c>
      <c r="H32" s="32" t="s">
        <v>131</v>
      </c>
      <c r="I32" s="31"/>
      <c r="J32" s="31"/>
      <c r="K32" s="31" t="str">
        <f>"140,0"</f>
        <v>140,0</v>
      </c>
      <c r="L32" s="31" t="str">
        <f>"86,4360"</f>
        <v>86,4360</v>
      </c>
      <c r="M32" s="30"/>
    </row>
    <row r="33" spans="1:13">
      <c r="A33" s="31">
        <v>3</v>
      </c>
      <c r="B33" s="30" t="s">
        <v>31</v>
      </c>
      <c r="C33" s="30" t="s">
        <v>32</v>
      </c>
      <c r="D33" s="30" t="s">
        <v>33</v>
      </c>
      <c r="E33" s="30" t="s">
        <v>497</v>
      </c>
      <c r="F33" s="30" t="s">
        <v>26</v>
      </c>
      <c r="G33" s="32" t="s">
        <v>27</v>
      </c>
      <c r="H33" s="33" t="s">
        <v>166</v>
      </c>
      <c r="I33" s="33" t="s">
        <v>166</v>
      </c>
      <c r="J33" s="31"/>
      <c r="K33" s="31" t="str">
        <f>"125,0"</f>
        <v>125,0</v>
      </c>
      <c r="L33" s="31" t="str">
        <f>"76,2000"</f>
        <v>76,2000</v>
      </c>
      <c r="M33" s="30" t="s">
        <v>476</v>
      </c>
    </row>
    <row r="34" spans="1:13">
      <c r="A34" s="26">
        <v>1</v>
      </c>
      <c r="B34" s="23" t="s">
        <v>283</v>
      </c>
      <c r="C34" s="23" t="s">
        <v>284</v>
      </c>
      <c r="D34" s="23" t="s">
        <v>207</v>
      </c>
      <c r="E34" s="23" t="s">
        <v>501</v>
      </c>
      <c r="F34" s="23" t="s">
        <v>267</v>
      </c>
      <c r="G34" s="27" t="s">
        <v>131</v>
      </c>
      <c r="H34" s="27" t="s">
        <v>143</v>
      </c>
      <c r="I34" s="28" t="s">
        <v>132</v>
      </c>
      <c r="J34" s="26"/>
      <c r="K34" s="26" t="str">
        <f>"145,0"</f>
        <v>145,0</v>
      </c>
      <c r="L34" s="26" t="str">
        <f>"93,9261"</f>
        <v>93,9261</v>
      </c>
      <c r="M34" s="23" t="s">
        <v>462</v>
      </c>
    </row>
    <row r="36" spans="1:13" ht="16">
      <c r="A36" s="57" t="s">
        <v>219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3">
      <c r="A37" s="19">
        <v>1</v>
      </c>
      <c r="B37" s="8" t="s">
        <v>285</v>
      </c>
      <c r="C37" s="8" t="s">
        <v>286</v>
      </c>
      <c r="D37" s="8" t="s">
        <v>287</v>
      </c>
      <c r="E37" s="8" t="s">
        <v>497</v>
      </c>
      <c r="F37" s="8" t="s">
        <v>267</v>
      </c>
      <c r="G37" s="20" t="s">
        <v>156</v>
      </c>
      <c r="H37" s="21" t="s">
        <v>27</v>
      </c>
      <c r="I37" s="21" t="s">
        <v>166</v>
      </c>
      <c r="J37" s="19"/>
      <c r="K37" s="19" t="str">
        <f>"120,0"</f>
        <v>120,0</v>
      </c>
      <c r="L37" s="19" t="str">
        <f>"72,1080"</f>
        <v>72,1080</v>
      </c>
      <c r="M37" s="8"/>
    </row>
    <row r="39" spans="1:13" ht="16">
      <c r="A39" s="57" t="s">
        <v>22</v>
      </c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9">
        <v>1</v>
      </c>
      <c r="B40" s="8" t="s">
        <v>288</v>
      </c>
      <c r="C40" s="8" t="s">
        <v>289</v>
      </c>
      <c r="D40" s="8" t="s">
        <v>290</v>
      </c>
      <c r="E40" s="8" t="s">
        <v>501</v>
      </c>
      <c r="F40" s="8" t="s">
        <v>26</v>
      </c>
      <c r="G40" s="20" t="s">
        <v>160</v>
      </c>
      <c r="H40" s="20" t="s">
        <v>145</v>
      </c>
      <c r="I40" s="19"/>
      <c r="J40" s="19"/>
      <c r="K40" s="19" t="str">
        <f>"167,5"</f>
        <v>167,5</v>
      </c>
      <c r="L40" s="19" t="str">
        <f>"96,4967"</f>
        <v>96,4967</v>
      </c>
      <c r="M40" s="8" t="s">
        <v>459</v>
      </c>
    </row>
    <row r="42" spans="1:13" ht="16">
      <c r="F42" s="10"/>
      <c r="G42" s="9"/>
    </row>
    <row r="43" spans="1:13">
      <c r="G43" s="9"/>
    </row>
    <row r="44" spans="1:13" ht="18">
      <c r="B44" s="11" t="s">
        <v>12</v>
      </c>
      <c r="C44" s="11"/>
    </row>
    <row r="45" spans="1:13" ht="16">
      <c r="B45" s="12" t="s">
        <v>13</v>
      </c>
      <c r="C45" s="12"/>
    </row>
    <row r="46" spans="1:13" ht="14">
      <c r="B46" s="13"/>
      <c r="C46" s="14" t="s">
        <v>14</v>
      </c>
    </row>
    <row r="47" spans="1:13" ht="14">
      <c r="B47" s="15" t="s">
        <v>15</v>
      </c>
      <c r="C47" s="15" t="s">
        <v>16</v>
      </c>
      <c r="D47" s="15" t="s">
        <v>463</v>
      </c>
      <c r="E47" s="15" t="s">
        <v>17</v>
      </c>
      <c r="F47" s="15" t="s">
        <v>99</v>
      </c>
    </row>
    <row r="48" spans="1:13">
      <c r="B48" s="9" t="s">
        <v>198</v>
      </c>
      <c r="C48" s="9" t="s">
        <v>14</v>
      </c>
      <c r="D48" s="17">
        <v>82.5</v>
      </c>
      <c r="E48" s="18">
        <v>200</v>
      </c>
      <c r="F48" s="16">
        <v>136.31999492645301</v>
      </c>
    </row>
    <row r="49" spans="2:6">
      <c r="B49" s="9" t="s">
        <v>264</v>
      </c>
      <c r="C49" s="9" t="s">
        <v>14</v>
      </c>
      <c r="D49" s="17">
        <v>90</v>
      </c>
      <c r="E49" s="18">
        <v>165</v>
      </c>
      <c r="F49" s="16">
        <v>106.507500708103</v>
      </c>
    </row>
    <row r="50" spans="2:6">
      <c r="B50" s="9" t="s">
        <v>108</v>
      </c>
      <c r="C50" s="9" t="s">
        <v>14</v>
      </c>
      <c r="D50" s="17">
        <v>100</v>
      </c>
      <c r="E50" s="18">
        <v>170</v>
      </c>
      <c r="F50" s="16">
        <v>103.58100295066799</v>
      </c>
    </row>
  </sheetData>
  <mergeCells count="19">
    <mergeCell ref="A39:J39"/>
    <mergeCell ref="B3:B4"/>
    <mergeCell ref="A8:J8"/>
    <mergeCell ref="A11:J11"/>
    <mergeCell ref="A16:J16"/>
    <mergeCell ref="A24:J24"/>
    <mergeCell ref="A30:J30"/>
    <mergeCell ref="A36:J3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8"/>
  <sheetViews>
    <sheetView workbookViewId="0">
      <selection activeCell="E29" sqref="E29"/>
    </sheetView>
  </sheetViews>
  <sheetFormatPr baseColWidth="10" defaultColWidth="8.83203125" defaultRowHeight="13"/>
  <cols>
    <col min="1" max="1" width="7.5" style="9" bestFit="1" customWidth="1"/>
    <col min="2" max="2" width="20.664062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2.83203125" style="9" customWidth="1"/>
    <col min="7" max="10" width="5.5" style="17" customWidth="1"/>
    <col min="11" max="11" width="10.5" style="17" bestFit="1" customWidth="1"/>
    <col min="12" max="12" width="11.83203125" style="17" customWidth="1"/>
    <col min="13" max="13" width="21.33203125" style="9" customWidth="1"/>
  </cols>
  <sheetData>
    <row r="1" spans="1:13" s="2" customFormat="1" ht="29" customHeight="1">
      <c r="A1" s="44" t="s">
        <v>442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188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189</v>
      </c>
      <c r="C6" s="8" t="s">
        <v>190</v>
      </c>
      <c r="D6" s="8" t="s">
        <v>191</v>
      </c>
      <c r="E6" s="8" t="s">
        <v>498</v>
      </c>
      <c r="F6" s="8" t="s">
        <v>26</v>
      </c>
      <c r="G6" s="20" t="s">
        <v>192</v>
      </c>
      <c r="H6" s="20" t="s">
        <v>60</v>
      </c>
      <c r="I6" s="20" t="s">
        <v>63</v>
      </c>
      <c r="J6" s="19"/>
      <c r="K6" s="19" t="str">
        <f>"45,0"</f>
        <v>45,0</v>
      </c>
      <c r="L6" s="19" t="str">
        <f>"52,1640"</f>
        <v>52,1640</v>
      </c>
      <c r="M6" s="8" t="s">
        <v>477</v>
      </c>
    </row>
    <row r="8" spans="1:13" ht="16">
      <c r="A8" s="57" t="s">
        <v>73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9">
        <v>1</v>
      </c>
      <c r="B9" s="8" t="s">
        <v>184</v>
      </c>
      <c r="C9" s="8" t="s">
        <v>185</v>
      </c>
      <c r="D9" s="8" t="s">
        <v>186</v>
      </c>
      <c r="E9" s="8" t="s">
        <v>500</v>
      </c>
      <c r="F9" s="8" t="s">
        <v>51</v>
      </c>
      <c r="G9" s="20" t="s">
        <v>132</v>
      </c>
      <c r="H9" s="20" t="s">
        <v>144</v>
      </c>
      <c r="I9" s="20" t="s">
        <v>193</v>
      </c>
      <c r="J9" s="19"/>
      <c r="K9" s="19" t="str">
        <f>"157,5"</f>
        <v>157,5</v>
      </c>
      <c r="L9" s="19" t="str">
        <f>"114,8648"</f>
        <v>114,8648</v>
      </c>
      <c r="M9" s="8"/>
    </row>
    <row r="11" spans="1:13" ht="16">
      <c r="A11" s="57" t="s">
        <v>40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24">
        <v>1</v>
      </c>
      <c r="B12" s="22" t="s">
        <v>194</v>
      </c>
      <c r="C12" s="22" t="s">
        <v>195</v>
      </c>
      <c r="D12" s="22" t="s">
        <v>196</v>
      </c>
      <c r="E12" s="22" t="s">
        <v>498</v>
      </c>
      <c r="F12" s="22" t="s">
        <v>26</v>
      </c>
      <c r="G12" s="25" t="s">
        <v>197</v>
      </c>
      <c r="H12" s="25" t="s">
        <v>38</v>
      </c>
      <c r="I12" s="29" t="s">
        <v>90</v>
      </c>
      <c r="J12" s="24"/>
      <c r="K12" s="24" t="str">
        <f>"67,5"</f>
        <v>67,5</v>
      </c>
      <c r="L12" s="24" t="str">
        <f>"46,3792"</f>
        <v>46,3792</v>
      </c>
      <c r="M12" s="22"/>
    </row>
    <row r="13" spans="1:13">
      <c r="A13" s="31">
        <v>1</v>
      </c>
      <c r="B13" s="30" t="s">
        <v>198</v>
      </c>
      <c r="C13" s="30" t="s">
        <v>199</v>
      </c>
      <c r="D13" s="30" t="s">
        <v>200</v>
      </c>
      <c r="E13" s="30" t="s">
        <v>497</v>
      </c>
      <c r="F13" s="30" t="s">
        <v>201</v>
      </c>
      <c r="G13" s="32" t="s">
        <v>165</v>
      </c>
      <c r="H13" s="32" t="s">
        <v>123</v>
      </c>
      <c r="I13" s="33" t="s">
        <v>177</v>
      </c>
      <c r="J13" s="31"/>
      <c r="K13" s="31" t="str">
        <f>"200,0"</f>
        <v>200,0</v>
      </c>
      <c r="L13" s="31" t="str">
        <f>"136,3200"</f>
        <v>136,3200</v>
      </c>
      <c r="M13" s="30"/>
    </row>
    <row r="14" spans="1:13">
      <c r="A14" s="31">
        <v>2</v>
      </c>
      <c r="B14" s="30" t="s">
        <v>202</v>
      </c>
      <c r="C14" s="30" t="s">
        <v>203</v>
      </c>
      <c r="D14" s="30" t="s">
        <v>159</v>
      </c>
      <c r="E14" s="30" t="s">
        <v>497</v>
      </c>
      <c r="F14" s="30" t="s">
        <v>26</v>
      </c>
      <c r="G14" s="32" t="s">
        <v>144</v>
      </c>
      <c r="H14" s="32" t="s">
        <v>119</v>
      </c>
      <c r="I14" s="32" t="s">
        <v>204</v>
      </c>
      <c r="J14" s="31"/>
      <c r="K14" s="31" t="str">
        <f>"177,5"</f>
        <v>177,5</v>
      </c>
      <c r="L14" s="31" t="str">
        <f>"119,7060"</f>
        <v>119,7060</v>
      </c>
      <c r="M14" s="30" t="s">
        <v>478</v>
      </c>
    </row>
    <row r="15" spans="1:13">
      <c r="A15" s="26">
        <v>1</v>
      </c>
      <c r="B15" s="23" t="s">
        <v>174</v>
      </c>
      <c r="C15" s="23" t="s">
        <v>175</v>
      </c>
      <c r="D15" s="23" t="s">
        <v>176</v>
      </c>
      <c r="E15" s="23" t="s">
        <v>501</v>
      </c>
      <c r="F15" s="23" t="s">
        <v>26</v>
      </c>
      <c r="G15" s="27" t="s">
        <v>143</v>
      </c>
      <c r="H15" s="26"/>
      <c r="I15" s="26"/>
      <c r="J15" s="26"/>
      <c r="K15" s="26" t="str">
        <f>"145,0"</f>
        <v>145,0</v>
      </c>
      <c r="L15" s="26" t="str">
        <f>"100,6155"</f>
        <v>100,6155</v>
      </c>
      <c r="M15" s="23"/>
    </row>
    <row r="17" spans="1:13" ht="16">
      <c r="A17" s="57" t="s">
        <v>30</v>
      </c>
      <c r="B17" s="57"/>
      <c r="C17" s="57"/>
      <c r="D17" s="57"/>
      <c r="E17" s="57"/>
      <c r="F17" s="57"/>
      <c r="G17" s="57"/>
      <c r="H17" s="57"/>
      <c r="I17" s="57"/>
      <c r="J17" s="57"/>
    </row>
    <row r="18" spans="1:13">
      <c r="A18" s="24">
        <v>1</v>
      </c>
      <c r="B18" s="22" t="s">
        <v>205</v>
      </c>
      <c r="C18" s="22" t="s">
        <v>206</v>
      </c>
      <c r="D18" s="22" t="s">
        <v>207</v>
      </c>
      <c r="E18" s="22" t="s">
        <v>497</v>
      </c>
      <c r="F18" s="22" t="s">
        <v>208</v>
      </c>
      <c r="G18" s="25" t="s">
        <v>120</v>
      </c>
      <c r="H18" s="29" t="s">
        <v>209</v>
      </c>
      <c r="I18" s="29" t="s">
        <v>209</v>
      </c>
      <c r="J18" s="24"/>
      <c r="K18" s="24" t="str">
        <f>"180,0"</f>
        <v>180,0</v>
      </c>
      <c r="L18" s="24" t="str">
        <f>"109,9980"</f>
        <v>109,9980</v>
      </c>
      <c r="M18" s="22"/>
    </row>
    <row r="19" spans="1:13">
      <c r="A19" s="31">
        <v>2</v>
      </c>
      <c r="B19" s="30" t="s">
        <v>210</v>
      </c>
      <c r="C19" s="30" t="s">
        <v>211</v>
      </c>
      <c r="D19" s="30" t="s">
        <v>212</v>
      </c>
      <c r="E19" s="30" t="s">
        <v>497</v>
      </c>
      <c r="F19" s="30" t="s">
        <v>26</v>
      </c>
      <c r="G19" s="33" t="s">
        <v>213</v>
      </c>
      <c r="H19" s="33" t="s">
        <v>213</v>
      </c>
      <c r="I19" s="32" t="s">
        <v>213</v>
      </c>
      <c r="J19" s="31"/>
      <c r="K19" s="31" t="str">
        <f>"175,0"</f>
        <v>175,0</v>
      </c>
      <c r="L19" s="31" t="str">
        <f>"108,9025"</f>
        <v>108,9025</v>
      </c>
      <c r="M19" s="30"/>
    </row>
    <row r="20" spans="1:13">
      <c r="A20" s="26">
        <v>1</v>
      </c>
      <c r="B20" s="23" t="s">
        <v>214</v>
      </c>
      <c r="C20" s="23" t="s">
        <v>215</v>
      </c>
      <c r="D20" s="23" t="s">
        <v>216</v>
      </c>
      <c r="E20" s="23" t="s">
        <v>501</v>
      </c>
      <c r="F20" s="23" t="s">
        <v>26</v>
      </c>
      <c r="G20" s="28" t="s">
        <v>217</v>
      </c>
      <c r="H20" s="27" t="s">
        <v>217</v>
      </c>
      <c r="I20" s="28" t="s">
        <v>218</v>
      </c>
      <c r="J20" s="26"/>
      <c r="K20" s="26" t="str">
        <f>"165,0"</f>
        <v>165,0</v>
      </c>
      <c r="L20" s="26" t="str">
        <f>"103,1431"</f>
        <v>103,1431</v>
      </c>
      <c r="M20" s="23"/>
    </row>
    <row r="22" spans="1:13" ht="16">
      <c r="A22" s="57" t="s">
        <v>219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3">
      <c r="A23" s="19">
        <v>1</v>
      </c>
      <c r="B23" s="8" t="s">
        <v>220</v>
      </c>
      <c r="C23" s="8" t="s">
        <v>221</v>
      </c>
      <c r="D23" s="8" t="s">
        <v>222</v>
      </c>
      <c r="E23" s="8" t="s">
        <v>497</v>
      </c>
      <c r="F23" s="8" t="s">
        <v>223</v>
      </c>
      <c r="G23" s="21" t="s">
        <v>224</v>
      </c>
      <c r="H23" s="20" t="s">
        <v>224</v>
      </c>
      <c r="I23" s="21" t="s">
        <v>225</v>
      </c>
      <c r="J23" s="19"/>
      <c r="K23" s="19" t="str">
        <f>"185,0"</f>
        <v>185,0</v>
      </c>
      <c r="L23" s="19" t="str">
        <f>"109,4090"</f>
        <v>109,4090</v>
      </c>
      <c r="M23" s="8"/>
    </row>
    <row r="25" spans="1:13" ht="16">
      <c r="A25" s="57" t="s">
        <v>22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3">
      <c r="A26" s="24">
        <v>1</v>
      </c>
      <c r="B26" s="22" t="s">
        <v>226</v>
      </c>
      <c r="C26" s="22" t="s">
        <v>227</v>
      </c>
      <c r="D26" s="22" t="s">
        <v>228</v>
      </c>
      <c r="E26" s="22" t="s">
        <v>497</v>
      </c>
      <c r="F26" s="22" t="s">
        <v>26</v>
      </c>
      <c r="G26" s="29" t="s">
        <v>169</v>
      </c>
      <c r="H26" s="25" t="s">
        <v>181</v>
      </c>
      <c r="I26" s="25" t="s">
        <v>133</v>
      </c>
      <c r="J26" s="29" t="s">
        <v>182</v>
      </c>
      <c r="K26" s="24" t="str">
        <f>"240,0"</f>
        <v>240,0</v>
      </c>
      <c r="L26" s="24" t="str">
        <f>"139,0320"</f>
        <v>139,0320</v>
      </c>
      <c r="M26" s="22" t="s">
        <v>449</v>
      </c>
    </row>
    <row r="27" spans="1:13">
      <c r="A27" s="31">
        <v>2</v>
      </c>
      <c r="B27" s="30" t="s">
        <v>229</v>
      </c>
      <c r="C27" s="30" t="s">
        <v>230</v>
      </c>
      <c r="D27" s="30" t="s">
        <v>231</v>
      </c>
      <c r="E27" s="30" t="s">
        <v>497</v>
      </c>
      <c r="F27" s="30" t="s">
        <v>26</v>
      </c>
      <c r="G27" s="32" t="s">
        <v>232</v>
      </c>
      <c r="H27" s="33" t="s">
        <v>124</v>
      </c>
      <c r="I27" s="33" t="s">
        <v>124</v>
      </c>
      <c r="J27" s="31"/>
      <c r="K27" s="31" t="str">
        <f>"205,0"</f>
        <v>205,0</v>
      </c>
      <c r="L27" s="31" t="str">
        <f>"119,1460"</f>
        <v>119,1460</v>
      </c>
      <c r="M27" s="30" t="s">
        <v>479</v>
      </c>
    </row>
    <row r="28" spans="1:13">
      <c r="A28" s="26">
        <v>1</v>
      </c>
      <c r="B28" s="23" t="s">
        <v>226</v>
      </c>
      <c r="C28" s="23" t="s">
        <v>233</v>
      </c>
      <c r="D28" s="23" t="s">
        <v>228</v>
      </c>
      <c r="E28" s="23" t="s">
        <v>501</v>
      </c>
      <c r="F28" s="23" t="s">
        <v>26</v>
      </c>
      <c r="G28" s="28" t="s">
        <v>169</v>
      </c>
      <c r="H28" s="27" t="s">
        <v>181</v>
      </c>
      <c r="I28" s="27" t="s">
        <v>133</v>
      </c>
      <c r="J28" s="28" t="s">
        <v>182</v>
      </c>
      <c r="K28" s="26" t="str">
        <f>"240,0"</f>
        <v>240,0</v>
      </c>
      <c r="L28" s="26" t="str">
        <f>"142,9249"</f>
        <v>142,9249</v>
      </c>
      <c r="M28" s="23" t="s">
        <v>449</v>
      </c>
    </row>
    <row r="30" spans="1:13" ht="16">
      <c r="F30" s="10"/>
      <c r="G30" s="9"/>
    </row>
    <row r="31" spans="1:13">
      <c r="G31" s="9"/>
    </row>
    <row r="32" spans="1:13" ht="18">
      <c r="B32" s="11" t="s">
        <v>12</v>
      </c>
      <c r="C32" s="11"/>
    </row>
    <row r="33" spans="2:6" ht="16">
      <c r="B33" s="12" t="s">
        <v>13</v>
      </c>
      <c r="C33" s="12"/>
    </row>
    <row r="34" spans="2:6" ht="14">
      <c r="B34" s="13"/>
      <c r="C34" s="14" t="s">
        <v>14</v>
      </c>
    </row>
    <row r="35" spans="2:6" ht="14">
      <c r="B35" s="15" t="s">
        <v>15</v>
      </c>
      <c r="C35" s="15" t="s">
        <v>16</v>
      </c>
      <c r="D35" s="15" t="s">
        <v>463</v>
      </c>
      <c r="E35" s="15" t="s">
        <v>17</v>
      </c>
      <c r="F35" s="15" t="s">
        <v>99</v>
      </c>
    </row>
    <row r="36" spans="2:6">
      <c r="B36" s="9" t="s">
        <v>226</v>
      </c>
      <c r="C36" s="9" t="s">
        <v>14</v>
      </c>
      <c r="D36" s="17">
        <v>125</v>
      </c>
      <c r="E36" s="18">
        <v>240</v>
      </c>
      <c r="F36" s="16">
        <v>139.03199672699</v>
      </c>
    </row>
    <row r="37" spans="2:6">
      <c r="B37" s="9" t="s">
        <v>198</v>
      </c>
      <c r="C37" s="9" t="s">
        <v>14</v>
      </c>
      <c r="D37" s="17">
        <v>82.5</v>
      </c>
      <c r="E37" s="18">
        <v>200</v>
      </c>
      <c r="F37" s="16">
        <v>136.31999492645301</v>
      </c>
    </row>
    <row r="38" spans="2:6">
      <c r="B38" s="9" t="s">
        <v>202</v>
      </c>
      <c r="C38" s="9" t="s">
        <v>14</v>
      </c>
      <c r="D38" s="17">
        <v>82.5</v>
      </c>
      <c r="E38" s="18">
        <v>177.5</v>
      </c>
      <c r="F38" s="16">
        <v>119.70599502325101</v>
      </c>
    </row>
  </sheetData>
  <mergeCells count="17">
    <mergeCell ref="A25:J25"/>
    <mergeCell ref="A5:J5"/>
    <mergeCell ref="A8:J8"/>
    <mergeCell ref="A11:J11"/>
    <mergeCell ref="A17:J17"/>
    <mergeCell ref="A22:J22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9" bestFit="1" customWidth="1"/>
    <col min="2" max="2" width="22.5" style="9" customWidth="1"/>
    <col min="3" max="3" width="26" style="9" bestFit="1" customWidth="1"/>
    <col min="4" max="4" width="21.5" style="9" bestFit="1" customWidth="1"/>
    <col min="5" max="5" width="10.5" style="9" bestFit="1" customWidth="1"/>
    <col min="6" max="6" width="15.5" style="9" bestFit="1" customWidth="1"/>
    <col min="7" max="9" width="5.5" style="17" customWidth="1"/>
    <col min="10" max="10" width="4.83203125" style="17" customWidth="1"/>
    <col min="11" max="11" width="10.5" style="9" bestFit="1" customWidth="1"/>
    <col min="12" max="12" width="8.6640625" style="9" bestFit="1" customWidth="1"/>
    <col min="13" max="13" width="30.6640625" style="9" bestFit="1" customWidth="1"/>
  </cols>
  <sheetData>
    <row r="1" spans="1:13" s="2" customFormat="1" ht="29" customHeight="1">
      <c r="A1" s="44" t="s">
        <v>439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125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19">
        <v>1</v>
      </c>
      <c r="B6" s="8" t="s">
        <v>303</v>
      </c>
      <c r="C6" s="8" t="s">
        <v>304</v>
      </c>
      <c r="D6" s="8" t="s">
        <v>305</v>
      </c>
      <c r="E6" s="8" t="s">
        <v>497</v>
      </c>
      <c r="F6" s="8" t="s">
        <v>26</v>
      </c>
      <c r="G6" s="20" t="s">
        <v>119</v>
      </c>
      <c r="H6" s="20" t="s">
        <v>120</v>
      </c>
      <c r="I6" s="20" t="s">
        <v>165</v>
      </c>
      <c r="J6" s="19"/>
      <c r="K6" s="19" t="str">
        <f>"190,0"</f>
        <v>190,0</v>
      </c>
      <c r="L6" s="19" t="str">
        <f>"123,4810"</f>
        <v>123,4810</v>
      </c>
      <c r="M6" s="8" t="s">
        <v>472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4"/>
  <sheetViews>
    <sheetView workbookViewId="0">
      <selection activeCell="E25" sqref="E25"/>
    </sheetView>
  </sheetViews>
  <sheetFormatPr baseColWidth="10" defaultColWidth="8.83203125" defaultRowHeight="13"/>
  <cols>
    <col min="1" max="1" width="7.5" style="9" bestFit="1" customWidth="1"/>
    <col min="2" max="2" width="19.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2.33203125" style="9" customWidth="1"/>
    <col min="7" max="9" width="5.5" style="17" customWidth="1"/>
    <col min="10" max="10" width="4.83203125" style="17" customWidth="1"/>
    <col min="11" max="11" width="10.5" style="18" bestFit="1" customWidth="1"/>
    <col min="12" max="12" width="11.6640625" style="17" customWidth="1"/>
    <col min="13" max="13" width="21.1640625" style="9" customWidth="1"/>
  </cols>
  <sheetData>
    <row r="1" spans="1:13" s="2" customFormat="1" ht="29" customHeight="1">
      <c r="A1" s="44" t="s">
        <v>440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60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61"/>
      <c r="L4" s="39"/>
      <c r="M4" s="41"/>
    </row>
    <row r="5" spans="1:13" s="3" customFormat="1" ht="16">
      <c r="A5" s="42" t="s">
        <v>47</v>
      </c>
      <c r="B5" s="42"/>
      <c r="C5" s="43"/>
      <c r="D5" s="43"/>
      <c r="E5" s="43"/>
      <c r="F5" s="43"/>
      <c r="G5" s="43"/>
      <c r="H5" s="43"/>
      <c r="I5" s="43"/>
      <c r="J5" s="43"/>
      <c r="K5" s="7"/>
      <c r="L5" s="6"/>
      <c r="M5" s="5"/>
    </row>
    <row r="6" spans="1:13">
      <c r="A6" s="19">
        <v>1</v>
      </c>
      <c r="B6" s="8" t="s">
        <v>48</v>
      </c>
      <c r="C6" s="8" t="s">
        <v>49</v>
      </c>
      <c r="D6" s="8" t="s">
        <v>50</v>
      </c>
      <c r="E6" s="8" t="s">
        <v>497</v>
      </c>
      <c r="F6" s="8" t="s">
        <v>51</v>
      </c>
      <c r="G6" s="20" t="s">
        <v>77</v>
      </c>
      <c r="H6" s="19"/>
      <c r="I6" s="19"/>
      <c r="J6" s="19"/>
      <c r="K6" s="36" t="str">
        <f>"60,0"</f>
        <v>60,0</v>
      </c>
      <c r="L6" s="19" t="str">
        <f>"63,5460"</f>
        <v>63,5460</v>
      </c>
      <c r="M6" s="8"/>
    </row>
    <row r="8" spans="1:13" ht="16">
      <c r="A8" s="57" t="s">
        <v>37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9">
        <v>1</v>
      </c>
      <c r="B9" s="8" t="s">
        <v>291</v>
      </c>
      <c r="C9" s="8" t="s">
        <v>292</v>
      </c>
      <c r="D9" s="8" t="s">
        <v>293</v>
      </c>
      <c r="E9" s="8" t="s">
        <v>500</v>
      </c>
      <c r="F9" s="8" t="s">
        <v>26</v>
      </c>
      <c r="G9" s="21" t="s">
        <v>144</v>
      </c>
      <c r="H9" s="20" t="s">
        <v>160</v>
      </c>
      <c r="I9" s="20" t="s">
        <v>145</v>
      </c>
      <c r="J9" s="19"/>
      <c r="K9" s="36" t="str">
        <f>"167,5"</f>
        <v>167,5</v>
      </c>
      <c r="L9" s="19" t="str">
        <f>"127,1325"</f>
        <v>127,1325</v>
      </c>
      <c r="M9" s="8" t="s">
        <v>469</v>
      </c>
    </row>
    <row r="11" spans="1:13" ht="16">
      <c r="A11" s="57" t="s">
        <v>73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19" t="s">
        <v>302</v>
      </c>
      <c r="B12" s="8" t="s">
        <v>294</v>
      </c>
      <c r="C12" s="8" t="s">
        <v>295</v>
      </c>
      <c r="D12" s="8" t="s">
        <v>246</v>
      </c>
      <c r="E12" s="8" t="s">
        <v>496</v>
      </c>
      <c r="F12" s="8" t="s">
        <v>26</v>
      </c>
      <c r="G12" s="21" t="s">
        <v>279</v>
      </c>
      <c r="H12" s="21" t="s">
        <v>279</v>
      </c>
      <c r="I12" s="21" t="s">
        <v>279</v>
      </c>
      <c r="J12" s="19"/>
      <c r="K12" s="36">
        <v>0</v>
      </c>
      <c r="L12" s="19" t="str">
        <f>"0,0000"</f>
        <v>0,0000</v>
      </c>
      <c r="M12" s="8" t="s">
        <v>473</v>
      </c>
    </row>
    <row r="14" spans="1:13" ht="16">
      <c r="A14" s="57" t="s">
        <v>40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>
      <c r="A15" s="24">
        <v>1</v>
      </c>
      <c r="B15" s="22" t="s">
        <v>251</v>
      </c>
      <c r="C15" s="22" t="s">
        <v>252</v>
      </c>
      <c r="D15" s="22" t="s">
        <v>83</v>
      </c>
      <c r="E15" s="22" t="s">
        <v>500</v>
      </c>
      <c r="F15" s="22" t="s">
        <v>26</v>
      </c>
      <c r="G15" s="25" t="s">
        <v>131</v>
      </c>
      <c r="H15" s="29" t="s">
        <v>187</v>
      </c>
      <c r="I15" s="29" t="s">
        <v>187</v>
      </c>
      <c r="J15" s="24"/>
      <c r="K15" s="34" t="str">
        <f>"140,0"</f>
        <v>140,0</v>
      </c>
      <c r="L15" s="24" t="str">
        <f>"91,4830"</f>
        <v>91,4830</v>
      </c>
      <c r="M15" s="22" t="s">
        <v>254</v>
      </c>
    </row>
    <row r="16" spans="1:13">
      <c r="A16" s="31">
        <v>1</v>
      </c>
      <c r="B16" s="30" t="s">
        <v>174</v>
      </c>
      <c r="C16" s="30" t="s">
        <v>296</v>
      </c>
      <c r="D16" s="30" t="s">
        <v>176</v>
      </c>
      <c r="E16" s="30" t="s">
        <v>497</v>
      </c>
      <c r="F16" s="30" t="s">
        <v>26</v>
      </c>
      <c r="G16" s="32" t="s">
        <v>120</v>
      </c>
      <c r="H16" s="33" t="s">
        <v>177</v>
      </c>
      <c r="I16" s="33" t="s">
        <v>177</v>
      </c>
      <c r="J16" s="31"/>
      <c r="K16" s="37" t="str">
        <f>"180,0"</f>
        <v>180,0</v>
      </c>
      <c r="L16" s="31" t="str">
        <f>"120,4830"</f>
        <v>120,4830</v>
      </c>
      <c r="M16" s="30"/>
    </row>
    <row r="17" spans="1:13">
      <c r="A17" s="31">
        <v>2</v>
      </c>
      <c r="B17" s="30" t="s">
        <v>157</v>
      </c>
      <c r="C17" s="30" t="s">
        <v>158</v>
      </c>
      <c r="D17" s="30" t="s">
        <v>159</v>
      </c>
      <c r="E17" s="30" t="s">
        <v>497</v>
      </c>
      <c r="F17" s="30" t="s">
        <v>26</v>
      </c>
      <c r="G17" s="32" t="s">
        <v>131</v>
      </c>
      <c r="H17" s="32" t="s">
        <v>187</v>
      </c>
      <c r="I17" s="32" t="s">
        <v>144</v>
      </c>
      <c r="J17" s="31"/>
      <c r="K17" s="37" t="str">
        <f>"155,0"</f>
        <v>155,0</v>
      </c>
      <c r="L17" s="31" t="str">
        <f>"100,6337"</f>
        <v>100,6337</v>
      </c>
      <c r="M17" s="30" t="s">
        <v>254</v>
      </c>
    </row>
    <row r="18" spans="1:13">
      <c r="A18" s="26">
        <v>1</v>
      </c>
      <c r="B18" s="23" t="s">
        <v>174</v>
      </c>
      <c r="C18" s="23" t="s">
        <v>175</v>
      </c>
      <c r="D18" s="23" t="s">
        <v>176</v>
      </c>
      <c r="E18" s="23" t="s">
        <v>501</v>
      </c>
      <c r="F18" s="23" t="s">
        <v>26</v>
      </c>
      <c r="G18" s="27" t="s">
        <v>120</v>
      </c>
      <c r="H18" s="28" t="s">
        <v>177</v>
      </c>
      <c r="I18" s="28" t="s">
        <v>177</v>
      </c>
      <c r="J18" s="26"/>
      <c r="K18" s="35" t="str">
        <f>"180,0"</f>
        <v>180,0</v>
      </c>
      <c r="L18" s="26" t="str">
        <f>"120,4830"</f>
        <v>120,4830</v>
      </c>
      <c r="M18" s="23"/>
    </row>
    <row r="20" spans="1:13" ht="16">
      <c r="A20" s="57" t="s">
        <v>125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3">
      <c r="A21" s="19">
        <v>1</v>
      </c>
      <c r="B21" s="8" t="s">
        <v>297</v>
      </c>
      <c r="C21" s="8" t="s">
        <v>298</v>
      </c>
      <c r="D21" s="8" t="s">
        <v>299</v>
      </c>
      <c r="E21" s="8" t="s">
        <v>497</v>
      </c>
      <c r="F21" s="8" t="s">
        <v>26</v>
      </c>
      <c r="G21" s="20" t="s">
        <v>168</v>
      </c>
      <c r="H21" s="20" t="s">
        <v>300</v>
      </c>
      <c r="I21" s="20" t="s">
        <v>301</v>
      </c>
      <c r="J21" s="19"/>
      <c r="K21" s="36" t="str">
        <f>"232,5"</f>
        <v>232,5</v>
      </c>
      <c r="L21" s="19" t="str">
        <f>"145,4288"</f>
        <v>145,4288</v>
      </c>
      <c r="M21" s="8"/>
    </row>
    <row r="23" spans="1:13" ht="16">
      <c r="A23" s="57" t="s">
        <v>22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13">
      <c r="A24" s="19">
        <v>1</v>
      </c>
      <c r="B24" s="8" t="s">
        <v>178</v>
      </c>
      <c r="C24" s="8" t="s">
        <v>179</v>
      </c>
      <c r="D24" s="8" t="s">
        <v>180</v>
      </c>
      <c r="E24" s="8" t="s">
        <v>497</v>
      </c>
      <c r="F24" s="8" t="s">
        <v>26</v>
      </c>
      <c r="G24" s="20" t="s">
        <v>181</v>
      </c>
      <c r="H24" s="20" t="s">
        <v>182</v>
      </c>
      <c r="I24" s="20" t="s">
        <v>183</v>
      </c>
      <c r="J24" s="19"/>
      <c r="K24" s="36" t="str">
        <f>"250,0"</f>
        <v>250,0</v>
      </c>
      <c r="L24" s="19" t="str">
        <f>"138,3125"</f>
        <v>138,3125</v>
      </c>
      <c r="M24" s="8"/>
    </row>
    <row r="26" spans="1:13" ht="16">
      <c r="F26" s="10"/>
      <c r="G26" s="9"/>
    </row>
    <row r="27" spans="1:13">
      <c r="G27" s="9"/>
    </row>
    <row r="28" spans="1:13" ht="18">
      <c r="B28" s="11" t="s">
        <v>12</v>
      </c>
      <c r="C28" s="11"/>
    </row>
    <row r="29" spans="1:13" ht="16">
      <c r="B29" s="12" t="s">
        <v>13</v>
      </c>
      <c r="C29" s="12"/>
    </row>
    <row r="30" spans="1:13" ht="14">
      <c r="B30" s="13"/>
      <c r="C30" s="14" t="s">
        <v>14</v>
      </c>
    </row>
    <row r="31" spans="1:13" ht="14">
      <c r="B31" s="15" t="s">
        <v>15</v>
      </c>
      <c r="C31" s="15" t="s">
        <v>16</v>
      </c>
      <c r="D31" s="15" t="s">
        <v>463</v>
      </c>
      <c r="E31" s="15" t="s">
        <v>17</v>
      </c>
      <c r="F31" s="15" t="s">
        <v>18</v>
      </c>
    </row>
    <row r="32" spans="1:13">
      <c r="B32" s="9" t="s">
        <v>297</v>
      </c>
      <c r="C32" s="9" t="s">
        <v>14</v>
      </c>
      <c r="D32" s="17">
        <v>90</v>
      </c>
      <c r="E32" s="18">
        <v>232.5</v>
      </c>
      <c r="F32" s="16">
        <v>145.42875543236701</v>
      </c>
    </row>
    <row r="33" spans="2:6">
      <c r="B33" s="9" t="s">
        <v>178</v>
      </c>
      <c r="C33" s="9" t="s">
        <v>14</v>
      </c>
      <c r="D33" s="17">
        <v>125</v>
      </c>
      <c r="E33" s="18">
        <v>250</v>
      </c>
      <c r="F33" s="16">
        <v>138.312503695488</v>
      </c>
    </row>
    <row r="34" spans="2:6">
      <c r="B34" s="9" t="s">
        <v>174</v>
      </c>
      <c r="C34" s="9" t="s">
        <v>14</v>
      </c>
      <c r="D34" s="17">
        <v>82.5</v>
      </c>
      <c r="E34" s="18">
        <v>180</v>
      </c>
      <c r="F34" s="16">
        <v>120.483005046844</v>
      </c>
    </row>
  </sheetData>
  <mergeCells count="17">
    <mergeCell ref="A23:J23"/>
    <mergeCell ref="A5:J5"/>
    <mergeCell ref="A8:J8"/>
    <mergeCell ref="A11:J11"/>
    <mergeCell ref="A14:J14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3"/>
  <sheetViews>
    <sheetView workbookViewId="0">
      <selection activeCell="E14" sqref="E14"/>
    </sheetView>
  </sheetViews>
  <sheetFormatPr baseColWidth="10" defaultColWidth="8.83203125" defaultRowHeight="13"/>
  <cols>
    <col min="1" max="1" width="7.5" style="9" bestFit="1" customWidth="1"/>
    <col min="2" max="2" width="19.5" style="9" bestFit="1" customWidth="1"/>
    <col min="3" max="3" width="27.5" style="9" bestFit="1" customWidth="1"/>
    <col min="4" max="4" width="21.5" style="9" bestFit="1" customWidth="1"/>
    <col min="5" max="5" width="10.5" style="9" bestFit="1" customWidth="1"/>
    <col min="6" max="6" width="21" style="9" customWidth="1"/>
    <col min="7" max="9" width="5.5" style="17" customWidth="1"/>
    <col min="10" max="10" width="4.83203125" style="17" customWidth="1"/>
    <col min="11" max="11" width="10.5" style="17" bestFit="1" customWidth="1"/>
    <col min="12" max="12" width="11" style="17" customWidth="1"/>
    <col min="13" max="13" width="19.1640625" style="9" customWidth="1"/>
  </cols>
  <sheetData>
    <row r="1" spans="1:13" s="2" customFormat="1" ht="29" customHeight="1">
      <c r="A1" s="44" t="s">
        <v>444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20</v>
      </c>
      <c r="B3" s="58" t="s">
        <v>0</v>
      </c>
      <c r="C3" s="54" t="s">
        <v>494</v>
      </c>
      <c r="D3" s="54" t="s">
        <v>5</v>
      </c>
      <c r="E3" s="38" t="s">
        <v>495</v>
      </c>
      <c r="F3" s="56" t="s">
        <v>6</v>
      </c>
      <c r="G3" s="56" t="s">
        <v>113</v>
      </c>
      <c r="H3" s="56"/>
      <c r="I3" s="56"/>
      <c r="J3" s="56"/>
      <c r="K3" s="38" t="s">
        <v>19</v>
      </c>
      <c r="L3" s="38" t="s">
        <v>3</v>
      </c>
      <c r="M3" s="40" t="s">
        <v>2</v>
      </c>
    </row>
    <row r="4" spans="1:13" s="1" customFormat="1" ht="21" customHeight="1" thickBot="1">
      <c r="A4" s="53"/>
      <c r="B4" s="59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s="3" customFormat="1" ht="16">
      <c r="A5" s="42" t="s">
        <v>73</v>
      </c>
      <c r="B5" s="42"/>
      <c r="C5" s="43"/>
      <c r="D5" s="43"/>
      <c r="E5" s="43"/>
      <c r="F5" s="43"/>
      <c r="G5" s="43"/>
      <c r="H5" s="43"/>
      <c r="I5" s="43"/>
      <c r="J5" s="43"/>
      <c r="K5" s="6"/>
      <c r="L5" s="6"/>
      <c r="M5" s="5"/>
    </row>
    <row r="6" spans="1:13">
      <c r="A6" s="24">
        <v>1</v>
      </c>
      <c r="B6" s="22" t="s">
        <v>170</v>
      </c>
      <c r="C6" s="22" t="s">
        <v>171</v>
      </c>
      <c r="D6" s="22" t="s">
        <v>172</v>
      </c>
      <c r="E6" s="22" t="s">
        <v>497</v>
      </c>
      <c r="F6" s="22" t="s">
        <v>26</v>
      </c>
      <c r="G6" s="25" t="s">
        <v>166</v>
      </c>
      <c r="H6" s="25" t="s">
        <v>167</v>
      </c>
      <c r="I6" s="24"/>
      <c r="J6" s="24"/>
      <c r="K6" s="24" t="str">
        <f>"137,5"</f>
        <v>137,5</v>
      </c>
      <c r="L6" s="24" t="str">
        <f>"120,0375"</f>
        <v>120,0375</v>
      </c>
      <c r="M6" s="22" t="s">
        <v>449</v>
      </c>
    </row>
    <row r="7" spans="1:13">
      <c r="A7" s="26">
        <v>1</v>
      </c>
      <c r="B7" s="23" t="s">
        <v>170</v>
      </c>
      <c r="C7" s="23" t="s">
        <v>173</v>
      </c>
      <c r="D7" s="23" t="s">
        <v>172</v>
      </c>
      <c r="E7" s="23" t="s">
        <v>501</v>
      </c>
      <c r="F7" s="23" t="s">
        <v>26</v>
      </c>
      <c r="G7" s="27" t="s">
        <v>166</v>
      </c>
      <c r="H7" s="27" t="s">
        <v>167</v>
      </c>
      <c r="I7" s="26"/>
      <c r="J7" s="26"/>
      <c r="K7" s="26" t="str">
        <f>"137,5"</f>
        <v>137,5</v>
      </c>
      <c r="L7" s="26" t="str">
        <f>"122,4383"</f>
        <v>122,4383</v>
      </c>
      <c r="M7" s="23" t="s">
        <v>449</v>
      </c>
    </row>
    <row r="9" spans="1:13" ht="16">
      <c r="A9" s="57" t="s">
        <v>40</v>
      </c>
      <c r="B9" s="57"/>
      <c r="C9" s="57"/>
      <c r="D9" s="57"/>
      <c r="E9" s="57"/>
      <c r="F9" s="57"/>
      <c r="G9" s="57"/>
      <c r="H9" s="57"/>
      <c r="I9" s="57"/>
      <c r="J9" s="57"/>
    </row>
    <row r="10" spans="1:13">
      <c r="A10" s="19">
        <v>1</v>
      </c>
      <c r="B10" s="8" t="s">
        <v>174</v>
      </c>
      <c r="C10" s="8" t="s">
        <v>175</v>
      </c>
      <c r="D10" s="8" t="s">
        <v>176</v>
      </c>
      <c r="E10" s="8" t="s">
        <v>501</v>
      </c>
      <c r="F10" s="8" t="s">
        <v>26</v>
      </c>
      <c r="G10" s="20" t="s">
        <v>120</v>
      </c>
      <c r="H10" s="21" t="s">
        <v>177</v>
      </c>
      <c r="I10" s="21" t="s">
        <v>177</v>
      </c>
      <c r="J10" s="19"/>
      <c r="K10" s="19" t="str">
        <f>"180,0"</f>
        <v>180,0</v>
      </c>
      <c r="L10" s="19" t="str">
        <f>"120,4830"</f>
        <v>120,4830</v>
      </c>
      <c r="M10" s="8"/>
    </row>
    <row r="12" spans="1:13" ht="16">
      <c r="A12" s="57" t="s">
        <v>22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3">
      <c r="A13" s="19">
        <v>1</v>
      </c>
      <c r="B13" s="8" t="s">
        <v>178</v>
      </c>
      <c r="C13" s="8" t="s">
        <v>179</v>
      </c>
      <c r="D13" s="8" t="s">
        <v>180</v>
      </c>
      <c r="E13" s="8" t="s">
        <v>497</v>
      </c>
      <c r="F13" s="8" t="s">
        <v>26</v>
      </c>
      <c r="G13" s="20" t="s">
        <v>181</v>
      </c>
      <c r="H13" s="20" t="s">
        <v>182</v>
      </c>
      <c r="I13" s="20" t="s">
        <v>183</v>
      </c>
      <c r="J13" s="19"/>
      <c r="K13" s="19" t="str">
        <f>"250,0"</f>
        <v>250,0</v>
      </c>
      <c r="L13" s="19" t="str">
        <f>"138,3125"</f>
        <v>138,3125</v>
      </c>
      <c r="M13" s="8"/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WRPF ПЛ без экипировки ДК</vt:lpstr>
      <vt:lpstr>WRPF ПЛ без экипировки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Военный жим ДК</vt:lpstr>
      <vt:lpstr>WRPF Военный жим</vt:lpstr>
      <vt:lpstr>WRPF Жим СФО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СПР Пауэрспорт ДК</vt:lpstr>
      <vt:lpstr>СПР Жим стоя ДК</vt:lpstr>
      <vt:lpstr>СПР Жим стоя</vt:lpstr>
      <vt:lpstr>СПР Подъем на бицепс ДК</vt:lpstr>
      <vt:lpstr>СПР Подъем на бицепс</vt:lpstr>
      <vt:lpstr>ФЖД Армейский жим макс.ДК</vt:lpstr>
      <vt:lpstr>ФЖД Армейский жим макс.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2022-06-06T19:23:46Z</dcterms:modified>
</cp:coreProperties>
</file>