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Июнь/"/>
    </mc:Choice>
  </mc:AlternateContent>
  <xr:revisionPtr revIDLastSave="0" documentId="13_ncr:1_{CBB041AE-0BC4-6A45-8870-8B1411CC6427}" xr6:coauthVersionLast="45" xr6:coauthVersionMax="45" xr10:uidLastSave="{00000000-0000-0000-0000-000000000000}"/>
  <bookViews>
    <workbookView xWindow="0" yWindow="460" windowWidth="28800" windowHeight="16140" tabRatio="969" firstSheet="21" activeTab="21" xr2:uid="{00000000-000D-0000-FFFF-FFFF00000000}"/>
  </bookViews>
  <sheets>
    <sheet name="IPL ПЛ без экипировки ДК" sheetId="7" r:id="rId1"/>
    <sheet name="IPL ПЛ без экипировки" sheetId="6" r:id="rId2"/>
    <sheet name="IPL ПЛ в бинтах ДК" sheetId="9" r:id="rId3"/>
    <sheet name="IPL ПЛ в бинтах" sheetId="8" r:id="rId4"/>
    <sheet name="IPL ПЛ многослой" sheetId="5" r:id="rId5"/>
    <sheet name="IPL Двоеборье без экип ДК" sheetId="21" r:id="rId6"/>
    <sheet name="IPL Двоеборье без экип" sheetId="20" r:id="rId7"/>
    <sheet name="IPL Присед без экипировки ДК" sheetId="19" r:id="rId8"/>
    <sheet name="IPL Жим без экипировки ДК" sheetId="11" r:id="rId9"/>
    <sheet name="IPL Жим без экипировки" sheetId="10" r:id="rId10"/>
    <sheet name="IPL Жим многослой ДК" sheetId="13" r:id="rId11"/>
    <sheet name="СПР Жим софт однопетельная" sheetId="50" r:id="rId12"/>
    <sheet name="СПР Жим софт многопетельная ДК" sheetId="53" r:id="rId13"/>
    <sheet name="СПР Жим софт многопетельная" sheetId="52" r:id="rId14"/>
    <sheet name="IPL Тяга без экипировки ДК" sheetId="15" r:id="rId15"/>
    <sheet name="IPL Тяга без экипировки" sheetId="14" r:id="rId16"/>
    <sheet name="IPL Тяга многослой" sheetId="16" r:id="rId17"/>
    <sheet name="СПР Пауэрспорт ДК" sheetId="38" r:id="rId18"/>
    <sheet name="СПР Жим стоя ДК" sheetId="35" r:id="rId19"/>
    <sheet name="СПР Подъем на бицепс ДК" sheetId="37" r:id="rId20"/>
    <sheet name="СПР Подъем на бицепс" sheetId="36" r:id="rId21"/>
    <sheet name="ФЖД Военный жим максимум" sheetId="28" r:id="rId22"/>
  </sheets>
  <definedNames>
    <definedName name="_FilterDatabase" localSheetId="4" hidden="1">'IPL ПЛ многослой'!$A$1:$S$3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53" l="1"/>
  <c r="K12" i="53"/>
  <c r="L9" i="53"/>
  <c r="K9" i="53"/>
  <c r="L6" i="53"/>
  <c r="K6" i="53"/>
  <c r="L15" i="52"/>
  <c r="K15" i="52"/>
  <c r="L12" i="52"/>
  <c r="L9" i="52"/>
  <c r="K9" i="52"/>
  <c r="L6" i="52"/>
  <c r="K6" i="52"/>
  <c r="L14" i="50"/>
  <c r="K14" i="50"/>
  <c r="L13" i="50"/>
  <c r="K13" i="50"/>
  <c r="L12" i="50"/>
  <c r="K12" i="50"/>
  <c r="L9" i="50"/>
  <c r="K9" i="50"/>
  <c r="L6" i="50"/>
  <c r="K6" i="50"/>
  <c r="P18" i="38"/>
  <c r="P15" i="38"/>
  <c r="O15" i="38"/>
  <c r="P12" i="38"/>
  <c r="O12" i="38"/>
  <c r="P9" i="38"/>
  <c r="O9" i="38"/>
  <c r="P6" i="38"/>
  <c r="L39" i="37"/>
  <c r="K39" i="37"/>
  <c r="L38" i="37"/>
  <c r="K38" i="37"/>
  <c r="L37" i="37"/>
  <c r="K37" i="37"/>
  <c r="L34" i="37"/>
  <c r="K34" i="37"/>
  <c r="L33" i="37"/>
  <c r="K33" i="37"/>
  <c r="L32" i="37"/>
  <c r="K32" i="37"/>
  <c r="L29" i="37"/>
  <c r="K29" i="37"/>
  <c r="L28" i="37"/>
  <c r="K28" i="37"/>
  <c r="L27" i="37"/>
  <c r="K27" i="37"/>
  <c r="L24" i="37"/>
  <c r="K24" i="37"/>
  <c r="L23" i="37"/>
  <c r="K23" i="37"/>
  <c r="L22" i="37"/>
  <c r="K22" i="37"/>
  <c r="L21" i="37"/>
  <c r="K21" i="37"/>
  <c r="L18" i="37"/>
  <c r="K18" i="37"/>
  <c r="L15" i="37"/>
  <c r="K15" i="37"/>
  <c r="L12" i="37"/>
  <c r="K12" i="37"/>
  <c r="L9" i="37"/>
  <c r="K9" i="37"/>
  <c r="L6" i="37"/>
  <c r="K6" i="37"/>
  <c r="L6" i="36"/>
  <c r="K6" i="36"/>
  <c r="L6" i="35"/>
  <c r="K6" i="35"/>
  <c r="L6" i="28"/>
  <c r="K6" i="28"/>
  <c r="E6" i="28"/>
  <c r="P23" i="21"/>
  <c r="O23" i="21"/>
  <c r="P22" i="21"/>
  <c r="O22" i="21"/>
  <c r="P21" i="21"/>
  <c r="O21" i="21"/>
  <c r="P20" i="21"/>
  <c r="O20" i="21"/>
  <c r="P17" i="21"/>
  <c r="O17" i="21"/>
  <c r="P16" i="21"/>
  <c r="P15" i="21"/>
  <c r="O15" i="21"/>
  <c r="P14" i="21"/>
  <c r="O14" i="21"/>
  <c r="P13" i="21"/>
  <c r="O13" i="21"/>
  <c r="P10" i="21"/>
  <c r="O10" i="21"/>
  <c r="P9" i="21"/>
  <c r="O9" i="21"/>
  <c r="P6" i="21"/>
  <c r="O6" i="21"/>
  <c r="P15" i="20"/>
  <c r="O15" i="20"/>
  <c r="P12" i="20"/>
  <c r="O12" i="20"/>
  <c r="P9" i="20"/>
  <c r="O9" i="20"/>
  <c r="P6" i="20"/>
  <c r="O6" i="20"/>
  <c r="L7" i="19"/>
  <c r="K7" i="19"/>
  <c r="L6" i="19"/>
  <c r="K6" i="19"/>
  <c r="L9" i="16"/>
  <c r="K9" i="16"/>
  <c r="L6" i="16"/>
  <c r="K6" i="16"/>
  <c r="L67" i="15"/>
  <c r="K67" i="15"/>
  <c r="L64" i="15"/>
  <c r="K64" i="15"/>
  <c r="L63" i="15"/>
  <c r="K63" i="15"/>
  <c r="L62" i="15"/>
  <c r="K62" i="15"/>
  <c r="L61" i="15"/>
  <c r="K61" i="15"/>
  <c r="L60" i="15"/>
  <c r="K60" i="15"/>
  <c r="L59" i="15"/>
  <c r="K59" i="15"/>
  <c r="L56" i="15"/>
  <c r="K56" i="15"/>
  <c r="L55" i="15"/>
  <c r="K55" i="15"/>
  <c r="L52" i="15"/>
  <c r="K52" i="15"/>
  <c r="L51" i="15"/>
  <c r="K51" i="15"/>
  <c r="L50" i="15"/>
  <c r="K50" i="15"/>
  <c r="L47" i="15"/>
  <c r="K47" i="15"/>
  <c r="L46" i="15"/>
  <c r="K46" i="15"/>
  <c r="L45" i="15"/>
  <c r="K45" i="15"/>
  <c r="L44" i="15"/>
  <c r="K44" i="15"/>
  <c r="L41" i="15"/>
  <c r="K41" i="15"/>
  <c r="L40" i="15"/>
  <c r="K40" i="15"/>
  <c r="L37" i="15"/>
  <c r="K37" i="15"/>
  <c r="L34" i="15"/>
  <c r="K34" i="15"/>
  <c r="L31" i="15"/>
  <c r="K31" i="15"/>
  <c r="L28" i="15"/>
  <c r="K28" i="15"/>
  <c r="L25" i="15"/>
  <c r="K25" i="15"/>
  <c r="L22" i="15"/>
  <c r="K22" i="15"/>
  <c r="L19" i="15"/>
  <c r="K19" i="15"/>
  <c r="L16" i="15"/>
  <c r="K16" i="15"/>
  <c r="L15" i="15"/>
  <c r="K15" i="15"/>
  <c r="L14" i="15"/>
  <c r="K14" i="15"/>
  <c r="L11" i="15"/>
  <c r="K11" i="15"/>
  <c r="L8" i="15"/>
  <c r="K8" i="15"/>
  <c r="L7" i="15"/>
  <c r="K7" i="15"/>
  <c r="L6" i="15"/>
  <c r="K6" i="15"/>
  <c r="L24" i="14"/>
  <c r="K24" i="14"/>
  <c r="L21" i="14"/>
  <c r="K21" i="14"/>
  <c r="L18" i="14"/>
  <c r="K18" i="14"/>
  <c r="L17" i="14"/>
  <c r="K17" i="14"/>
  <c r="L14" i="14"/>
  <c r="K14" i="14"/>
  <c r="L13" i="14"/>
  <c r="K13" i="14"/>
  <c r="L10" i="14"/>
  <c r="K10" i="14"/>
  <c r="L9" i="14"/>
  <c r="K9" i="14"/>
  <c r="L6" i="14"/>
  <c r="K6" i="14"/>
  <c r="L6" i="13"/>
  <c r="K6" i="13"/>
  <c r="L115" i="11"/>
  <c r="K115" i="11"/>
  <c r="L112" i="11"/>
  <c r="K112" i="11"/>
  <c r="L111" i="11"/>
  <c r="K111" i="11"/>
  <c r="L108" i="11"/>
  <c r="K108" i="11"/>
  <c r="L107" i="11"/>
  <c r="K107" i="11"/>
  <c r="L106" i="11"/>
  <c r="K106" i="11"/>
  <c r="L105" i="11"/>
  <c r="K105" i="11"/>
  <c r="L104" i="11"/>
  <c r="K104" i="11"/>
  <c r="L103" i="11"/>
  <c r="K103" i="11"/>
  <c r="L102" i="11"/>
  <c r="K102" i="11"/>
  <c r="L101" i="11"/>
  <c r="K101" i="11"/>
  <c r="L100" i="11"/>
  <c r="K100" i="11"/>
  <c r="L99" i="11"/>
  <c r="K99" i="11"/>
  <c r="L96" i="11"/>
  <c r="K96" i="11"/>
  <c r="L95" i="11"/>
  <c r="K95" i="11"/>
  <c r="L94" i="11"/>
  <c r="K94" i="11"/>
  <c r="L93" i="11"/>
  <c r="K93" i="11"/>
  <c r="L92" i="11"/>
  <c r="L91" i="11"/>
  <c r="K91" i="11"/>
  <c r="L90" i="11"/>
  <c r="K90" i="11"/>
  <c r="L89" i="11"/>
  <c r="K89" i="11"/>
  <c r="L88" i="11"/>
  <c r="K88" i="11"/>
  <c r="L87" i="11"/>
  <c r="K87" i="11"/>
  <c r="L86" i="11"/>
  <c r="K86" i="11"/>
  <c r="L85" i="11"/>
  <c r="K85" i="11"/>
  <c r="L82" i="11"/>
  <c r="K82" i="11"/>
  <c r="L81" i="11"/>
  <c r="K81" i="11"/>
  <c r="L80" i="11"/>
  <c r="K80" i="11"/>
  <c r="L79" i="11"/>
  <c r="L78" i="11"/>
  <c r="K78" i="11"/>
  <c r="L77" i="11"/>
  <c r="K77" i="11"/>
  <c r="L76" i="11"/>
  <c r="K76" i="11"/>
  <c r="L75" i="11"/>
  <c r="K75" i="11"/>
  <c r="L74" i="11"/>
  <c r="K74" i="11"/>
  <c r="L73" i="11"/>
  <c r="K73" i="11"/>
  <c r="L72" i="11"/>
  <c r="K72" i="11"/>
  <c r="L69" i="11"/>
  <c r="K69" i="11"/>
  <c r="L68" i="11"/>
  <c r="K68" i="11"/>
  <c r="L67" i="11"/>
  <c r="K67" i="11"/>
  <c r="L66" i="11"/>
  <c r="K66" i="11"/>
  <c r="L65" i="11"/>
  <c r="K65" i="11"/>
  <c r="L64" i="11"/>
  <c r="K64" i="11"/>
  <c r="L63" i="11"/>
  <c r="K63" i="11"/>
  <c r="L62" i="11"/>
  <c r="K62" i="11"/>
  <c r="L61" i="11"/>
  <c r="K61" i="11"/>
  <c r="L58" i="11"/>
  <c r="K58" i="11"/>
  <c r="L57" i="11"/>
  <c r="L56" i="11"/>
  <c r="K56" i="11"/>
  <c r="L55" i="11"/>
  <c r="K55" i="11"/>
  <c r="L54" i="11"/>
  <c r="K54" i="11"/>
  <c r="L53" i="11"/>
  <c r="K53" i="11"/>
  <c r="L52" i="11"/>
  <c r="K52" i="11"/>
  <c r="L51" i="11"/>
  <c r="K51" i="11"/>
  <c r="L50" i="11"/>
  <c r="K50" i="11"/>
  <c r="L49" i="11"/>
  <c r="K49" i="11"/>
  <c r="L48" i="11"/>
  <c r="K48" i="11"/>
  <c r="L45" i="11"/>
  <c r="K45" i="11"/>
  <c r="L44" i="11"/>
  <c r="K44" i="11"/>
  <c r="L43" i="11"/>
  <c r="K43" i="11"/>
  <c r="L42" i="11"/>
  <c r="K42" i="11"/>
  <c r="L39" i="11"/>
  <c r="K39" i="11"/>
  <c r="L38" i="11"/>
  <c r="K38" i="11"/>
  <c r="L35" i="11"/>
  <c r="K35" i="11"/>
  <c r="L32" i="11"/>
  <c r="K32" i="11"/>
  <c r="L31" i="11"/>
  <c r="K31" i="11"/>
  <c r="L28" i="11"/>
  <c r="K28" i="11"/>
  <c r="L27" i="11"/>
  <c r="K27" i="11"/>
  <c r="L26" i="11"/>
  <c r="K26" i="11"/>
  <c r="L25" i="11"/>
  <c r="K25" i="11"/>
  <c r="L24" i="11"/>
  <c r="K24" i="11"/>
  <c r="L21" i="11"/>
  <c r="K21" i="11"/>
  <c r="L18" i="11"/>
  <c r="K18" i="11"/>
  <c r="L17" i="11"/>
  <c r="K17" i="11"/>
  <c r="L16" i="11"/>
  <c r="K16" i="11"/>
  <c r="L15" i="11"/>
  <c r="K15" i="11"/>
  <c r="L14" i="11"/>
  <c r="K14" i="11"/>
  <c r="L11" i="11"/>
  <c r="L10" i="11"/>
  <c r="K10" i="11"/>
  <c r="L9" i="11"/>
  <c r="K9" i="11"/>
  <c r="L6" i="11"/>
  <c r="K6" i="11"/>
  <c r="L45" i="10"/>
  <c r="K45" i="10"/>
  <c r="L44" i="10"/>
  <c r="K44" i="10"/>
  <c r="L41" i="10"/>
  <c r="K41" i="10"/>
  <c r="L40" i="10"/>
  <c r="K40" i="10"/>
  <c r="L39" i="10"/>
  <c r="K39" i="10"/>
  <c r="L38" i="10"/>
  <c r="K38" i="10"/>
  <c r="L35" i="10"/>
  <c r="K35" i="10"/>
  <c r="L32" i="10"/>
  <c r="K32" i="10"/>
  <c r="L31" i="10"/>
  <c r="K31" i="10"/>
  <c r="L30" i="10"/>
  <c r="K30" i="10"/>
  <c r="L29" i="10"/>
  <c r="K29" i="10"/>
  <c r="L28" i="10"/>
  <c r="K28" i="10"/>
  <c r="L27" i="10"/>
  <c r="K27" i="10"/>
  <c r="L26" i="10"/>
  <c r="K26" i="10"/>
  <c r="L23" i="10"/>
  <c r="K23" i="10"/>
  <c r="L22" i="10"/>
  <c r="K22" i="10"/>
  <c r="L21" i="10"/>
  <c r="K21" i="10"/>
  <c r="L20" i="10"/>
  <c r="K20" i="10"/>
  <c r="L19" i="10"/>
  <c r="K19" i="10"/>
  <c r="L16" i="10"/>
  <c r="K16" i="10"/>
  <c r="L13" i="10"/>
  <c r="K13" i="10"/>
  <c r="L12" i="10"/>
  <c r="L9" i="10"/>
  <c r="K9" i="10"/>
  <c r="L6" i="10"/>
  <c r="K6" i="10"/>
  <c r="T13" i="9"/>
  <c r="S13" i="9"/>
  <c r="T10" i="9"/>
  <c r="S10" i="9"/>
  <c r="T9" i="9"/>
  <c r="S9" i="9"/>
  <c r="T6" i="9"/>
  <c r="S6" i="9"/>
  <c r="T9" i="8"/>
  <c r="S9" i="8"/>
  <c r="T6" i="8"/>
  <c r="T77" i="7"/>
  <c r="S77" i="7"/>
  <c r="T76" i="7"/>
  <c r="S76" i="7"/>
  <c r="T73" i="7"/>
  <c r="T72" i="7"/>
  <c r="T71" i="7"/>
  <c r="S71" i="7"/>
  <c r="T70" i="7"/>
  <c r="S70" i="7"/>
  <c r="T69" i="7"/>
  <c r="S69" i="7"/>
  <c r="T68" i="7"/>
  <c r="S68" i="7"/>
  <c r="T65" i="7"/>
  <c r="S65" i="7"/>
  <c r="T64" i="7"/>
  <c r="S64" i="7"/>
  <c r="T63" i="7"/>
  <c r="S63" i="7"/>
  <c r="T62" i="7"/>
  <c r="S62" i="7"/>
  <c r="T61" i="7"/>
  <c r="S61" i="7"/>
  <c r="T60" i="7"/>
  <c r="T59" i="7"/>
  <c r="S59" i="7"/>
  <c r="T58" i="7"/>
  <c r="S58" i="7"/>
  <c r="T57" i="7"/>
  <c r="S57" i="7"/>
  <c r="T56" i="7"/>
  <c r="S56" i="7"/>
  <c r="T55" i="7"/>
  <c r="S55" i="7"/>
  <c r="T52" i="7"/>
  <c r="S52" i="7"/>
  <c r="T51" i="7"/>
  <c r="S51" i="7"/>
  <c r="T50" i="7"/>
  <c r="S50" i="7"/>
  <c r="T49" i="7"/>
  <c r="S49" i="7"/>
  <c r="T46" i="7"/>
  <c r="S46" i="7"/>
  <c r="T43" i="7"/>
  <c r="S43" i="7"/>
  <c r="T40" i="7"/>
  <c r="S40" i="7"/>
  <c r="T37" i="7"/>
  <c r="S37" i="7"/>
  <c r="T34" i="7"/>
  <c r="S34" i="7"/>
  <c r="T31" i="7"/>
  <c r="S31" i="7"/>
  <c r="T28" i="7"/>
  <c r="S28" i="7"/>
  <c r="T27" i="7"/>
  <c r="S27" i="7"/>
  <c r="T26" i="7"/>
  <c r="S26" i="7"/>
  <c r="T25" i="7"/>
  <c r="S25" i="7"/>
  <c r="T24" i="7"/>
  <c r="S24" i="7"/>
  <c r="T23" i="7"/>
  <c r="S23" i="7"/>
  <c r="T22" i="7"/>
  <c r="S22" i="7"/>
  <c r="T19" i="7"/>
  <c r="S19" i="7"/>
  <c r="T18" i="7"/>
  <c r="S18" i="7"/>
  <c r="T15" i="7"/>
  <c r="S15" i="7"/>
  <c r="T14" i="7"/>
  <c r="S14" i="7"/>
  <c r="T13" i="7"/>
  <c r="S13" i="7"/>
  <c r="T10" i="7"/>
  <c r="S10" i="7"/>
  <c r="T7" i="7"/>
  <c r="S7" i="7"/>
  <c r="T6" i="7"/>
  <c r="S6" i="7"/>
  <c r="T29" i="6"/>
  <c r="S29" i="6"/>
  <c r="T28" i="6"/>
  <c r="S28" i="6"/>
  <c r="T27" i="6"/>
  <c r="S27" i="6"/>
  <c r="T24" i="6"/>
  <c r="S24" i="6"/>
  <c r="T23" i="6"/>
  <c r="S23" i="6"/>
  <c r="T22" i="6"/>
  <c r="S22" i="6"/>
  <c r="T21" i="6"/>
  <c r="S21" i="6"/>
  <c r="T18" i="6"/>
  <c r="S18" i="6"/>
  <c r="T15" i="6"/>
  <c r="S15" i="6"/>
  <c r="T12" i="6"/>
  <c r="S12" i="6"/>
  <c r="T9" i="6"/>
  <c r="S9" i="6"/>
  <c r="T6" i="6"/>
  <c r="S6" i="6"/>
  <c r="T6" i="5"/>
  <c r="S6" i="5"/>
</calcChain>
</file>

<file path=xl/sharedStrings.xml><?xml version="1.0" encoding="utf-8"?>
<sst xmlns="http://schemas.openxmlformats.org/spreadsheetml/2006/main" count="3672" uniqueCount="963">
  <si>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</si>
  <si>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</si>
  <si>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</si>
  <si>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</si>
  <si>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</si>
  <si>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</si>
  <si>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Собственный 
вес</t>
  </si>
  <si>
    <t>Wilks</t>
  </si>
  <si>
    <t>Город/Страна</t>
  </si>
  <si>
    <t>Приседание</t>
  </si>
  <si>
    <t>Жим лёжа</t>
  </si>
  <si>
    <t>Становая тяга</t>
  </si>
  <si>
    <t>ВЕСОВАЯ КАТЕГОРИЯ   140+</t>
  </si>
  <si>
    <t>Feizi Kararoudi</t>
  </si>
  <si>
    <t>143,50</t>
  </si>
  <si>
    <t>350,0</t>
  </si>
  <si>
    <t>427,5</t>
  </si>
  <si>
    <t>160,0</t>
  </si>
  <si>
    <t>180,0</t>
  </si>
  <si>
    <t>190,0</t>
  </si>
  <si>
    <t>260,0</t>
  </si>
  <si>
    <t>280,0</t>
  </si>
  <si>
    <t>300,0</t>
  </si>
  <si>
    <t xml:space="preserve">Абсолютный зачёт </t>
  </si>
  <si>
    <t xml:space="preserve">Мужчины </t>
  </si>
  <si>
    <t xml:space="preserve">Мастера </t>
  </si>
  <si>
    <t xml:space="preserve">ФИО </t>
  </si>
  <si>
    <t xml:space="preserve">Возрастная группа </t>
  </si>
  <si>
    <t xml:space="preserve">Сумма </t>
  </si>
  <si>
    <t xml:space="preserve">Wilks </t>
  </si>
  <si>
    <t>1</t>
  </si>
  <si>
    <t>ВЕСОВАЯ КАТЕГОРИЯ   56</t>
  </si>
  <si>
    <t>Устинова Виктория</t>
  </si>
  <si>
    <t>Открытая (14.01.1990)/32</t>
  </si>
  <si>
    <t>55,40</t>
  </si>
  <si>
    <t>82,5</t>
  </si>
  <si>
    <t>92,5</t>
  </si>
  <si>
    <t>97,5</t>
  </si>
  <si>
    <t>50,0</t>
  </si>
  <si>
    <t>52,5</t>
  </si>
  <si>
    <t>117,5</t>
  </si>
  <si>
    <t>122,5</t>
  </si>
  <si>
    <t xml:space="preserve">Кульпин Н. </t>
  </si>
  <si>
    <t>ВЕСОВАЯ КАТЕГОРИЯ   60</t>
  </si>
  <si>
    <t>Мальцева Марина</t>
  </si>
  <si>
    <t>Открытая (24.02.1987)/35</t>
  </si>
  <si>
    <t>59,60</t>
  </si>
  <si>
    <t>127,5</t>
  </si>
  <si>
    <t>70,0</t>
  </si>
  <si>
    <t>75,0</t>
  </si>
  <si>
    <t>137,5</t>
  </si>
  <si>
    <t>147,5</t>
  </si>
  <si>
    <t>152,5</t>
  </si>
  <si>
    <t>ВЕСОВАЯ КАТЕГОРИЯ   67.5</t>
  </si>
  <si>
    <t>Бондарчук Елена</t>
  </si>
  <si>
    <t>67,30</t>
  </si>
  <si>
    <t>157,5</t>
  </si>
  <si>
    <t>167,5</t>
  </si>
  <si>
    <t>172,5</t>
  </si>
  <si>
    <t>110,0</t>
  </si>
  <si>
    <t>185,0</t>
  </si>
  <si>
    <t>195,0</t>
  </si>
  <si>
    <t>202,5</t>
  </si>
  <si>
    <t>ВЕСОВАЯ КАТЕГОРИЯ   82.5</t>
  </si>
  <si>
    <t>Дога Виктория</t>
  </si>
  <si>
    <t>Открытая (04.09.1982)/39</t>
  </si>
  <si>
    <t>82,50</t>
  </si>
  <si>
    <t>170,0</t>
  </si>
  <si>
    <t>177,5</t>
  </si>
  <si>
    <t>195,5</t>
  </si>
  <si>
    <t>210,0</t>
  </si>
  <si>
    <t>215,0</t>
  </si>
  <si>
    <t>Ходаковский Сергей</t>
  </si>
  <si>
    <t>81,90</t>
  </si>
  <si>
    <t>140,0</t>
  </si>
  <si>
    <t>150,0</t>
  </si>
  <si>
    <t>95,0</t>
  </si>
  <si>
    <t>100,0</t>
  </si>
  <si>
    <t>ВЕСОВАЯ КАТЕГОРИЯ   90</t>
  </si>
  <si>
    <t>Никишин Самир</t>
  </si>
  <si>
    <t>Открытая (14.04.1997)/25</t>
  </si>
  <si>
    <t>90,00</t>
  </si>
  <si>
    <t>230,0</t>
  </si>
  <si>
    <t>240,0</t>
  </si>
  <si>
    <t>175,0</t>
  </si>
  <si>
    <t>270,0</t>
  </si>
  <si>
    <t xml:space="preserve">Дыга В. </t>
  </si>
  <si>
    <t>Кульпин Никита</t>
  </si>
  <si>
    <t>Открытая (11.10.1993)/28</t>
  </si>
  <si>
    <t>88,30</t>
  </si>
  <si>
    <t>217,5</t>
  </si>
  <si>
    <t>155,0</t>
  </si>
  <si>
    <t>162,5</t>
  </si>
  <si>
    <t>235,0</t>
  </si>
  <si>
    <t>247,5</t>
  </si>
  <si>
    <t>257,5</t>
  </si>
  <si>
    <t>Яскевич Дмитрий</t>
  </si>
  <si>
    <t>Открытая (24.01.1997)/25</t>
  </si>
  <si>
    <t>88,90</t>
  </si>
  <si>
    <t>145,0</t>
  </si>
  <si>
    <t>250,0</t>
  </si>
  <si>
    <t>262,5</t>
  </si>
  <si>
    <t>Михайлов Александр</t>
  </si>
  <si>
    <t>135,0</t>
  </si>
  <si>
    <t>102,5</t>
  </si>
  <si>
    <t>ВЕСОВАЯ КАТЕГОРИЯ   100</t>
  </si>
  <si>
    <t>Дыга Виталий</t>
  </si>
  <si>
    <t>Открытая (11.05.1989)/33</t>
  </si>
  <si>
    <t>96,70</t>
  </si>
  <si>
    <t>290,0</t>
  </si>
  <si>
    <t>Холунин Алексей</t>
  </si>
  <si>
    <t>Открытая (15.04.1982)/40</t>
  </si>
  <si>
    <t>96,30</t>
  </si>
  <si>
    <t>205,0</t>
  </si>
  <si>
    <t>220,0</t>
  </si>
  <si>
    <t>225,0</t>
  </si>
  <si>
    <t>165,0</t>
  </si>
  <si>
    <t>Михайлов Анатолий</t>
  </si>
  <si>
    <t>Открытая (08.10.1987)/34</t>
  </si>
  <si>
    <t>97,30</t>
  </si>
  <si>
    <t>227,5</t>
  </si>
  <si>
    <t xml:space="preserve">Женщины </t>
  </si>
  <si>
    <t xml:space="preserve">Открытая </t>
  </si>
  <si>
    <t>82.5</t>
  </si>
  <si>
    <t>60</t>
  </si>
  <si>
    <t>56</t>
  </si>
  <si>
    <t>67.5</t>
  </si>
  <si>
    <t>100</t>
  </si>
  <si>
    <t>90</t>
  </si>
  <si>
    <t>2</t>
  </si>
  <si>
    <t>3</t>
  </si>
  <si>
    <t>ВЕСОВАЯ КАТЕГОРИЯ   48</t>
  </si>
  <si>
    <t>Чиркова Елена</t>
  </si>
  <si>
    <t>Открытая (23.03.1991)/31</t>
  </si>
  <si>
    <t>46,80</t>
  </si>
  <si>
    <t>77,5</t>
  </si>
  <si>
    <t>87,5</t>
  </si>
  <si>
    <t>40,0</t>
  </si>
  <si>
    <t>45,0</t>
  </si>
  <si>
    <t>105,0</t>
  </si>
  <si>
    <t>112,5</t>
  </si>
  <si>
    <t xml:space="preserve">Кунц Д. </t>
  </si>
  <si>
    <t>Забровская Марина</t>
  </si>
  <si>
    <t>Открытая (30.03.2001)/21</t>
  </si>
  <si>
    <t>47,00</t>
  </si>
  <si>
    <t>80,0</t>
  </si>
  <si>
    <t>55,0</t>
  </si>
  <si>
    <t>ВЕСОВАЯ КАТЕГОРИЯ   52</t>
  </si>
  <si>
    <t>Зисман Людмила</t>
  </si>
  <si>
    <t>Открытая (26.08.1983)/38</t>
  </si>
  <si>
    <t>51,80</t>
  </si>
  <si>
    <t>62,5</t>
  </si>
  <si>
    <t>67,5</t>
  </si>
  <si>
    <t>37,5</t>
  </si>
  <si>
    <t>42,5</t>
  </si>
  <si>
    <t>Натекина Юлия</t>
  </si>
  <si>
    <t>Открытая (02.12.1994)/27</t>
  </si>
  <si>
    <t>56,00</t>
  </si>
  <si>
    <t>47,5</t>
  </si>
  <si>
    <t>120,0</t>
  </si>
  <si>
    <t xml:space="preserve">Тимофеев Д. </t>
  </si>
  <si>
    <t>Глинская Мария</t>
  </si>
  <si>
    <t>Открытая (04.04.1986)/36</t>
  </si>
  <si>
    <t>55,20</t>
  </si>
  <si>
    <t>60,0</t>
  </si>
  <si>
    <t xml:space="preserve">Федоров С. </t>
  </si>
  <si>
    <t>Юдина Елена</t>
  </si>
  <si>
    <t>Открытая (03.05.1985)/37</t>
  </si>
  <si>
    <t>55,90</t>
  </si>
  <si>
    <t>85,0</t>
  </si>
  <si>
    <t>90,0</t>
  </si>
  <si>
    <t xml:space="preserve">Юдин Г. </t>
  </si>
  <si>
    <t>Дитякина Екатерина</t>
  </si>
  <si>
    <t>Открытая (25.07.1995)/26</t>
  </si>
  <si>
    <t>59,30</t>
  </si>
  <si>
    <t xml:space="preserve">Суворов А. </t>
  </si>
  <si>
    <t>Клешнина Анастасия</t>
  </si>
  <si>
    <t>Открытая (20.11.1989)/32</t>
  </si>
  <si>
    <t>58,80</t>
  </si>
  <si>
    <t>Солдаткина Мария</t>
  </si>
  <si>
    <t>66,50</t>
  </si>
  <si>
    <t>Федосейкина Надежда</t>
  </si>
  <si>
    <t>63,70</t>
  </si>
  <si>
    <t>65,0</t>
  </si>
  <si>
    <t>72,5</t>
  </si>
  <si>
    <t xml:space="preserve">Кафаш М. </t>
  </si>
  <si>
    <t>Истомина Татьяна</t>
  </si>
  <si>
    <t>Открытая (12.08.1985)/36</t>
  </si>
  <si>
    <t>65,00</t>
  </si>
  <si>
    <t>107,5</t>
  </si>
  <si>
    <t>142,5</t>
  </si>
  <si>
    <t>Фирсова Анастасия</t>
  </si>
  <si>
    <t>Открытая (14.09.1983)/38</t>
  </si>
  <si>
    <t>66,20</t>
  </si>
  <si>
    <t>125,0</t>
  </si>
  <si>
    <t>130,0</t>
  </si>
  <si>
    <t>Сосновская Анастасия</t>
  </si>
  <si>
    <t>Открытая (09.08.1994)/27</t>
  </si>
  <si>
    <t>66,00</t>
  </si>
  <si>
    <t>Григорьева Татьяна</t>
  </si>
  <si>
    <t>67,50</t>
  </si>
  <si>
    <t>57,5</t>
  </si>
  <si>
    <t xml:space="preserve">Грахов Ю. </t>
  </si>
  <si>
    <t>Дубицкая Ольга</t>
  </si>
  <si>
    <t>64,10</t>
  </si>
  <si>
    <t xml:space="preserve">Шакикова О. </t>
  </si>
  <si>
    <t>ВЕСОВАЯ КАТЕГОРИЯ   75</t>
  </si>
  <si>
    <t>Вежова Александра</t>
  </si>
  <si>
    <t>Открытая (15.01.1991)/31</t>
  </si>
  <si>
    <t>73,30</t>
  </si>
  <si>
    <t>Балеева Елена</t>
  </si>
  <si>
    <t>Открытая (03.05.1983)/39</t>
  </si>
  <si>
    <t>89,70</t>
  </si>
  <si>
    <t>115,0</t>
  </si>
  <si>
    <t>Кобылин Валентин</t>
  </si>
  <si>
    <t>Юноши 15-19 (03.10.2007)/14</t>
  </si>
  <si>
    <t>51,60</t>
  </si>
  <si>
    <t xml:space="preserve">Каширин Л. </t>
  </si>
  <si>
    <t>Лагерев Даниил</t>
  </si>
  <si>
    <t>Юноши 15-19 (15.09.2009)/12</t>
  </si>
  <si>
    <t>60,00</t>
  </si>
  <si>
    <t xml:space="preserve">Харитонов С. </t>
  </si>
  <si>
    <t>Соколов Андрей</t>
  </si>
  <si>
    <t>Открытая (20.02.1994)/28</t>
  </si>
  <si>
    <t>66,90</t>
  </si>
  <si>
    <t>Сахатаров Игорь</t>
  </si>
  <si>
    <t>70,50</t>
  </si>
  <si>
    <t>Кафаш Михаил</t>
  </si>
  <si>
    <t>Открытая (25.02.1996)/26</t>
  </si>
  <si>
    <t>81,00</t>
  </si>
  <si>
    <t>Хитрецов Станислав</t>
  </si>
  <si>
    <t>82,10</t>
  </si>
  <si>
    <t>200,0</t>
  </si>
  <si>
    <t>Быстров Алексей</t>
  </si>
  <si>
    <t>82,40</t>
  </si>
  <si>
    <t>Батраков Сергей</t>
  </si>
  <si>
    <t>81,40</t>
  </si>
  <si>
    <t>Владимиров Евгений</t>
  </si>
  <si>
    <t>Открытая (22.08.1964)/57</t>
  </si>
  <si>
    <t>89,00</t>
  </si>
  <si>
    <t>265,0</t>
  </si>
  <si>
    <t>252,5</t>
  </si>
  <si>
    <t>267,5</t>
  </si>
  <si>
    <t xml:space="preserve">Никулин А. </t>
  </si>
  <si>
    <t>Супрунов Дмитрий</t>
  </si>
  <si>
    <t>Открытая (08.06.1989)/33</t>
  </si>
  <si>
    <t>89,10</t>
  </si>
  <si>
    <t>Долотов Дмитрий</t>
  </si>
  <si>
    <t>Открытая (22.02.1995)/27</t>
  </si>
  <si>
    <t>89,30</t>
  </si>
  <si>
    <t>207,5</t>
  </si>
  <si>
    <t>Сенькин Илья</t>
  </si>
  <si>
    <t>Открытая (22.05.1992)/30</t>
  </si>
  <si>
    <t>89,90</t>
  </si>
  <si>
    <t>Иванов Владимир</t>
  </si>
  <si>
    <t>Открытая (13.06.1990)/32</t>
  </si>
  <si>
    <t xml:space="preserve">Смирнов А. </t>
  </si>
  <si>
    <t>Кордочкин Дмитрий</t>
  </si>
  <si>
    <t>Открытая (22.07.1989)/32</t>
  </si>
  <si>
    <t>212,5</t>
  </si>
  <si>
    <t>132,5</t>
  </si>
  <si>
    <t>Коваленко Иван</t>
  </si>
  <si>
    <t>87,00</t>
  </si>
  <si>
    <t xml:space="preserve">Смирнов Д. </t>
  </si>
  <si>
    <t>Османов Рамиз</t>
  </si>
  <si>
    <t>89,50</t>
  </si>
  <si>
    <t>Ряхин Николай</t>
  </si>
  <si>
    <t>88,00</t>
  </si>
  <si>
    <t>182,5</t>
  </si>
  <si>
    <t>Павлюков Сергей</t>
  </si>
  <si>
    <t>86,70</t>
  </si>
  <si>
    <t>Евмушков Максим</t>
  </si>
  <si>
    <t>Открытая (15.05.1983)/39</t>
  </si>
  <si>
    <t>98,70</t>
  </si>
  <si>
    <t>Подгорный Станислав</t>
  </si>
  <si>
    <t>Открытая (17.03.1986)/36</t>
  </si>
  <si>
    <t>96,20</t>
  </si>
  <si>
    <t>Ручканов Александр</t>
  </si>
  <si>
    <t>Открытая (24.06.1994)/27</t>
  </si>
  <si>
    <t>97,20</t>
  </si>
  <si>
    <t>Преин Егор</t>
  </si>
  <si>
    <t>Открытая (14.07.1987)/34</t>
  </si>
  <si>
    <t>Кормаков Виктор</t>
  </si>
  <si>
    <t>Открытая (09.07.1984)/37</t>
  </si>
  <si>
    <t>99,10</t>
  </si>
  <si>
    <t>192,5</t>
  </si>
  <si>
    <t>Зубков Александр</t>
  </si>
  <si>
    <t>99,90</t>
  </si>
  <si>
    <t>ВЕСОВАЯ КАТЕГОРИЯ   110</t>
  </si>
  <si>
    <t>Филиппов Никита</t>
  </si>
  <si>
    <t>Открытая (27.11.1992)/29</t>
  </si>
  <si>
    <t>108,50</t>
  </si>
  <si>
    <t>255,0</t>
  </si>
  <si>
    <t>Сорокин Олег</t>
  </si>
  <si>
    <t>108,80</t>
  </si>
  <si>
    <t xml:space="preserve">Фёдоров С. </t>
  </si>
  <si>
    <t>52</t>
  </si>
  <si>
    <t>4</t>
  </si>
  <si>
    <t>5</t>
  </si>
  <si>
    <t>-</t>
  </si>
  <si>
    <t>ВЕСОВАЯ КАТЕГОРИЯ   125</t>
  </si>
  <si>
    <t>Izadkhah Faramarz</t>
  </si>
  <si>
    <t>Открытая (10.05.1991)/31</t>
  </si>
  <si>
    <t>114,60</t>
  </si>
  <si>
    <t>ВЕСОВАЯ КАТЕГОРИЯ   140</t>
  </si>
  <si>
    <t>Hemmati Sharifabad</t>
  </si>
  <si>
    <t>Открытая (25.04.1993)/29</t>
  </si>
  <si>
    <t>136,70</t>
  </si>
  <si>
    <t>330,0</t>
  </si>
  <si>
    <t>Буканов Валерий</t>
  </si>
  <si>
    <t>74,30</t>
  </si>
  <si>
    <t>Пермяков Артём</t>
  </si>
  <si>
    <t>Открытая (14.11.1986)/35</t>
  </si>
  <si>
    <t>99,20</t>
  </si>
  <si>
    <t xml:space="preserve">Солнцев И. </t>
  </si>
  <si>
    <t>Медведев Александр</t>
  </si>
  <si>
    <t>99,30</t>
  </si>
  <si>
    <t xml:space="preserve">Парадиз Г. </t>
  </si>
  <si>
    <t>Веселов Валерий</t>
  </si>
  <si>
    <t>Открытая (15.06.1983)/39</t>
  </si>
  <si>
    <t>109,00</t>
  </si>
  <si>
    <t>242,5</t>
  </si>
  <si>
    <t>110</t>
  </si>
  <si>
    <t>75</t>
  </si>
  <si>
    <t>Бойцов Павел</t>
  </si>
  <si>
    <t>Открытая (11.07.1982)/39</t>
  </si>
  <si>
    <t>73,00</t>
  </si>
  <si>
    <t>Антропов Александр</t>
  </si>
  <si>
    <t>74,20</t>
  </si>
  <si>
    <t>Евдокимов Максим</t>
  </si>
  <si>
    <t>80,00</t>
  </si>
  <si>
    <t>Letlans Vjaceslavs</t>
  </si>
  <si>
    <t>Открытая (28.02.1987)/35</t>
  </si>
  <si>
    <t>88,60</t>
  </si>
  <si>
    <t xml:space="preserve">LVA/Riga </t>
  </si>
  <si>
    <t>232,5</t>
  </si>
  <si>
    <t>Майоров Олег</t>
  </si>
  <si>
    <t>Открытая (25.12.1987)/34</t>
  </si>
  <si>
    <t>Калинин Валентин</t>
  </si>
  <si>
    <t>Открытая (14.02.2001)/21</t>
  </si>
  <si>
    <t>Корнилов Дмитрий</t>
  </si>
  <si>
    <t>Открытая (08.08.1993)/28</t>
  </si>
  <si>
    <t>87,10</t>
  </si>
  <si>
    <t>Баженов Валерий</t>
  </si>
  <si>
    <t>85,30</t>
  </si>
  <si>
    <t>Полунин Дмитрий</t>
  </si>
  <si>
    <t>Открытая (12.10.1991)/30</t>
  </si>
  <si>
    <t>Тютюнник Евгений</t>
  </si>
  <si>
    <t>Открытая (22.06.1986)/35</t>
  </si>
  <si>
    <t>93,60</t>
  </si>
  <si>
    <t>Солнцев Иван</t>
  </si>
  <si>
    <t>Открытая (25.03.1974)/48</t>
  </si>
  <si>
    <t>97,80</t>
  </si>
  <si>
    <t>Стариков Алексей</t>
  </si>
  <si>
    <t>Открытая (09.03.1988)/34</t>
  </si>
  <si>
    <t>98,90</t>
  </si>
  <si>
    <t>Беспалов Александр</t>
  </si>
  <si>
    <t>95,60</t>
  </si>
  <si>
    <t>Александров Анатолий</t>
  </si>
  <si>
    <t>97,00</t>
  </si>
  <si>
    <t>Демидов Роман</t>
  </si>
  <si>
    <t>108,00</t>
  </si>
  <si>
    <t>Гунченков Олег</t>
  </si>
  <si>
    <t>Открытая (19.09.1991)/30</t>
  </si>
  <si>
    <t>114,90</t>
  </si>
  <si>
    <t>Иванов Михаил</t>
  </si>
  <si>
    <t>Открытая (02.07.1976)/45</t>
  </si>
  <si>
    <t>121,70</t>
  </si>
  <si>
    <t xml:space="preserve">Таранухин Г. </t>
  </si>
  <si>
    <t>Новиков Евгений</t>
  </si>
  <si>
    <t>Открытая (10.07.1992)/29</t>
  </si>
  <si>
    <t>122,30</t>
  </si>
  <si>
    <t>Ефименков Александр</t>
  </si>
  <si>
    <t>116,40</t>
  </si>
  <si>
    <t>Гогуев Расул</t>
  </si>
  <si>
    <t>Открытая (26.08.1987)/34</t>
  </si>
  <si>
    <t>156,20</t>
  </si>
  <si>
    <t>Khani Esmaeil</t>
  </si>
  <si>
    <t>171,00</t>
  </si>
  <si>
    <t xml:space="preserve">Результат </t>
  </si>
  <si>
    <t>125</t>
  </si>
  <si>
    <t>Результат</t>
  </si>
  <si>
    <t>Фадеева Ирина</t>
  </si>
  <si>
    <t>Девушки 15-19 (21.07.2006)/15</t>
  </si>
  <si>
    <t>51,50</t>
  </si>
  <si>
    <t>Иванова Виктория</t>
  </si>
  <si>
    <t>Открытая (30.06.1983)/38</t>
  </si>
  <si>
    <t>49,90</t>
  </si>
  <si>
    <t>Рудая Юлия</t>
  </si>
  <si>
    <t>Открытая (15.04.1988)/34</t>
  </si>
  <si>
    <t>Коцюбинская Жаннета</t>
  </si>
  <si>
    <t>Открытая (10.02.1990)/32</t>
  </si>
  <si>
    <t>55,70</t>
  </si>
  <si>
    <t xml:space="preserve">Блинов В. </t>
  </si>
  <si>
    <t>Кичева Елена</t>
  </si>
  <si>
    <t>Открытая (30.12.1991)/30</t>
  </si>
  <si>
    <t>55,80</t>
  </si>
  <si>
    <t>Евдокимова Ирина</t>
  </si>
  <si>
    <t>Открытая (29.05.1986)/36</t>
  </si>
  <si>
    <t>54,10</t>
  </si>
  <si>
    <t>Бугаенко Алиса</t>
  </si>
  <si>
    <t>Открытая (18.03.1993)/29</t>
  </si>
  <si>
    <t>Балабатько Оксана</t>
  </si>
  <si>
    <t>Девушки 15-19 (24.01.2005)/17</t>
  </si>
  <si>
    <t>Гоголева Мария</t>
  </si>
  <si>
    <t>Открытая (08.11.1975)/46</t>
  </si>
  <si>
    <t>60,70</t>
  </si>
  <si>
    <t>Кручина Светлана</t>
  </si>
  <si>
    <t>Открытая (19.02.1985)/37</t>
  </si>
  <si>
    <t>66,70</t>
  </si>
  <si>
    <t xml:space="preserve">Дмитриева Е. </t>
  </si>
  <si>
    <t>Ромасенко Ирина</t>
  </si>
  <si>
    <t>64,60</t>
  </si>
  <si>
    <t>Андриянова Ольга</t>
  </si>
  <si>
    <t>64,00</t>
  </si>
  <si>
    <t>Дмитриева Елена</t>
  </si>
  <si>
    <t>72,20</t>
  </si>
  <si>
    <t>Матвеева Наталия</t>
  </si>
  <si>
    <t>74,50</t>
  </si>
  <si>
    <t>Савенко Владислав</t>
  </si>
  <si>
    <t>Юноши 15-19 (28.09.2009)/12</t>
  </si>
  <si>
    <t>50,00</t>
  </si>
  <si>
    <t>Ромасенко Даниил</t>
  </si>
  <si>
    <t>Юноши 15-19 (19.02.2008)/14</t>
  </si>
  <si>
    <t>Дзюин Никита</t>
  </si>
  <si>
    <t>59,20</t>
  </si>
  <si>
    <t>Колесников Никита</t>
  </si>
  <si>
    <t>Юноши 15-19 (19.04.2007)/15</t>
  </si>
  <si>
    <t>66,60</t>
  </si>
  <si>
    <t>Оконешников Владимир</t>
  </si>
  <si>
    <t>Юноши 15-19 (20.05.2006)/16</t>
  </si>
  <si>
    <t>63,50</t>
  </si>
  <si>
    <t>Батищев Роман</t>
  </si>
  <si>
    <t>Открытая (23.04.1990)/32</t>
  </si>
  <si>
    <t>66,30</t>
  </si>
  <si>
    <t>Киряков Иван</t>
  </si>
  <si>
    <t>Открытая (31.12.1994)/27</t>
  </si>
  <si>
    <t>61,50</t>
  </si>
  <si>
    <t>Лашков Никита</t>
  </si>
  <si>
    <t>Юноши 15-19 (31.01.2006)/16</t>
  </si>
  <si>
    <t>74,00</t>
  </si>
  <si>
    <t>Серов Евгений</t>
  </si>
  <si>
    <t>74,10</t>
  </si>
  <si>
    <t>Берков Дмитрий</t>
  </si>
  <si>
    <t>Открытая (07.08.1986)/35</t>
  </si>
  <si>
    <t>74,80</t>
  </si>
  <si>
    <t>Иванчишин Денис</t>
  </si>
  <si>
    <t>Открытая (11.01.1984)/38</t>
  </si>
  <si>
    <t>74,60</t>
  </si>
  <si>
    <t>Сушков Даниил</t>
  </si>
  <si>
    <t>Открытая (11.05.1988)/34</t>
  </si>
  <si>
    <t>Касатов Дмитрий</t>
  </si>
  <si>
    <t>Открытая (17.04.1987)/35</t>
  </si>
  <si>
    <t>73,60</t>
  </si>
  <si>
    <t>Соловьев Денис</t>
  </si>
  <si>
    <t>Открытая (21.03.1985)/37</t>
  </si>
  <si>
    <t>70,30</t>
  </si>
  <si>
    <t>Югай Вадим</t>
  </si>
  <si>
    <t>Миленин Станислав</t>
  </si>
  <si>
    <t>Прокофьев Алексей</t>
  </si>
  <si>
    <t>71,80</t>
  </si>
  <si>
    <t>Широков Александр</t>
  </si>
  <si>
    <t>72,50</t>
  </si>
  <si>
    <t>Сайфиев Огабек</t>
  </si>
  <si>
    <t>Юноши 15-19 (27.02.2004)/18</t>
  </si>
  <si>
    <t>79,40</t>
  </si>
  <si>
    <t>Жерненков Никита</t>
  </si>
  <si>
    <t>78,90</t>
  </si>
  <si>
    <t>Мухин Александр</t>
  </si>
  <si>
    <t>81,10</t>
  </si>
  <si>
    <t>Евсеев Михаил</t>
  </si>
  <si>
    <t>Открытая (14.12.1990)/31</t>
  </si>
  <si>
    <t>Кокорев Илья</t>
  </si>
  <si>
    <t>Открытая (19.01.1973)/49</t>
  </si>
  <si>
    <t>81,20</t>
  </si>
  <si>
    <t>Открытая (27.02.2004)/18</t>
  </si>
  <si>
    <t>Синайский Илья</t>
  </si>
  <si>
    <t>Открытая (05.06.1989)/33</t>
  </si>
  <si>
    <t>81,30</t>
  </si>
  <si>
    <t xml:space="preserve">Харитонов </t>
  </si>
  <si>
    <t>Петров Михаил</t>
  </si>
  <si>
    <t>Фролов Станислав</t>
  </si>
  <si>
    <t>Открытая (15.09.1991)/30</t>
  </si>
  <si>
    <t>Антонов Антон</t>
  </si>
  <si>
    <t>Открытая (07.03.1989)/33</t>
  </si>
  <si>
    <t>Иванов Андрей</t>
  </si>
  <si>
    <t>Открытая (06.10.1982)/39</t>
  </si>
  <si>
    <t>Величко Константин</t>
  </si>
  <si>
    <t>Открытая (08.05.1998)/24</t>
  </si>
  <si>
    <t>87,50</t>
  </si>
  <si>
    <t>Локк Семен</t>
  </si>
  <si>
    <t>Открытая (28.11.1983)/38</t>
  </si>
  <si>
    <t>Бурцев Роман</t>
  </si>
  <si>
    <t>Открытая (14.07.1976)/45</t>
  </si>
  <si>
    <t>Подлипняк Владислав</t>
  </si>
  <si>
    <t>Открытая (26.08.1998)/23</t>
  </si>
  <si>
    <t>Цикин Игорь</t>
  </si>
  <si>
    <t>88,40</t>
  </si>
  <si>
    <t>Шаталин Дмитрий</t>
  </si>
  <si>
    <t>87,20</t>
  </si>
  <si>
    <t>Колесников Артём</t>
  </si>
  <si>
    <t>Кочуров Павел</t>
  </si>
  <si>
    <t>Открытая (04.06.1996)/26</t>
  </si>
  <si>
    <t>Петров Александр</t>
  </si>
  <si>
    <t>Открытая (03.03.1984)/38</t>
  </si>
  <si>
    <t>96,90</t>
  </si>
  <si>
    <t>Открытая (04.06.2002)/20</t>
  </si>
  <si>
    <t>Тетерин Валентин</t>
  </si>
  <si>
    <t>Открытая (25.02.1997)/25</t>
  </si>
  <si>
    <t>99,50</t>
  </si>
  <si>
    <t>Калачев Максим</t>
  </si>
  <si>
    <t>Открытая (04.11.1982)/39</t>
  </si>
  <si>
    <t xml:space="preserve">Емельянов Е. </t>
  </si>
  <si>
    <t>Мельник Антон</t>
  </si>
  <si>
    <t>Открытая (16.04.1988)/34</t>
  </si>
  <si>
    <t>Орлов Павел</t>
  </si>
  <si>
    <t>Открытая (27.04.1985)/37</t>
  </si>
  <si>
    <t>Альтмарк Александр</t>
  </si>
  <si>
    <t>98,10</t>
  </si>
  <si>
    <t>Колесников Алексей</t>
  </si>
  <si>
    <t>Ромасенко Николай</t>
  </si>
  <si>
    <t>98,20</t>
  </si>
  <si>
    <t>Бантов Леонид</t>
  </si>
  <si>
    <t>93,00</t>
  </si>
  <si>
    <t>Казарян Давид</t>
  </si>
  <si>
    <t>110,00</t>
  </si>
  <si>
    <t>Шарипов Дмитрий</t>
  </si>
  <si>
    <t>Открытая (01.07.1979)/42</t>
  </si>
  <si>
    <t>Архипов Вячеслав</t>
  </si>
  <si>
    <t>Открытая (08.02.1995)/27</t>
  </si>
  <si>
    <t>108,90</t>
  </si>
  <si>
    <t>Вежов Михаил</t>
  </si>
  <si>
    <t>Открытая (31.05.1988)/34</t>
  </si>
  <si>
    <t>105,60</t>
  </si>
  <si>
    <t>Котов Павел</t>
  </si>
  <si>
    <t>Открытая (12.05.1991)/31</t>
  </si>
  <si>
    <t>104,50</t>
  </si>
  <si>
    <t>Бадаев Андрей</t>
  </si>
  <si>
    <t>Открытая (08.04.1983)/39</t>
  </si>
  <si>
    <t>109,70</t>
  </si>
  <si>
    <t>Новиков Михаил</t>
  </si>
  <si>
    <t>107,30</t>
  </si>
  <si>
    <t xml:space="preserve">Волков А. </t>
  </si>
  <si>
    <t>Андреев Андрей</t>
  </si>
  <si>
    <t>Сытько Вадим</t>
  </si>
  <si>
    <t>106,10</t>
  </si>
  <si>
    <t>Бердинских Константин</t>
  </si>
  <si>
    <t>106,80</t>
  </si>
  <si>
    <t>Инешин Николай</t>
  </si>
  <si>
    <t>Открытая (19.12.1991)/30</t>
  </si>
  <si>
    <t>110,50</t>
  </si>
  <si>
    <t>Крошко Анатолий</t>
  </si>
  <si>
    <t>Открытая (31.07.1987)/34</t>
  </si>
  <si>
    <t>111,50</t>
  </si>
  <si>
    <t xml:space="preserve">Чащин А. </t>
  </si>
  <si>
    <t>Модин Валентин</t>
  </si>
  <si>
    <t>193,80</t>
  </si>
  <si>
    <t>6</t>
  </si>
  <si>
    <t>7</t>
  </si>
  <si>
    <t>Парадиз Георгий</t>
  </si>
  <si>
    <t>89,80</t>
  </si>
  <si>
    <t>Открытая (29.06.1979)/42</t>
  </si>
  <si>
    <t>Мачановский Эдуард</t>
  </si>
  <si>
    <t>Талеров Александр</t>
  </si>
  <si>
    <t>Открытая (08.06.1983)/39</t>
  </si>
  <si>
    <t>86,20</t>
  </si>
  <si>
    <t>Макеев Павел</t>
  </si>
  <si>
    <t>Гнатко Виталий</t>
  </si>
  <si>
    <t>90,90</t>
  </si>
  <si>
    <t>Карпов Евгений</t>
  </si>
  <si>
    <t>92,00</t>
  </si>
  <si>
    <t>Алтухов Александр</t>
  </si>
  <si>
    <t>Открытая (31.03.1989)/33</t>
  </si>
  <si>
    <t>106,20</t>
  </si>
  <si>
    <t>Jahedkora Yem</t>
  </si>
  <si>
    <t>Открытая (23.12.1988)/33</t>
  </si>
  <si>
    <t>153,90</t>
  </si>
  <si>
    <t>315,0</t>
  </si>
  <si>
    <t>320,0</t>
  </si>
  <si>
    <t>Углова Ольга</t>
  </si>
  <si>
    <t>47,80</t>
  </si>
  <si>
    <t>Трифонова Наталия</t>
  </si>
  <si>
    <t>Открытая (05.11.1992)/29</t>
  </si>
  <si>
    <t>47,90</t>
  </si>
  <si>
    <t>Шмонина Виктория</t>
  </si>
  <si>
    <t>Открытая (21.07.1999)/22</t>
  </si>
  <si>
    <t>48,00</t>
  </si>
  <si>
    <t>Белостоцкая Елена</t>
  </si>
  <si>
    <t>Открытая (10.09.1990)/31</t>
  </si>
  <si>
    <t>54,20</t>
  </si>
  <si>
    <t>Салахова Вера</t>
  </si>
  <si>
    <t>Пилипюк Наталья</t>
  </si>
  <si>
    <t>Открытая (21.12.1983)/38</t>
  </si>
  <si>
    <t>58,30</t>
  </si>
  <si>
    <t>Соколова Дарья</t>
  </si>
  <si>
    <t>Открытая (11.05.1994)/28</t>
  </si>
  <si>
    <t xml:space="preserve">Долотов Д. </t>
  </si>
  <si>
    <t>Машина Екатерина</t>
  </si>
  <si>
    <t>69,30</t>
  </si>
  <si>
    <t xml:space="preserve">Талеров. А. </t>
  </si>
  <si>
    <t>Farahani Razieh</t>
  </si>
  <si>
    <t>Открытая (13.11.1989)/32</t>
  </si>
  <si>
    <t>81,80</t>
  </si>
  <si>
    <t>ВЕСОВАЯ КАТЕГОРИЯ   90+</t>
  </si>
  <si>
    <t>Тершукова Светлана</t>
  </si>
  <si>
    <t>102,20</t>
  </si>
  <si>
    <t>Секирко Александр</t>
  </si>
  <si>
    <t>Юноши 15-19 (01.10.2002)/19</t>
  </si>
  <si>
    <t xml:space="preserve">Ан С. </t>
  </si>
  <si>
    <t>Агаев Фамил</t>
  </si>
  <si>
    <t>Открытая (23.09.1996)/25</t>
  </si>
  <si>
    <t>59,40</t>
  </si>
  <si>
    <t xml:space="preserve">Ковтун Е. </t>
  </si>
  <si>
    <t>Еркулаев Ринат</t>
  </si>
  <si>
    <t>Открытая (31.07.1997)/24</t>
  </si>
  <si>
    <t>63,80</t>
  </si>
  <si>
    <t>Степанов Владимир</t>
  </si>
  <si>
    <t>Открытая (30.07.1996)/25</t>
  </si>
  <si>
    <t>Зинченко Рустэм</t>
  </si>
  <si>
    <t>Лашутин Илья</t>
  </si>
  <si>
    <t>Открытая (27.07.1986)/35</t>
  </si>
  <si>
    <t xml:space="preserve">Ярошко Е. </t>
  </si>
  <si>
    <t>Лазарев Артём</t>
  </si>
  <si>
    <t>Открытая (02.06.1997)/25</t>
  </si>
  <si>
    <t>Гайдук Савелий</t>
  </si>
  <si>
    <t>72,70</t>
  </si>
  <si>
    <t>Бобочонов Умедчон</t>
  </si>
  <si>
    <t>Юноши 15-19 (11.04.2003)/19</t>
  </si>
  <si>
    <t>79,80</t>
  </si>
  <si>
    <t>Сидин Антон</t>
  </si>
  <si>
    <t>Открытая (24.04.1988)/34</t>
  </si>
  <si>
    <t>81,70</t>
  </si>
  <si>
    <t>Успенский Савва</t>
  </si>
  <si>
    <t>Открытая (08.04.1976)/46</t>
  </si>
  <si>
    <t>81,60</t>
  </si>
  <si>
    <t>Егоров Дмитрий</t>
  </si>
  <si>
    <t>Открытая (07.01.1989)/33</t>
  </si>
  <si>
    <t>237,5</t>
  </si>
  <si>
    <t>Сальников Валентин</t>
  </si>
  <si>
    <t>Соколенко Максим</t>
  </si>
  <si>
    <t>Открытая (19.08.1989)/32</t>
  </si>
  <si>
    <t>97,90</t>
  </si>
  <si>
    <t>245,0</t>
  </si>
  <si>
    <t>275,0</t>
  </si>
  <si>
    <t>285,0</t>
  </si>
  <si>
    <t>Марков Эдуард</t>
  </si>
  <si>
    <t>Открытая (17.03.1998)/24</t>
  </si>
  <si>
    <t>94,30</t>
  </si>
  <si>
    <t>Юсупов Адам</t>
  </si>
  <si>
    <t>Открытая (13.03.1999)/23</t>
  </si>
  <si>
    <t>Meraj Noori</t>
  </si>
  <si>
    <t>Открытая (28.10.1987)/34</t>
  </si>
  <si>
    <t>94,00</t>
  </si>
  <si>
    <t>Ковтун Евгений</t>
  </si>
  <si>
    <t>Открытая (21.09.1982)/39</t>
  </si>
  <si>
    <t>93,90</t>
  </si>
  <si>
    <t>Павлович Виктория</t>
  </si>
  <si>
    <t>79,30</t>
  </si>
  <si>
    <t xml:space="preserve">BLR/Шклов </t>
  </si>
  <si>
    <t xml:space="preserve">Порабанюк Н. </t>
  </si>
  <si>
    <t>Порабанюк Николай</t>
  </si>
  <si>
    <t>95,90</t>
  </si>
  <si>
    <t xml:space="preserve">Роганов С. </t>
  </si>
  <si>
    <t>Аншуков Андрей</t>
  </si>
  <si>
    <t>107,70</t>
  </si>
  <si>
    <t>Веселова Ирина</t>
  </si>
  <si>
    <t>Открытая (21.09.1991)/30</t>
  </si>
  <si>
    <t>Краевская Юлия</t>
  </si>
  <si>
    <t>Василенко Александр</t>
  </si>
  <si>
    <t>Открытая (09.12.1995)/26</t>
  </si>
  <si>
    <t>Литвиненко Павел</t>
  </si>
  <si>
    <t>88,20</t>
  </si>
  <si>
    <t>Андреев Алексей</t>
  </si>
  <si>
    <t>89,20</t>
  </si>
  <si>
    <t>Иванов Тимофей</t>
  </si>
  <si>
    <t>Открытая (20.09.1985)/36</t>
  </si>
  <si>
    <t>99,70</t>
  </si>
  <si>
    <t xml:space="preserve">Александров А. </t>
  </si>
  <si>
    <t>Шитиков Кирилл</t>
  </si>
  <si>
    <t>Открытая (02.07.1985)/36</t>
  </si>
  <si>
    <t>100,00</t>
  </si>
  <si>
    <t>Тяга</t>
  </si>
  <si>
    <t xml:space="preserve">Gloss </t>
  </si>
  <si>
    <t>25,0</t>
  </si>
  <si>
    <t>27,5</t>
  </si>
  <si>
    <t>Лаппалайнен Дмитрий</t>
  </si>
  <si>
    <t>Открытая (01.06.1989)/33</t>
  </si>
  <si>
    <t>110,80</t>
  </si>
  <si>
    <t>30,0</t>
  </si>
  <si>
    <t>32,5</t>
  </si>
  <si>
    <t>35,0</t>
  </si>
  <si>
    <t>ВЕСОВАЯ КАТЕГОРИЯ   120</t>
  </si>
  <si>
    <t>Петров Андрей</t>
  </si>
  <si>
    <t>Открытая (17.06.1982)/40</t>
  </si>
  <si>
    <t>105,70</t>
  </si>
  <si>
    <t xml:space="preserve">Сакович О. </t>
  </si>
  <si>
    <t>Мастера 60+ (16.08.1960)/61</t>
  </si>
  <si>
    <t>Мещанинова Светлана</t>
  </si>
  <si>
    <t>Открытая (04.04.1989)/33</t>
  </si>
  <si>
    <t>64,70</t>
  </si>
  <si>
    <t>Смирнова Юлия</t>
  </si>
  <si>
    <t>Открытая (22.08.1991)/30</t>
  </si>
  <si>
    <t>Колыганова Александра</t>
  </si>
  <si>
    <t>Открытая (09.11.1985)/36</t>
  </si>
  <si>
    <t>78,40</t>
  </si>
  <si>
    <t>Казаков Андрей</t>
  </si>
  <si>
    <t>58,00</t>
  </si>
  <si>
    <t>Светлов Андрей</t>
  </si>
  <si>
    <t>Открытая (23.07.1990)/31</t>
  </si>
  <si>
    <t>73,80</t>
  </si>
  <si>
    <t>Незнанов Игорь</t>
  </si>
  <si>
    <t>Открытая (08.11.1984)/37</t>
  </si>
  <si>
    <t>74,40</t>
  </si>
  <si>
    <t xml:space="preserve">Незнанов И. </t>
  </si>
  <si>
    <t>Езерский Виктор</t>
  </si>
  <si>
    <t>Церцвадзе Давид</t>
  </si>
  <si>
    <t xml:space="preserve">GEO/Tbilisi </t>
  </si>
  <si>
    <t>Плешанов Сергей</t>
  </si>
  <si>
    <t>Открытая (21.01.1984)/38</t>
  </si>
  <si>
    <t>Левицкий Игорь</t>
  </si>
  <si>
    <t>Открытая (31.01.1983)/39</t>
  </si>
  <si>
    <t>Вагапов Радион</t>
  </si>
  <si>
    <t>Открытая (19.06.1991)/30</t>
  </si>
  <si>
    <t>96,00</t>
  </si>
  <si>
    <t>Гулицкий Денис</t>
  </si>
  <si>
    <t>Открытая (14.06.1992)/30</t>
  </si>
  <si>
    <t>95,40</t>
  </si>
  <si>
    <t>Хизриев Махтимагомед</t>
  </si>
  <si>
    <t>97,60</t>
  </si>
  <si>
    <t>73,5</t>
  </si>
  <si>
    <t>108,70</t>
  </si>
  <si>
    <t>Смирнов Максим</t>
  </si>
  <si>
    <t>60,85</t>
  </si>
  <si>
    <t>Смирнов Дмитрий</t>
  </si>
  <si>
    <t>113,30</t>
  </si>
  <si>
    <t>Открытая (14.03.1969)/53</t>
  </si>
  <si>
    <t>Ларионов Владимир</t>
  </si>
  <si>
    <t>Мастера 60+ (07.08.1958)/63</t>
  </si>
  <si>
    <t>Скок Андрей</t>
  </si>
  <si>
    <t>Открытая (28.05.1988)/34</t>
  </si>
  <si>
    <t>310,0</t>
  </si>
  <si>
    <t>Пузырев Денис</t>
  </si>
  <si>
    <t>Открытая (31.03.1974)/48</t>
  </si>
  <si>
    <t xml:space="preserve">Грудев А. </t>
  </si>
  <si>
    <t>Устинов Владимир</t>
  </si>
  <si>
    <t>Открытая (01.08.1984)/37</t>
  </si>
  <si>
    <t>87,95</t>
  </si>
  <si>
    <t>Seyedimarghaki Kamal</t>
  </si>
  <si>
    <t>Открытая (30.06.1991)/30</t>
  </si>
  <si>
    <t>Ghoreishi Seyed</t>
  </si>
  <si>
    <t>Открытая (22.08.1982)/39</t>
  </si>
  <si>
    <t>129,00</t>
  </si>
  <si>
    <t>128,60</t>
  </si>
  <si>
    <t>Юниорки 20-23 (23.03.2002)/20</t>
  </si>
  <si>
    <t>Юниорки 20-23 (11.10.1999)/22</t>
  </si>
  <si>
    <t>Мастера 40-44 (07.03.1979)/43</t>
  </si>
  <si>
    <t>Мастера 40-44 (14.11.1980)/41</t>
  </si>
  <si>
    <t>Мастера 55-59 (31.07.1966)/55</t>
  </si>
  <si>
    <t>Мастера 45-49 (08.04.1975)/47</t>
  </si>
  <si>
    <t>Мастера 45-49 (17.10.1974)/47</t>
  </si>
  <si>
    <t>Мастера 65-69 (06.07.1956)/65</t>
  </si>
  <si>
    <t>Мастера 40-44 (13.02.1978)/44</t>
  </si>
  <si>
    <t>Мастера 45-49 (15.06.1976)/46</t>
  </si>
  <si>
    <t>Мастера 55-59 (22.08.1964)/57</t>
  </si>
  <si>
    <t>Мастера 55-59 (25.01.1965)/57</t>
  </si>
  <si>
    <t>Мастера 65-69 (09.06.1955)/67</t>
  </si>
  <si>
    <t>Мастера 40-44 (08.10.1978)/43</t>
  </si>
  <si>
    <t>Мастера 50-54 (17.08.1969)/52</t>
  </si>
  <si>
    <t xml:space="preserve">Мастера 55-59 </t>
  </si>
  <si>
    <t xml:space="preserve">Мастера 65-69 </t>
  </si>
  <si>
    <t>Мастера 40-44 (18.06.1980)/42</t>
  </si>
  <si>
    <t>Мастера 60-64 (07.01.1958)/64</t>
  </si>
  <si>
    <t>Мастера 60-64 (09.12.1958)/63</t>
  </si>
  <si>
    <t>Мастера 65-69 (01.01.1956)/66</t>
  </si>
  <si>
    <t>Мастера 50-54 (14.12.1971)/50</t>
  </si>
  <si>
    <t>Мастера 40-44 (04.02.1982)/40</t>
  </si>
  <si>
    <t>Мастера 40-44 (06.03.1981)/41</t>
  </si>
  <si>
    <t>Мастера 40-44 (17.04.1981)/41</t>
  </si>
  <si>
    <t>Мастера 40-44 (11.05.1978)/44</t>
  </si>
  <si>
    <t>Мастера 55-59 (18.02.1965)/57</t>
  </si>
  <si>
    <t>Мастера 40-44 (02.04.1979)/43</t>
  </si>
  <si>
    <t>Мастера 60-64 (27.03.1959)/63</t>
  </si>
  <si>
    <t>Мастера 40-44 (04.11.1981)/40</t>
  </si>
  <si>
    <t>Мастера 40-44 (24.12.1980)/41</t>
  </si>
  <si>
    <t>Мастера 45-49 (08.11.1975)/46</t>
  </si>
  <si>
    <t>Мастера 45-49 (22.12.1975)/46</t>
  </si>
  <si>
    <t>Мастера 50-54 (09.02.1972)/50</t>
  </si>
  <si>
    <t>Мастера 45-49 (03.11.1974)/47</t>
  </si>
  <si>
    <t>Мастера 60-64 (06.10.1961)/60</t>
  </si>
  <si>
    <t>Юниоры 20-23 (05.02.1999)/23</t>
  </si>
  <si>
    <t>Юниоры 20-23 (03.01.2002)/20</t>
  </si>
  <si>
    <t>Мастера 40-44 (03.04.1978)/44</t>
  </si>
  <si>
    <t>Мастера 45-49 (04.07.1975)/46</t>
  </si>
  <si>
    <t>Мастера 45-49 (10.05.1973)/49</t>
  </si>
  <si>
    <t>Мастера 70-74 (28.06.1951)/70</t>
  </si>
  <si>
    <t>Юниоры 20-23 (26.02.2000)/22</t>
  </si>
  <si>
    <t>Юниоры 20-23 (10.08.1999)/22</t>
  </si>
  <si>
    <t>Мастера 45-49 (19.01.1973)/49</t>
  </si>
  <si>
    <t>Мастера 45-49 (27.05.1973)/49</t>
  </si>
  <si>
    <t>Мастера 40-44 (19.12.1981)/40</t>
  </si>
  <si>
    <t>Мастера 45-49 (14.07.1976)/45</t>
  </si>
  <si>
    <t>Мастера 50-54 (02.09.1967)/54</t>
  </si>
  <si>
    <t>Юниоры 20-23 (04.06.2002)/20</t>
  </si>
  <si>
    <t>Мастера 40-44 (23.09.1978)/43</t>
  </si>
  <si>
    <t>Мастера 40-44 (28.11.1977)/44</t>
  </si>
  <si>
    <t>Мастера 45-49 (19.12.1973)/48</t>
  </si>
  <si>
    <t>Мастера 75-79 (27.08.1942)/79</t>
  </si>
  <si>
    <t>Юниоры 20-23 (26.04.2002)/20</t>
  </si>
  <si>
    <t>Мастера 40-44 (24.03.1979)/43</t>
  </si>
  <si>
    <t>Мастера 40-44 (29.06.1977)/44</t>
  </si>
  <si>
    <t>Мастера 40-44 (01.04.1982)/40</t>
  </si>
  <si>
    <t>Мастера 50-54 (24.08.1970)/51</t>
  </si>
  <si>
    <t>Мастера 45-49 (04.04.1973)/49</t>
  </si>
  <si>
    <t xml:space="preserve">Мастера 75-79 </t>
  </si>
  <si>
    <t xml:space="preserve">Мастера 50-54 </t>
  </si>
  <si>
    <t xml:space="preserve">Мастера 70-74 </t>
  </si>
  <si>
    <t>Мастера 50-54 (14.03.1969)/53</t>
  </si>
  <si>
    <t>Мастера 40-44 (29.06.1979)/42</t>
  </si>
  <si>
    <t>Мастера 60-64 (16.08.1960)/61</t>
  </si>
  <si>
    <t>Мастера 40-44 (07.01.1980)/42</t>
  </si>
  <si>
    <t>Мастера 45-49 (25.03.1974)/48</t>
  </si>
  <si>
    <t>Мастера 55-59 (06.04.1966)/56</t>
  </si>
  <si>
    <t>Мастера 45-49 (22.04.1976)/46</t>
  </si>
  <si>
    <t>Мастера 60-64 (09.09.1958)/63</t>
  </si>
  <si>
    <t>Мастера 40-44 (01.12.1979)/42</t>
  </si>
  <si>
    <t xml:space="preserve">Мастера 60-64 </t>
  </si>
  <si>
    <t>Мастера 45-49 (14.05.1975)/47</t>
  </si>
  <si>
    <t>Мастера 40-49 (31.03.1974)/48</t>
  </si>
  <si>
    <t>Юниорки 20-23 (17.12.1999)/22</t>
  </si>
  <si>
    <t>Юниорки 20-23 (28.11.2000)/21</t>
  </si>
  <si>
    <t>Мастера 50-54 (08.11.1968)/53</t>
  </si>
  <si>
    <t>Юниоры 20-23 (04.02.1999)/23</t>
  </si>
  <si>
    <t>Мастера 65-69 (19.01.1956)/66</t>
  </si>
  <si>
    <t>Мастера 55-59 (13.09.1962)/59</t>
  </si>
  <si>
    <t>Мастера 40-44 (27.05.1980)/42</t>
  </si>
  <si>
    <t>Мастера 60-64 (30.07.1961)/60</t>
  </si>
  <si>
    <t>Мастера 65-69 (18.07.1956)/65</t>
  </si>
  <si>
    <t>Юноши 13-19 (04.05.2005)/17</t>
  </si>
  <si>
    <t>Мастера 40-49 (12.02.1982)/40</t>
  </si>
  <si>
    <t>Юноши 13-19 (13.06.2006)/16</t>
  </si>
  <si>
    <t>Мастера 40-49 (03.04.1978)/44</t>
  </si>
  <si>
    <t>Мастера 40-49 (08.06.1979)/43</t>
  </si>
  <si>
    <t>Юноши 13-19 (26.05.2003)/19</t>
  </si>
  <si>
    <t>Мастера 40-49 (10.03.1973)/49</t>
  </si>
  <si>
    <t>Мастера 40-49 (17.06.1982)/40</t>
  </si>
  <si>
    <t xml:space="preserve">Руруа Т. </t>
  </si>
  <si>
    <t xml:space="preserve">Большаков В. </t>
  </si>
  <si>
    <t xml:space="preserve">Матвеев С. </t>
  </si>
  <si>
    <t xml:space="preserve">Вежов М. </t>
  </si>
  <si>
    <t xml:space="preserve">Каширин А. </t>
  </si>
  <si>
    <t xml:space="preserve">Новиков Ю. </t>
  </si>
  <si>
    <t xml:space="preserve">Астахов Д. </t>
  </si>
  <si>
    <t xml:space="preserve">Боровков С. </t>
  </si>
  <si>
    <t>Весовая категория</t>
  </si>
  <si>
    <t xml:space="preserve">Литвиненко П. </t>
  </si>
  <si>
    <t xml:space="preserve">Михайлова О. </t>
  </si>
  <si>
    <t xml:space="preserve">Костарев В. </t>
  </si>
  <si>
    <t xml:space="preserve">Сирош А. </t>
  </si>
  <si>
    <t xml:space="preserve">Балабатько И. </t>
  </si>
  <si>
    <t xml:space="preserve">Лобов С. </t>
  </si>
  <si>
    <t xml:space="preserve">Иванов И. </t>
  </si>
  <si>
    <t xml:space="preserve">Шмонина В. </t>
  </si>
  <si>
    <t xml:space="preserve">Азизов Э. </t>
  </si>
  <si>
    <t xml:space="preserve">Дегтярёв А. </t>
  </si>
  <si>
    <t xml:space="preserve">Желтенко Е. </t>
  </si>
  <si>
    <t xml:space="preserve">Подлипняк В. </t>
  </si>
  <si>
    <t xml:space="preserve">Гогуев Р. </t>
  </si>
  <si>
    <t xml:space="preserve">Антропов А. </t>
  </si>
  <si>
    <t xml:space="preserve">Корсаков М. </t>
  </si>
  <si>
    <t xml:space="preserve">Абухов Д. </t>
  </si>
  <si>
    <t xml:space="preserve">Алимов М. </t>
  </si>
  <si>
    <t xml:space="preserve">Киселев С. </t>
  </si>
  <si>
    <t xml:space="preserve">Гаджиев Р. </t>
  </si>
  <si>
    <t xml:space="preserve">Драч Д. </t>
  </si>
  <si>
    <t xml:space="preserve">Ловчиков А. </t>
  </si>
  <si>
    <t xml:space="preserve">Муфтахова К. </t>
  </si>
  <si>
    <t xml:space="preserve">Лукашевич Е. </t>
  </si>
  <si>
    <t xml:space="preserve">Горохов Е. </t>
  </si>
  <si>
    <t xml:space="preserve">Светлова Е. </t>
  </si>
  <si>
    <t xml:space="preserve">Коробов И. </t>
  </si>
  <si>
    <t>Открытый Кубок Европы
IPL Пауэрлифтинг без экипировки ДК
Санкт-Петербург, 18-19 июня 2022 года</t>
  </si>
  <si>
    <t>Открытый Кубок Европы
IPL Пауэрлифтинг без экипировки
Санкт-Петербург, 18-19 июня 2022 года</t>
  </si>
  <si>
    <t>Открытый Кубок Европы
IPL Пауэрлифтинг в бинтах ДК
Санкт-Петербург, 18-19 июня 2022 года</t>
  </si>
  <si>
    <t>Открытый Кубок Европы
IPL Пауэрлифтинг в бинтах
Санкт-Петербург, 18-19 июня 2022 года</t>
  </si>
  <si>
    <t>Открытый Кубок Европы
IPL Пауэрлифтинг в многослойной экипировке
Санкт-Петербург, 18-19 июня 2022 года</t>
  </si>
  <si>
    <t>Открытый Кубок Европы
IPL Силовое двоеборье без экипировки ДК
Санкт-Петербург, 18-19 июня 2022 года</t>
  </si>
  <si>
    <t>Открытый Кубок Европы
IPL Силовое двоеборье без экипировки
Санкт-Петербург, 18-19 июня 2022 года</t>
  </si>
  <si>
    <t>Открытый Кубок Европы
IPL Присед без экипировки ДК
Санкт-Петербург, 18-19 июня 2022 года</t>
  </si>
  <si>
    <t>Открытый Кубок Европы
IPL Жим лежа без экипировки ДК
Санкт-Петербург, 18-19 июня 2022 года</t>
  </si>
  <si>
    <t>Открытый Кубок Европы
IPL Жим лежа без экипировки
Санкт-Петербург, 18-19 июня 2022 года</t>
  </si>
  <si>
    <t>Открытый Кубок Европы
IPL Жим лежа в многослойной экипировке ДК
Санкт-Петербург, 18-19 июня 2022 года</t>
  </si>
  <si>
    <t>Открытый Кубок Европы
СПР Жим лежа в однопетельной софт экипировке
Санкт-Петербург, 18-19 июня 2022 года</t>
  </si>
  <si>
    <t>Открытый Кубок Европы
СПР Жим лежа в многопетельной софт экипировке ДК
Санкт-Петербург, 18-19 июня 2022 года</t>
  </si>
  <si>
    <t>Открытый Кубок Европы
СПР Жим лежа в многопетельной софт экипировке
Санкт-Петербург, 18-19 июня 2022 года</t>
  </si>
  <si>
    <t>Открытый Кубок Европы
IPL Становая тяга без экипировки ДК
Санкт-Петербург, 18-19 июня 2022 года</t>
  </si>
  <si>
    <t>Открытый Кубок Европы
IPL Становая тяга без экипировки
Санкт-Петербург, 18-19 июня 2022 года</t>
  </si>
  <si>
    <t>Открытый Кубок Европы
IPL Становая тяга в многослойной экипировке
Санкт-Петербург, 18-19 июня 2022 года</t>
  </si>
  <si>
    <t>Всероссийский турнир
СПР Пауэрспорт ДК
Санкт-Петербург, 18-19 июня 2022 года</t>
  </si>
  <si>
    <t>Всероссийский турнир
СПР Строгий подъем штанги на бицепс ДК
Санкт-Петербург, 18-19 июня 2022 года</t>
  </si>
  <si>
    <t>Всероссийский турнир
СПР Жим штанги стоя ДК
Санкт-Петербург, 18-19 июня 2022 года</t>
  </si>
  <si>
    <t>Всероссийский турнир
СПР Строгий подъем штанги на бицепс
Санкт-Петербург, 18-19 июня 2022 года</t>
  </si>
  <si>
    <t>Всероссийский турнир
ФЖД Военный жим на максимум
Санкт-Петербург, 18-19 июня 2022 года</t>
  </si>
  <si>
    <t xml:space="preserve">Ижевск </t>
  </si>
  <si>
    <t xml:space="preserve">Петрозаводск </t>
  </si>
  <si>
    <t xml:space="preserve">Санкт-Петербург </t>
  </si>
  <si>
    <t xml:space="preserve">Краснодар </t>
  </si>
  <si>
    <t xml:space="preserve">Пушкино </t>
  </si>
  <si>
    <t xml:space="preserve">Москва </t>
  </si>
  <si>
    <t xml:space="preserve">Всеволожск </t>
  </si>
  <si>
    <t xml:space="preserve">Великий Новгород </t>
  </si>
  <si>
    <t xml:space="preserve">Сортавала </t>
  </si>
  <si>
    <t xml:space="preserve">Саянск </t>
  </si>
  <si>
    <t xml:space="preserve">Подпорожье </t>
  </si>
  <si>
    <t xml:space="preserve">Солнечногорск </t>
  </si>
  <si>
    <t xml:space="preserve">Пикалёво </t>
  </si>
  <si>
    <t xml:space="preserve">Пушкин </t>
  </si>
  <si>
    <t xml:space="preserve">Черноголовка </t>
  </si>
  <si>
    <t xml:space="preserve">Северодвинск </t>
  </si>
  <si>
    <t xml:space="preserve">Дербент </t>
  </si>
  <si>
    <t xml:space="preserve">Кировск </t>
  </si>
  <si>
    <t xml:space="preserve">Кудрово </t>
  </si>
  <si>
    <t xml:space="preserve">Сыктывкар </t>
  </si>
  <si>
    <t xml:space="preserve">Сарапул </t>
  </si>
  <si>
    <t xml:space="preserve">Выборг </t>
  </si>
  <si>
    <t xml:space="preserve">Химки </t>
  </si>
  <si>
    <t xml:space="preserve">Сосновый Бор </t>
  </si>
  <si>
    <t xml:space="preserve">Гатчина </t>
  </si>
  <si>
    <t xml:space="preserve">Кронштадт </t>
  </si>
  <si>
    <t xml:space="preserve">Биробиджан </t>
  </si>
  <si>
    <t xml:space="preserve">Ярославль </t>
  </si>
  <si>
    <t xml:space="preserve">Орск </t>
  </si>
  <si>
    <t xml:space="preserve">Новокузнецк </t>
  </si>
  <si>
    <t xml:space="preserve">Улан-Удэ </t>
  </si>
  <si>
    <t xml:space="preserve">Кемерово </t>
  </si>
  <si>
    <t xml:space="preserve">Саров </t>
  </si>
  <si>
    <t xml:space="preserve">Набережные Челны </t>
  </si>
  <si>
    <t xml:space="preserve">Глазов </t>
  </si>
  <si>
    <t xml:space="preserve">Зеленоградск </t>
  </si>
  <si>
    <t xml:space="preserve">Ярцево </t>
  </si>
  <si>
    <t xml:space="preserve">Серпухов </t>
  </si>
  <si>
    <t xml:space="preserve">Псков </t>
  </si>
  <si>
    <t xml:space="preserve">Вольск </t>
  </si>
  <si>
    <t xml:space="preserve">Костомукша </t>
  </si>
  <si>
    <t xml:space="preserve">село Герменчук </t>
  </si>
  <si>
    <t xml:space="preserve">Дзержинск </t>
  </si>
  <si>
    <t xml:space="preserve"> </t>
  </si>
  <si>
    <t xml:space="preserve">  </t>
  </si>
  <si>
    <t>№</t>
  </si>
  <si>
    <t xml:space="preserve">Tehran </t>
  </si>
  <si>
    <t xml:space="preserve">
Дата рождения/Возраст</t>
  </si>
  <si>
    <t>Возрастная группа</t>
  </si>
  <si>
    <t>O</t>
  </si>
  <si>
    <t>J</t>
  </si>
  <si>
    <t>M1</t>
  </si>
  <si>
    <t>T</t>
  </si>
  <si>
    <t>M4</t>
  </si>
  <si>
    <t>M2</t>
  </si>
  <si>
    <t>M6</t>
  </si>
  <si>
    <t>M3</t>
  </si>
  <si>
    <t>M5</t>
  </si>
  <si>
    <t>M7</t>
  </si>
  <si>
    <t>M8</t>
  </si>
  <si>
    <t>Жим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</si>
</sst>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45DC0-B15F-4236-88AB-5018A89A5833}">
  <dimension ref="A1:U100"/>
  <sheetViews>
    <sheetView topLeftCell="A36" workbookViewId="0">
      <selection activeCell="E78" sqref="E78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28.5" style="5" customWidth="1"/>
    <col min="7" max="17" width="5.5" style="18" customWidth="1"/>
    <col min="18" max="18" width="4.83203125" style="18" customWidth="1"/>
    <col min="19" max="19" width="7.83203125" style="19" bestFit="1" customWidth="1"/>
    <col min="20" max="20" width="8.5" style="6" bestFit="1" customWidth="1"/>
    <col min="21" max="21" width="18.33203125" style="5" bestFit="1" customWidth="1"/>
    <col min="22" max="16384" width="9.1640625" style="3"/>
  </cols>
  <sheetData>
    <row r="1" spans="1:21" s="2" customFormat="1" ht="29" customHeight="1">
      <c r="A1" s="57" t="s">
        <v>880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9</v>
      </c>
      <c r="H3" s="69"/>
      <c r="I3" s="69"/>
      <c r="J3" s="69"/>
      <c r="K3" s="69" t="s">
        <v>10</v>
      </c>
      <c r="L3" s="69"/>
      <c r="M3" s="69"/>
      <c r="N3" s="69"/>
      <c r="O3" s="69" t="s">
        <v>11</v>
      </c>
      <c r="P3" s="69"/>
      <c r="Q3" s="69"/>
      <c r="R3" s="69"/>
      <c r="S3" s="49" t="s">
        <v>1</v>
      </c>
      <c r="T3" s="51" t="s">
        <v>3</v>
      </c>
      <c r="U3" s="53" t="s">
        <v>2</v>
      </c>
    </row>
    <row r="4" spans="1:21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2"/>
      <c r="U4" s="54"/>
    </row>
    <row r="5" spans="1:21" ht="16">
      <c r="A5" s="55" t="s">
        <v>131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34" t="s">
        <v>30</v>
      </c>
      <c r="B6" s="23" t="s">
        <v>132</v>
      </c>
      <c r="C6" s="23" t="s">
        <v>133</v>
      </c>
      <c r="D6" s="23" t="s">
        <v>134</v>
      </c>
      <c r="E6" s="24" t="s">
        <v>951</v>
      </c>
      <c r="F6" s="23" t="s">
        <v>902</v>
      </c>
      <c r="G6" s="33" t="s">
        <v>135</v>
      </c>
      <c r="H6" s="33" t="s">
        <v>35</v>
      </c>
      <c r="I6" s="32" t="s">
        <v>136</v>
      </c>
      <c r="J6" s="34"/>
      <c r="K6" s="32" t="s">
        <v>137</v>
      </c>
      <c r="L6" s="33" t="s">
        <v>137</v>
      </c>
      <c r="M6" s="33" t="s">
        <v>138</v>
      </c>
      <c r="N6" s="34"/>
      <c r="O6" s="33" t="s">
        <v>76</v>
      </c>
      <c r="P6" s="33" t="s">
        <v>139</v>
      </c>
      <c r="Q6" s="32" t="s">
        <v>140</v>
      </c>
      <c r="R6" s="34"/>
      <c r="S6" s="41" t="str">
        <f>"232,5"</f>
        <v>232,5</v>
      </c>
      <c r="T6" s="25" t="str">
        <f>"313,6425"</f>
        <v>313,6425</v>
      </c>
      <c r="U6" s="23" t="s">
        <v>141</v>
      </c>
    </row>
    <row r="7" spans="1:21">
      <c r="A7" s="39" t="s">
        <v>129</v>
      </c>
      <c r="B7" s="29" t="s">
        <v>142</v>
      </c>
      <c r="C7" s="29" t="s">
        <v>143</v>
      </c>
      <c r="D7" s="29" t="s">
        <v>144</v>
      </c>
      <c r="E7" s="30" t="s">
        <v>951</v>
      </c>
      <c r="F7" s="29" t="s">
        <v>903</v>
      </c>
      <c r="G7" s="38" t="s">
        <v>49</v>
      </c>
      <c r="H7" s="40" t="s">
        <v>145</v>
      </c>
      <c r="I7" s="40" t="s">
        <v>145</v>
      </c>
      <c r="J7" s="39"/>
      <c r="K7" s="38" t="s">
        <v>38</v>
      </c>
      <c r="L7" s="38" t="s">
        <v>39</v>
      </c>
      <c r="M7" s="38" t="s">
        <v>146</v>
      </c>
      <c r="N7" s="39"/>
      <c r="O7" s="38" t="s">
        <v>36</v>
      </c>
      <c r="P7" s="38" t="s">
        <v>77</v>
      </c>
      <c r="Q7" s="40" t="s">
        <v>59</v>
      </c>
      <c r="R7" s="39"/>
      <c r="S7" s="42" t="str">
        <f>"230,0"</f>
        <v>230,0</v>
      </c>
      <c r="T7" s="31" t="str">
        <f>"309,3270"</f>
        <v>309,3270</v>
      </c>
      <c r="U7" s="29" t="s">
        <v>845</v>
      </c>
    </row>
    <row r="9" spans="1:21" ht="16">
      <c r="A9" s="45" t="s">
        <v>147</v>
      </c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21">
      <c r="A10" s="22" t="s">
        <v>30</v>
      </c>
      <c r="B10" s="7" t="s">
        <v>148</v>
      </c>
      <c r="C10" s="7" t="s">
        <v>149</v>
      </c>
      <c r="D10" s="7" t="s">
        <v>150</v>
      </c>
      <c r="E10" s="8" t="s">
        <v>951</v>
      </c>
      <c r="F10" s="7" t="s">
        <v>904</v>
      </c>
      <c r="G10" s="20" t="s">
        <v>151</v>
      </c>
      <c r="H10" s="20" t="s">
        <v>152</v>
      </c>
      <c r="I10" s="20" t="s">
        <v>48</v>
      </c>
      <c r="J10" s="22"/>
      <c r="K10" s="20" t="s">
        <v>153</v>
      </c>
      <c r="L10" s="20" t="s">
        <v>137</v>
      </c>
      <c r="M10" s="21" t="s">
        <v>154</v>
      </c>
      <c r="N10" s="22"/>
      <c r="O10" s="20" t="s">
        <v>140</v>
      </c>
      <c r="P10" s="20" t="s">
        <v>40</v>
      </c>
      <c r="Q10" s="21" t="s">
        <v>41</v>
      </c>
      <c r="R10" s="22"/>
      <c r="S10" s="43" t="str">
        <f>"227,5"</f>
        <v>227,5</v>
      </c>
      <c r="T10" s="9" t="str">
        <f>"284,4660"</f>
        <v>284,4660</v>
      </c>
      <c r="U10" s="7" t="s">
        <v>42</v>
      </c>
    </row>
    <row r="12" spans="1:21" ht="16">
      <c r="A12" s="45" t="s">
        <v>31</v>
      </c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1:21">
      <c r="A13" s="34" t="s">
        <v>30</v>
      </c>
      <c r="B13" s="23" t="s">
        <v>155</v>
      </c>
      <c r="C13" s="23" t="s">
        <v>156</v>
      </c>
      <c r="D13" s="23" t="s">
        <v>157</v>
      </c>
      <c r="E13" s="24" t="s">
        <v>951</v>
      </c>
      <c r="F13" s="23" t="s">
        <v>904</v>
      </c>
      <c r="G13" s="33" t="s">
        <v>76</v>
      </c>
      <c r="H13" s="32" t="s">
        <v>77</v>
      </c>
      <c r="I13" s="32" t="s">
        <v>77</v>
      </c>
      <c r="J13" s="34"/>
      <c r="K13" s="33" t="s">
        <v>158</v>
      </c>
      <c r="L13" s="33" t="s">
        <v>38</v>
      </c>
      <c r="M13" s="32" t="s">
        <v>39</v>
      </c>
      <c r="N13" s="34"/>
      <c r="O13" s="32" t="s">
        <v>159</v>
      </c>
      <c r="P13" s="33" t="s">
        <v>41</v>
      </c>
      <c r="Q13" s="32" t="s">
        <v>47</v>
      </c>
      <c r="R13" s="34"/>
      <c r="S13" s="41" t="str">
        <f>"267,5"</f>
        <v>267,5</v>
      </c>
      <c r="T13" s="25" t="str">
        <f>"314,7405"</f>
        <v>314,7405</v>
      </c>
      <c r="U13" s="23" t="s">
        <v>160</v>
      </c>
    </row>
    <row r="14" spans="1:21">
      <c r="A14" s="36" t="s">
        <v>129</v>
      </c>
      <c r="B14" s="26" t="s">
        <v>161</v>
      </c>
      <c r="C14" s="26" t="s">
        <v>162</v>
      </c>
      <c r="D14" s="26" t="s">
        <v>163</v>
      </c>
      <c r="E14" s="27" t="s">
        <v>951</v>
      </c>
      <c r="F14" s="26" t="s">
        <v>905</v>
      </c>
      <c r="G14" s="37" t="s">
        <v>76</v>
      </c>
      <c r="H14" s="35" t="s">
        <v>76</v>
      </c>
      <c r="I14" s="35" t="s">
        <v>37</v>
      </c>
      <c r="J14" s="36"/>
      <c r="K14" s="35" t="s">
        <v>146</v>
      </c>
      <c r="L14" s="37" t="s">
        <v>164</v>
      </c>
      <c r="M14" s="37" t="s">
        <v>164</v>
      </c>
      <c r="N14" s="36"/>
      <c r="O14" s="35" t="s">
        <v>59</v>
      </c>
      <c r="P14" s="37" t="s">
        <v>40</v>
      </c>
      <c r="Q14" s="37" t="s">
        <v>159</v>
      </c>
      <c r="R14" s="36"/>
      <c r="S14" s="44" t="str">
        <f>"262,5"</f>
        <v>262,5</v>
      </c>
      <c r="T14" s="28" t="str">
        <f>"312,3750"</f>
        <v>312,3750</v>
      </c>
      <c r="U14" s="26" t="s">
        <v>165</v>
      </c>
    </row>
    <row r="15" spans="1:21">
      <c r="A15" s="39" t="s">
        <v>130</v>
      </c>
      <c r="B15" s="29" t="s">
        <v>166</v>
      </c>
      <c r="C15" s="29" t="s">
        <v>167</v>
      </c>
      <c r="D15" s="29" t="s">
        <v>168</v>
      </c>
      <c r="E15" s="30" t="s">
        <v>951</v>
      </c>
      <c r="F15" s="29" t="s">
        <v>906</v>
      </c>
      <c r="G15" s="38" t="s">
        <v>145</v>
      </c>
      <c r="H15" s="40" t="s">
        <v>169</v>
      </c>
      <c r="I15" s="40" t="s">
        <v>169</v>
      </c>
      <c r="J15" s="39"/>
      <c r="K15" s="38" t="s">
        <v>153</v>
      </c>
      <c r="L15" s="38" t="s">
        <v>137</v>
      </c>
      <c r="M15" s="38" t="s">
        <v>154</v>
      </c>
      <c r="N15" s="39"/>
      <c r="O15" s="38" t="s">
        <v>169</v>
      </c>
      <c r="P15" s="38" t="s">
        <v>170</v>
      </c>
      <c r="Q15" s="38" t="s">
        <v>76</v>
      </c>
      <c r="R15" s="39"/>
      <c r="S15" s="42" t="str">
        <f>"217,5"</f>
        <v>217,5</v>
      </c>
      <c r="T15" s="31" t="str">
        <f>"256,2803"</f>
        <v>256,2803</v>
      </c>
      <c r="U15" s="29" t="s">
        <v>171</v>
      </c>
    </row>
    <row r="17" spans="1:21" ht="16">
      <c r="A17" s="45" t="s">
        <v>43</v>
      </c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21">
      <c r="A18" s="34" t="s">
        <v>30</v>
      </c>
      <c r="B18" s="23" t="s">
        <v>172</v>
      </c>
      <c r="C18" s="23" t="s">
        <v>173</v>
      </c>
      <c r="D18" s="23" t="s">
        <v>174</v>
      </c>
      <c r="E18" s="24" t="s">
        <v>951</v>
      </c>
      <c r="F18" s="23" t="s">
        <v>904</v>
      </c>
      <c r="G18" s="33" t="s">
        <v>169</v>
      </c>
      <c r="H18" s="33" t="s">
        <v>36</v>
      </c>
      <c r="I18" s="33" t="s">
        <v>77</v>
      </c>
      <c r="J18" s="34"/>
      <c r="K18" s="33" t="s">
        <v>38</v>
      </c>
      <c r="L18" s="32" t="s">
        <v>146</v>
      </c>
      <c r="M18" s="32" t="s">
        <v>164</v>
      </c>
      <c r="N18" s="34"/>
      <c r="O18" s="33" t="s">
        <v>139</v>
      </c>
      <c r="P18" s="33" t="s">
        <v>140</v>
      </c>
      <c r="Q18" s="33" t="s">
        <v>40</v>
      </c>
      <c r="R18" s="34"/>
      <c r="S18" s="41" t="str">
        <f>"267,5"</f>
        <v>267,5</v>
      </c>
      <c r="T18" s="25" t="str">
        <f>"300,9643"</f>
        <v>300,9643</v>
      </c>
      <c r="U18" s="23" t="s">
        <v>175</v>
      </c>
    </row>
    <row r="19" spans="1:21">
      <c r="A19" s="39" t="s">
        <v>129</v>
      </c>
      <c r="B19" s="29" t="s">
        <v>176</v>
      </c>
      <c r="C19" s="29" t="s">
        <v>177</v>
      </c>
      <c r="D19" s="29" t="s">
        <v>178</v>
      </c>
      <c r="E19" s="30" t="s">
        <v>951</v>
      </c>
      <c r="F19" s="29" t="s">
        <v>904</v>
      </c>
      <c r="G19" s="38" t="s">
        <v>49</v>
      </c>
      <c r="H19" s="40" t="s">
        <v>145</v>
      </c>
      <c r="I19" s="40" t="s">
        <v>145</v>
      </c>
      <c r="J19" s="39"/>
      <c r="K19" s="38" t="s">
        <v>137</v>
      </c>
      <c r="L19" s="40" t="s">
        <v>154</v>
      </c>
      <c r="M19" s="38" t="s">
        <v>154</v>
      </c>
      <c r="N19" s="39"/>
      <c r="O19" s="38" t="s">
        <v>145</v>
      </c>
      <c r="P19" s="38" t="s">
        <v>169</v>
      </c>
      <c r="Q19" s="40" t="s">
        <v>136</v>
      </c>
      <c r="R19" s="39"/>
      <c r="S19" s="42" t="str">
        <f>"202,5"</f>
        <v>202,5</v>
      </c>
      <c r="T19" s="31" t="str">
        <f>"229,3313"</f>
        <v>229,3313</v>
      </c>
      <c r="U19" s="29" t="s">
        <v>846</v>
      </c>
    </row>
    <row r="21" spans="1:21" ht="16">
      <c r="A21" s="45" t="s">
        <v>53</v>
      </c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21">
      <c r="A22" s="34" t="s">
        <v>30</v>
      </c>
      <c r="B22" s="23" t="s">
        <v>179</v>
      </c>
      <c r="C22" s="23" t="s">
        <v>753</v>
      </c>
      <c r="D22" s="23" t="s">
        <v>180</v>
      </c>
      <c r="E22" s="24" t="s">
        <v>952</v>
      </c>
      <c r="F22" s="23" t="s">
        <v>906</v>
      </c>
      <c r="G22" s="32" t="s">
        <v>169</v>
      </c>
      <c r="H22" s="33" t="s">
        <v>170</v>
      </c>
      <c r="I22" s="32" t="s">
        <v>76</v>
      </c>
      <c r="J22" s="34"/>
      <c r="K22" s="33" t="s">
        <v>138</v>
      </c>
      <c r="L22" s="32" t="s">
        <v>38</v>
      </c>
      <c r="M22" s="32" t="s">
        <v>38</v>
      </c>
      <c r="N22" s="34"/>
      <c r="O22" s="33" t="s">
        <v>76</v>
      </c>
      <c r="P22" s="33" t="s">
        <v>104</v>
      </c>
      <c r="Q22" s="33" t="s">
        <v>59</v>
      </c>
      <c r="R22" s="34"/>
      <c r="S22" s="41" t="str">
        <f>"245,0"</f>
        <v>245,0</v>
      </c>
      <c r="T22" s="25" t="str">
        <f>"252,7665"</f>
        <v>252,7665</v>
      </c>
      <c r="U22" s="23" t="s">
        <v>171</v>
      </c>
    </row>
    <row r="23" spans="1:21">
      <c r="A23" s="36" t="s">
        <v>129</v>
      </c>
      <c r="B23" s="26" t="s">
        <v>181</v>
      </c>
      <c r="C23" s="26" t="s">
        <v>754</v>
      </c>
      <c r="D23" s="26" t="s">
        <v>182</v>
      </c>
      <c r="E23" s="27" t="s">
        <v>952</v>
      </c>
      <c r="F23" s="26" t="s">
        <v>907</v>
      </c>
      <c r="G23" s="35" t="s">
        <v>183</v>
      </c>
      <c r="H23" s="37" t="s">
        <v>48</v>
      </c>
      <c r="I23" s="35" t="s">
        <v>184</v>
      </c>
      <c r="J23" s="36"/>
      <c r="K23" s="35" t="s">
        <v>137</v>
      </c>
      <c r="L23" s="35" t="s">
        <v>154</v>
      </c>
      <c r="M23" s="35" t="s">
        <v>138</v>
      </c>
      <c r="N23" s="36"/>
      <c r="O23" s="35" t="s">
        <v>170</v>
      </c>
      <c r="P23" s="35" t="s">
        <v>77</v>
      </c>
      <c r="Q23" s="35" t="s">
        <v>59</v>
      </c>
      <c r="R23" s="36"/>
      <c r="S23" s="44" t="str">
        <f>"227,5"</f>
        <v>227,5</v>
      </c>
      <c r="T23" s="28" t="str">
        <f>"242,2875"</f>
        <v>242,2875</v>
      </c>
      <c r="U23" s="26" t="s">
        <v>185</v>
      </c>
    </row>
    <row r="24" spans="1:21">
      <c r="A24" s="36" t="s">
        <v>30</v>
      </c>
      <c r="B24" s="26" t="s">
        <v>186</v>
      </c>
      <c r="C24" s="26" t="s">
        <v>187</v>
      </c>
      <c r="D24" s="26" t="s">
        <v>188</v>
      </c>
      <c r="E24" s="27" t="s">
        <v>951</v>
      </c>
      <c r="F24" s="26" t="s">
        <v>908</v>
      </c>
      <c r="G24" s="35" t="s">
        <v>189</v>
      </c>
      <c r="H24" s="35" t="s">
        <v>59</v>
      </c>
      <c r="I24" s="35" t="s">
        <v>140</v>
      </c>
      <c r="J24" s="36"/>
      <c r="K24" s="35" t="s">
        <v>151</v>
      </c>
      <c r="L24" s="35" t="s">
        <v>183</v>
      </c>
      <c r="M24" s="37" t="s">
        <v>48</v>
      </c>
      <c r="N24" s="36"/>
      <c r="O24" s="35" t="s">
        <v>190</v>
      </c>
      <c r="P24" s="35" t="s">
        <v>75</v>
      </c>
      <c r="Q24" s="35" t="s">
        <v>91</v>
      </c>
      <c r="R24" s="36"/>
      <c r="S24" s="44" t="str">
        <f>"332,5"</f>
        <v>332,5</v>
      </c>
      <c r="T24" s="28" t="str">
        <f>"348,8258"</f>
        <v>348,8258</v>
      </c>
      <c r="U24" s="26" t="s">
        <v>160</v>
      </c>
    </row>
    <row r="25" spans="1:21">
      <c r="A25" s="36" t="s">
        <v>129</v>
      </c>
      <c r="B25" s="26" t="s">
        <v>191</v>
      </c>
      <c r="C25" s="26" t="s">
        <v>192</v>
      </c>
      <c r="D25" s="26" t="s">
        <v>193</v>
      </c>
      <c r="E25" s="27" t="s">
        <v>951</v>
      </c>
      <c r="F25" s="26" t="s">
        <v>904</v>
      </c>
      <c r="G25" s="35" t="s">
        <v>136</v>
      </c>
      <c r="H25" s="35" t="s">
        <v>76</v>
      </c>
      <c r="I25" s="35" t="s">
        <v>77</v>
      </c>
      <c r="J25" s="36"/>
      <c r="K25" s="35" t="s">
        <v>151</v>
      </c>
      <c r="L25" s="35" t="s">
        <v>183</v>
      </c>
      <c r="M25" s="37" t="s">
        <v>152</v>
      </c>
      <c r="N25" s="36"/>
      <c r="O25" s="35" t="s">
        <v>194</v>
      </c>
      <c r="P25" s="35" t="s">
        <v>195</v>
      </c>
      <c r="Q25" s="37" t="s">
        <v>103</v>
      </c>
      <c r="R25" s="36"/>
      <c r="S25" s="44" t="str">
        <f>"295,0"</f>
        <v>295,0</v>
      </c>
      <c r="T25" s="28" t="str">
        <f>"305,3545"</f>
        <v>305,3545</v>
      </c>
      <c r="U25" s="26" t="s">
        <v>847</v>
      </c>
    </row>
    <row r="26" spans="1:21">
      <c r="A26" s="36" t="s">
        <v>130</v>
      </c>
      <c r="B26" s="26" t="s">
        <v>196</v>
      </c>
      <c r="C26" s="26" t="s">
        <v>197</v>
      </c>
      <c r="D26" s="26" t="s">
        <v>198</v>
      </c>
      <c r="E26" s="27" t="s">
        <v>951</v>
      </c>
      <c r="F26" s="26" t="s">
        <v>906</v>
      </c>
      <c r="G26" s="35" t="s">
        <v>169</v>
      </c>
      <c r="H26" s="37" t="s">
        <v>170</v>
      </c>
      <c r="I26" s="35" t="s">
        <v>170</v>
      </c>
      <c r="J26" s="36"/>
      <c r="K26" s="35" t="s">
        <v>38</v>
      </c>
      <c r="L26" s="35" t="s">
        <v>39</v>
      </c>
      <c r="M26" s="35" t="s">
        <v>146</v>
      </c>
      <c r="N26" s="36"/>
      <c r="O26" s="35" t="s">
        <v>77</v>
      </c>
      <c r="P26" s="37" t="s">
        <v>139</v>
      </c>
      <c r="Q26" s="35" t="s">
        <v>139</v>
      </c>
      <c r="R26" s="36"/>
      <c r="S26" s="44" t="str">
        <f>"250,0"</f>
        <v>250,0</v>
      </c>
      <c r="T26" s="28" t="str">
        <f>"259,3500"</f>
        <v>259,3500</v>
      </c>
      <c r="U26" s="26" t="s">
        <v>171</v>
      </c>
    </row>
    <row r="27" spans="1:21">
      <c r="A27" s="36" t="s">
        <v>30</v>
      </c>
      <c r="B27" s="26" t="s">
        <v>199</v>
      </c>
      <c r="C27" s="26" t="s">
        <v>755</v>
      </c>
      <c r="D27" s="26" t="s">
        <v>200</v>
      </c>
      <c r="E27" s="27" t="s">
        <v>953</v>
      </c>
      <c r="F27" s="26" t="s">
        <v>909</v>
      </c>
      <c r="G27" s="35" t="s">
        <v>170</v>
      </c>
      <c r="H27" s="35" t="s">
        <v>76</v>
      </c>
      <c r="I27" s="35" t="s">
        <v>77</v>
      </c>
      <c r="J27" s="36"/>
      <c r="K27" s="37" t="s">
        <v>38</v>
      </c>
      <c r="L27" s="35" t="s">
        <v>39</v>
      </c>
      <c r="M27" s="35" t="s">
        <v>201</v>
      </c>
      <c r="N27" s="36"/>
      <c r="O27" s="35" t="s">
        <v>40</v>
      </c>
      <c r="P27" s="35" t="s">
        <v>194</v>
      </c>
      <c r="Q27" s="35" t="s">
        <v>47</v>
      </c>
      <c r="R27" s="36"/>
      <c r="S27" s="44" t="str">
        <f>"285,0"</f>
        <v>285,0</v>
      </c>
      <c r="T27" s="28" t="str">
        <f>"299,0154"</f>
        <v>299,0154</v>
      </c>
      <c r="U27" s="26" t="s">
        <v>202</v>
      </c>
    </row>
    <row r="28" spans="1:21">
      <c r="A28" s="39" t="s">
        <v>129</v>
      </c>
      <c r="B28" s="29" t="s">
        <v>203</v>
      </c>
      <c r="C28" s="29" t="s">
        <v>756</v>
      </c>
      <c r="D28" s="29" t="s">
        <v>204</v>
      </c>
      <c r="E28" s="30" t="s">
        <v>953</v>
      </c>
      <c r="F28" s="29" t="s">
        <v>904</v>
      </c>
      <c r="G28" s="40" t="s">
        <v>35</v>
      </c>
      <c r="H28" s="40" t="s">
        <v>35</v>
      </c>
      <c r="I28" s="38" t="s">
        <v>35</v>
      </c>
      <c r="J28" s="39"/>
      <c r="K28" s="40" t="s">
        <v>154</v>
      </c>
      <c r="L28" s="38" t="s">
        <v>154</v>
      </c>
      <c r="M28" s="38" t="s">
        <v>138</v>
      </c>
      <c r="N28" s="39"/>
      <c r="O28" s="38" t="s">
        <v>49</v>
      </c>
      <c r="P28" s="38" t="s">
        <v>145</v>
      </c>
      <c r="Q28" s="38" t="s">
        <v>170</v>
      </c>
      <c r="R28" s="39"/>
      <c r="S28" s="42" t="str">
        <f>"217,5"</f>
        <v>217,5</v>
      </c>
      <c r="T28" s="31" t="str">
        <f>"231,7246"</f>
        <v>231,7246</v>
      </c>
      <c r="U28" s="29" t="s">
        <v>205</v>
      </c>
    </row>
    <row r="30" spans="1:21" ht="16">
      <c r="A30" s="45" t="s">
        <v>206</v>
      </c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21">
      <c r="A31" s="22" t="s">
        <v>30</v>
      </c>
      <c r="B31" s="7" t="s">
        <v>207</v>
      </c>
      <c r="C31" s="7" t="s">
        <v>208</v>
      </c>
      <c r="D31" s="7" t="s">
        <v>209</v>
      </c>
      <c r="E31" s="8" t="s">
        <v>951</v>
      </c>
      <c r="F31" s="7" t="s">
        <v>904</v>
      </c>
      <c r="G31" s="21" t="s">
        <v>48</v>
      </c>
      <c r="H31" s="20" t="s">
        <v>48</v>
      </c>
      <c r="I31" s="21" t="s">
        <v>135</v>
      </c>
      <c r="J31" s="22"/>
      <c r="K31" s="20" t="s">
        <v>137</v>
      </c>
      <c r="L31" s="21" t="s">
        <v>138</v>
      </c>
      <c r="M31" s="20" t="s">
        <v>138</v>
      </c>
      <c r="N31" s="22"/>
      <c r="O31" s="20" t="s">
        <v>49</v>
      </c>
      <c r="P31" s="20" t="s">
        <v>35</v>
      </c>
      <c r="Q31" s="20" t="s">
        <v>169</v>
      </c>
      <c r="R31" s="22"/>
      <c r="S31" s="43" t="str">
        <f>"200,0"</f>
        <v>200,0</v>
      </c>
      <c r="T31" s="9" t="str">
        <f>"192,9200"</f>
        <v>192,9200</v>
      </c>
      <c r="U31" s="7" t="s">
        <v>848</v>
      </c>
    </row>
    <row r="33" spans="1:21" ht="16">
      <c r="A33" s="45" t="s">
        <v>78</v>
      </c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21">
      <c r="A34" s="22" t="s">
        <v>30</v>
      </c>
      <c r="B34" s="7" t="s">
        <v>210</v>
      </c>
      <c r="C34" s="7" t="s">
        <v>211</v>
      </c>
      <c r="D34" s="7" t="s">
        <v>212</v>
      </c>
      <c r="E34" s="8" t="s">
        <v>951</v>
      </c>
      <c r="F34" s="7" t="s">
        <v>904</v>
      </c>
      <c r="G34" s="20" t="s">
        <v>189</v>
      </c>
      <c r="H34" s="20" t="s">
        <v>213</v>
      </c>
      <c r="I34" s="20" t="s">
        <v>41</v>
      </c>
      <c r="J34" s="22"/>
      <c r="K34" s="20" t="s">
        <v>183</v>
      </c>
      <c r="L34" s="20" t="s">
        <v>48</v>
      </c>
      <c r="M34" s="20" t="s">
        <v>49</v>
      </c>
      <c r="N34" s="22"/>
      <c r="O34" s="20" t="s">
        <v>51</v>
      </c>
      <c r="P34" s="20" t="s">
        <v>56</v>
      </c>
      <c r="Q34" s="20" t="s">
        <v>57</v>
      </c>
      <c r="R34" s="22"/>
      <c r="S34" s="43" t="str">
        <f>"365,0"</f>
        <v>365,0</v>
      </c>
      <c r="T34" s="9" t="str">
        <f>"315,8345"</f>
        <v>315,8345</v>
      </c>
      <c r="U34" s="7" t="s">
        <v>160</v>
      </c>
    </row>
    <row r="36" spans="1:21" ht="16">
      <c r="A36" s="45" t="s">
        <v>147</v>
      </c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21">
      <c r="A37" s="22" t="s">
        <v>30</v>
      </c>
      <c r="B37" s="7" t="s">
        <v>214</v>
      </c>
      <c r="C37" s="7" t="s">
        <v>215</v>
      </c>
      <c r="D37" s="7" t="s">
        <v>216</v>
      </c>
      <c r="E37" s="8" t="s">
        <v>954</v>
      </c>
      <c r="F37" s="7" t="s">
        <v>910</v>
      </c>
      <c r="G37" s="20" t="s">
        <v>169</v>
      </c>
      <c r="H37" s="20" t="s">
        <v>170</v>
      </c>
      <c r="I37" s="20" t="s">
        <v>76</v>
      </c>
      <c r="J37" s="22"/>
      <c r="K37" s="20" t="s">
        <v>38</v>
      </c>
      <c r="L37" s="21" t="s">
        <v>164</v>
      </c>
      <c r="M37" s="20" t="s">
        <v>164</v>
      </c>
      <c r="N37" s="22"/>
      <c r="O37" s="20" t="s">
        <v>170</v>
      </c>
      <c r="P37" s="20" t="s">
        <v>77</v>
      </c>
      <c r="Q37" s="21" t="s">
        <v>139</v>
      </c>
      <c r="R37" s="22"/>
      <c r="S37" s="43" t="str">
        <f>"255,0"</f>
        <v>255,0</v>
      </c>
      <c r="T37" s="9" t="str">
        <f>"252,2715"</f>
        <v>252,2715</v>
      </c>
      <c r="U37" s="7" t="s">
        <v>217</v>
      </c>
    </row>
    <row r="39" spans="1:21" ht="16">
      <c r="A39" s="45" t="s">
        <v>43</v>
      </c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21">
      <c r="A40" s="22" t="s">
        <v>30</v>
      </c>
      <c r="B40" s="7" t="s">
        <v>218</v>
      </c>
      <c r="C40" s="7" t="s">
        <v>219</v>
      </c>
      <c r="D40" s="7" t="s">
        <v>220</v>
      </c>
      <c r="E40" s="8" t="s">
        <v>954</v>
      </c>
      <c r="F40" s="7" t="s">
        <v>911</v>
      </c>
      <c r="G40" s="20" t="s">
        <v>48</v>
      </c>
      <c r="H40" s="20" t="s">
        <v>49</v>
      </c>
      <c r="I40" s="20" t="s">
        <v>145</v>
      </c>
      <c r="J40" s="22"/>
      <c r="K40" s="20" t="s">
        <v>137</v>
      </c>
      <c r="L40" s="20" t="s">
        <v>138</v>
      </c>
      <c r="M40" s="21" t="s">
        <v>158</v>
      </c>
      <c r="N40" s="22"/>
      <c r="O40" s="20" t="s">
        <v>169</v>
      </c>
      <c r="P40" s="20" t="s">
        <v>76</v>
      </c>
      <c r="Q40" s="21" t="s">
        <v>104</v>
      </c>
      <c r="R40" s="22"/>
      <c r="S40" s="43" t="str">
        <f>"220,0"</f>
        <v>220,0</v>
      </c>
      <c r="T40" s="9" t="str">
        <f>"187,6380"</f>
        <v>187,6380</v>
      </c>
      <c r="U40" s="7" t="s">
        <v>221</v>
      </c>
    </row>
    <row r="42" spans="1:21" ht="16">
      <c r="A42" s="45" t="s">
        <v>53</v>
      </c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21">
      <c r="A43" s="22" t="s">
        <v>30</v>
      </c>
      <c r="B43" s="7" t="s">
        <v>222</v>
      </c>
      <c r="C43" s="7" t="s">
        <v>223</v>
      </c>
      <c r="D43" s="7" t="s">
        <v>224</v>
      </c>
      <c r="E43" s="8" t="s">
        <v>951</v>
      </c>
      <c r="F43" s="7" t="s">
        <v>912</v>
      </c>
      <c r="G43" s="20" t="s">
        <v>17</v>
      </c>
      <c r="H43" s="20" t="s">
        <v>67</v>
      </c>
      <c r="I43" s="20" t="s">
        <v>84</v>
      </c>
      <c r="J43" s="22"/>
      <c r="K43" s="20" t="s">
        <v>159</v>
      </c>
      <c r="L43" s="20" t="s">
        <v>47</v>
      </c>
      <c r="M43" s="21" t="s">
        <v>195</v>
      </c>
      <c r="N43" s="22"/>
      <c r="O43" s="20" t="s">
        <v>84</v>
      </c>
      <c r="P43" s="21" t="s">
        <v>60</v>
      </c>
      <c r="Q43" s="21" t="s">
        <v>60</v>
      </c>
      <c r="R43" s="22"/>
      <c r="S43" s="43" t="str">
        <f>"477,5"</f>
        <v>477,5</v>
      </c>
      <c r="T43" s="9" t="str">
        <f>"370,8265"</f>
        <v>370,8265</v>
      </c>
      <c r="U43" s="7" t="s">
        <v>945</v>
      </c>
    </row>
    <row r="45" spans="1:21" ht="16">
      <c r="A45" s="45" t="s">
        <v>206</v>
      </c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1:21">
      <c r="A46" s="22" t="s">
        <v>30</v>
      </c>
      <c r="B46" s="7" t="s">
        <v>225</v>
      </c>
      <c r="C46" s="7" t="s">
        <v>757</v>
      </c>
      <c r="D46" s="7" t="s">
        <v>226</v>
      </c>
      <c r="E46" s="8" t="s">
        <v>955</v>
      </c>
      <c r="F46" s="7" t="s">
        <v>903</v>
      </c>
      <c r="G46" s="20" t="s">
        <v>169</v>
      </c>
      <c r="H46" s="20" t="s">
        <v>170</v>
      </c>
      <c r="I46" s="20" t="s">
        <v>77</v>
      </c>
      <c r="J46" s="22"/>
      <c r="K46" s="20" t="s">
        <v>48</v>
      </c>
      <c r="L46" s="21" t="s">
        <v>145</v>
      </c>
      <c r="M46" s="21" t="s">
        <v>145</v>
      </c>
      <c r="N46" s="22"/>
      <c r="O46" s="20" t="s">
        <v>77</v>
      </c>
      <c r="P46" s="20" t="s">
        <v>59</v>
      </c>
      <c r="Q46" s="20" t="s">
        <v>159</v>
      </c>
      <c r="R46" s="22"/>
      <c r="S46" s="43" t="str">
        <f>"290,0"</f>
        <v>290,0</v>
      </c>
      <c r="T46" s="9" t="str">
        <f>"270,1712"</f>
        <v>270,1712</v>
      </c>
      <c r="U46" s="7" t="s">
        <v>849</v>
      </c>
    </row>
    <row r="48" spans="1:21" ht="16">
      <c r="A48" s="45" t="s">
        <v>63</v>
      </c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1:21">
      <c r="A49" s="34" t="s">
        <v>30</v>
      </c>
      <c r="B49" s="23" t="s">
        <v>227</v>
      </c>
      <c r="C49" s="23" t="s">
        <v>228</v>
      </c>
      <c r="D49" s="23" t="s">
        <v>229</v>
      </c>
      <c r="E49" s="24" t="s">
        <v>951</v>
      </c>
      <c r="F49" s="23" t="s">
        <v>913</v>
      </c>
      <c r="G49" s="33" t="s">
        <v>17</v>
      </c>
      <c r="H49" s="33" t="s">
        <v>67</v>
      </c>
      <c r="I49" s="33" t="s">
        <v>18</v>
      </c>
      <c r="J49" s="34"/>
      <c r="K49" s="33" t="s">
        <v>47</v>
      </c>
      <c r="L49" s="33" t="s">
        <v>103</v>
      </c>
      <c r="M49" s="32" t="s">
        <v>74</v>
      </c>
      <c r="N49" s="34"/>
      <c r="O49" s="33" t="s">
        <v>113</v>
      </c>
      <c r="P49" s="32" t="s">
        <v>71</v>
      </c>
      <c r="Q49" s="32" t="s">
        <v>71</v>
      </c>
      <c r="R49" s="34"/>
      <c r="S49" s="41" t="str">
        <f>"520,0"</f>
        <v>520,0</v>
      </c>
      <c r="T49" s="25" t="str">
        <f>"352,2480"</f>
        <v>352,2480</v>
      </c>
      <c r="U49" s="23" t="s">
        <v>171</v>
      </c>
    </row>
    <row r="50" spans="1:21">
      <c r="A50" s="36" t="s">
        <v>30</v>
      </c>
      <c r="B50" s="26" t="s">
        <v>230</v>
      </c>
      <c r="C50" s="26" t="s">
        <v>758</v>
      </c>
      <c r="D50" s="26" t="s">
        <v>231</v>
      </c>
      <c r="E50" s="27" t="s">
        <v>956</v>
      </c>
      <c r="F50" s="26" t="s">
        <v>904</v>
      </c>
      <c r="G50" s="35" t="s">
        <v>19</v>
      </c>
      <c r="H50" s="35" t="s">
        <v>232</v>
      </c>
      <c r="I50" s="37" t="s">
        <v>113</v>
      </c>
      <c r="J50" s="36"/>
      <c r="K50" s="35" t="s">
        <v>103</v>
      </c>
      <c r="L50" s="35" t="s">
        <v>99</v>
      </c>
      <c r="M50" s="35" t="s">
        <v>51</v>
      </c>
      <c r="N50" s="36"/>
      <c r="O50" s="35" t="s">
        <v>232</v>
      </c>
      <c r="P50" s="37" t="s">
        <v>70</v>
      </c>
      <c r="Q50" s="37" t="s">
        <v>114</v>
      </c>
      <c r="R50" s="36"/>
      <c r="S50" s="44" t="str">
        <f>"547,5"</f>
        <v>547,5</v>
      </c>
      <c r="T50" s="28" t="str">
        <f>"403,1803"</f>
        <v>403,1803</v>
      </c>
      <c r="U50" s="26" t="s">
        <v>945</v>
      </c>
    </row>
    <row r="51" spans="1:21">
      <c r="A51" s="36" t="s">
        <v>129</v>
      </c>
      <c r="B51" s="26" t="s">
        <v>233</v>
      </c>
      <c r="C51" s="26" t="s">
        <v>759</v>
      </c>
      <c r="D51" s="26" t="s">
        <v>234</v>
      </c>
      <c r="E51" s="27" t="s">
        <v>956</v>
      </c>
      <c r="F51" s="26" t="s">
        <v>914</v>
      </c>
      <c r="G51" s="35" t="s">
        <v>18</v>
      </c>
      <c r="H51" s="37" t="s">
        <v>19</v>
      </c>
      <c r="I51" s="35" t="s">
        <v>19</v>
      </c>
      <c r="J51" s="36"/>
      <c r="K51" s="35" t="s">
        <v>195</v>
      </c>
      <c r="L51" s="35" t="s">
        <v>103</v>
      </c>
      <c r="M51" s="37" t="s">
        <v>50</v>
      </c>
      <c r="N51" s="36"/>
      <c r="O51" s="35" t="s">
        <v>232</v>
      </c>
      <c r="P51" s="35" t="s">
        <v>71</v>
      </c>
      <c r="Q51" s="37" t="s">
        <v>114</v>
      </c>
      <c r="R51" s="36"/>
      <c r="S51" s="44" t="str">
        <f>"540,0"</f>
        <v>540,0</v>
      </c>
      <c r="T51" s="28" t="str">
        <f>"396,7695"</f>
        <v>396,7695</v>
      </c>
      <c r="U51" s="26" t="s">
        <v>850</v>
      </c>
    </row>
    <row r="52" spans="1:21">
      <c r="A52" s="39" t="s">
        <v>30</v>
      </c>
      <c r="B52" s="29" t="s">
        <v>235</v>
      </c>
      <c r="C52" s="29" t="s">
        <v>760</v>
      </c>
      <c r="D52" s="29" t="s">
        <v>236</v>
      </c>
      <c r="E52" s="30" t="s">
        <v>957</v>
      </c>
      <c r="F52" s="29" t="s">
        <v>915</v>
      </c>
      <c r="G52" s="38" t="s">
        <v>159</v>
      </c>
      <c r="H52" s="40" t="s">
        <v>47</v>
      </c>
      <c r="I52" s="38" t="s">
        <v>195</v>
      </c>
      <c r="J52" s="39"/>
      <c r="K52" s="38" t="s">
        <v>136</v>
      </c>
      <c r="L52" s="38" t="s">
        <v>36</v>
      </c>
      <c r="M52" s="38" t="s">
        <v>76</v>
      </c>
      <c r="N52" s="39"/>
      <c r="O52" s="38" t="s">
        <v>91</v>
      </c>
      <c r="P52" s="38" t="s">
        <v>116</v>
      </c>
      <c r="Q52" s="40" t="s">
        <v>84</v>
      </c>
      <c r="R52" s="39"/>
      <c r="S52" s="42" t="str">
        <f>"390,0"</f>
        <v>390,0</v>
      </c>
      <c r="T52" s="31" t="str">
        <f>"403,8014"</f>
        <v>403,8014</v>
      </c>
      <c r="U52" s="29" t="s">
        <v>945</v>
      </c>
    </row>
    <row r="54" spans="1:21" ht="16">
      <c r="A54" s="45" t="s">
        <v>78</v>
      </c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</row>
    <row r="55" spans="1:21">
      <c r="A55" s="34" t="s">
        <v>30</v>
      </c>
      <c r="B55" s="23" t="s">
        <v>237</v>
      </c>
      <c r="C55" s="23" t="s">
        <v>238</v>
      </c>
      <c r="D55" s="23" t="s">
        <v>239</v>
      </c>
      <c r="E55" s="24" t="s">
        <v>951</v>
      </c>
      <c r="F55" s="23" t="s">
        <v>916</v>
      </c>
      <c r="G55" s="33" t="s">
        <v>100</v>
      </c>
      <c r="H55" s="33" t="s">
        <v>20</v>
      </c>
      <c r="I55" s="33" t="s">
        <v>240</v>
      </c>
      <c r="J55" s="33" t="s">
        <v>85</v>
      </c>
      <c r="K55" s="33" t="s">
        <v>17</v>
      </c>
      <c r="L55" s="33" t="s">
        <v>116</v>
      </c>
      <c r="M55" s="33" t="s">
        <v>67</v>
      </c>
      <c r="N55" s="33" t="s">
        <v>58</v>
      </c>
      <c r="O55" s="33" t="s">
        <v>241</v>
      </c>
      <c r="P55" s="33" t="s">
        <v>101</v>
      </c>
      <c r="Q55" s="32" t="s">
        <v>242</v>
      </c>
      <c r="R55" s="34"/>
      <c r="S55" s="41" t="str">
        <f>"697,5"</f>
        <v>697,5</v>
      </c>
      <c r="T55" s="25" t="str">
        <f>"447,8647"</f>
        <v>447,8647</v>
      </c>
      <c r="U55" s="23" t="s">
        <v>243</v>
      </c>
    </row>
    <row r="56" spans="1:21">
      <c r="A56" s="36" t="s">
        <v>129</v>
      </c>
      <c r="B56" s="26" t="s">
        <v>244</v>
      </c>
      <c r="C56" s="26" t="s">
        <v>245</v>
      </c>
      <c r="D56" s="26" t="s">
        <v>246</v>
      </c>
      <c r="E56" s="27" t="s">
        <v>951</v>
      </c>
      <c r="F56" s="26" t="s">
        <v>906</v>
      </c>
      <c r="G56" s="35" t="s">
        <v>70</v>
      </c>
      <c r="H56" s="37" t="s">
        <v>114</v>
      </c>
      <c r="I56" s="37" t="s">
        <v>114</v>
      </c>
      <c r="J56" s="36"/>
      <c r="K56" s="35" t="s">
        <v>51</v>
      </c>
      <c r="L56" s="35" t="s">
        <v>91</v>
      </c>
      <c r="M56" s="35" t="s">
        <v>17</v>
      </c>
      <c r="N56" s="36"/>
      <c r="O56" s="35" t="s">
        <v>83</v>
      </c>
      <c r="P56" s="35" t="s">
        <v>241</v>
      </c>
      <c r="Q56" s="35" t="s">
        <v>240</v>
      </c>
      <c r="R56" s="36"/>
      <c r="S56" s="44" t="str">
        <f>"635,0"</f>
        <v>635,0</v>
      </c>
      <c r="T56" s="28" t="str">
        <f>"407,4795"</f>
        <v>407,4795</v>
      </c>
      <c r="U56" s="26" t="s">
        <v>171</v>
      </c>
    </row>
    <row r="57" spans="1:21">
      <c r="A57" s="36" t="s">
        <v>130</v>
      </c>
      <c r="B57" s="26" t="s">
        <v>247</v>
      </c>
      <c r="C57" s="26" t="s">
        <v>248</v>
      </c>
      <c r="D57" s="26" t="s">
        <v>249</v>
      </c>
      <c r="E57" s="27" t="s">
        <v>951</v>
      </c>
      <c r="F57" s="26" t="s">
        <v>904</v>
      </c>
      <c r="G57" s="35" t="s">
        <v>61</v>
      </c>
      <c r="H57" s="35" t="s">
        <v>62</v>
      </c>
      <c r="I57" s="37" t="s">
        <v>250</v>
      </c>
      <c r="J57" s="36"/>
      <c r="K57" s="35" t="s">
        <v>74</v>
      </c>
      <c r="L57" s="35" t="s">
        <v>99</v>
      </c>
      <c r="M57" s="37" t="s">
        <v>51</v>
      </c>
      <c r="N57" s="36"/>
      <c r="O57" s="35" t="s">
        <v>100</v>
      </c>
      <c r="P57" s="35" t="s">
        <v>20</v>
      </c>
      <c r="Q57" s="35" t="s">
        <v>242</v>
      </c>
      <c r="R57" s="36"/>
      <c r="S57" s="44" t="str">
        <f>"615,0"</f>
        <v>615,0</v>
      </c>
      <c r="T57" s="28" t="str">
        <f>"394,2150"</f>
        <v>394,2150</v>
      </c>
      <c r="U57" s="26" t="s">
        <v>945</v>
      </c>
    </row>
    <row r="58" spans="1:21">
      <c r="A58" s="36" t="s">
        <v>297</v>
      </c>
      <c r="B58" s="26" t="s">
        <v>251</v>
      </c>
      <c r="C58" s="26" t="s">
        <v>252</v>
      </c>
      <c r="D58" s="26" t="s">
        <v>253</v>
      </c>
      <c r="E58" s="27" t="s">
        <v>951</v>
      </c>
      <c r="F58" s="26" t="s">
        <v>917</v>
      </c>
      <c r="G58" s="35" t="s">
        <v>18</v>
      </c>
      <c r="H58" s="35" t="s">
        <v>61</v>
      </c>
      <c r="I58" s="35" t="s">
        <v>232</v>
      </c>
      <c r="J58" s="36"/>
      <c r="K58" s="37" t="s">
        <v>17</v>
      </c>
      <c r="L58" s="35" t="s">
        <v>17</v>
      </c>
      <c r="M58" s="37" t="s">
        <v>116</v>
      </c>
      <c r="N58" s="36"/>
      <c r="O58" s="35" t="s">
        <v>71</v>
      </c>
      <c r="P58" s="35" t="s">
        <v>82</v>
      </c>
      <c r="Q58" s="35" t="s">
        <v>83</v>
      </c>
      <c r="R58" s="36"/>
      <c r="S58" s="44" t="str">
        <f>"600,0"</f>
        <v>600,0</v>
      </c>
      <c r="T58" s="28" t="str">
        <f>"383,2800"</f>
        <v>383,2800</v>
      </c>
      <c r="U58" s="26" t="s">
        <v>945</v>
      </c>
    </row>
    <row r="59" spans="1:21">
      <c r="A59" s="36" t="s">
        <v>298</v>
      </c>
      <c r="B59" s="26" t="s">
        <v>254</v>
      </c>
      <c r="C59" s="26" t="s">
        <v>255</v>
      </c>
      <c r="D59" s="26" t="s">
        <v>239</v>
      </c>
      <c r="E59" s="27" t="s">
        <v>951</v>
      </c>
      <c r="F59" s="26" t="s">
        <v>904</v>
      </c>
      <c r="G59" s="35" t="s">
        <v>116</v>
      </c>
      <c r="H59" s="37" t="s">
        <v>84</v>
      </c>
      <c r="I59" s="37" t="s">
        <v>84</v>
      </c>
      <c r="J59" s="36"/>
      <c r="K59" s="35" t="s">
        <v>59</v>
      </c>
      <c r="L59" s="35" t="s">
        <v>213</v>
      </c>
      <c r="M59" s="37" t="s">
        <v>159</v>
      </c>
      <c r="N59" s="36"/>
      <c r="O59" s="35" t="s">
        <v>232</v>
      </c>
      <c r="P59" s="35" t="s">
        <v>70</v>
      </c>
      <c r="Q59" s="37" t="s">
        <v>71</v>
      </c>
      <c r="R59" s="36"/>
      <c r="S59" s="44" t="str">
        <f>"490,0"</f>
        <v>490,0</v>
      </c>
      <c r="T59" s="28" t="str">
        <f>"314,6290"</f>
        <v>314,6290</v>
      </c>
      <c r="U59" s="26" t="s">
        <v>256</v>
      </c>
    </row>
    <row r="60" spans="1:21">
      <c r="A60" s="36" t="s">
        <v>299</v>
      </c>
      <c r="B60" s="26" t="s">
        <v>257</v>
      </c>
      <c r="C60" s="26" t="s">
        <v>258</v>
      </c>
      <c r="D60" s="26" t="s">
        <v>212</v>
      </c>
      <c r="E60" s="27" t="s">
        <v>951</v>
      </c>
      <c r="F60" s="26" t="s">
        <v>904</v>
      </c>
      <c r="G60" s="35" t="s">
        <v>61</v>
      </c>
      <c r="H60" s="35" t="s">
        <v>113</v>
      </c>
      <c r="I60" s="35" t="s">
        <v>259</v>
      </c>
      <c r="J60" s="36"/>
      <c r="K60" s="37" t="s">
        <v>260</v>
      </c>
      <c r="L60" s="37" t="s">
        <v>260</v>
      </c>
      <c r="M60" s="37" t="s">
        <v>260</v>
      </c>
      <c r="N60" s="36"/>
      <c r="O60" s="37"/>
      <c r="P60" s="36"/>
      <c r="Q60" s="36"/>
      <c r="R60" s="36"/>
      <c r="S60" s="44">
        <v>0</v>
      </c>
      <c r="T60" s="28" t="str">
        <f>"0,0000"</f>
        <v>0,0000</v>
      </c>
      <c r="U60" s="26" t="s">
        <v>945</v>
      </c>
    </row>
    <row r="61" spans="1:21">
      <c r="A61" s="36" t="s">
        <v>30</v>
      </c>
      <c r="B61" s="26" t="s">
        <v>261</v>
      </c>
      <c r="C61" s="26" t="s">
        <v>761</v>
      </c>
      <c r="D61" s="26" t="s">
        <v>262</v>
      </c>
      <c r="E61" s="27" t="s">
        <v>953</v>
      </c>
      <c r="F61" s="26" t="s">
        <v>904</v>
      </c>
      <c r="G61" s="35" t="s">
        <v>116</v>
      </c>
      <c r="H61" s="35" t="s">
        <v>84</v>
      </c>
      <c r="I61" s="37" t="s">
        <v>60</v>
      </c>
      <c r="J61" s="36"/>
      <c r="K61" s="35" t="s">
        <v>159</v>
      </c>
      <c r="L61" s="35" t="s">
        <v>47</v>
      </c>
      <c r="M61" s="37" t="s">
        <v>260</v>
      </c>
      <c r="N61" s="36"/>
      <c r="O61" s="35" t="s">
        <v>232</v>
      </c>
      <c r="P61" s="35" t="s">
        <v>259</v>
      </c>
      <c r="Q61" s="35" t="s">
        <v>90</v>
      </c>
      <c r="R61" s="36"/>
      <c r="S61" s="44" t="str">
        <f>"520,0"</f>
        <v>520,0</v>
      </c>
      <c r="T61" s="28" t="str">
        <f>"352,8177"</f>
        <v>352,8177</v>
      </c>
      <c r="U61" s="26" t="s">
        <v>263</v>
      </c>
    </row>
    <row r="62" spans="1:21">
      <c r="A62" s="36" t="s">
        <v>30</v>
      </c>
      <c r="B62" s="26" t="s">
        <v>264</v>
      </c>
      <c r="C62" s="26" t="s">
        <v>762</v>
      </c>
      <c r="D62" s="26" t="s">
        <v>265</v>
      </c>
      <c r="E62" s="27" t="s">
        <v>956</v>
      </c>
      <c r="F62" s="26" t="s">
        <v>918</v>
      </c>
      <c r="G62" s="35" t="s">
        <v>67</v>
      </c>
      <c r="H62" s="35" t="s">
        <v>60</v>
      </c>
      <c r="I62" s="35" t="s">
        <v>61</v>
      </c>
      <c r="J62" s="36"/>
      <c r="K62" s="35" t="s">
        <v>195</v>
      </c>
      <c r="L62" s="35" t="s">
        <v>74</v>
      </c>
      <c r="M62" s="35" t="s">
        <v>51</v>
      </c>
      <c r="N62" s="36"/>
      <c r="O62" s="35" t="s">
        <v>232</v>
      </c>
      <c r="P62" s="35" t="s">
        <v>114</v>
      </c>
      <c r="Q62" s="35" t="s">
        <v>93</v>
      </c>
      <c r="R62" s="36"/>
      <c r="S62" s="44" t="str">
        <f>"577,5"</f>
        <v>577,5</v>
      </c>
      <c r="T62" s="28" t="str">
        <f>"398,5533"</f>
        <v>398,5533</v>
      </c>
      <c r="U62" s="26" t="s">
        <v>945</v>
      </c>
    </row>
    <row r="63" spans="1:21">
      <c r="A63" s="36" t="s">
        <v>30</v>
      </c>
      <c r="B63" s="26" t="s">
        <v>237</v>
      </c>
      <c r="C63" s="26" t="s">
        <v>763</v>
      </c>
      <c r="D63" s="26" t="s">
        <v>239</v>
      </c>
      <c r="E63" s="27" t="s">
        <v>955</v>
      </c>
      <c r="F63" s="26" t="s">
        <v>916</v>
      </c>
      <c r="G63" s="35" t="s">
        <v>100</v>
      </c>
      <c r="H63" s="35" t="s">
        <v>20</v>
      </c>
      <c r="I63" s="35" t="s">
        <v>240</v>
      </c>
      <c r="J63" s="35" t="s">
        <v>85</v>
      </c>
      <c r="K63" s="35" t="s">
        <v>17</v>
      </c>
      <c r="L63" s="35" t="s">
        <v>116</v>
      </c>
      <c r="M63" s="35" t="s">
        <v>67</v>
      </c>
      <c r="N63" s="35" t="s">
        <v>58</v>
      </c>
      <c r="O63" s="35" t="s">
        <v>241</v>
      </c>
      <c r="P63" s="35" t="s">
        <v>101</v>
      </c>
      <c r="Q63" s="37" t="s">
        <v>242</v>
      </c>
      <c r="R63" s="36"/>
      <c r="S63" s="44" t="str">
        <f>"697,5"</f>
        <v>697,5</v>
      </c>
      <c r="T63" s="28" t="str">
        <f>"580,8806"</f>
        <v>580,8806</v>
      </c>
      <c r="U63" s="26" t="s">
        <v>243</v>
      </c>
    </row>
    <row r="64" spans="1:21">
      <c r="A64" s="36" t="s">
        <v>129</v>
      </c>
      <c r="B64" s="26" t="s">
        <v>266</v>
      </c>
      <c r="C64" s="26" t="s">
        <v>764</v>
      </c>
      <c r="D64" s="26" t="s">
        <v>267</v>
      </c>
      <c r="E64" s="27" t="s">
        <v>955</v>
      </c>
      <c r="F64" s="26" t="s">
        <v>912</v>
      </c>
      <c r="G64" s="35" t="s">
        <v>58</v>
      </c>
      <c r="H64" s="35" t="s">
        <v>268</v>
      </c>
      <c r="I64" s="35" t="s">
        <v>60</v>
      </c>
      <c r="J64" s="36"/>
      <c r="K64" s="35" t="s">
        <v>213</v>
      </c>
      <c r="L64" s="37" t="s">
        <v>159</v>
      </c>
      <c r="M64" s="35" t="s">
        <v>159</v>
      </c>
      <c r="N64" s="36"/>
      <c r="O64" s="35" t="s">
        <v>259</v>
      </c>
      <c r="P64" s="37" t="s">
        <v>114</v>
      </c>
      <c r="Q64" s="35" t="s">
        <v>114</v>
      </c>
      <c r="R64" s="36"/>
      <c r="S64" s="44" t="str">
        <f>"525,0"</f>
        <v>525,0</v>
      </c>
      <c r="T64" s="28" t="str">
        <f>"439,8095"</f>
        <v>439,8095</v>
      </c>
      <c r="U64" s="26" t="s">
        <v>160</v>
      </c>
    </row>
    <row r="65" spans="1:21">
      <c r="A65" s="39" t="s">
        <v>30</v>
      </c>
      <c r="B65" s="29" t="s">
        <v>269</v>
      </c>
      <c r="C65" s="29" t="s">
        <v>765</v>
      </c>
      <c r="D65" s="29" t="s">
        <v>270</v>
      </c>
      <c r="E65" s="30" t="s">
        <v>957</v>
      </c>
      <c r="F65" s="29" t="s">
        <v>910</v>
      </c>
      <c r="G65" s="38" t="s">
        <v>75</v>
      </c>
      <c r="H65" s="40" t="s">
        <v>17</v>
      </c>
      <c r="I65" s="38" t="s">
        <v>116</v>
      </c>
      <c r="J65" s="39"/>
      <c r="K65" s="38" t="s">
        <v>170</v>
      </c>
      <c r="L65" s="38" t="s">
        <v>77</v>
      </c>
      <c r="M65" s="40" t="s">
        <v>139</v>
      </c>
      <c r="N65" s="39"/>
      <c r="O65" s="38" t="s">
        <v>18</v>
      </c>
      <c r="P65" s="38" t="s">
        <v>19</v>
      </c>
      <c r="Q65" s="38" t="s">
        <v>232</v>
      </c>
      <c r="R65" s="39"/>
      <c r="S65" s="42" t="str">
        <f>"465,0"</f>
        <v>465,0</v>
      </c>
      <c r="T65" s="31" t="str">
        <f>"483,5101"</f>
        <v>483,5101</v>
      </c>
      <c r="U65" s="29" t="s">
        <v>849</v>
      </c>
    </row>
    <row r="67" spans="1:21" ht="16">
      <c r="A67" s="45" t="s">
        <v>105</v>
      </c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</row>
    <row r="68" spans="1:21">
      <c r="A68" s="34" t="s">
        <v>30</v>
      </c>
      <c r="B68" s="23" t="s">
        <v>271</v>
      </c>
      <c r="C68" s="23" t="s">
        <v>272</v>
      </c>
      <c r="D68" s="23" t="s">
        <v>273</v>
      </c>
      <c r="E68" s="24" t="s">
        <v>951</v>
      </c>
      <c r="F68" s="23" t="s">
        <v>904</v>
      </c>
      <c r="G68" s="33" t="s">
        <v>60</v>
      </c>
      <c r="H68" s="33" t="s">
        <v>61</v>
      </c>
      <c r="I68" s="33" t="s">
        <v>113</v>
      </c>
      <c r="J68" s="34"/>
      <c r="K68" s="33" t="s">
        <v>75</v>
      </c>
      <c r="L68" s="33" t="s">
        <v>17</v>
      </c>
      <c r="M68" s="34"/>
      <c r="N68" s="34"/>
      <c r="O68" s="33" t="s">
        <v>70</v>
      </c>
      <c r="P68" s="33" t="s">
        <v>114</v>
      </c>
      <c r="Q68" s="33" t="s">
        <v>82</v>
      </c>
      <c r="R68" s="34"/>
      <c r="S68" s="41" t="str">
        <f>"595,0"</f>
        <v>595,0</v>
      </c>
      <c r="T68" s="25" t="str">
        <f>"364,0210"</f>
        <v>364,0210</v>
      </c>
      <c r="U68" s="23" t="s">
        <v>851</v>
      </c>
    </row>
    <row r="69" spans="1:21">
      <c r="A69" s="36" t="s">
        <v>129</v>
      </c>
      <c r="B69" s="26" t="s">
        <v>274</v>
      </c>
      <c r="C69" s="26" t="s">
        <v>275</v>
      </c>
      <c r="D69" s="26" t="s">
        <v>276</v>
      </c>
      <c r="E69" s="27" t="s">
        <v>951</v>
      </c>
      <c r="F69" s="26" t="s">
        <v>904</v>
      </c>
      <c r="G69" s="35" t="s">
        <v>19</v>
      </c>
      <c r="H69" s="35" t="s">
        <v>113</v>
      </c>
      <c r="I69" s="37" t="s">
        <v>259</v>
      </c>
      <c r="J69" s="36"/>
      <c r="K69" s="35" t="s">
        <v>103</v>
      </c>
      <c r="L69" s="37" t="s">
        <v>99</v>
      </c>
      <c r="M69" s="37" t="s">
        <v>75</v>
      </c>
      <c r="N69" s="36"/>
      <c r="O69" s="35" t="s">
        <v>70</v>
      </c>
      <c r="P69" s="35" t="s">
        <v>114</v>
      </c>
      <c r="Q69" s="35" t="s">
        <v>93</v>
      </c>
      <c r="R69" s="36"/>
      <c r="S69" s="44" t="str">
        <f>"575,0"</f>
        <v>575,0</v>
      </c>
      <c r="T69" s="28" t="str">
        <f>"355,6950"</f>
        <v>355,6950</v>
      </c>
      <c r="U69" s="26" t="s">
        <v>945</v>
      </c>
    </row>
    <row r="70" spans="1:21">
      <c r="A70" s="36" t="s">
        <v>130</v>
      </c>
      <c r="B70" s="26" t="s">
        <v>277</v>
      </c>
      <c r="C70" s="26" t="s">
        <v>278</v>
      </c>
      <c r="D70" s="26" t="s">
        <v>279</v>
      </c>
      <c r="E70" s="27" t="s">
        <v>951</v>
      </c>
      <c r="F70" s="26" t="s">
        <v>907</v>
      </c>
      <c r="G70" s="37" t="s">
        <v>232</v>
      </c>
      <c r="H70" s="35" t="s">
        <v>232</v>
      </c>
      <c r="I70" s="35" t="s">
        <v>70</v>
      </c>
      <c r="J70" s="36"/>
      <c r="K70" s="35" t="s">
        <v>103</v>
      </c>
      <c r="L70" s="35" t="s">
        <v>190</v>
      </c>
      <c r="M70" s="37" t="s">
        <v>99</v>
      </c>
      <c r="N70" s="36"/>
      <c r="O70" s="35" t="s">
        <v>114</v>
      </c>
      <c r="P70" s="37" t="s">
        <v>82</v>
      </c>
      <c r="Q70" s="37" t="s">
        <v>82</v>
      </c>
      <c r="R70" s="36"/>
      <c r="S70" s="44" t="str">
        <f>"572,5"</f>
        <v>572,5</v>
      </c>
      <c r="T70" s="28" t="str">
        <f>"352,5455"</f>
        <v>352,5455</v>
      </c>
      <c r="U70" s="26" t="s">
        <v>945</v>
      </c>
    </row>
    <row r="71" spans="1:21">
      <c r="A71" s="36" t="s">
        <v>297</v>
      </c>
      <c r="B71" s="26" t="s">
        <v>280</v>
      </c>
      <c r="C71" s="26" t="s">
        <v>281</v>
      </c>
      <c r="D71" s="26" t="s">
        <v>112</v>
      </c>
      <c r="E71" s="27" t="s">
        <v>951</v>
      </c>
      <c r="F71" s="26" t="s">
        <v>907</v>
      </c>
      <c r="G71" s="37" t="s">
        <v>74</v>
      </c>
      <c r="H71" s="37" t="s">
        <v>74</v>
      </c>
      <c r="I71" s="35" t="s">
        <v>74</v>
      </c>
      <c r="J71" s="36"/>
      <c r="K71" s="35" t="s">
        <v>170</v>
      </c>
      <c r="L71" s="35" t="s">
        <v>76</v>
      </c>
      <c r="M71" s="35" t="s">
        <v>104</v>
      </c>
      <c r="N71" s="36"/>
      <c r="O71" s="35" t="s">
        <v>74</v>
      </c>
      <c r="P71" s="35" t="s">
        <v>75</v>
      </c>
      <c r="Q71" s="35" t="s">
        <v>91</v>
      </c>
      <c r="R71" s="36"/>
      <c r="S71" s="44" t="str">
        <f>"397,5"</f>
        <v>397,5</v>
      </c>
      <c r="T71" s="28" t="str">
        <f>"245,7743"</f>
        <v>245,7743</v>
      </c>
      <c r="U71" s="26" t="s">
        <v>945</v>
      </c>
    </row>
    <row r="72" spans="1:21">
      <c r="A72" s="36" t="s">
        <v>299</v>
      </c>
      <c r="B72" s="26" t="s">
        <v>282</v>
      </c>
      <c r="C72" s="26" t="s">
        <v>283</v>
      </c>
      <c r="D72" s="26" t="s">
        <v>284</v>
      </c>
      <c r="E72" s="27" t="s">
        <v>951</v>
      </c>
      <c r="F72" s="26" t="s">
        <v>904</v>
      </c>
      <c r="G72" s="37" t="s">
        <v>285</v>
      </c>
      <c r="H72" s="35" t="s">
        <v>285</v>
      </c>
      <c r="I72" s="35" t="s">
        <v>62</v>
      </c>
      <c r="J72" s="36"/>
      <c r="K72" s="35" t="s">
        <v>50</v>
      </c>
      <c r="L72" s="37" t="s">
        <v>190</v>
      </c>
      <c r="M72" s="37" t="s">
        <v>190</v>
      </c>
      <c r="N72" s="36"/>
      <c r="O72" s="37" t="s">
        <v>83</v>
      </c>
      <c r="P72" s="37" t="s">
        <v>83</v>
      </c>
      <c r="Q72" s="37" t="s">
        <v>100</v>
      </c>
      <c r="R72" s="36"/>
      <c r="S72" s="44">
        <v>0</v>
      </c>
      <c r="T72" s="28" t="str">
        <f>"0,0000"</f>
        <v>0,0000</v>
      </c>
      <c r="U72" s="26" t="s">
        <v>852</v>
      </c>
    </row>
    <row r="73" spans="1:21">
      <c r="A73" s="39" t="s">
        <v>299</v>
      </c>
      <c r="B73" s="29" t="s">
        <v>286</v>
      </c>
      <c r="C73" s="29" t="s">
        <v>766</v>
      </c>
      <c r="D73" s="29" t="s">
        <v>287</v>
      </c>
      <c r="E73" s="30" t="s">
        <v>953</v>
      </c>
      <c r="F73" s="29" t="s">
        <v>904</v>
      </c>
      <c r="G73" s="40" t="s">
        <v>82</v>
      </c>
      <c r="H73" s="40" t="s">
        <v>82</v>
      </c>
      <c r="I73" s="40" t="s">
        <v>82</v>
      </c>
      <c r="J73" s="39"/>
      <c r="K73" s="40"/>
      <c r="L73" s="39"/>
      <c r="M73" s="39"/>
      <c r="N73" s="39"/>
      <c r="O73" s="40"/>
      <c r="P73" s="39"/>
      <c r="Q73" s="39"/>
      <c r="R73" s="39"/>
      <c r="S73" s="42">
        <v>0</v>
      </c>
      <c r="T73" s="31" t="str">
        <f>"0,0000"</f>
        <v>0,0000</v>
      </c>
      <c r="U73" s="29" t="s">
        <v>945</v>
      </c>
    </row>
    <row r="75" spans="1:21" ht="16">
      <c r="A75" s="45" t="s">
        <v>288</v>
      </c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</row>
    <row r="76" spans="1:21">
      <c r="A76" s="34" t="s">
        <v>30</v>
      </c>
      <c r="B76" s="23" t="s">
        <v>289</v>
      </c>
      <c r="C76" s="23" t="s">
        <v>290</v>
      </c>
      <c r="D76" s="23" t="s">
        <v>291</v>
      </c>
      <c r="E76" s="24" t="s">
        <v>951</v>
      </c>
      <c r="F76" s="23" t="s">
        <v>919</v>
      </c>
      <c r="G76" s="33" t="s">
        <v>70</v>
      </c>
      <c r="H76" s="33" t="s">
        <v>114</v>
      </c>
      <c r="I76" s="33" t="s">
        <v>82</v>
      </c>
      <c r="J76" s="34"/>
      <c r="K76" s="33" t="s">
        <v>17</v>
      </c>
      <c r="L76" s="33" t="s">
        <v>116</v>
      </c>
      <c r="M76" s="32" t="s">
        <v>67</v>
      </c>
      <c r="N76" s="34"/>
      <c r="O76" s="33" t="s">
        <v>292</v>
      </c>
      <c r="P76" s="32" t="s">
        <v>240</v>
      </c>
      <c r="Q76" s="32" t="s">
        <v>240</v>
      </c>
      <c r="R76" s="34"/>
      <c r="S76" s="41" t="str">
        <f>"650,0"</f>
        <v>650,0</v>
      </c>
      <c r="T76" s="25" t="str">
        <f>"384,1500"</f>
        <v>384,1500</v>
      </c>
      <c r="U76" s="23" t="s">
        <v>160</v>
      </c>
    </row>
    <row r="77" spans="1:21">
      <c r="A77" s="39" t="s">
        <v>30</v>
      </c>
      <c r="B77" s="29" t="s">
        <v>293</v>
      </c>
      <c r="C77" s="29" t="s">
        <v>767</v>
      </c>
      <c r="D77" s="29" t="s">
        <v>294</v>
      </c>
      <c r="E77" s="30" t="s">
        <v>958</v>
      </c>
      <c r="F77" s="29" t="s">
        <v>905</v>
      </c>
      <c r="G77" s="40" t="s">
        <v>75</v>
      </c>
      <c r="H77" s="38" t="s">
        <v>91</v>
      </c>
      <c r="I77" s="38" t="s">
        <v>116</v>
      </c>
      <c r="J77" s="39"/>
      <c r="K77" s="40" t="s">
        <v>59</v>
      </c>
      <c r="L77" s="40" t="s">
        <v>213</v>
      </c>
      <c r="M77" s="38" t="s">
        <v>213</v>
      </c>
      <c r="N77" s="39"/>
      <c r="O77" s="38" t="s">
        <v>17</v>
      </c>
      <c r="P77" s="38" t="s">
        <v>116</v>
      </c>
      <c r="Q77" s="38" t="s">
        <v>67</v>
      </c>
      <c r="R77" s="39"/>
      <c r="S77" s="42" t="str">
        <f>"450,0"</f>
        <v>450,0</v>
      </c>
      <c r="T77" s="31" t="str">
        <f>"315,4156"</f>
        <v>315,4156</v>
      </c>
      <c r="U77" s="29" t="s">
        <v>295</v>
      </c>
    </row>
    <row r="81" spans="2:6" ht="18">
      <c r="B81" s="11" t="s">
        <v>23</v>
      </c>
      <c r="C81" s="11"/>
    </row>
    <row r="82" spans="2:6" ht="16">
      <c r="B82" s="12" t="s">
        <v>121</v>
      </c>
      <c r="C82" s="12"/>
    </row>
    <row r="83" spans="2:6" ht="14">
      <c r="B83" s="13"/>
      <c r="C83" s="14" t="s">
        <v>122</v>
      </c>
    </row>
    <row r="84" spans="2:6" ht="14">
      <c r="B84" s="15" t="s">
        <v>26</v>
      </c>
      <c r="C84" s="15" t="s">
        <v>27</v>
      </c>
      <c r="D84" s="15" t="s">
        <v>853</v>
      </c>
      <c r="E84" s="16" t="s">
        <v>28</v>
      </c>
      <c r="F84" s="15" t="s">
        <v>29</v>
      </c>
    </row>
    <row r="85" spans="2:6">
      <c r="B85" s="5" t="s">
        <v>186</v>
      </c>
      <c r="C85" s="5" t="s">
        <v>122</v>
      </c>
      <c r="D85" s="18" t="s">
        <v>126</v>
      </c>
      <c r="E85" s="19">
        <v>332.5</v>
      </c>
      <c r="F85" s="17">
        <v>348.825763761997</v>
      </c>
    </row>
    <row r="86" spans="2:6">
      <c r="B86" s="5" t="s">
        <v>210</v>
      </c>
      <c r="C86" s="5" t="s">
        <v>122</v>
      </c>
      <c r="D86" s="18" t="s">
        <v>128</v>
      </c>
      <c r="E86" s="19">
        <v>365</v>
      </c>
      <c r="F86" s="17">
        <v>315.834499895573</v>
      </c>
    </row>
    <row r="87" spans="2:6">
      <c r="B87" s="5" t="s">
        <v>155</v>
      </c>
      <c r="C87" s="5" t="s">
        <v>122</v>
      </c>
      <c r="D87" s="18" t="s">
        <v>125</v>
      </c>
      <c r="E87" s="19">
        <v>267.5</v>
      </c>
      <c r="F87" s="17">
        <v>314.74049448967003</v>
      </c>
    </row>
    <row r="89" spans="2:6" ht="16">
      <c r="B89" s="12" t="s">
        <v>24</v>
      </c>
      <c r="C89" s="12"/>
    </row>
    <row r="90" spans="2:6" ht="14">
      <c r="B90" s="13"/>
      <c r="C90" s="14" t="s">
        <v>122</v>
      </c>
    </row>
    <row r="91" spans="2:6" ht="14">
      <c r="B91" s="15" t="s">
        <v>26</v>
      </c>
      <c r="C91" s="15" t="s">
        <v>27</v>
      </c>
      <c r="D91" s="15" t="s">
        <v>853</v>
      </c>
      <c r="E91" s="16" t="s">
        <v>28</v>
      </c>
      <c r="F91" s="15" t="s">
        <v>29</v>
      </c>
    </row>
    <row r="92" spans="2:6">
      <c r="B92" s="5" t="s">
        <v>237</v>
      </c>
      <c r="C92" s="5" t="s">
        <v>122</v>
      </c>
      <c r="D92" s="18" t="s">
        <v>128</v>
      </c>
      <c r="E92" s="19">
        <v>697.5</v>
      </c>
      <c r="F92" s="17">
        <v>447.86473363637901</v>
      </c>
    </row>
    <row r="93" spans="2:6">
      <c r="B93" s="5" t="s">
        <v>244</v>
      </c>
      <c r="C93" s="5" t="s">
        <v>122</v>
      </c>
      <c r="D93" s="18" t="s">
        <v>128</v>
      </c>
      <c r="E93" s="19">
        <v>635</v>
      </c>
      <c r="F93" s="17">
        <v>407.479518651962</v>
      </c>
    </row>
    <row r="94" spans="2:6">
      <c r="B94" s="5" t="s">
        <v>247</v>
      </c>
      <c r="C94" s="5" t="s">
        <v>122</v>
      </c>
      <c r="D94" s="18" t="s">
        <v>128</v>
      </c>
      <c r="E94" s="19">
        <v>615</v>
      </c>
      <c r="F94" s="17">
        <v>394.21498328447302</v>
      </c>
    </row>
    <row r="96" spans="2:6" ht="14">
      <c r="B96" s="13"/>
      <c r="C96" s="14" t="s">
        <v>25</v>
      </c>
    </row>
    <row r="97" spans="2:7" ht="14">
      <c r="B97" s="15" t="s">
        <v>26</v>
      </c>
      <c r="C97" s="15" t="s">
        <v>27</v>
      </c>
      <c r="D97" s="15" t="s">
        <v>853</v>
      </c>
      <c r="E97" s="16" t="s">
        <v>28</v>
      </c>
      <c r="F97" s="15" t="s">
        <v>29</v>
      </c>
    </row>
    <row r="98" spans="2:7">
      <c r="B98" s="5" t="s">
        <v>237</v>
      </c>
      <c r="C98" s="5" t="s">
        <v>768</v>
      </c>
      <c r="D98" s="18" t="s">
        <v>128</v>
      </c>
      <c r="E98" s="19">
        <v>697.5</v>
      </c>
      <c r="F98" s="17">
        <v>580.88055952638399</v>
      </c>
    </row>
    <row r="99" spans="2:7">
      <c r="B99" s="5" t="s">
        <v>269</v>
      </c>
      <c r="C99" s="5" t="s">
        <v>769</v>
      </c>
      <c r="D99" s="18" t="s">
        <v>128</v>
      </c>
      <c r="E99" s="19">
        <v>465</v>
      </c>
      <c r="F99" s="17">
        <v>483.51010055691</v>
      </c>
      <c r="G99" s="5"/>
    </row>
    <row r="100" spans="2:7">
      <c r="B100" s="5" t="s">
        <v>266</v>
      </c>
      <c r="C100" s="5" t="s">
        <v>768</v>
      </c>
      <c r="D100" s="18" t="s">
        <v>128</v>
      </c>
      <c r="E100" s="19">
        <v>525</v>
      </c>
      <c r="F100" s="17">
        <v>439.80946503281598</v>
      </c>
    </row>
  </sheetData>
  <mergeCells count="2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67:R67"/>
    <mergeCell ref="A75:R75"/>
    <mergeCell ref="B3:B4"/>
    <mergeCell ref="A36:R36"/>
    <mergeCell ref="A39:R39"/>
    <mergeCell ref="A42:R42"/>
    <mergeCell ref="A45:R45"/>
    <mergeCell ref="A48:R48"/>
    <mergeCell ref="A54:R54"/>
    <mergeCell ref="A9:R9"/>
    <mergeCell ref="A12:R12"/>
    <mergeCell ref="A17:R17"/>
    <mergeCell ref="A21:R21"/>
    <mergeCell ref="A30:R30"/>
    <mergeCell ref="A33:R3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0C856-BAF4-44D6-BDA7-0B7A0BEACFAA}">
  <dimension ref="A1:M61"/>
  <sheetViews>
    <sheetView topLeftCell="A11" workbookViewId="0">
      <selection activeCell="E46" sqref="E46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3.5" style="5" bestFit="1" customWidth="1"/>
    <col min="7" max="9" width="5.5" style="18" customWidth="1"/>
    <col min="10" max="10" width="4.83203125" style="18" customWidth="1"/>
    <col min="11" max="11" width="10.5" style="19" bestFit="1" customWidth="1"/>
    <col min="12" max="12" width="8.5" style="6" bestFit="1" customWidth="1"/>
    <col min="13" max="13" width="26.83203125" style="5" bestFit="1" customWidth="1"/>
    <col min="14" max="16384" width="9.1640625" style="3"/>
  </cols>
  <sheetData>
    <row r="1" spans="1:13" s="2" customFormat="1" ht="29" customHeight="1">
      <c r="A1" s="57" t="s">
        <v>889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10</v>
      </c>
      <c r="H3" s="69"/>
      <c r="I3" s="69"/>
      <c r="J3" s="69"/>
      <c r="K3" s="49" t="s">
        <v>381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0"/>
      <c r="L4" s="52"/>
      <c r="M4" s="54"/>
    </row>
    <row r="5" spans="1:13" ht="16">
      <c r="A5" s="55" t="s">
        <v>43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2" t="s">
        <v>30</v>
      </c>
      <c r="B6" s="7" t="s">
        <v>44</v>
      </c>
      <c r="C6" s="7" t="s">
        <v>45</v>
      </c>
      <c r="D6" s="7" t="s">
        <v>46</v>
      </c>
      <c r="E6" s="8" t="s">
        <v>951</v>
      </c>
      <c r="F6" s="7" t="s">
        <v>921</v>
      </c>
      <c r="G6" s="20" t="s">
        <v>48</v>
      </c>
      <c r="H6" s="21" t="s">
        <v>49</v>
      </c>
      <c r="I6" s="20" t="s">
        <v>49</v>
      </c>
      <c r="J6" s="22"/>
      <c r="K6" s="43" t="str">
        <f>"75,0"</f>
        <v>75,0</v>
      </c>
      <c r="L6" s="9" t="str">
        <f>"84,0525"</f>
        <v>84,0525</v>
      </c>
      <c r="M6" s="7" t="s">
        <v>945</v>
      </c>
    </row>
    <row r="8" spans="1:13" ht="16">
      <c r="A8" s="45" t="s">
        <v>53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22" t="s">
        <v>30</v>
      </c>
      <c r="B9" s="7" t="s">
        <v>54</v>
      </c>
      <c r="C9" s="7" t="s">
        <v>770</v>
      </c>
      <c r="D9" s="7" t="s">
        <v>55</v>
      </c>
      <c r="E9" s="8" t="s">
        <v>953</v>
      </c>
      <c r="F9" s="7" t="s">
        <v>904</v>
      </c>
      <c r="G9" s="20" t="s">
        <v>59</v>
      </c>
      <c r="H9" s="20" t="s">
        <v>40</v>
      </c>
      <c r="I9" s="20" t="s">
        <v>41</v>
      </c>
      <c r="J9" s="22"/>
      <c r="K9" s="43" t="str">
        <f>"122,5"</f>
        <v>122,5</v>
      </c>
      <c r="L9" s="9" t="str">
        <f>"127,0471"</f>
        <v>127,0471</v>
      </c>
      <c r="M9" s="7" t="s">
        <v>368</v>
      </c>
    </row>
    <row r="11" spans="1:13" ht="16">
      <c r="A11" s="45" t="s">
        <v>206</v>
      </c>
      <c r="B11" s="45"/>
      <c r="C11" s="46"/>
      <c r="D11" s="46"/>
      <c r="E11" s="46"/>
      <c r="F11" s="46"/>
      <c r="G11" s="46"/>
      <c r="H11" s="46"/>
      <c r="I11" s="46"/>
      <c r="J11" s="46"/>
    </row>
    <row r="12" spans="1:13">
      <c r="A12" s="34" t="s">
        <v>299</v>
      </c>
      <c r="B12" s="23" t="s">
        <v>324</v>
      </c>
      <c r="C12" s="23" t="s">
        <v>325</v>
      </c>
      <c r="D12" s="23" t="s">
        <v>326</v>
      </c>
      <c r="E12" s="24" t="s">
        <v>951</v>
      </c>
      <c r="F12" s="23" t="s">
        <v>903</v>
      </c>
      <c r="G12" s="32" t="s">
        <v>74</v>
      </c>
      <c r="H12" s="32" t="s">
        <v>74</v>
      </c>
      <c r="I12" s="32" t="s">
        <v>74</v>
      </c>
      <c r="J12" s="34"/>
      <c r="K12" s="41">
        <v>0</v>
      </c>
      <c r="L12" s="25" t="str">
        <f>"0,0000"</f>
        <v>0,0000</v>
      </c>
      <c r="M12" s="23" t="s">
        <v>945</v>
      </c>
    </row>
    <row r="13" spans="1:13">
      <c r="A13" s="39" t="s">
        <v>30</v>
      </c>
      <c r="B13" s="29" t="s">
        <v>327</v>
      </c>
      <c r="C13" s="29" t="s">
        <v>816</v>
      </c>
      <c r="D13" s="29" t="s">
        <v>328</v>
      </c>
      <c r="E13" s="30" t="s">
        <v>958</v>
      </c>
      <c r="F13" s="29" t="s">
        <v>908</v>
      </c>
      <c r="G13" s="40" t="s">
        <v>84</v>
      </c>
      <c r="H13" s="38" t="s">
        <v>84</v>
      </c>
      <c r="I13" s="40" t="s">
        <v>68</v>
      </c>
      <c r="J13" s="39"/>
      <c r="K13" s="42" t="str">
        <f>"175,0"</f>
        <v>175,0</v>
      </c>
      <c r="L13" s="31" t="str">
        <f>"151,6384"</f>
        <v>151,6384</v>
      </c>
      <c r="M13" s="29" t="s">
        <v>945</v>
      </c>
    </row>
    <row r="15" spans="1:13" ht="16">
      <c r="A15" s="45" t="s">
        <v>63</v>
      </c>
      <c r="B15" s="45"/>
      <c r="C15" s="46"/>
      <c r="D15" s="46"/>
      <c r="E15" s="46"/>
      <c r="F15" s="46"/>
      <c r="G15" s="46"/>
      <c r="H15" s="46"/>
      <c r="I15" s="46"/>
      <c r="J15" s="46"/>
    </row>
    <row r="16" spans="1:13">
      <c r="A16" s="22" t="s">
        <v>30</v>
      </c>
      <c r="B16" s="7" t="s">
        <v>329</v>
      </c>
      <c r="C16" s="7" t="s">
        <v>817</v>
      </c>
      <c r="D16" s="7" t="s">
        <v>330</v>
      </c>
      <c r="E16" s="8" t="s">
        <v>953</v>
      </c>
      <c r="F16" s="7" t="s">
        <v>933</v>
      </c>
      <c r="G16" s="20" t="s">
        <v>76</v>
      </c>
      <c r="H16" s="21" t="s">
        <v>104</v>
      </c>
      <c r="I16" s="21" t="s">
        <v>104</v>
      </c>
      <c r="J16" s="22"/>
      <c r="K16" s="43" t="str">
        <f>"95,0"</f>
        <v>95,0</v>
      </c>
      <c r="L16" s="9" t="str">
        <f>"65,7645"</f>
        <v>65,7645</v>
      </c>
      <c r="M16" s="7" t="s">
        <v>869</v>
      </c>
    </row>
    <row r="18" spans="1:13" ht="16">
      <c r="A18" s="45" t="s">
        <v>78</v>
      </c>
      <c r="B18" s="45"/>
      <c r="C18" s="46"/>
      <c r="D18" s="46"/>
      <c r="E18" s="46"/>
      <c r="F18" s="46"/>
      <c r="G18" s="46"/>
      <c r="H18" s="46"/>
      <c r="I18" s="46"/>
      <c r="J18" s="46"/>
    </row>
    <row r="19" spans="1:13">
      <c r="A19" s="34" t="s">
        <v>30</v>
      </c>
      <c r="B19" s="23" t="s">
        <v>331</v>
      </c>
      <c r="C19" s="23" t="s">
        <v>332</v>
      </c>
      <c r="D19" s="23" t="s">
        <v>333</v>
      </c>
      <c r="E19" s="24" t="s">
        <v>951</v>
      </c>
      <c r="F19" s="23" t="s">
        <v>334</v>
      </c>
      <c r="G19" s="33" t="s">
        <v>114</v>
      </c>
      <c r="H19" s="33" t="s">
        <v>120</v>
      </c>
      <c r="I19" s="32" t="s">
        <v>335</v>
      </c>
      <c r="J19" s="34"/>
      <c r="K19" s="41" t="str">
        <f>"227,5"</f>
        <v>227,5</v>
      </c>
      <c r="L19" s="25" t="str">
        <f>"146,4190"</f>
        <v>146,4190</v>
      </c>
      <c r="M19" s="23" t="s">
        <v>945</v>
      </c>
    </row>
    <row r="20" spans="1:13">
      <c r="A20" s="36" t="s">
        <v>129</v>
      </c>
      <c r="B20" s="26" t="s">
        <v>336</v>
      </c>
      <c r="C20" s="26" t="s">
        <v>337</v>
      </c>
      <c r="D20" s="26" t="s">
        <v>239</v>
      </c>
      <c r="E20" s="27" t="s">
        <v>951</v>
      </c>
      <c r="F20" s="26" t="s">
        <v>934</v>
      </c>
      <c r="G20" s="35" t="s">
        <v>61</v>
      </c>
      <c r="H20" s="35" t="s">
        <v>113</v>
      </c>
      <c r="I20" s="37" t="s">
        <v>71</v>
      </c>
      <c r="J20" s="36"/>
      <c r="K20" s="44" t="str">
        <f>"205,0"</f>
        <v>205,0</v>
      </c>
      <c r="L20" s="28" t="str">
        <f>"131,6305"</f>
        <v>131,6305</v>
      </c>
      <c r="M20" s="26" t="s">
        <v>945</v>
      </c>
    </row>
    <row r="21" spans="1:13">
      <c r="A21" s="36" t="s">
        <v>130</v>
      </c>
      <c r="B21" s="26" t="s">
        <v>338</v>
      </c>
      <c r="C21" s="26" t="s">
        <v>339</v>
      </c>
      <c r="D21" s="26" t="s">
        <v>239</v>
      </c>
      <c r="E21" s="27" t="s">
        <v>951</v>
      </c>
      <c r="F21" s="26" t="s">
        <v>935</v>
      </c>
      <c r="G21" s="35" t="s">
        <v>57</v>
      </c>
      <c r="H21" s="35" t="s">
        <v>84</v>
      </c>
      <c r="I21" s="35" t="s">
        <v>18</v>
      </c>
      <c r="J21" s="36"/>
      <c r="K21" s="44" t="str">
        <f>"180,0"</f>
        <v>180,0</v>
      </c>
      <c r="L21" s="28" t="str">
        <f>"115,5780"</f>
        <v>115,5780</v>
      </c>
      <c r="M21" s="26" t="s">
        <v>945</v>
      </c>
    </row>
    <row r="22" spans="1:13">
      <c r="A22" s="36" t="s">
        <v>297</v>
      </c>
      <c r="B22" s="26" t="s">
        <v>340</v>
      </c>
      <c r="C22" s="26" t="s">
        <v>341</v>
      </c>
      <c r="D22" s="26" t="s">
        <v>342</v>
      </c>
      <c r="E22" s="27" t="s">
        <v>951</v>
      </c>
      <c r="F22" s="26" t="s">
        <v>904</v>
      </c>
      <c r="G22" s="35" t="s">
        <v>74</v>
      </c>
      <c r="H22" s="37" t="s">
        <v>51</v>
      </c>
      <c r="I22" s="37" t="s">
        <v>52</v>
      </c>
      <c r="J22" s="36"/>
      <c r="K22" s="44" t="str">
        <f>"140,0"</f>
        <v>140,0</v>
      </c>
      <c r="L22" s="28" t="str">
        <f>"90,9300"</f>
        <v>90,9300</v>
      </c>
      <c r="M22" s="26" t="s">
        <v>945</v>
      </c>
    </row>
    <row r="23" spans="1:13">
      <c r="A23" s="39" t="s">
        <v>30</v>
      </c>
      <c r="B23" s="29" t="s">
        <v>343</v>
      </c>
      <c r="C23" s="29" t="s">
        <v>818</v>
      </c>
      <c r="D23" s="29" t="s">
        <v>344</v>
      </c>
      <c r="E23" s="30" t="s">
        <v>959</v>
      </c>
      <c r="F23" s="29" t="s">
        <v>936</v>
      </c>
      <c r="G23" s="38" t="s">
        <v>145</v>
      </c>
      <c r="H23" s="38" t="s">
        <v>170</v>
      </c>
      <c r="I23" s="38" t="s">
        <v>77</v>
      </c>
      <c r="J23" s="39"/>
      <c r="K23" s="42" t="str">
        <f>"100,0"</f>
        <v>100,0</v>
      </c>
      <c r="L23" s="31" t="str">
        <f>"92,6370"</f>
        <v>92,6370</v>
      </c>
      <c r="M23" s="29" t="s">
        <v>945</v>
      </c>
    </row>
    <row r="25" spans="1:13" ht="16">
      <c r="A25" s="45" t="s">
        <v>105</v>
      </c>
      <c r="B25" s="45"/>
      <c r="C25" s="46"/>
      <c r="D25" s="46"/>
      <c r="E25" s="46"/>
      <c r="F25" s="46"/>
      <c r="G25" s="46"/>
      <c r="H25" s="46"/>
      <c r="I25" s="46"/>
      <c r="J25" s="46"/>
    </row>
    <row r="26" spans="1:13">
      <c r="A26" s="34" t="s">
        <v>30</v>
      </c>
      <c r="B26" s="23" t="s">
        <v>345</v>
      </c>
      <c r="C26" s="23" t="s">
        <v>346</v>
      </c>
      <c r="D26" s="23" t="s">
        <v>287</v>
      </c>
      <c r="E26" s="24" t="s">
        <v>951</v>
      </c>
      <c r="F26" s="23" t="s">
        <v>904</v>
      </c>
      <c r="G26" s="33" t="s">
        <v>232</v>
      </c>
      <c r="H26" s="33" t="s">
        <v>70</v>
      </c>
      <c r="I26" s="32" t="s">
        <v>82</v>
      </c>
      <c r="J26" s="34"/>
      <c r="K26" s="41" t="str">
        <f>"210,0"</f>
        <v>210,0</v>
      </c>
      <c r="L26" s="25" t="str">
        <f>"127,8480"</f>
        <v>127,8480</v>
      </c>
      <c r="M26" s="23" t="s">
        <v>945</v>
      </c>
    </row>
    <row r="27" spans="1:13">
      <c r="A27" s="36" t="s">
        <v>129</v>
      </c>
      <c r="B27" s="26" t="s">
        <v>347</v>
      </c>
      <c r="C27" s="26" t="s">
        <v>348</v>
      </c>
      <c r="D27" s="26" t="s">
        <v>349</v>
      </c>
      <c r="E27" s="27" t="s">
        <v>951</v>
      </c>
      <c r="F27" s="26" t="s">
        <v>904</v>
      </c>
      <c r="G27" s="35" t="s">
        <v>19</v>
      </c>
      <c r="H27" s="35" t="s">
        <v>232</v>
      </c>
      <c r="I27" s="37" t="s">
        <v>113</v>
      </c>
      <c r="J27" s="36"/>
      <c r="K27" s="44" t="str">
        <f>"200,0"</f>
        <v>200,0</v>
      </c>
      <c r="L27" s="28" t="str">
        <f>"125,2600"</f>
        <v>125,2600</v>
      </c>
      <c r="M27" s="26" t="s">
        <v>945</v>
      </c>
    </row>
    <row r="28" spans="1:13">
      <c r="A28" s="36" t="s">
        <v>130</v>
      </c>
      <c r="B28" s="26" t="s">
        <v>350</v>
      </c>
      <c r="C28" s="26" t="s">
        <v>351</v>
      </c>
      <c r="D28" s="26" t="s">
        <v>352</v>
      </c>
      <c r="E28" s="27" t="s">
        <v>951</v>
      </c>
      <c r="F28" s="26" t="s">
        <v>923</v>
      </c>
      <c r="G28" s="35" t="s">
        <v>19</v>
      </c>
      <c r="H28" s="37" t="s">
        <v>232</v>
      </c>
      <c r="I28" s="37" t="s">
        <v>232</v>
      </c>
      <c r="J28" s="36"/>
      <c r="K28" s="44" t="str">
        <f>"190,0"</f>
        <v>190,0</v>
      </c>
      <c r="L28" s="28" t="str">
        <f>"116,6980"</f>
        <v>116,6980</v>
      </c>
      <c r="M28" s="26" t="s">
        <v>945</v>
      </c>
    </row>
    <row r="29" spans="1:13">
      <c r="A29" s="36" t="s">
        <v>297</v>
      </c>
      <c r="B29" s="26" t="s">
        <v>353</v>
      </c>
      <c r="C29" s="26" t="s">
        <v>354</v>
      </c>
      <c r="D29" s="26" t="s">
        <v>355</v>
      </c>
      <c r="E29" s="27" t="s">
        <v>951</v>
      </c>
      <c r="F29" s="26" t="s">
        <v>904</v>
      </c>
      <c r="G29" s="35" t="s">
        <v>18</v>
      </c>
      <c r="H29" s="37" t="s">
        <v>60</v>
      </c>
      <c r="I29" s="37" t="s">
        <v>60</v>
      </c>
      <c r="J29" s="36"/>
      <c r="K29" s="44" t="str">
        <f>"180,0"</f>
        <v>180,0</v>
      </c>
      <c r="L29" s="28" t="str">
        <f>"110,0340"</f>
        <v>110,0340</v>
      </c>
      <c r="M29" s="26" t="s">
        <v>870</v>
      </c>
    </row>
    <row r="30" spans="1:13">
      <c r="A30" s="36" t="s">
        <v>30</v>
      </c>
      <c r="B30" s="26" t="s">
        <v>356</v>
      </c>
      <c r="C30" s="26" t="s">
        <v>819</v>
      </c>
      <c r="D30" s="26" t="s">
        <v>357</v>
      </c>
      <c r="E30" s="27" t="s">
        <v>953</v>
      </c>
      <c r="F30" s="26" t="s">
        <v>923</v>
      </c>
      <c r="G30" s="35" t="s">
        <v>60</v>
      </c>
      <c r="H30" s="35" t="s">
        <v>232</v>
      </c>
      <c r="I30" s="37" t="s">
        <v>62</v>
      </c>
      <c r="J30" s="36"/>
      <c r="K30" s="44" t="str">
        <f>"200,0"</f>
        <v>200,0</v>
      </c>
      <c r="L30" s="28" t="str">
        <f>"125,7968"</f>
        <v>125,7968</v>
      </c>
      <c r="M30" s="26" t="s">
        <v>945</v>
      </c>
    </row>
    <row r="31" spans="1:13">
      <c r="A31" s="36" t="s">
        <v>30</v>
      </c>
      <c r="B31" s="26" t="s">
        <v>350</v>
      </c>
      <c r="C31" s="26" t="s">
        <v>820</v>
      </c>
      <c r="D31" s="26" t="s">
        <v>352</v>
      </c>
      <c r="E31" s="27" t="s">
        <v>956</v>
      </c>
      <c r="F31" s="26" t="s">
        <v>923</v>
      </c>
      <c r="G31" s="35" t="s">
        <v>19</v>
      </c>
      <c r="H31" s="37" t="s">
        <v>232</v>
      </c>
      <c r="I31" s="37" t="s">
        <v>232</v>
      </c>
      <c r="J31" s="36"/>
      <c r="K31" s="44" t="str">
        <f>"190,0"</f>
        <v>190,0</v>
      </c>
      <c r="L31" s="28" t="str">
        <f>"130,0016"</f>
        <v>130,0016</v>
      </c>
      <c r="M31" s="26" t="s">
        <v>945</v>
      </c>
    </row>
    <row r="32" spans="1:13">
      <c r="A32" s="39" t="s">
        <v>30</v>
      </c>
      <c r="B32" s="29" t="s">
        <v>358</v>
      </c>
      <c r="C32" s="29" t="s">
        <v>821</v>
      </c>
      <c r="D32" s="29" t="s">
        <v>359</v>
      </c>
      <c r="E32" s="30" t="s">
        <v>955</v>
      </c>
      <c r="F32" s="29" t="s">
        <v>937</v>
      </c>
      <c r="G32" s="38" t="s">
        <v>268</v>
      </c>
      <c r="H32" s="38" t="s">
        <v>285</v>
      </c>
      <c r="I32" s="38" t="s">
        <v>61</v>
      </c>
      <c r="J32" s="39"/>
      <c r="K32" s="42" t="str">
        <f>"195,0"</f>
        <v>195,0</v>
      </c>
      <c r="L32" s="31" t="str">
        <f>"152,9872"</f>
        <v>152,9872</v>
      </c>
      <c r="M32" s="29" t="s">
        <v>945</v>
      </c>
    </row>
    <row r="34" spans="1:13" ht="16">
      <c r="A34" s="45" t="s">
        <v>288</v>
      </c>
      <c r="B34" s="45"/>
      <c r="C34" s="46"/>
      <c r="D34" s="46"/>
      <c r="E34" s="46"/>
      <c r="F34" s="46"/>
      <c r="G34" s="46"/>
      <c r="H34" s="46"/>
      <c r="I34" s="46"/>
      <c r="J34" s="46"/>
    </row>
    <row r="35" spans="1:13">
      <c r="A35" s="22" t="s">
        <v>30</v>
      </c>
      <c r="B35" s="7" t="s">
        <v>360</v>
      </c>
      <c r="C35" s="7" t="s">
        <v>822</v>
      </c>
      <c r="D35" s="7" t="s">
        <v>361</v>
      </c>
      <c r="E35" s="8" t="s">
        <v>956</v>
      </c>
      <c r="F35" s="7" t="s">
        <v>926</v>
      </c>
      <c r="G35" s="20" t="s">
        <v>91</v>
      </c>
      <c r="H35" s="21" t="s">
        <v>17</v>
      </c>
      <c r="I35" s="22"/>
      <c r="J35" s="22"/>
      <c r="K35" s="43" t="str">
        <f>"155,0"</f>
        <v>155,0</v>
      </c>
      <c r="L35" s="9" t="str">
        <f>"98,9006"</f>
        <v>98,9006</v>
      </c>
      <c r="M35" s="7" t="s">
        <v>945</v>
      </c>
    </row>
    <row r="37" spans="1:13" ht="16">
      <c r="A37" s="45" t="s">
        <v>300</v>
      </c>
      <c r="B37" s="45"/>
      <c r="C37" s="46"/>
      <c r="D37" s="46"/>
      <c r="E37" s="46"/>
      <c r="F37" s="46"/>
      <c r="G37" s="46"/>
      <c r="H37" s="46"/>
      <c r="I37" s="46"/>
      <c r="J37" s="46"/>
    </row>
    <row r="38" spans="1:13">
      <c r="A38" s="34" t="s">
        <v>30</v>
      </c>
      <c r="B38" s="23" t="s">
        <v>362</v>
      </c>
      <c r="C38" s="23" t="s">
        <v>363</v>
      </c>
      <c r="D38" s="23" t="s">
        <v>364</v>
      </c>
      <c r="E38" s="24" t="s">
        <v>951</v>
      </c>
      <c r="F38" s="23" t="s">
        <v>904</v>
      </c>
      <c r="G38" s="33" t="s">
        <v>62</v>
      </c>
      <c r="H38" s="33" t="s">
        <v>70</v>
      </c>
      <c r="I38" s="32" t="s">
        <v>71</v>
      </c>
      <c r="J38" s="34"/>
      <c r="K38" s="41" t="str">
        <f>"210,0"</f>
        <v>210,0</v>
      </c>
      <c r="L38" s="25" t="str">
        <f>"122,0520"</f>
        <v>122,0520</v>
      </c>
      <c r="M38" s="23" t="s">
        <v>871</v>
      </c>
    </row>
    <row r="39" spans="1:13">
      <c r="A39" s="36" t="s">
        <v>129</v>
      </c>
      <c r="B39" s="26" t="s">
        <v>365</v>
      </c>
      <c r="C39" s="26" t="s">
        <v>366</v>
      </c>
      <c r="D39" s="26" t="s">
        <v>367</v>
      </c>
      <c r="E39" s="27" t="s">
        <v>951</v>
      </c>
      <c r="F39" s="26" t="s">
        <v>904</v>
      </c>
      <c r="G39" s="35" t="s">
        <v>18</v>
      </c>
      <c r="H39" s="35" t="s">
        <v>19</v>
      </c>
      <c r="I39" s="37" t="s">
        <v>61</v>
      </c>
      <c r="J39" s="36"/>
      <c r="K39" s="44" t="str">
        <f>"190,0"</f>
        <v>190,0</v>
      </c>
      <c r="L39" s="28" t="str">
        <f>"108,8890"</f>
        <v>108,8890</v>
      </c>
      <c r="M39" s="26" t="s">
        <v>368</v>
      </c>
    </row>
    <row r="40" spans="1:13">
      <c r="A40" s="36" t="s">
        <v>130</v>
      </c>
      <c r="B40" s="26" t="s">
        <v>369</v>
      </c>
      <c r="C40" s="26" t="s">
        <v>370</v>
      </c>
      <c r="D40" s="26" t="s">
        <v>371</v>
      </c>
      <c r="E40" s="27" t="s">
        <v>951</v>
      </c>
      <c r="F40" s="26" t="s">
        <v>938</v>
      </c>
      <c r="G40" s="35" t="s">
        <v>19</v>
      </c>
      <c r="H40" s="37" t="s">
        <v>61</v>
      </c>
      <c r="I40" s="37" t="s">
        <v>61</v>
      </c>
      <c r="J40" s="36"/>
      <c r="K40" s="44" t="str">
        <f>"190,0"</f>
        <v>190,0</v>
      </c>
      <c r="L40" s="28" t="str">
        <f>"108,7750"</f>
        <v>108,7750</v>
      </c>
      <c r="M40" s="26" t="s">
        <v>945</v>
      </c>
    </row>
    <row r="41" spans="1:13">
      <c r="A41" s="39" t="s">
        <v>30</v>
      </c>
      <c r="B41" s="29" t="s">
        <v>372</v>
      </c>
      <c r="C41" s="29" t="s">
        <v>823</v>
      </c>
      <c r="D41" s="29" t="s">
        <v>373</v>
      </c>
      <c r="E41" s="30" t="s">
        <v>959</v>
      </c>
      <c r="F41" s="29" t="s">
        <v>904</v>
      </c>
      <c r="G41" s="38" t="s">
        <v>18</v>
      </c>
      <c r="H41" s="38" t="s">
        <v>19</v>
      </c>
      <c r="I41" s="38" t="s">
        <v>232</v>
      </c>
      <c r="J41" s="39"/>
      <c r="K41" s="42" t="str">
        <f>"200,0"</f>
        <v>200,0</v>
      </c>
      <c r="L41" s="31" t="str">
        <f>"170,2848"</f>
        <v>170,2848</v>
      </c>
      <c r="M41" s="29" t="s">
        <v>945</v>
      </c>
    </row>
    <row r="43" spans="1:13" ht="16">
      <c r="A43" s="45" t="s">
        <v>12</v>
      </c>
      <c r="B43" s="45"/>
      <c r="C43" s="46"/>
      <c r="D43" s="46"/>
      <c r="E43" s="46"/>
      <c r="F43" s="46"/>
      <c r="G43" s="46"/>
      <c r="H43" s="46"/>
      <c r="I43" s="46"/>
      <c r="J43" s="46"/>
    </row>
    <row r="44" spans="1:13">
      <c r="A44" s="34" t="s">
        <v>30</v>
      </c>
      <c r="B44" s="23" t="s">
        <v>374</v>
      </c>
      <c r="C44" s="23" t="s">
        <v>375</v>
      </c>
      <c r="D44" s="23" t="s">
        <v>376</v>
      </c>
      <c r="E44" s="24" t="s">
        <v>951</v>
      </c>
      <c r="F44" s="23" t="s">
        <v>904</v>
      </c>
      <c r="G44" s="32" t="s">
        <v>82</v>
      </c>
      <c r="H44" s="33" t="s">
        <v>82</v>
      </c>
      <c r="I44" s="32" t="s">
        <v>93</v>
      </c>
      <c r="J44" s="34"/>
      <c r="K44" s="41" t="str">
        <f>"230,0"</f>
        <v>230,0</v>
      </c>
      <c r="L44" s="25" t="str">
        <f>"126,5230"</f>
        <v>126,5230</v>
      </c>
      <c r="M44" s="23" t="s">
        <v>872</v>
      </c>
    </row>
    <row r="45" spans="1:13">
      <c r="A45" s="39" t="s">
        <v>30</v>
      </c>
      <c r="B45" s="29" t="s">
        <v>377</v>
      </c>
      <c r="C45" s="29" t="s">
        <v>824</v>
      </c>
      <c r="D45" s="29" t="s">
        <v>378</v>
      </c>
      <c r="E45" s="30" t="s">
        <v>953</v>
      </c>
      <c r="F45" s="29" t="s">
        <v>948</v>
      </c>
      <c r="G45" s="38" t="s">
        <v>18</v>
      </c>
      <c r="H45" s="38" t="s">
        <v>114</v>
      </c>
      <c r="I45" s="40" t="s">
        <v>82</v>
      </c>
      <c r="J45" s="39"/>
      <c r="K45" s="42" t="str">
        <f>"220,0"</f>
        <v>220,0</v>
      </c>
      <c r="L45" s="31" t="str">
        <f>"121,0432"</f>
        <v>121,0432</v>
      </c>
      <c r="M45" s="29" t="s">
        <v>945</v>
      </c>
    </row>
    <row r="47" spans="1:13">
      <c r="M47" s="6"/>
    </row>
    <row r="48" spans="1:13">
      <c r="M48" s="6"/>
    </row>
    <row r="49" spans="2:13" ht="18">
      <c r="B49" s="11" t="s">
        <v>23</v>
      </c>
      <c r="C49" s="11"/>
      <c r="M49" s="6"/>
    </row>
    <row r="50" spans="2:13" ht="16">
      <c r="B50" s="12" t="s">
        <v>24</v>
      </c>
      <c r="C50" s="12"/>
      <c r="M50" s="6"/>
    </row>
    <row r="51" spans="2:13" ht="14">
      <c r="B51" s="13"/>
      <c r="C51" s="14" t="s">
        <v>122</v>
      </c>
      <c r="M51" s="6"/>
    </row>
    <row r="52" spans="2:13" ht="14">
      <c r="B52" s="15" t="s">
        <v>26</v>
      </c>
      <c r="C52" s="15" t="s">
        <v>27</v>
      </c>
      <c r="D52" s="15" t="s">
        <v>853</v>
      </c>
      <c r="E52" s="16" t="s">
        <v>379</v>
      </c>
      <c r="F52" s="15" t="s">
        <v>29</v>
      </c>
      <c r="M52" s="6"/>
    </row>
    <row r="53" spans="2:13">
      <c r="B53" s="5" t="s">
        <v>331</v>
      </c>
      <c r="C53" s="5" t="s">
        <v>122</v>
      </c>
      <c r="D53" s="18" t="s">
        <v>128</v>
      </c>
      <c r="E53" s="19">
        <v>227.5</v>
      </c>
      <c r="F53" s="17">
        <v>146.41899704933201</v>
      </c>
      <c r="M53" s="6"/>
    </row>
    <row r="54" spans="2:13">
      <c r="B54" s="5" t="s">
        <v>336</v>
      </c>
      <c r="C54" s="5" t="s">
        <v>122</v>
      </c>
      <c r="D54" s="18" t="s">
        <v>128</v>
      </c>
      <c r="E54" s="19">
        <v>205</v>
      </c>
      <c r="F54" s="17">
        <v>131.63049519062</v>
      </c>
      <c r="M54" s="6"/>
    </row>
    <row r="55" spans="2:13">
      <c r="B55" s="5" t="s">
        <v>345</v>
      </c>
      <c r="C55" s="5" t="s">
        <v>122</v>
      </c>
      <c r="D55" s="18" t="s">
        <v>127</v>
      </c>
      <c r="E55" s="19">
        <v>210</v>
      </c>
      <c r="F55" s="17">
        <v>127.84799873828899</v>
      </c>
      <c r="M55" s="6"/>
    </row>
    <row r="56" spans="2:13">
      <c r="M56" s="6"/>
    </row>
    <row r="57" spans="2:13" ht="14">
      <c r="B57" s="13"/>
      <c r="C57" s="14" t="s">
        <v>25</v>
      </c>
      <c r="M57" s="6"/>
    </row>
    <row r="58" spans="2:13" ht="14">
      <c r="B58" s="15" t="s">
        <v>26</v>
      </c>
      <c r="C58" s="15" t="s">
        <v>27</v>
      </c>
      <c r="D58" s="15" t="s">
        <v>853</v>
      </c>
      <c r="E58" s="16" t="s">
        <v>379</v>
      </c>
      <c r="F58" s="15" t="s">
        <v>29</v>
      </c>
      <c r="M58" s="6"/>
    </row>
    <row r="59" spans="2:13">
      <c r="B59" s="5" t="s">
        <v>372</v>
      </c>
      <c r="C59" s="5" t="s">
        <v>825</v>
      </c>
      <c r="D59" s="18" t="s">
        <v>380</v>
      </c>
      <c r="E59" s="19">
        <v>200</v>
      </c>
      <c r="F59" s="17">
        <v>170.28480863571201</v>
      </c>
      <c r="M59" s="6"/>
    </row>
    <row r="60" spans="2:13">
      <c r="B60" s="5" t="s">
        <v>358</v>
      </c>
      <c r="C60" s="5" t="s">
        <v>768</v>
      </c>
      <c r="D60" s="18" t="s">
        <v>127</v>
      </c>
      <c r="E60" s="19">
        <v>195</v>
      </c>
      <c r="F60" s="17">
        <v>152.98722723305201</v>
      </c>
      <c r="G60" s="5"/>
      <c r="M60" s="6"/>
    </row>
    <row r="61" spans="2:13">
      <c r="B61" s="5" t="s">
        <v>327</v>
      </c>
      <c r="C61" s="5" t="s">
        <v>814</v>
      </c>
      <c r="D61" s="18" t="s">
        <v>323</v>
      </c>
      <c r="E61" s="19">
        <v>175</v>
      </c>
      <c r="F61" s="17">
        <v>151.63842288702699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7:J37"/>
    <mergeCell ref="A43:J43"/>
    <mergeCell ref="B3:B4"/>
    <mergeCell ref="A8:J8"/>
    <mergeCell ref="A11:J11"/>
    <mergeCell ref="A15:J15"/>
    <mergeCell ref="A18:J18"/>
    <mergeCell ref="A25:J25"/>
    <mergeCell ref="A34:J3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AB070-12C2-4242-AB72-67B4AED0D677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0.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8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57" t="s">
        <v>890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10</v>
      </c>
      <c r="H3" s="69"/>
      <c r="I3" s="69"/>
      <c r="J3" s="69"/>
      <c r="K3" s="51" t="s">
        <v>381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78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2" t="s">
        <v>30</v>
      </c>
      <c r="B6" s="7" t="s">
        <v>559</v>
      </c>
      <c r="C6" s="7" t="s">
        <v>826</v>
      </c>
      <c r="D6" s="7" t="s">
        <v>560</v>
      </c>
      <c r="E6" s="8" t="s">
        <v>956</v>
      </c>
      <c r="F6" s="7" t="s">
        <v>904</v>
      </c>
      <c r="G6" s="20" t="s">
        <v>18</v>
      </c>
      <c r="H6" s="20" t="s">
        <v>60</v>
      </c>
      <c r="I6" s="21" t="s">
        <v>19</v>
      </c>
      <c r="J6" s="22"/>
      <c r="K6" s="9" t="str">
        <f>"185,0"</f>
        <v>185,0</v>
      </c>
      <c r="L6" s="9" t="str">
        <f>"129,5839"</f>
        <v>129,5839</v>
      </c>
      <c r="M6" s="7" t="s">
        <v>945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86020-294B-4131-A24E-4299215E1D6B}">
  <dimension ref="A1:M16"/>
  <sheetViews>
    <sheetView workbookViewId="0">
      <selection activeCell="E15" sqref="E15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0.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57" t="s">
        <v>891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10</v>
      </c>
      <c r="H3" s="69"/>
      <c r="I3" s="69"/>
      <c r="J3" s="69"/>
      <c r="K3" s="51" t="s">
        <v>381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206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2" t="s">
        <v>30</v>
      </c>
      <c r="B6" s="7" t="s">
        <v>327</v>
      </c>
      <c r="C6" s="7" t="s">
        <v>735</v>
      </c>
      <c r="D6" s="7" t="s">
        <v>328</v>
      </c>
      <c r="E6" s="8" t="s">
        <v>951</v>
      </c>
      <c r="F6" s="7" t="s">
        <v>908</v>
      </c>
      <c r="G6" s="20" t="s">
        <v>83</v>
      </c>
      <c r="H6" s="21" t="s">
        <v>100</v>
      </c>
      <c r="I6" s="20" t="s">
        <v>100</v>
      </c>
      <c r="J6" s="22"/>
      <c r="K6" s="9" t="str">
        <f>"250,0"</f>
        <v>250,0</v>
      </c>
      <c r="L6" s="9" t="str">
        <f>"173,5000"</f>
        <v>173,5000</v>
      </c>
      <c r="M6" s="7" t="s">
        <v>945</v>
      </c>
    </row>
    <row r="8" spans="1:13" ht="16">
      <c r="A8" s="45" t="s">
        <v>78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22" t="s">
        <v>30</v>
      </c>
      <c r="B9" s="7" t="s">
        <v>736</v>
      </c>
      <c r="C9" s="7" t="s">
        <v>737</v>
      </c>
      <c r="D9" s="7" t="s">
        <v>81</v>
      </c>
      <c r="E9" s="8" t="s">
        <v>958</v>
      </c>
      <c r="F9" s="7" t="s">
        <v>904</v>
      </c>
      <c r="G9" s="21" t="s">
        <v>70</v>
      </c>
      <c r="H9" s="20" t="s">
        <v>70</v>
      </c>
      <c r="I9" s="21" t="s">
        <v>114</v>
      </c>
      <c r="J9" s="22"/>
      <c r="K9" s="9" t="str">
        <f>"210,0"</f>
        <v>210,0</v>
      </c>
      <c r="L9" s="9" t="str">
        <f>"182,5822"</f>
        <v>182,5822</v>
      </c>
      <c r="M9" s="7" t="s">
        <v>945</v>
      </c>
    </row>
    <row r="11" spans="1:13" ht="16">
      <c r="A11" s="45" t="s">
        <v>288</v>
      </c>
      <c r="B11" s="45"/>
      <c r="C11" s="46"/>
      <c r="D11" s="46"/>
      <c r="E11" s="46"/>
      <c r="F11" s="46"/>
      <c r="G11" s="46"/>
      <c r="H11" s="46"/>
      <c r="I11" s="46"/>
      <c r="J11" s="46"/>
    </row>
    <row r="12" spans="1:13">
      <c r="A12" s="34" t="s">
        <v>30</v>
      </c>
      <c r="B12" s="23" t="s">
        <v>738</v>
      </c>
      <c r="C12" s="23" t="s">
        <v>739</v>
      </c>
      <c r="D12" s="23" t="s">
        <v>320</v>
      </c>
      <c r="E12" s="24" t="s">
        <v>951</v>
      </c>
      <c r="F12" s="23" t="s">
        <v>904</v>
      </c>
      <c r="G12" s="33" t="s">
        <v>109</v>
      </c>
      <c r="H12" s="32" t="s">
        <v>740</v>
      </c>
      <c r="I12" s="32" t="s">
        <v>740</v>
      </c>
      <c r="J12" s="34"/>
      <c r="K12" s="25" t="str">
        <f>"290,0"</f>
        <v>290,0</v>
      </c>
      <c r="L12" s="25" t="str">
        <f>"163,5455"</f>
        <v>163,5455</v>
      </c>
      <c r="M12" s="23" t="s">
        <v>873</v>
      </c>
    </row>
    <row r="13" spans="1:13">
      <c r="A13" s="36" t="s">
        <v>129</v>
      </c>
      <c r="B13" s="26" t="s">
        <v>741</v>
      </c>
      <c r="C13" s="26" t="s">
        <v>742</v>
      </c>
      <c r="D13" s="26" t="s">
        <v>539</v>
      </c>
      <c r="E13" s="27" t="s">
        <v>951</v>
      </c>
      <c r="F13" s="26" t="s">
        <v>939</v>
      </c>
      <c r="G13" s="35" t="s">
        <v>642</v>
      </c>
      <c r="H13" s="37" t="s">
        <v>292</v>
      </c>
      <c r="I13" s="37" t="s">
        <v>292</v>
      </c>
      <c r="J13" s="36"/>
      <c r="K13" s="28" t="str">
        <f>"245,0"</f>
        <v>245,0</v>
      </c>
      <c r="L13" s="28" t="str">
        <f>"137,9105"</f>
        <v>137,9105</v>
      </c>
      <c r="M13" s="26" t="s">
        <v>743</v>
      </c>
    </row>
    <row r="14" spans="1:13">
      <c r="A14" s="39" t="s">
        <v>30</v>
      </c>
      <c r="B14" s="29" t="s">
        <v>741</v>
      </c>
      <c r="C14" s="29" t="s">
        <v>827</v>
      </c>
      <c r="D14" s="29" t="s">
        <v>539</v>
      </c>
      <c r="E14" s="30" t="s">
        <v>953</v>
      </c>
      <c r="F14" s="29" t="s">
        <v>939</v>
      </c>
      <c r="G14" s="38" t="s">
        <v>642</v>
      </c>
      <c r="H14" s="40" t="s">
        <v>292</v>
      </c>
      <c r="I14" s="40" t="s">
        <v>292</v>
      </c>
      <c r="J14" s="39"/>
      <c r="K14" s="31" t="str">
        <f>"245,0"</f>
        <v>245,0</v>
      </c>
      <c r="L14" s="31" t="str">
        <f>"151,2878"</f>
        <v>151,2878</v>
      </c>
      <c r="M14" s="29" t="s">
        <v>743</v>
      </c>
    </row>
    <row r="16" spans="1:13">
      <c r="E16" s="5"/>
      <c r="F16" s="10"/>
      <c r="G16" s="5"/>
      <c r="K16" s="18"/>
      <c r="M16" s="6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27F03-AA53-477F-B12A-8F14FE09A0AF}">
  <dimension ref="A1:M12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0.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8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57" t="s">
        <v>892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10</v>
      </c>
      <c r="H3" s="69"/>
      <c r="I3" s="69"/>
      <c r="J3" s="69"/>
      <c r="K3" s="51" t="s">
        <v>381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105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2" t="s">
        <v>30</v>
      </c>
      <c r="B6" s="7" t="s">
        <v>747</v>
      </c>
      <c r="C6" s="7" t="s">
        <v>748</v>
      </c>
      <c r="D6" s="7" t="s">
        <v>680</v>
      </c>
      <c r="E6" s="8" t="s">
        <v>951</v>
      </c>
      <c r="F6" s="7" t="s">
        <v>948</v>
      </c>
      <c r="G6" s="20" t="s">
        <v>67</v>
      </c>
      <c r="H6" s="21" t="s">
        <v>19</v>
      </c>
      <c r="I6" s="21" t="s">
        <v>100</v>
      </c>
      <c r="J6" s="22"/>
      <c r="K6" s="9" t="str">
        <f>"170,0"</f>
        <v>170,0</v>
      </c>
      <c r="L6" s="9" t="str">
        <f>"98,8210"</f>
        <v>98,8210</v>
      </c>
      <c r="M6" s="7" t="s">
        <v>946</v>
      </c>
    </row>
    <row r="8" spans="1:13" ht="16">
      <c r="A8" s="45" t="s">
        <v>288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22" t="s">
        <v>30</v>
      </c>
      <c r="B9" s="7" t="s">
        <v>738</v>
      </c>
      <c r="C9" s="7" t="s">
        <v>739</v>
      </c>
      <c r="D9" s="7" t="s">
        <v>320</v>
      </c>
      <c r="E9" s="8" t="s">
        <v>951</v>
      </c>
      <c r="F9" s="7" t="s">
        <v>904</v>
      </c>
      <c r="G9" s="20" t="s">
        <v>109</v>
      </c>
      <c r="H9" s="21" t="s">
        <v>740</v>
      </c>
      <c r="I9" s="21" t="s">
        <v>740</v>
      </c>
      <c r="J9" s="22"/>
      <c r="K9" s="9" t="str">
        <f>"290,0"</f>
        <v>290,0</v>
      </c>
      <c r="L9" s="9" t="str">
        <f>"163,5455"</f>
        <v>163,5455</v>
      </c>
      <c r="M9" s="7" t="s">
        <v>873</v>
      </c>
    </row>
    <row r="11" spans="1:13" ht="16">
      <c r="A11" s="45" t="s">
        <v>304</v>
      </c>
      <c r="B11" s="45"/>
      <c r="C11" s="46"/>
      <c r="D11" s="46"/>
      <c r="E11" s="46"/>
      <c r="F11" s="46"/>
      <c r="G11" s="46"/>
      <c r="H11" s="46"/>
      <c r="I11" s="46"/>
      <c r="J11" s="46"/>
    </row>
    <row r="12" spans="1:13">
      <c r="A12" s="22" t="s">
        <v>30</v>
      </c>
      <c r="B12" s="7" t="s">
        <v>749</v>
      </c>
      <c r="C12" s="7" t="s">
        <v>750</v>
      </c>
      <c r="D12" s="7" t="s">
        <v>752</v>
      </c>
      <c r="E12" s="8" t="s">
        <v>951</v>
      </c>
      <c r="F12" s="7" t="s">
        <v>948</v>
      </c>
      <c r="G12" s="20" t="s">
        <v>100</v>
      </c>
      <c r="H12" s="21" t="s">
        <v>22</v>
      </c>
      <c r="I12" s="21" t="s">
        <v>578</v>
      </c>
      <c r="J12" s="22"/>
      <c r="K12" s="9" t="str">
        <f>"250,0"</f>
        <v>250,0</v>
      </c>
      <c r="L12" s="9" t="str">
        <f>"135,4275"</f>
        <v>135,4275</v>
      </c>
      <c r="M12" s="7" t="s">
        <v>946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6FDB1-0FE6-4F13-919B-1C4BB92BB8E9}"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0.5" style="5" bestFit="1" customWidth="1"/>
    <col min="7" max="9" width="5.5" style="18" customWidth="1"/>
    <col min="10" max="10" width="4.83203125" style="18" customWidth="1"/>
    <col min="11" max="11" width="10.5" style="19" bestFit="1" customWidth="1"/>
    <col min="12" max="12" width="8.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57" t="s">
        <v>893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10</v>
      </c>
      <c r="H3" s="69"/>
      <c r="I3" s="69"/>
      <c r="J3" s="69"/>
      <c r="K3" s="49" t="s">
        <v>381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0"/>
      <c r="L4" s="52"/>
      <c r="M4" s="54"/>
    </row>
    <row r="5" spans="1:13" ht="16">
      <c r="A5" s="55" t="s">
        <v>78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2" t="s">
        <v>30</v>
      </c>
      <c r="B6" s="7" t="s">
        <v>744</v>
      </c>
      <c r="C6" s="7" t="s">
        <v>745</v>
      </c>
      <c r="D6" s="7" t="s">
        <v>746</v>
      </c>
      <c r="E6" s="8" t="s">
        <v>951</v>
      </c>
      <c r="F6" s="7" t="s">
        <v>904</v>
      </c>
      <c r="G6" s="20" t="s">
        <v>82</v>
      </c>
      <c r="H6" s="20" t="s">
        <v>642</v>
      </c>
      <c r="I6" s="20" t="s">
        <v>292</v>
      </c>
      <c r="J6" s="22"/>
      <c r="K6" s="43" t="str">
        <f>"255,0"</f>
        <v>255,0</v>
      </c>
      <c r="L6" s="9" t="str">
        <f>"158,0745"</f>
        <v>158,0745</v>
      </c>
      <c r="M6" s="7" t="s">
        <v>945</v>
      </c>
    </row>
    <row r="8" spans="1:13" ht="16">
      <c r="A8" s="45" t="s">
        <v>105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22" t="s">
        <v>30</v>
      </c>
      <c r="B9" s="7" t="s">
        <v>747</v>
      </c>
      <c r="C9" s="7" t="s">
        <v>748</v>
      </c>
      <c r="D9" s="7" t="s">
        <v>287</v>
      </c>
      <c r="E9" s="8" t="s">
        <v>951</v>
      </c>
      <c r="F9" s="7" t="s">
        <v>948</v>
      </c>
      <c r="G9" s="20" t="s">
        <v>116</v>
      </c>
      <c r="H9" s="21" t="s">
        <v>61</v>
      </c>
      <c r="I9" s="21" t="s">
        <v>20</v>
      </c>
      <c r="J9" s="22"/>
      <c r="K9" s="43" t="str">
        <f>"165,0"</f>
        <v>165,0</v>
      </c>
      <c r="L9" s="9" t="str">
        <f>"95,9558"</f>
        <v>95,9558</v>
      </c>
      <c r="M9" s="7" t="s">
        <v>946</v>
      </c>
    </row>
    <row r="11" spans="1:13" ht="16">
      <c r="A11" s="45" t="s">
        <v>288</v>
      </c>
      <c r="B11" s="45"/>
      <c r="C11" s="46"/>
      <c r="D11" s="46"/>
      <c r="E11" s="46"/>
      <c r="F11" s="46"/>
      <c r="G11" s="46"/>
      <c r="H11" s="46"/>
      <c r="I11" s="46"/>
      <c r="J11" s="46"/>
    </row>
    <row r="12" spans="1:13">
      <c r="A12" s="22" t="s">
        <v>299</v>
      </c>
      <c r="B12" s="7" t="s">
        <v>571</v>
      </c>
      <c r="C12" s="7" t="s">
        <v>572</v>
      </c>
      <c r="D12" s="7" t="s">
        <v>573</v>
      </c>
      <c r="E12" s="8" t="s">
        <v>951</v>
      </c>
      <c r="F12" s="7" t="s">
        <v>904</v>
      </c>
      <c r="G12" s="21" t="s">
        <v>100</v>
      </c>
      <c r="H12" s="21" t="s">
        <v>20</v>
      </c>
      <c r="I12" s="21" t="s">
        <v>20</v>
      </c>
      <c r="J12" s="22"/>
      <c r="K12" s="43">
        <v>0</v>
      </c>
      <c r="L12" s="9" t="str">
        <f>"0,0000"</f>
        <v>0,0000</v>
      </c>
      <c r="M12" s="7" t="s">
        <v>202</v>
      </c>
    </row>
    <row r="14" spans="1:13" ht="16">
      <c r="A14" s="45" t="s">
        <v>304</v>
      </c>
      <c r="B14" s="45"/>
      <c r="C14" s="46"/>
      <c r="D14" s="46"/>
      <c r="E14" s="46"/>
      <c r="F14" s="46"/>
      <c r="G14" s="46"/>
      <c r="H14" s="46"/>
      <c r="I14" s="46"/>
      <c r="J14" s="46"/>
    </row>
    <row r="15" spans="1:13">
      <c r="A15" s="22" t="s">
        <v>30</v>
      </c>
      <c r="B15" s="7" t="s">
        <v>749</v>
      </c>
      <c r="C15" s="7" t="s">
        <v>750</v>
      </c>
      <c r="D15" s="7" t="s">
        <v>751</v>
      </c>
      <c r="E15" s="8" t="s">
        <v>951</v>
      </c>
      <c r="F15" s="7" t="s">
        <v>948</v>
      </c>
      <c r="G15" s="20" t="s">
        <v>240</v>
      </c>
      <c r="H15" s="21" t="s">
        <v>22</v>
      </c>
      <c r="I15" s="20" t="s">
        <v>740</v>
      </c>
      <c r="J15" s="22"/>
      <c r="K15" s="43" t="str">
        <f>"310,0"</f>
        <v>310,0</v>
      </c>
      <c r="L15" s="9" t="str">
        <f>"167,8092"</f>
        <v>167,8092</v>
      </c>
      <c r="M15" s="7" t="s">
        <v>946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FF160-5ACC-4197-8666-D68A5EF392EE}">
  <dimension ref="A1:M84"/>
  <sheetViews>
    <sheetView topLeftCell="A29" workbookViewId="0">
      <selection activeCell="E68" sqref="E68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20.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8.5" style="6" bestFit="1" customWidth="1"/>
    <col min="13" max="13" width="19.1640625" style="5" bestFit="1" customWidth="1"/>
    <col min="14" max="16384" width="9.1640625" style="3"/>
  </cols>
  <sheetData>
    <row r="1" spans="1:13" s="2" customFormat="1" ht="29" customHeight="1">
      <c r="A1" s="57" t="s">
        <v>894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11</v>
      </c>
      <c r="H3" s="69"/>
      <c r="I3" s="69"/>
      <c r="J3" s="69"/>
      <c r="K3" s="51" t="s">
        <v>381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131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34" t="s">
        <v>30</v>
      </c>
      <c r="B6" s="23" t="s">
        <v>579</v>
      </c>
      <c r="C6" s="23" t="s">
        <v>828</v>
      </c>
      <c r="D6" s="23" t="s">
        <v>580</v>
      </c>
      <c r="E6" s="24" t="s">
        <v>952</v>
      </c>
      <c r="F6" s="23" t="s">
        <v>908</v>
      </c>
      <c r="G6" s="33" t="s">
        <v>260</v>
      </c>
      <c r="H6" s="32" t="s">
        <v>190</v>
      </c>
      <c r="I6" s="32" t="s">
        <v>190</v>
      </c>
      <c r="J6" s="34"/>
      <c r="K6" s="25" t="str">
        <f>"132,5"</f>
        <v>132,5</v>
      </c>
      <c r="L6" s="25" t="str">
        <f>"176,0263"</f>
        <v>176,0263</v>
      </c>
      <c r="M6" s="23" t="s">
        <v>160</v>
      </c>
    </row>
    <row r="7" spans="1:13">
      <c r="A7" s="36" t="s">
        <v>30</v>
      </c>
      <c r="B7" s="26" t="s">
        <v>581</v>
      </c>
      <c r="C7" s="26" t="s">
        <v>582</v>
      </c>
      <c r="D7" s="26" t="s">
        <v>583</v>
      </c>
      <c r="E7" s="27" t="s">
        <v>951</v>
      </c>
      <c r="F7" s="26" t="s">
        <v>923</v>
      </c>
      <c r="G7" s="35" t="s">
        <v>36</v>
      </c>
      <c r="H7" s="35" t="s">
        <v>76</v>
      </c>
      <c r="I7" s="37" t="s">
        <v>37</v>
      </c>
      <c r="J7" s="36"/>
      <c r="K7" s="28" t="str">
        <f>"95,0"</f>
        <v>95,0</v>
      </c>
      <c r="L7" s="28" t="str">
        <f>"126,0175"</f>
        <v>126,0175</v>
      </c>
      <c r="M7" s="26" t="s">
        <v>874</v>
      </c>
    </row>
    <row r="8" spans="1:13">
      <c r="A8" s="39" t="s">
        <v>129</v>
      </c>
      <c r="B8" s="29" t="s">
        <v>584</v>
      </c>
      <c r="C8" s="29" t="s">
        <v>585</v>
      </c>
      <c r="D8" s="29" t="s">
        <v>586</v>
      </c>
      <c r="E8" s="30" t="s">
        <v>951</v>
      </c>
      <c r="F8" s="29" t="s">
        <v>923</v>
      </c>
      <c r="G8" s="38" t="s">
        <v>36</v>
      </c>
      <c r="H8" s="38" t="s">
        <v>76</v>
      </c>
      <c r="I8" s="40" t="s">
        <v>77</v>
      </c>
      <c r="J8" s="39"/>
      <c r="K8" s="31" t="str">
        <f>"95,0"</f>
        <v>95,0</v>
      </c>
      <c r="L8" s="31" t="str">
        <f>"125,8180"</f>
        <v>125,8180</v>
      </c>
      <c r="M8" s="29" t="s">
        <v>874</v>
      </c>
    </row>
    <row r="10" spans="1:13" ht="16">
      <c r="A10" s="45" t="s">
        <v>147</v>
      </c>
      <c r="B10" s="45"/>
      <c r="C10" s="46"/>
      <c r="D10" s="46"/>
      <c r="E10" s="46"/>
      <c r="F10" s="46"/>
      <c r="G10" s="46"/>
      <c r="H10" s="46"/>
      <c r="I10" s="46"/>
      <c r="J10" s="46"/>
    </row>
    <row r="11" spans="1:13">
      <c r="A11" s="22" t="s">
        <v>30</v>
      </c>
      <c r="B11" s="7" t="s">
        <v>148</v>
      </c>
      <c r="C11" s="7" t="s">
        <v>149</v>
      </c>
      <c r="D11" s="7" t="s">
        <v>150</v>
      </c>
      <c r="E11" s="8" t="s">
        <v>951</v>
      </c>
      <c r="F11" s="7" t="s">
        <v>904</v>
      </c>
      <c r="G11" s="20" t="s">
        <v>140</v>
      </c>
      <c r="H11" s="20" t="s">
        <v>40</v>
      </c>
      <c r="I11" s="21" t="s">
        <v>41</v>
      </c>
      <c r="J11" s="22"/>
      <c r="K11" s="9" t="str">
        <f>"117,5"</f>
        <v>117,5</v>
      </c>
      <c r="L11" s="9" t="str">
        <f>"146,9220"</f>
        <v>146,9220</v>
      </c>
      <c r="M11" s="7" t="s">
        <v>42</v>
      </c>
    </row>
    <row r="13" spans="1:13" ht="16">
      <c r="A13" s="45" t="s">
        <v>31</v>
      </c>
      <c r="B13" s="45"/>
      <c r="C13" s="46"/>
      <c r="D13" s="46"/>
      <c r="E13" s="46"/>
      <c r="F13" s="46"/>
      <c r="G13" s="46"/>
      <c r="H13" s="46"/>
      <c r="I13" s="46"/>
      <c r="J13" s="46"/>
    </row>
    <row r="14" spans="1:13">
      <c r="A14" s="34" t="s">
        <v>30</v>
      </c>
      <c r="B14" s="23" t="s">
        <v>161</v>
      </c>
      <c r="C14" s="23" t="s">
        <v>162</v>
      </c>
      <c r="D14" s="23" t="s">
        <v>163</v>
      </c>
      <c r="E14" s="24" t="s">
        <v>951</v>
      </c>
      <c r="F14" s="23" t="s">
        <v>905</v>
      </c>
      <c r="G14" s="33" t="s">
        <v>59</v>
      </c>
      <c r="H14" s="32" t="s">
        <v>40</v>
      </c>
      <c r="I14" s="32" t="s">
        <v>159</v>
      </c>
      <c r="J14" s="34"/>
      <c r="K14" s="25" t="str">
        <f>"110,0"</f>
        <v>110,0</v>
      </c>
      <c r="L14" s="25" t="str">
        <f>"130,9000"</f>
        <v>130,9000</v>
      </c>
      <c r="M14" s="23" t="s">
        <v>165</v>
      </c>
    </row>
    <row r="15" spans="1:13">
      <c r="A15" s="36" t="s">
        <v>129</v>
      </c>
      <c r="B15" s="26" t="s">
        <v>587</v>
      </c>
      <c r="C15" s="26" t="s">
        <v>588</v>
      </c>
      <c r="D15" s="26" t="s">
        <v>589</v>
      </c>
      <c r="E15" s="27" t="s">
        <v>951</v>
      </c>
      <c r="F15" s="26" t="s">
        <v>923</v>
      </c>
      <c r="G15" s="35" t="s">
        <v>36</v>
      </c>
      <c r="H15" s="35" t="s">
        <v>76</v>
      </c>
      <c r="I15" s="35" t="s">
        <v>37</v>
      </c>
      <c r="J15" s="36"/>
      <c r="K15" s="28" t="str">
        <f>"97,5"</f>
        <v>97,5</v>
      </c>
      <c r="L15" s="28" t="str">
        <f>"117,6923"</f>
        <v>117,6923</v>
      </c>
      <c r="M15" s="26" t="s">
        <v>861</v>
      </c>
    </row>
    <row r="16" spans="1:13">
      <c r="A16" s="39" t="s">
        <v>30</v>
      </c>
      <c r="B16" s="29" t="s">
        <v>590</v>
      </c>
      <c r="C16" s="29" t="s">
        <v>783</v>
      </c>
      <c r="D16" s="29" t="s">
        <v>157</v>
      </c>
      <c r="E16" s="30" t="s">
        <v>953</v>
      </c>
      <c r="F16" s="29" t="s">
        <v>907</v>
      </c>
      <c r="G16" s="38" t="s">
        <v>170</v>
      </c>
      <c r="H16" s="38" t="s">
        <v>77</v>
      </c>
      <c r="I16" s="38" t="s">
        <v>59</v>
      </c>
      <c r="J16" s="39"/>
      <c r="K16" s="31" t="str">
        <f>"110,0"</f>
        <v>110,0</v>
      </c>
      <c r="L16" s="31" t="str">
        <f>"130,0731"</f>
        <v>130,0731</v>
      </c>
      <c r="M16" s="29" t="s">
        <v>221</v>
      </c>
    </row>
    <row r="18" spans="1:13" ht="16">
      <c r="A18" s="45" t="s">
        <v>43</v>
      </c>
      <c r="B18" s="45"/>
      <c r="C18" s="46"/>
      <c r="D18" s="46"/>
      <c r="E18" s="46"/>
      <c r="F18" s="46"/>
      <c r="G18" s="46"/>
      <c r="H18" s="46"/>
      <c r="I18" s="46"/>
      <c r="J18" s="46"/>
    </row>
    <row r="19" spans="1:13">
      <c r="A19" s="22" t="s">
        <v>30</v>
      </c>
      <c r="B19" s="7" t="s">
        <v>591</v>
      </c>
      <c r="C19" s="7" t="s">
        <v>592</v>
      </c>
      <c r="D19" s="7" t="s">
        <v>593</v>
      </c>
      <c r="E19" s="8" t="s">
        <v>951</v>
      </c>
      <c r="F19" s="7" t="s">
        <v>904</v>
      </c>
      <c r="G19" s="20" t="s">
        <v>50</v>
      </c>
      <c r="H19" s="20" t="s">
        <v>99</v>
      </c>
      <c r="I19" s="20" t="s">
        <v>75</v>
      </c>
      <c r="J19" s="22"/>
      <c r="K19" s="9" t="str">
        <f>"150,0"</f>
        <v>150,0</v>
      </c>
      <c r="L19" s="9" t="str">
        <f>"171,0150"</f>
        <v>171,0150</v>
      </c>
      <c r="M19" s="7" t="s">
        <v>554</v>
      </c>
    </row>
    <row r="21" spans="1:13" ht="16">
      <c r="A21" s="45" t="s">
        <v>53</v>
      </c>
      <c r="B21" s="45"/>
      <c r="C21" s="46"/>
      <c r="D21" s="46"/>
      <c r="E21" s="46"/>
      <c r="F21" s="46"/>
      <c r="G21" s="46"/>
      <c r="H21" s="46"/>
      <c r="I21" s="46"/>
      <c r="J21" s="46"/>
    </row>
    <row r="22" spans="1:13">
      <c r="A22" s="22" t="s">
        <v>30</v>
      </c>
      <c r="B22" s="7" t="s">
        <v>594</v>
      </c>
      <c r="C22" s="7" t="s">
        <v>595</v>
      </c>
      <c r="D22" s="7" t="s">
        <v>193</v>
      </c>
      <c r="E22" s="8" t="s">
        <v>951</v>
      </c>
      <c r="F22" s="7" t="s">
        <v>904</v>
      </c>
      <c r="G22" s="21" t="s">
        <v>195</v>
      </c>
      <c r="H22" s="21" t="s">
        <v>74</v>
      </c>
      <c r="I22" s="20" t="s">
        <v>74</v>
      </c>
      <c r="J22" s="22"/>
      <c r="K22" s="9" t="str">
        <f>"140,0"</f>
        <v>140,0</v>
      </c>
      <c r="L22" s="9" t="str">
        <f>"144,9140"</f>
        <v>144,9140</v>
      </c>
      <c r="M22" s="7" t="s">
        <v>596</v>
      </c>
    </row>
    <row r="24" spans="1:13" ht="16">
      <c r="A24" s="45" t="s">
        <v>206</v>
      </c>
      <c r="B24" s="45"/>
      <c r="C24" s="46"/>
      <c r="D24" s="46"/>
      <c r="E24" s="46"/>
      <c r="F24" s="46"/>
      <c r="G24" s="46"/>
      <c r="H24" s="46"/>
      <c r="I24" s="46"/>
      <c r="J24" s="46"/>
    </row>
    <row r="25" spans="1:13">
      <c r="A25" s="22" t="s">
        <v>30</v>
      </c>
      <c r="B25" s="7" t="s">
        <v>597</v>
      </c>
      <c r="C25" s="7" t="s">
        <v>829</v>
      </c>
      <c r="D25" s="7" t="s">
        <v>598</v>
      </c>
      <c r="E25" s="8" t="s">
        <v>952</v>
      </c>
      <c r="F25" s="7" t="s">
        <v>904</v>
      </c>
      <c r="G25" s="20" t="s">
        <v>139</v>
      </c>
      <c r="H25" s="20" t="s">
        <v>59</v>
      </c>
      <c r="I25" s="20" t="s">
        <v>213</v>
      </c>
      <c r="J25" s="22"/>
      <c r="K25" s="9" t="str">
        <f>"115,0"</f>
        <v>115,0</v>
      </c>
      <c r="L25" s="9" t="str">
        <f>"115,2070"</f>
        <v>115,2070</v>
      </c>
      <c r="M25" s="7" t="s">
        <v>599</v>
      </c>
    </row>
    <row r="27" spans="1:13" ht="16">
      <c r="A27" s="45" t="s">
        <v>63</v>
      </c>
      <c r="B27" s="45"/>
      <c r="C27" s="46"/>
      <c r="D27" s="46"/>
      <c r="E27" s="46"/>
      <c r="F27" s="46"/>
      <c r="G27" s="46"/>
      <c r="H27" s="46"/>
      <c r="I27" s="46"/>
      <c r="J27" s="46"/>
    </row>
    <row r="28" spans="1:13">
      <c r="A28" s="22" t="s">
        <v>30</v>
      </c>
      <c r="B28" s="7" t="s">
        <v>600</v>
      </c>
      <c r="C28" s="7" t="s">
        <v>601</v>
      </c>
      <c r="D28" s="7" t="s">
        <v>602</v>
      </c>
      <c r="E28" s="8" t="s">
        <v>951</v>
      </c>
      <c r="F28" s="7" t="s">
        <v>948</v>
      </c>
      <c r="G28" s="20" t="s">
        <v>170</v>
      </c>
      <c r="H28" s="20" t="s">
        <v>59</v>
      </c>
      <c r="I28" s="21" t="s">
        <v>74</v>
      </c>
      <c r="J28" s="22"/>
      <c r="K28" s="9" t="str">
        <f>"110,0"</f>
        <v>110,0</v>
      </c>
      <c r="L28" s="9" t="str">
        <f>"99,4400"</f>
        <v>99,4400</v>
      </c>
      <c r="M28" s="7" t="s">
        <v>945</v>
      </c>
    </row>
    <row r="30" spans="1:13" ht="16">
      <c r="A30" s="45" t="s">
        <v>603</v>
      </c>
      <c r="B30" s="45"/>
      <c r="C30" s="46"/>
      <c r="D30" s="46"/>
      <c r="E30" s="46"/>
      <c r="F30" s="46"/>
      <c r="G30" s="46"/>
      <c r="H30" s="46"/>
      <c r="I30" s="46"/>
      <c r="J30" s="46"/>
    </row>
    <row r="31" spans="1:13">
      <c r="A31" s="22" t="s">
        <v>30</v>
      </c>
      <c r="B31" s="7" t="s">
        <v>604</v>
      </c>
      <c r="C31" s="7" t="s">
        <v>830</v>
      </c>
      <c r="D31" s="7" t="s">
        <v>605</v>
      </c>
      <c r="E31" s="8" t="s">
        <v>958</v>
      </c>
      <c r="F31" s="7" t="s">
        <v>903</v>
      </c>
      <c r="G31" s="20" t="s">
        <v>195</v>
      </c>
      <c r="H31" s="20" t="s">
        <v>74</v>
      </c>
      <c r="I31" s="20" t="s">
        <v>51</v>
      </c>
      <c r="J31" s="22"/>
      <c r="K31" s="9" t="str">
        <f>"147,5"</f>
        <v>147,5</v>
      </c>
      <c r="L31" s="9" t="str">
        <f>"147,3219"</f>
        <v>147,3219</v>
      </c>
      <c r="M31" s="7" t="s">
        <v>845</v>
      </c>
    </row>
    <row r="33" spans="1:13" ht="16">
      <c r="A33" s="45" t="s">
        <v>31</v>
      </c>
      <c r="B33" s="45"/>
      <c r="C33" s="46"/>
      <c r="D33" s="46"/>
      <c r="E33" s="46"/>
      <c r="F33" s="46"/>
      <c r="G33" s="46"/>
      <c r="H33" s="46"/>
      <c r="I33" s="46"/>
      <c r="J33" s="46"/>
    </row>
    <row r="34" spans="1:13">
      <c r="A34" s="22" t="s">
        <v>30</v>
      </c>
      <c r="B34" s="7" t="s">
        <v>606</v>
      </c>
      <c r="C34" s="7" t="s">
        <v>607</v>
      </c>
      <c r="D34" s="7" t="s">
        <v>34</v>
      </c>
      <c r="E34" s="8" t="s">
        <v>954</v>
      </c>
      <c r="F34" s="7" t="s">
        <v>923</v>
      </c>
      <c r="G34" s="20" t="s">
        <v>99</v>
      </c>
      <c r="H34" s="20" t="s">
        <v>52</v>
      </c>
      <c r="I34" s="21" t="s">
        <v>116</v>
      </c>
      <c r="J34" s="22"/>
      <c r="K34" s="9" t="str">
        <f>"152,5"</f>
        <v>152,5</v>
      </c>
      <c r="L34" s="9" t="str">
        <f>"140,3000"</f>
        <v>140,3000</v>
      </c>
      <c r="M34" s="7" t="s">
        <v>608</v>
      </c>
    </row>
    <row r="36" spans="1:13" ht="16">
      <c r="A36" s="45" t="s">
        <v>43</v>
      </c>
      <c r="B36" s="45"/>
      <c r="C36" s="46"/>
      <c r="D36" s="46"/>
      <c r="E36" s="46"/>
      <c r="F36" s="46"/>
      <c r="G36" s="46"/>
      <c r="H36" s="46"/>
      <c r="I36" s="46"/>
      <c r="J36" s="46"/>
    </row>
    <row r="37" spans="1:13">
      <c r="A37" s="22" t="s">
        <v>30</v>
      </c>
      <c r="B37" s="7" t="s">
        <v>609</v>
      </c>
      <c r="C37" s="7" t="s">
        <v>610</v>
      </c>
      <c r="D37" s="7" t="s">
        <v>611</v>
      </c>
      <c r="E37" s="8" t="s">
        <v>951</v>
      </c>
      <c r="F37" s="7" t="s">
        <v>940</v>
      </c>
      <c r="G37" s="20" t="s">
        <v>99</v>
      </c>
      <c r="H37" s="21" t="s">
        <v>52</v>
      </c>
      <c r="I37" s="21" t="s">
        <v>52</v>
      </c>
      <c r="J37" s="22"/>
      <c r="K37" s="9" t="str">
        <f>"145,0"</f>
        <v>145,0</v>
      </c>
      <c r="L37" s="9" t="str">
        <f>"124,8160"</f>
        <v>124,8160</v>
      </c>
      <c r="M37" s="7" t="s">
        <v>612</v>
      </c>
    </row>
    <row r="39" spans="1:13" ht="16">
      <c r="A39" s="45" t="s">
        <v>53</v>
      </c>
      <c r="B39" s="45"/>
      <c r="C39" s="46"/>
      <c r="D39" s="46"/>
      <c r="E39" s="46"/>
      <c r="F39" s="46"/>
      <c r="G39" s="46"/>
      <c r="H39" s="46"/>
      <c r="I39" s="46"/>
      <c r="J39" s="46"/>
    </row>
    <row r="40" spans="1:13">
      <c r="A40" s="34" t="s">
        <v>30</v>
      </c>
      <c r="B40" s="23" t="s">
        <v>613</v>
      </c>
      <c r="C40" s="23" t="s">
        <v>614</v>
      </c>
      <c r="D40" s="23" t="s">
        <v>615</v>
      </c>
      <c r="E40" s="24" t="s">
        <v>951</v>
      </c>
      <c r="F40" s="23" t="s">
        <v>907</v>
      </c>
      <c r="G40" s="33" t="s">
        <v>75</v>
      </c>
      <c r="H40" s="33" t="s">
        <v>67</v>
      </c>
      <c r="I40" s="33" t="s">
        <v>18</v>
      </c>
      <c r="J40" s="34"/>
      <c r="K40" s="25" t="str">
        <f>"180,0"</f>
        <v>180,0</v>
      </c>
      <c r="L40" s="25" t="str">
        <f>"145,4040"</f>
        <v>145,4040</v>
      </c>
      <c r="M40" s="23" t="s">
        <v>945</v>
      </c>
    </row>
    <row r="41" spans="1:13">
      <c r="A41" s="39" t="s">
        <v>129</v>
      </c>
      <c r="B41" s="29" t="s">
        <v>616</v>
      </c>
      <c r="C41" s="29" t="s">
        <v>617</v>
      </c>
      <c r="D41" s="29" t="s">
        <v>193</v>
      </c>
      <c r="E41" s="30" t="s">
        <v>951</v>
      </c>
      <c r="F41" s="29" t="s">
        <v>941</v>
      </c>
      <c r="G41" s="38" t="s">
        <v>67</v>
      </c>
      <c r="H41" s="40" t="s">
        <v>18</v>
      </c>
      <c r="I41" s="40" t="s">
        <v>18</v>
      </c>
      <c r="J41" s="39"/>
      <c r="K41" s="31" t="str">
        <f>"170,0"</f>
        <v>170,0</v>
      </c>
      <c r="L41" s="31" t="str">
        <f>"133,1440"</f>
        <v>133,1440</v>
      </c>
      <c r="M41" s="29" t="s">
        <v>945</v>
      </c>
    </row>
    <row r="43" spans="1:13" ht="16">
      <c r="A43" s="45" t="s">
        <v>206</v>
      </c>
      <c r="B43" s="45"/>
      <c r="C43" s="46"/>
      <c r="D43" s="46"/>
      <c r="E43" s="46"/>
      <c r="F43" s="46"/>
      <c r="G43" s="46"/>
      <c r="H43" s="46"/>
      <c r="I43" s="46"/>
      <c r="J43" s="46"/>
    </row>
    <row r="44" spans="1:13">
      <c r="A44" s="34" t="s">
        <v>30</v>
      </c>
      <c r="B44" s="23" t="s">
        <v>618</v>
      </c>
      <c r="C44" s="23" t="s">
        <v>831</v>
      </c>
      <c r="D44" s="23" t="s">
        <v>448</v>
      </c>
      <c r="E44" s="24" t="s">
        <v>952</v>
      </c>
      <c r="F44" s="23" t="s">
        <v>904</v>
      </c>
      <c r="G44" s="32" t="s">
        <v>19</v>
      </c>
      <c r="H44" s="33" t="s">
        <v>232</v>
      </c>
      <c r="I44" s="33" t="s">
        <v>250</v>
      </c>
      <c r="J44" s="34"/>
      <c r="K44" s="25" t="str">
        <f>"207,5"</f>
        <v>207,5</v>
      </c>
      <c r="L44" s="25" t="str">
        <f>"148,4040"</f>
        <v>148,4040</v>
      </c>
      <c r="M44" s="23" t="s">
        <v>945</v>
      </c>
    </row>
    <row r="45" spans="1:13">
      <c r="A45" s="36" t="s">
        <v>30</v>
      </c>
      <c r="B45" s="26" t="s">
        <v>619</v>
      </c>
      <c r="C45" s="26" t="s">
        <v>620</v>
      </c>
      <c r="D45" s="26" t="s">
        <v>418</v>
      </c>
      <c r="E45" s="27" t="s">
        <v>951</v>
      </c>
      <c r="F45" s="26" t="s">
        <v>914</v>
      </c>
      <c r="G45" s="35" t="s">
        <v>61</v>
      </c>
      <c r="H45" s="35" t="s">
        <v>250</v>
      </c>
      <c r="I45" s="37" t="s">
        <v>70</v>
      </c>
      <c r="J45" s="36"/>
      <c r="K45" s="28" t="str">
        <f>"207,5"</f>
        <v>207,5</v>
      </c>
      <c r="L45" s="28" t="str">
        <f>"148,5493"</f>
        <v>148,5493</v>
      </c>
      <c r="M45" s="26" t="s">
        <v>621</v>
      </c>
    </row>
    <row r="46" spans="1:13">
      <c r="A46" s="36" t="s">
        <v>129</v>
      </c>
      <c r="B46" s="26" t="s">
        <v>622</v>
      </c>
      <c r="C46" s="26" t="s">
        <v>623</v>
      </c>
      <c r="D46" s="26" t="s">
        <v>226</v>
      </c>
      <c r="E46" s="27" t="s">
        <v>951</v>
      </c>
      <c r="F46" s="26" t="s">
        <v>907</v>
      </c>
      <c r="G46" s="35" t="s">
        <v>75</v>
      </c>
      <c r="H46" s="35" t="s">
        <v>268</v>
      </c>
      <c r="I46" s="35" t="s">
        <v>19</v>
      </c>
      <c r="J46" s="36"/>
      <c r="K46" s="28" t="str">
        <f>"190,0"</f>
        <v>190,0</v>
      </c>
      <c r="L46" s="28" t="str">
        <f>"141,6070"</f>
        <v>141,6070</v>
      </c>
      <c r="M46" s="26" t="s">
        <v>945</v>
      </c>
    </row>
    <row r="47" spans="1:13">
      <c r="A47" s="39" t="s">
        <v>30</v>
      </c>
      <c r="B47" s="29" t="s">
        <v>624</v>
      </c>
      <c r="C47" s="29" t="s">
        <v>832</v>
      </c>
      <c r="D47" s="29" t="s">
        <v>625</v>
      </c>
      <c r="E47" s="30" t="s">
        <v>957</v>
      </c>
      <c r="F47" s="29" t="s">
        <v>903</v>
      </c>
      <c r="G47" s="38" t="s">
        <v>77</v>
      </c>
      <c r="H47" s="38" t="s">
        <v>59</v>
      </c>
      <c r="I47" s="38" t="s">
        <v>159</v>
      </c>
      <c r="J47" s="39"/>
      <c r="K47" s="31" t="str">
        <f>"120,0"</f>
        <v>120,0</v>
      </c>
      <c r="L47" s="31" t="str">
        <f>"136,8123"</f>
        <v>136,8123</v>
      </c>
      <c r="M47" s="29" t="s">
        <v>849</v>
      </c>
    </row>
    <row r="49" spans="1:13" ht="16">
      <c r="A49" s="45" t="s">
        <v>63</v>
      </c>
      <c r="B49" s="45"/>
      <c r="C49" s="46"/>
      <c r="D49" s="46"/>
      <c r="E49" s="46"/>
      <c r="F49" s="46"/>
      <c r="G49" s="46"/>
      <c r="H49" s="46"/>
      <c r="I49" s="46"/>
      <c r="J49" s="46"/>
    </row>
    <row r="50" spans="1:13">
      <c r="A50" s="34" t="s">
        <v>30</v>
      </c>
      <c r="B50" s="23" t="s">
        <v>626</v>
      </c>
      <c r="C50" s="23" t="s">
        <v>627</v>
      </c>
      <c r="D50" s="23" t="s">
        <v>628</v>
      </c>
      <c r="E50" s="24" t="s">
        <v>954</v>
      </c>
      <c r="F50" s="23" t="s">
        <v>907</v>
      </c>
      <c r="G50" s="33" t="s">
        <v>67</v>
      </c>
      <c r="H50" s="33" t="s">
        <v>19</v>
      </c>
      <c r="I50" s="32" t="s">
        <v>232</v>
      </c>
      <c r="J50" s="34"/>
      <c r="K50" s="25" t="str">
        <f>"190,0"</f>
        <v>190,0</v>
      </c>
      <c r="L50" s="25" t="str">
        <f>"129,9220"</f>
        <v>129,9220</v>
      </c>
      <c r="M50" s="23" t="s">
        <v>945</v>
      </c>
    </row>
    <row r="51" spans="1:13">
      <c r="A51" s="36" t="s">
        <v>30</v>
      </c>
      <c r="B51" s="26" t="s">
        <v>629</v>
      </c>
      <c r="C51" s="26" t="s">
        <v>630</v>
      </c>
      <c r="D51" s="26" t="s">
        <v>631</v>
      </c>
      <c r="E51" s="27" t="s">
        <v>951</v>
      </c>
      <c r="F51" s="26" t="s">
        <v>923</v>
      </c>
      <c r="G51" s="35" t="s">
        <v>83</v>
      </c>
      <c r="H51" s="37" t="s">
        <v>100</v>
      </c>
      <c r="I51" s="35" t="s">
        <v>100</v>
      </c>
      <c r="J51" s="36"/>
      <c r="K51" s="28" t="str">
        <f>"250,0"</f>
        <v>250,0</v>
      </c>
      <c r="L51" s="28" t="str">
        <f>"168,4750"</f>
        <v>168,4750</v>
      </c>
      <c r="M51" s="26" t="s">
        <v>945</v>
      </c>
    </row>
    <row r="52" spans="1:13">
      <c r="A52" s="39" t="s">
        <v>129</v>
      </c>
      <c r="B52" s="29" t="s">
        <v>632</v>
      </c>
      <c r="C52" s="29" t="s">
        <v>633</v>
      </c>
      <c r="D52" s="29" t="s">
        <v>634</v>
      </c>
      <c r="E52" s="30" t="s">
        <v>951</v>
      </c>
      <c r="F52" s="29" t="s">
        <v>904</v>
      </c>
      <c r="G52" s="38" t="s">
        <v>232</v>
      </c>
      <c r="H52" s="38" t="s">
        <v>114</v>
      </c>
      <c r="I52" s="40" t="s">
        <v>82</v>
      </c>
      <c r="J52" s="39"/>
      <c r="K52" s="31" t="str">
        <f>"220,0"</f>
        <v>220,0</v>
      </c>
      <c r="L52" s="31" t="str">
        <f>"148,3680"</f>
        <v>148,3680</v>
      </c>
      <c r="M52" s="29" t="s">
        <v>875</v>
      </c>
    </row>
    <row r="54" spans="1:13" ht="16">
      <c r="A54" s="45" t="s">
        <v>78</v>
      </c>
      <c r="B54" s="45"/>
      <c r="C54" s="46"/>
      <c r="D54" s="46"/>
      <c r="E54" s="46"/>
      <c r="F54" s="46"/>
      <c r="G54" s="46"/>
      <c r="H54" s="46"/>
      <c r="I54" s="46"/>
      <c r="J54" s="46"/>
    </row>
    <row r="55" spans="1:13">
      <c r="A55" s="34" t="s">
        <v>30</v>
      </c>
      <c r="B55" s="23" t="s">
        <v>635</v>
      </c>
      <c r="C55" s="23" t="s">
        <v>636</v>
      </c>
      <c r="D55" s="23" t="s">
        <v>246</v>
      </c>
      <c r="E55" s="24" t="s">
        <v>951</v>
      </c>
      <c r="F55" s="23" t="s">
        <v>942</v>
      </c>
      <c r="G55" s="33" t="s">
        <v>120</v>
      </c>
      <c r="H55" s="33" t="s">
        <v>637</v>
      </c>
      <c r="I55" s="32" t="s">
        <v>83</v>
      </c>
      <c r="J55" s="34"/>
      <c r="K55" s="25" t="str">
        <f>"237,5"</f>
        <v>237,5</v>
      </c>
      <c r="L55" s="25" t="str">
        <f>"152,4038"</f>
        <v>152,4038</v>
      </c>
      <c r="M55" s="23" t="s">
        <v>160</v>
      </c>
    </row>
    <row r="56" spans="1:13">
      <c r="A56" s="39" t="s">
        <v>30</v>
      </c>
      <c r="B56" s="29" t="s">
        <v>638</v>
      </c>
      <c r="C56" s="29" t="s">
        <v>778</v>
      </c>
      <c r="D56" s="29" t="s">
        <v>239</v>
      </c>
      <c r="E56" s="30" t="s">
        <v>953</v>
      </c>
      <c r="F56" s="29" t="s">
        <v>923</v>
      </c>
      <c r="G56" s="38" t="s">
        <v>84</v>
      </c>
      <c r="H56" s="38" t="s">
        <v>19</v>
      </c>
      <c r="I56" s="38" t="s">
        <v>232</v>
      </c>
      <c r="J56" s="39"/>
      <c r="K56" s="31" t="str">
        <f>"200,0"</f>
        <v>200,0</v>
      </c>
      <c r="L56" s="31" t="str">
        <f>"134,0705"</f>
        <v>134,0705</v>
      </c>
      <c r="M56" s="29" t="s">
        <v>314</v>
      </c>
    </row>
    <row r="58" spans="1:13" ht="16">
      <c r="A58" s="45" t="s">
        <v>105</v>
      </c>
      <c r="B58" s="45"/>
      <c r="C58" s="46"/>
      <c r="D58" s="46"/>
      <c r="E58" s="46"/>
      <c r="F58" s="46"/>
      <c r="G58" s="46"/>
      <c r="H58" s="46"/>
      <c r="I58" s="46"/>
      <c r="J58" s="46"/>
    </row>
    <row r="59" spans="1:13">
      <c r="A59" s="34" t="s">
        <v>30</v>
      </c>
      <c r="B59" s="23" t="s">
        <v>639</v>
      </c>
      <c r="C59" s="23" t="s">
        <v>640</v>
      </c>
      <c r="D59" s="23" t="s">
        <v>641</v>
      </c>
      <c r="E59" s="24" t="s">
        <v>951</v>
      </c>
      <c r="F59" s="23" t="s">
        <v>904</v>
      </c>
      <c r="G59" s="33" t="s">
        <v>642</v>
      </c>
      <c r="H59" s="33" t="s">
        <v>643</v>
      </c>
      <c r="I59" s="32" t="s">
        <v>644</v>
      </c>
      <c r="J59" s="34"/>
      <c r="K59" s="25" t="str">
        <f>"275,0"</f>
        <v>275,0</v>
      </c>
      <c r="L59" s="25" t="str">
        <f>"168,8225"</f>
        <v>168,8225</v>
      </c>
      <c r="M59" s="23" t="s">
        <v>876</v>
      </c>
    </row>
    <row r="60" spans="1:13">
      <c r="A60" s="36" t="s">
        <v>129</v>
      </c>
      <c r="B60" s="26" t="s">
        <v>645</v>
      </c>
      <c r="C60" s="26" t="s">
        <v>646</v>
      </c>
      <c r="D60" s="26" t="s">
        <v>647</v>
      </c>
      <c r="E60" s="27" t="s">
        <v>951</v>
      </c>
      <c r="F60" s="26" t="s">
        <v>904</v>
      </c>
      <c r="G60" s="37" t="s">
        <v>85</v>
      </c>
      <c r="H60" s="35" t="s">
        <v>85</v>
      </c>
      <c r="I60" s="37" t="s">
        <v>644</v>
      </c>
      <c r="J60" s="36"/>
      <c r="K60" s="28" t="str">
        <f>"270,0"</f>
        <v>270,0</v>
      </c>
      <c r="L60" s="28" t="str">
        <f>"168,5070"</f>
        <v>168,5070</v>
      </c>
      <c r="M60" s="26" t="s">
        <v>945</v>
      </c>
    </row>
    <row r="61" spans="1:13">
      <c r="A61" s="36" t="s">
        <v>130</v>
      </c>
      <c r="B61" s="26" t="s">
        <v>311</v>
      </c>
      <c r="C61" s="26" t="s">
        <v>312</v>
      </c>
      <c r="D61" s="26" t="s">
        <v>313</v>
      </c>
      <c r="E61" s="27" t="s">
        <v>951</v>
      </c>
      <c r="F61" s="26" t="s">
        <v>923</v>
      </c>
      <c r="G61" s="35" t="s">
        <v>82</v>
      </c>
      <c r="H61" s="35" t="s">
        <v>83</v>
      </c>
      <c r="I61" s="35" t="s">
        <v>100</v>
      </c>
      <c r="J61" s="36"/>
      <c r="K61" s="28" t="str">
        <f>"250,0"</f>
        <v>250,0</v>
      </c>
      <c r="L61" s="28" t="str">
        <f>"152,6500"</f>
        <v>152,6500</v>
      </c>
      <c r="M61" s="26" t="s">
        <v>314</v>
      </c>
    </row>
    <row r="62" spans="1:13">
      <c r="A62" s="36" t="s">
        <v>297</v>
      </c>
      <c r="B62" s="26" t="s">
        <v>507</v>
      </c>
      <c r="C62" s="26" t="s">
        <v>508</v>
      </c>
      <c r="D62" s="26" t="s">
        <v>509</v>
      </c>
      <c r="E62" s="27" t="s">
        <v>951</v>
      </c>
      <c r="F62" s="26" t="s">
        <v>923</v>
      </c>
      <c r="G62" s="35" t="s">
        <v>82</v>
      </c>
      <c r="H62" s="35" t="s">
        <v>83</v>
      </c>
      <c r="I62" s="35" t="s">
        <v>100</v>
      </c>
      <c r="J62" s="36"/>
      <c r="K62" s="28" t="str">
        <f>"250,0"</f>
        <v>250,0</v>
      </c>
      <c r="L62" s="28" t="str">
        <f>"152,4500"</f>
        <v>152,4500</v>
      </c>
      <c r="M62" s="26" t="s">
        <v>314</v>
      </c>
    </row>
    <row r="63" spans="1:13">
      <c r="A63" s="36" t="s">
        <v>298</v>
      </c>
      <c r="B63" s="26" t="s">
        <v>648</v>
      </c>
      <c r="C63" s="26" t="s">
        <v>649</v>
      </c>
      <c r="D63" s="26" t="s">
        <v>287</v>
      </c>
      <c r="E63" s="27" t="s">
        <v>951</v>
      </c>
      <c r="F63" s="26" t="s">
        <v>943</v>
      </c>
      <c r="G63" s="37" t="s">
        <v>82</v>
      </c>
      <c r="H63" s="35" t="s">
        <v>642</v>
      </c>
      <c r="I63" s="37" t="s">
        <v>292</v>
      </c>
      <c r="J63" s="36"/>
      <c r="K63" s="28" t="str">
        <f>"245,0"</f>
        <v>245,0</v>
      </c>
      <c r="L63" s="28" t="str">
        <f>"149,1560"</f>
        <v>149,1560</v>
      </c>
      <c r="M63" s="26" t="s">
        <v>876</v>
      </c>
    </row>
    <row r="64" spans="1:13">
      <c r="A64" s="39" t="s">
        <v>557</v>
      </c>
      <c r="B64" s="29" t="s">
        <v>650</v>
      </c>
      <c r="C64" s="29" t="s">
        <v>651</v>
      </c>
      <c r="D64" s="29" t="s">
        <v>652</v>
      </c>
      <c r="E64" s="30" t="s">
        <v>951</v>
      </c>
      <c r="F64" s="29" t="s">
        <v>948</v>
      </c>
      <c r="G64" s="38" t="s">
        <v>75</v>
      </c>
      <c r="H64" s="38" t="s">
        <v>232</v>
      </c>
      <c r="I64" s="40" t="s">
        <v>120</v>
      </c>
      <c r="J64" s="39"/>
      <c r="K64" s="31" t="str">
        <f>"200,0"</f>
        <v>200,0</v>
      </c>
      <c r="L64" s="31" t="str">
        <f>"125,0000"</f>
        <v>125,0000</v>
      </c>
      <c r="M64" s="29" t="s">
        <v>946</v>
      </c>
    </row>
    <row r="66" spans="1:13" ht="16">
      <c r="A66" s="45" t="s">
        <v>300</v>
      </c>
      <c r="B66" s="45"/>
      <c r="C66" s="46"/>
      <c r="D66" s="46"/>
      <c r="E66" s="46"/>
      <c r="F66" s="46"/>
      <c r="G66" s="46"/>
      <c r="H66" s="46"/>
      <c r="I66" s="46"/>
      <c r="J66" s="46"/>
    </row>
    <row r="67" spans="1:13">
      <c r="A67" s="22" t="s">
        <v>30</v>
      </c>
      <c r="B67" s="7" t="s">
        <v>301</v>
      </c>
      <c r="C67" s="7" t="s">
        <v>302</v>
      </c>
      <c r="D67" s="7" t="s">
        <v>364</v>
      </c>
      <c r="E67" s="8" t="s">
        <v>951</v>
      </c>
      <c r="F67" s="7" t="s">
        <v>948</v>
      </c>
      <c r="G67" s="20" t="s">
        <v>114</v>
      </c>
      <c r="H67" s="20" t="s">
        <v>94</v>
      </c>
      <c r="I67" s="21" t="s">
        <v>240</v>
      </c>
      <c r="J67" s="22"/>
      <c r="K67" s="9" t="str">
        <f>"247,5"</f>
        <v>247,5</v>
      </c>
      <c r="L67" s="9" t="str">
        <f>"143,8470"</f>
        <v>143,8470</v>
      </c>
      <c r="M67" s="7" t="s">
        <v>946</v>
      </c>
    </row>
    <row r="69" spans="1:13">
      <c r="K69" s="18"/>
      <c r="M69" s="6"/>
    </row>
    <row r="70" spans="1:13">
      <c r="K70" s="18"/>
      <c r="M70" s="6"/>
    </row>
    <row r="71" spans="1:13" ht="18">
      <c r="B71" s="11" t="s">
        <v>23</v>
      </c>
      <c r="C71" s="11"/>
      <c r="K71" s="18"/>
      <c r="M71" s="6"/>
    </row>
    <row r="72" spans="1:13" ht="16">
      <c r="B72" s="12" t="s">
        <v>121</v>
      </c>
      <c r="C72" s="12"/>
      <c r="K72" s="18"/>
      <c r="M72" s="6"/>
    </row>
    <row r="73" spans="1:13" ht="14">
      <c r="B73" s="13"/>
      <c r="C73" s="14" t="s">
        <v>122</v>
      </c>
      <c r="K73" s="18"/>
      <c r="M73" s="6"/>
    </row>
    <row r="74" spans="1:13" ht="14">
      <c r="B74" s="15" t="s">
        <v>26</v>
      </c>
      <c r="C74" s="15" t="s">
        <v>27</v>
      </c>
      <c r="D74" s="15" t="s">
        <v>853</v>
      </c>
      <c r="E74" s="16" t="s">
        <v>379</v>
      </c>
      <c r="F74" s="15" t="s">
        <v>29</v>
      </c>
      <c r="K74" s="18"/>
      <c r="M74" s="6"/>
    </row>
    <row r="75" spans="1:13">
      <c r="B75" s="5" t="s">
        <v>591</v>
      </c>
      <c r="C75" s="5" t="s">
        <v>122</v>
      </c>
      <c r="D75" s="18" t="s">
        <v>124</v>
      </c>
      <c r="E75" s="19">
        <v>150</v>
      </c>
      <c r="F75" s="17">
        <v>171.01500034332301</v>
      </c>
      <c r="K75" s="18"/>
      <c r="M75" s="6"/>
    </row>
    <row r="76" spans="1:13">
      <c r="B76" s="5" t="s">
        <v>148</v>
      </c>
      <c r="C76" s="5" t="s">
        <v>122</v>
      </c>
      <c r="D76" s="18" t="s">
        <v>296</v>
      </c>
      <c r="E76" s="19">
        <v>117.5</v>
      </c>
      <c r="F76" s="17">
        <v>146.92199379205701</v>
      </c>
      <c r="K76" s="18"/>
      <c r="M76" s="6"/>
    </row>
    <row r="77" spans="1:13">
      <c r="B77" s="5" t="s">
        <v>594</v>
      </c>
      <c r="C77" s="5" t="s">
        <v>122</v>
      </c>
      <c r="D77" s="18" t="s">
        <v>126</v>
      </c>
      <c r="E77" s="19">
        <v>140</v>
      </c>
      <c r="F77" s="17">
        <v>144.913997650146</v>
      </c>
      <c r="K77" s="18"/>
      <c r="M77" s="6"/>
    </row>
    <row r="78" spans="1:13">
      <c r="K78" s="18"/>
      <c r="M78" s="6"/>
    </row>
    <row r="79" spans="1:13" ht="16">
      <c r="B79" s="12" t="s">
        <v>24</v>
      </c>
      <c r="C79" s="12"/>
      <c r="K79" s="18"/>
      <c r="M79" s="6"/>
    </row>
    <row r="80" spans="1:13" ht="14">
      <c r="B80" s="13"/>
      <c r="C80" s="14" t="s">
        <v>122</v>
      </c>
      <c r="K80" s="18"/>
      <c r="M80" s="6"/>
    </row>
    <row r="81" spans="2:13" ht="14">
      <c r="B81" s="15" t="s">
        <v>26</v>
      </c>
      <c r="C81" s="15" t="s">
        <v>27</v>
      </c>
      <c r="D81" s="15" t="s">
        <v>853</v>
      </c>
      <c r="E81" s="16" t="s">
        <v>379</v>
      </c>
      <c r="F81" s="15" t="s">
        <v>29</v>
      </c>
      <c r="K81" s="18"/>
      <c r="M81" s="6"/>
    </row>
    <row r="82" spans="2:13">
      <c r="B82" s="5" t="s">
        <v>639</v>
      </c>
      <c r="C82" s="5" t="s">
        <v>122</v>
      </c>
      <c r="D82" s="18" t="s">
        <v>127</v>
      </c>
      <c r="E82" s="19">
        <v>275</v>
      </c>
      <c r="F82" s="17">
        <v>168.82250159978901</v>
      </c>
      <c r="K82" s="18"/>
      <c r="M82" s="6"/>
    </row>
    <row r="83" spans="2:13">
      <c r="B83" s="5" t="s">
        <v>645</v>
      </c>
      <c r="C83" s="5" t="s">
        <v>122</v>
      </c>
      <c r="D83" s="18" t="s">
        <v>127</v>
      </c>
      <c r="E83" s="19">
        <v>270</v>
      </c>
      <c r="F83" s="17">
        <v>168.50700795650499</v>
      </c>
      <c r="G83" s="5"/>
      <c r="K83" s="18"/>
      <c r="M83" s="6"/>
    </row>
    <row r="84" spans="2:13">
      <c r="B84" s="5" t="s">
        <v>629</v>
      </c>
      <c r="C84" s="5" t="s">
        <v>122</v>
      </c>
      <c r="D84" s="18" t="s">
        <v>123</v>
      </c>
      <c r="E84" s="19">
        <v>250</v>
      </c>
      <c r="F84" s="17">
        <v>168.47500205040001</v>
      </c>
    </row>
  </sheetData>
  <mergeCells count="27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54:J54"/>
    <mergeCell ref="A58:J58"/>
    <mergeCell ref="A66:J66"/>
    <mergeCell ref="B3:B4"/>
    <mergeCell ref="A30:J30"/>
    <mergeCell ref="A33:J33"/>
    <mergeCell ref="A36:J36"/>
    <mergeCell ref="A39:J39"/>
    <mergeCell ref="A43:J43"/>
    <mergeCell ref="A49:J49"/>
    <mergeCell ref="A10:J10"/>
    <mergeCell ref="A13:J13"/>
    <mergeCell ref="A18:J18"/>
    <mergeCell ref="A21:J21"/>
    <mergeCell ref="A24:J24"/>
    <mergeCell ref="A27:J2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AFE9A-A0ED-47F9-95AA-A0A6F63A5120}">
  <dimension ref="A1:M24"/>
  <sheetViews>
    <sheetView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0.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8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57" t="s">
        <v>895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11</v>
      </c>
      <c r="H3" s="69"/>
      <c r="I3" s="69"/>
      <c r="J3" s="69"/>
      <c r="K3" s="51" t="s">
        <v>381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43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2" t="s">
        <v>30</v>
      </c>
      <c r="B6" s="7" t="s">
        <v>44</v>
      </c>
      <c r="C6" s="7" t="s">
        <v>45</v>
      </c>
      <c r="D6" s="7" t="s">
        <v>46</v>
      </c>
      <c r="E6" s="8" t="s">
        <v>951</v>
      </c>
      <c r="F6" s="7" t="s">
        <v>921</v>
      </c>
      <c r="G6" s="20" t="s">
        <v>50</v>
      </c>
      <c r="H6" s="20" t="s">
        <v>51</v>
      </c>
      <c r="I6" s="20" t="s">
        <v>52</v>
      </c>
      <c r="J6" s="22"/>
      <c r="K6" s="9" t="str">
        <f>"152,5"</f>
        <v>152,5</v>
      </c>
      <c r="L6" s="9" t="str">
        <f>"170,9068"</f>
        <v>170,9068</v>
      </c>
      <c r="M6" s="7" t="s">
        <v>945</v>
      </c>
    </row>
    <row r="8" spans="1:13" ht="16">
      <c r="A8" s="45" t="s">
        <v>63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34" t="s">
        <v>30</v>
      </c>
      <c r="B9" s="23" t="s">
        <v>329</v>
      </c>
      <c r="C9" s="23" t="s">
        <v>561</v>
      </c>
      <c r="D9" s="23" t="s">
        <v>330</v>
      </c>
      <c r="E9" s="24" t="s">
        <v>951</v>
      </c>
      <c r="F9" s="23" t="s">
        <v>933</v>
      </c>
      <c r="G9" s="33" t="s">
        <v>76</v>
      </c>
      <c r="H9" s="33" t="s">
        <v>77</v>
      </c>
      <c r="I9" s="33" t="s">
        <v>139</v>
      </c>
      <c r="J9" s="34"/>
      <c r="K9" s="25" t="str">
        <f>"105,0"</f>
        <v>105,0</v>
      </c>
      <c r="L9" s="25" t="str">
        <f>"71,6835"</f>
        <v>71,6835</v>
      </c>
      <c r="M9" s="23" t="s">
        <v>869</v>
      </c>
    </row>
    <row r="10" spans="1:13">
      <c r="A10" s="39" t="s">
        <v>30</v>
      </c>
      <c r="B10" s="29" t="s">
        <v>562</v>
      </c>
      <c r="C10" s="29" t="s">
        <v>833</v>
      </c>
      <c r="D10" s="29" t="s">
        <v>474</v>
      </c>
      <c r="E10" s="30" t="s">
        <v>955</v>
      </c>
      <c r="F10" s="29" t="s">
        <v>904</v>
      </c>
      <c r="G10" s="38" t="s">
        <v>232</v>
      </c>
      <c r="H10" s="40" t="s">
        <v>113</v>
      </c>
      <c r="I10" s="39"/>
      <c r="J10" s="39"/>
      <c r="K10" s="31" t="str">
        <f>"200,0"</f>
        <v>200,0</v>
      </c>
      <c r="L10" s="31" t="str">
        <f>"182,6280"</f>
        <v>182,6280</v>
      </c>
      <c r="M10" s="29" t="s">
        <v>945</v>
      </c>
    </row>
    <row r="12" spans="1:13" ht="16">
      <c r="A12" s="45" t="s">
        <v>78</v>
      </c>
      <c r="B12" s="45"/>
      <c r="C12" s="46"/>
      <c r="D12" s="46"/>
      <c r="E12" s="46"/>
      <c r="F12" s="46"/>
      <c r="G12" s="46"/>
      <c r="H12" s="46"/>
      <c r="I12" s="46"/>
      <c r="J12" s="46"/>
    </row>
    <row r="13" spans="1:13">
      <c r="A13" s="34" t="s">
        <v>30</v>
      </c>
      <c r="B13" s="23" t="s">
        <v>563</v>
      </c>
      <c r="C13" s="23" t="s">
        <v>564</v>
      </c>
      <c r="D13" s="23" t="s">
        <v>565</v>
      </c>
      <c r="E13" s="24" t="s">
        <v>951</v>
      </c>
      <c r="F13" s="23" t="s">
        <v>904</v>
      </c>
      <c r="G13" s="33" t="s">
        <v>21</v>
      </c>
      <c r="H13" s="32" t="s">
        <v>109</v>
      </c>
      <c r="I13" s="32" t="s">
        <v>109</v>
      </c>
      <c r="J13" s="34"/>
      <c r="K13" s="25" t="str">
        <f>"280,0"</f>
        <v>280,0</v>
      </c>
      <c r="L13" s="25" t="str">
        <f>"182,8960"</f>
        <v>182,8960</v>
      </c>
      <c r="M13" s="23" t="s">
        <v>945</v>
      </c>
    </row>
    <row r="14" spans="1:13">
      <c r="A14" s="39" t="s">
        <v>30</v>
      </c>
      <c r="B14" s="29" t="s">
        <v>566</v>
      </c>
      <c r="C14" s="29" t="s">
        <v>834</v>
      </c>
      <c r="D14" s="29" t="s">
        <v>239</v>
      </c>
      <c r="E14" s="30" t="s">
        <v>953</v>
      </c>
      <c r="F14" s="29" t="s">
        <v>904</v>
      </c>
      <c r="G14" s="38" t="s">
        <v>82</v>
      </c>
      <c r="H14" s="40" t="s">
        <v>83</v>
      </c>
      <c r="I14" s="40" t="s">
        <v>83</v>
      </c>
      <c r="J14" s="39"/>
      <c r="K14" s="31" t="str">
        <f>"230,0"</f>
        <v>230,0</v>
      </c>
      <c r="L14" s="31" t="str">
        <f>"149,7506"</f>
        <v>149,7506</v>
      </c>
      <c r="M14" s="29" t="s">
        <v>945</v>
      </c>
    </row>
    <row r="16" spans="1:13" ht="16">
      <c r="A16" s="45" t="s">
        <v>105</v>
      </c>
      <c r="B16" s="45"/>
      <c r="C16" s="46"/>
      <c r="D16" s="46"/>
      <c r="E16" s="46"/>
      <c r="F16" s="46"/>
      <c r="G16" s="46"/>
      <c r="H16" s="46"/>
      <c r="I16" s="46"/>
      <c r="J16" s="46"/>
    </row>
    <row r="17" spans="1:13">
      <c r="A17" s="34" t="s">
        <v>30</v>
      </c>
      <c r="B17" s="23" t="s">
        <v>567</v>
      </c>
      <c r="C17" s="23" t="s">
        <v>835</v>
      </c>
      <c r="D17" s="23" t="s">
        <v>568</v>
      </c>
      <c r="E17" s="24" t="s">
        <v>959</v>
      </c>
      <c r="F17" s="23" t="s">
        <v>904</v>
      </c>
      <c r="G17" s="33" t="s">
        <v>113</v>
      </c>
      <c r="H17" s="32" t="s">
        <v>115</v>
      </c>
      <c r="I17" s="34"/>
      <c r="J17" s="34"/>
      <c r="K17" s="25" t="str">
        <f>"205,0"</f>
        <v>205,0</v>
      </c>
      <c r="L17" s="25" t="str">
        <f>"179,6981"</f>
        <v>179,6981</v>
      </c>
      <c r="M17" s="23" t="s">
        <v>877</v>
      </c>
    </row>
    <row r="18" spans="1:13">
      <c r="A18" s="39" t="s">
        <v>30</v>
      </c>
      <c r="B18" s="29" t="s">
        <v>569</v>
      </c>
      <c r="C18" s="29" t="s">
        <v>836</v>
      </c>
      <c r="D18" s="29" t="s">
        <v>570</v>
      </c>
      <c r="E18" s="30" t="s">
        <v>957</v>
      </c>
      <c r="F18" s="29" t="s">
        <v>944</v>
      </c>
      <c r="G18" s="38" t="s">
        <v>75</v>
      </c>
      <c r="H18" s="38" t="s">
        <v>17</v>
      </c>
      <c r="I18" s="40" t="s">
        <v>116</v>
      </c>
      <c r="J18" s="39"/>
      <c r="K18" s="31" t="str">
        <f>"160,0"</f>
        <v>160,0</v>
      </c>
      <c r="L18" s="31" t="str">
        <f>"154,8943"</f>
        <v>154,8943</v>
      </c>
      <c r="M18" s="29" t="s">
        <v>945</v>
      </c>
    </row>
    <row r="20" spans="1:13" ht="16">
      <c r="A20" s="45" t="s">
        <v>288</v>
      </c>
      <c r="B20" s="45"/>
      <c r="C20" s="46"/>
      <c r="D20" s="46"/>
      <c r="E20" s="46"/>
      <c r="F20" s="46"/>
      <c r="G20" s="46"/>
      <c r="H20" s="46"/>
      <c r="I20" s="46"/>
      <c r="J20" s="46"/>
    </row>
    <row r="21" spans="1:13">
      <c r="A21" s="22" t="s">
        <v>30</v>
      </c>
      <c r="B21" s="7" t="s">
        <v>571</v>
      </c>
      <c r="C21" s="7" t="s">
        <v>572</v>
      </c>
      <c r="D21" s="7" t="s">
        <v>573</v>
      </c>
      <c r="E21" s="8" t="s">
        <v>951</v>
      </c>
      <c r="F21" s="7" t="s">
        <v>904</v>
      </c>
      <c r="G21" s="20" t="s">
        <v>83</v>
      </c>
      <c r="H21" s="20" t="s">
        <v>100</v>
      </c>
      <c r="I21" s="22"/>
      <c r="J21" s="22"/>
      <c r="K21" s="9" t="str">
        <f>"250,0"</f>
        <v>250,0</v>
      </c>
      <c r="L21" s="9" t="str">
        <f>"148,8000"</f>
        <v>148,8000</v>
      </c>
      <c r="M21" s="7" t="s">
        <v>202</v>
      </c>
    </row>
    <row r="23" spans="1:13" ht="16">
      <c r="A23" s="45" t="s">
        <v>12</v>
      </c>
      <c r="B23" s="45"/>
      <c r="C23" s="46"/>
      <c r="D23" s="46"/>
      <c r="E23" s="46"/>
      <c r="F23" s="46"/>
      <c r="G23" s="46"/>
      <c r="H23" s="46"/>
      <c r="I23" s="46"/>
      <c r="J23" s="46"/>
    </row>
    <row r="24" spans="1:13">
      <c r="A24" s="22" t="s">
        <v>30</v>
      </c>
      <c r="B24" s="7" t="s">
        <v>574</v>
      </c>
      <c r="C24" s="7" t="s">
        <v>575</v>
      </c>
      <c r="D24" s="7" t="s">
        <v>576</v>
      </c>
      <c r="E24" s="8" t="s">
        <v>951</v>
      </c>
      <c r="F24" s="7" t="s">
        <v>948</v>
      </c>
      <c r="G24" s="20" t="s">
        <v>22</v>
      </c>
      <c r="H24" s="20" t="s">
        <v>577</v>
      </c>
      <c r="I24" s="20" t="s">
        <v>578</v>
      </c>
      <c r="J24" s="22"/>
      <c r="K24" s="9" t="str">
        <f>"320,0"</f>
        <v>320,0</v>
      </c>
      <c r="L24" s="9" t="str">
        <f>"176,4160"</f>
        <v>176,4160</v>
      </c>
      <c r="M24" s="7" t="s">
        <v>946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3:J23"/>
    <mergeCell ref="A5:J5"/>
    <mergeCell ref="A8:J8"/>
    <mergeCell ref="A12:J12"/>
    <mergeCell ref="A16:J16"/>
    <mergeCell ref="A20:J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19A6E-9CA3-4536-9820-AC66D5CE2F79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2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0.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8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57" t="s">
        <v>896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11</v>
      </c>
      <c r="H3" s="69"/>
      <c r="I3" s="69"/>
      <c r="J3" s="69"/>
      <c r="K3" s="51" t="s">
        <v>381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78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2" t="s">
        <v>30</v>
      </c>
      <c r="B6" s="7" t="s">
        <v>653</v>
      </c>
      <c r="C6" s="7" t="s">
        <v>654</v>
      </c>
      <c r="D6" s="7" t="s">
        <v>239</v>
      </c>
      <c r="E6" s="8" t="s">
        <v>951</v>
      </c>
      <c r="F6" s="7" t="s">
        <v>904</v>
      </c>
      <c r="G6" s="20" t="s">
        <v>83</v>
      </c>
      <c r="H6" s="22"/>
      <c r="I6" s="22"/>
      <c r="J6" s="22"/>
      <c r="K6" s="9" t="str">
        <f>"240,0"</f>
        <v>240,0</v>
      </c>
      <c r="L6" s="9" t="str">
        <f>"154,1040"</f>
        <v>154,1040</v>
      </c>
      <c r="M6" s="7" t="s">
        <v>945</v>
      </c>
    </row>
    <row r="8" spans="1:13" ht="16">
      <c r="A8" s="45" t="s">
        <v>105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22" t="s">
        <v>30</v>
      </c>
      <c r="B9" s="7" t="s">
        <v>650</v>
      </c>
      <c r="C9" s="7" t="s">
        <v>651</v>
      </c>
      <c r="D9" s="7" t="s">
        <v>655</v>
      </c>
      <c r="E9" s="8" t="s">
        <v>951</v>
      </c>
      <c r="F9" s="7" t="s">
        <v>948</v>
      </c>
      <c r="G9" s="20" t="s">
        <v>17</v>
      </c>
      <c r="H9" s="20" t="s">
        <v>232</v>
      </c>
      <c r="I9" s="21" t="s">
        <v>71</v>
      </c>
      <c r="J9" s="22"/>
      <c r="K9" s="9" t="str">
        <f>"200,0"</f>
        <v>200,0</v>
      </c>
      <c r="L9" s="9" t="str">
        <f>"125,0800"</f>
        <v>125,0800</v>
      </c>
      <c r="M9" s="7" t="s">
        <v>946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40E6F-2BFE-4572-9F6C-10F1A8AB48C5}">
  <dimension ref="A1:Q18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0.5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5" width="7.83203125" style="19" bestFit="1" customWidth="1"/>
    <col min="16" max="16" width="8.5" style="6" bestFit="1" customWidth="1"/>
    <col min="17" max="17" width="20" style="5" customWidth="1"/>
    <col min="18" max="16384" width="9.1640625" style="3"/>
  </cols>
  <sheetData>
    <row r="1" spans="1:17" s="2" customFormat="1" ht="29" customHeight="1">
      <c r="A1" s="57" t="s">
        <v>897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17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962</v>
      </c>
      <c r="H3" s="69"/>
      <c r="I3" s="69"/>
      <c r="J3" s="69"/>
      <c r="K3" s="69" t="s">
        <v>681</v>
      </c>
      <c r="L3" s="69"/>
      <c r="M3" s="69"/>
      <c r="N3" s="69"/>
      <c r="O3" s="49" t="s">
        <v>1</v>
      </c>
      <c r="P3" s="51" t="s">
        <v>3</v>
      </c>
      <c r="Q3" s="53" t="s">
        <v>2</v>
      </c>
    </row>
    <row r="4" spans="1:17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0"/>
      <c r="P4" s="52"/>
      <c r="Q4" s="54"/>
    </row>
    <row r="5" spans="1:17" ht="16">
      <c r="A5" s="55" t="s">
        <v>53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7">
      <c r="A6" s="22" t="s">
        <v>299</v>
      </c>
      <c r="B6" s="7" t="s">
        <v>731</v>
      </c>
      <c r="C6" s="7" t="s">
        <v>837</v>
      </c>
      <c r="D6" s="7" t="s">
        <v>732</v>
      </c>
      <c r="E6" s="8" t="s">
        <v>954</v>
      </c>
      <c r="F6" s="7" t="s">
        <v>923</v>
      </c>
      <c r="G6" s="21" t="s">
        <v>138</v>
      </c>
      <c r="H6" s="22"/>
      <c r="I6" s="22"/>
      <c r="J6" s="22"/>
      <c r="K6" s="21" t="s">
        <v>690</v>
      </c>
      <c r="L6" s="22"/>
      <c r="M6" s="22"/>
      <c r="N6" s="22"/>
      <c r="O6" s="43">
        <v>0</v>
      </c>
      <c r="P6" s="9" t="str">
        <f>"0,0000"</f>
        <v>0,0000</v>
      </c>
      <c r="Q6" s="7" t="s">
        <v>263</v>
      </c>
    </row>
    <row r="8" spans="1:17" ht="16">
      <c r="A8" s="45" t="s">
        <v>206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7">
      <c r="A9" s="22" t="s">
        <v>30</v>
      </c>
      <c r="B9" s="7" t="s">
        <v>710</v>
      </c>
      <c r="C9" s="7" t="s">
        <v>711</v>
      </c>
      <c r="D9" s="7" t="s">
        <v>712</v>
      </c>
      <c r="E9" s="8" t="s">
        <v>951</v>
      </c>
      <c r="F9" s="7" t="s">
        <v>919</v>
      </c>
      <c r="G9" s="20" t="s">
        <v>183</v>
      </c>
      <c r="H9" s="21" t="s">
        <v>48</v>
      </c>
      <c r="I9" s="21" t="s">
        <v>48</v>
      </c>
      <c r="J9" s="22"/>
      <c r="K9" s="20" t="s">
        <v>146</v>
      </c>
      <c r="L9" s="22"/>
      <c r="M9" s="22"/>
      <c r="N9" s="22"/>
      <c r="O9" s="43" t="str">
        <f>"120,0"</f>
        <v>120,0</v>
      </c>
      <c r="P9" s="9" t="str">
        <f>"83,1180"</f>
        <v>83,1180</v>
      </c>
      <c r="Q9" s="7" t="s">
        <v>713</v>
      </c>
    </row>
    <row r="11" spans="1:17" ht="16">
      <c r="A11" s="45" t="s">
        <v>63</v>
      </c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7">
      <c r="A12" s="22" t="s">
        <v>30</v>
      </c>
      <c r="B12" s="7" t="s">
        <v>717</v>
      </c>
      <c r="C12" s="7" t="s">
        <v>718</v>
      </c>
      <c r="D12" s="7" t="s">
        <v>66</v>
      </c>
      <c r="E12" s="8" t="s">
        <v>951</v>
      </c>
      <c r="F12" s="7" t="s">
        <v>904</v>
      </c>
      <c r="G12" s="20" t="s">
        <v>135</v>
      </c>
      <c r="H12" s="21" t="s">
        <v>145</v>
      </c>
      <c r="I12" s="21" t="s">
        <v>145</v>
      </c>
      <c r="J12" s="22"/>
      <c r="K12" s="20" t="s">
        <v>48</v>
      </c>
      <c r="L12" s="21" t="s">
        <v>184</v>
      </c>
      <c r="M12" s="21" t="s">
        <v>184</v>
      </c>
      <c r="N12" s="22"/>
      <c r="O12" s="43" t="str">
        <f>"147,5"</f>
        <v>147,5</v>
      </c>
      <c r="P12" s="9" t="str">
        <f>"95,0785"</f>
        <v>95,0785</v>
      </c>
      <c r="Q12" s="7" t="s">
        <v>945</v>
      </c>
    </row>
    <row r="14" spans="1:17" ht="16">
      <c r="A14" s="45" t="s">
        <v>288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</row>
    <row r="15" spans="1:17">
      <c r="A15" s="22" t="s">
        <v>30</v>
      </c>
      <c r="B15" s="7" t="s">
        <v>692</v>
      </c>
      <c r="C15" s="7" t="s">
        <v>693</v>
      </c>
      <c r="D15" s="7" t="s">
        <v>694</v>
      </c>
      <c r="E15" s="8" t="s">
        <v>951</v>
      </c>
      <c r="F15" s="7" t="s">
        <v>903</v>
      </c>
      <c r="G15" s="20" t="s">
        <v>77</v>
      </c>
      <c r="H15" s="20" t="s">
        <v>104</v>
      </c>
      <c r="I15" s="20" t="s">
        <v>139</v>
      </c>
      <c r="J15" s="22"/>
      <c r="K15" s="20" t="s">
        <v>145</v>
      </c>
      <c r="L15" s="20" t="s">
        <v>169</v>
      </c>
      <c r="M15" s="21" t="s">
        <v>136</v>
      </c>
      <c r="N15" s="22"/>
      <c r="O15" s="43" t="str">
        <f>"190,0"</f>
        <v>190,0</v>
      </c>
      <c r="P15" s="9" t="str">
        <f>"108,1860"</f>
        <v>108,1860</v>
      </c>
      <c r="Q15" s="7" t="s">
        <v>695</v>
      </c>
    </row>
    <row r="17" spans="1:17" ht="16">
      <c r="A17" s="45" t="s">
        <v>300</v>
      </c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7">
      <c r="A18" s="22" t="s">
        <v>299</v>
      </c>
      <c r="B18" s="7" t="s">
        <v>733</v>
      </c>
      <c r="C18" s="7" t="s">
        <v>838</v>
      </c>
      <c r="D18" s="7" t="s">
        <v>734</v>
      </c>
      <c r="E18" s="8" t="s">
        <v>953</v>
      </c>
      <c r="F18" s="7" t="s">
        <v>923</v>
      </c>
      <c r="G18" s="21" t="s">
        <v>169</v>
      </c>
      <c r="H18" s="22"/>
      <c r="I18" s="22"/>
      <c r="J18" s="22"/>
      <c r="K18" s="21" t="s">
        <v>146</v>
      </c>
      <c r="L18" s="22"/>
      <c r="M18" s="22"/>
      <c r="N18" s="22"/>
      <c r="O18" s="43">
        <v>0</v>
      </c>
      <c r="P18" s="9" t="str">
        <f>"0,0000"</f>
        <v>0,0000</v>
      </c>
      <c r="Q18" s="7" t="s">
        <v>945</v>
      </c>
    </row>
  </sheetData>
  <mergeCells count="17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A14:N14"/>
    <mergeCell ref="A17:N17"/>
    <mergeCell ref="B3:B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F7E22-8C6F-4287-8DDE-9A69E391DC9A}">
  <dimension ref="A1:M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1640625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18.164062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7.6640625" style="6" bestFit="1" customWidth="1"/>
    <col min="13" max="13" width="17.83203125" style="5" customWidth="1"/>
    <col min="14" max="16384" width="9.1640625" style="3"/>
  </cols>
  <sheetData>
    <row r="1" spans="1:13" s="2" customFormat="1" ht="29" customHeight="1">
      <c r="A1" s="57" t="s">
        <v>899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962</v>
      </c>
      <c r="H3" s="69"/>
      <c r="I3" s="69"/>
      <c r="J3" s="69"/>
      <c r="K3" s="51" t="s">
        <v>381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288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2" t="s">
        <v>30</v>
      </c>
      <c r="B6" s="7" t="s">
        <v>692</v>
      </c>
      <c r="C6" s="7" t="s">
        <v>693</v>
      </c>
      <c r="D6" s="7" t="s">
        <v>694</v>
      </c>
      <c r="E6" s="8" t="s">
        <v>951</v>
      </c>
      <c r="F6" s="7" t="s">
        <v>903</v>
      </c>
      <c r="G6" s="20" t="s">
        <v>77</v>
      </c>
      <c r="H6" s="20" t="s">
        <v>104</v>
      </c>
      <c r="I6" s="20" t="s">
        <v>139</v>
      </c>
      <c r="J6" s="22"/>
      <c r="K6" s="9" t="str">
        <f>"105,0"</f>
        <v>105,0</v>
      </c>
      <c r="L6" s="9" t="str">
        <f>"59,7870"</f>
        <v>59,7870</v>
      </c>
      <c r="M6" s="7" t="s">
        <v>695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83A03-D3F8-48DE-A020-BDD5283B8D33}">
  <dimension ref="A1:U39"/>
  <sheetViews>
    <sheetView workbookViewId="0">
      <selection activeCell="E30" sqref="E30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0.5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7" width="5.5" style="18" customWidth="1"/>
    <col min="18" max="18" width="4.83203125" style="18" customWidth="1"/>
    <col min="19" max="19" width="7.83203125" style="6" bestFit="1" customWidth="1"/>
    <col min="20" max="20" width="8.5" style="6" bestFit="1" customWidth="1"/>
    <col min="21" max="21" width="26.83203125" style="5" bestFit="1" customWidth="1"/>
    <col min="22" max="16384" width="9.1640625" style="3"/>
  </cols>
  <sheetData>
    <row r="1" spans="1:21" s="2" customFormat="1" ht="29" customHeight="1">
      <c r="A1" s="57" t="s">
        <v>881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9</v>
      </c>
      <c r="H3" s="69"/>
      <c r="I3" s="69"/>
      <c r="J3" s="69"/>
      <c r="K3" s="69" t="s">
        <v>10</v>
      </c>
      <c r="L3" s="69"/>
      <c r="M3" s="69"/>
      <c r="N3" s="69"/>
      <c r="O3" s="69" t="s">
        <v>11</v>
      </c>
      <c r="P3" s="69"/>
      <c r="Q3" s="69"/>
      <c r="R3" s="69"/>
      <c r="S3" s="51" t="s">
        <v>1</v>
      </c>
      <c r="T3" s="51" t="s">
        <v>3</v>
      </c>
      <c r="U3" s="53" t="s">
        <v>2</v>
      </c>
    </row>
    <row r="4" spans="1:21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2"/>
      <c r="T4" s="52"/>
      <c r="U4" s="54"/>
    </row>
    <row r="5" spans="1:21" ht="16">
      <c r="A5" s="55" t="s">
        <v>31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22" t="s">
        <v>30</v>
      </c>
      <c r="B6" s="7" t="s">
        <v>32</v>
      </c>
      <c r="C6" s="7" t="s">
        <v>33</v>
      </c>
      <c r="D6" s="7" t="s">
        <v>34</v>
      </c>
      <c r="E6" s="8" t="s">
        <v>951</v>
      </c>
      <c r="F6" s="7" t="s">
        <v>920</v>
      </c>
      <c r="G6" s="20" t="s">
        <v>35</v>
      </c>
      <c r="H6" s="20" t="s">
        <v>36</v>
      </c>
      <c r="I6" s="21" t="s">
        <v>37</v>
      </c>
      <c r="J6" s="22"/>
      <c r="K6" s="20" t="s">
        <v>38</v>
      </c>
      <c r="L6" s="21" t="s">
        <v>39</v>
      </c>
      <c r="M6" s="20" t="s">
        <v>39</v>
      </c>
      <c r="N6" s="22"/>
      <c r="O6" s="20" t="s">
        <v>40</v>
      </c>
      <c r="P6" s="21" t="s">
        <v>41</v>
      </c>
      <c r="Q6" s="21" t="s">
        <v>41</v>
      </c>
      <c r="R6" s="22"/>
      <c r="S6" s="9" t="str">
        <f>"262,5"</f>
        <v>262,5</v>
      </c>
      <c r="T6" s="9" t="str">
        <f>"311,4825"</f>
        <v>311,4825</v>
      </c>
      <c r="U6" s="7" t="s">
        <v>42</v>
      </c>
    </row>
    <row r="8" spans="1:21" ht="16">
      <c r="A8" s="45" t="s">
        <v>43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21">
      <c r="A9" s="22" t="s">
        <v>30</v>
      </c>
      <c r="B9" s="7" t="s">
        <v>44</v>
      </c>
      <c r="C9" s="7" t="s">
        <v>45</v>
      </c>
      <c r="D9" s="7" t="s">
        <v>46</v>
      </c>
      <c r="E9" s="8" t="s">
        <v>951</v>
      </c>
      <c r="F9" s="7" t="s">
        <v>921</v>
      </c>
      <c r="G9" s="20" t="s">
        <v>40</v>
      </c>
      <c r="H9" s="20" t="s">
        <v>41</v>
      </c>
      <c r="I9" s="20" t="s">
        <v>47</v>
      </c>
      <c r="J9" s="22"/>
      <c r="K9" s="20" t="s">
        <v>48</v>
      </c>
      <c r="L9" s="21" t="s">
        <v>49</v>
      </c>
      <c r="M9" s="20" t="s">
        <v>49</v>
      </c>
      <c r="N9" s="22"/>
      <c r="O9" s="20" t="s">
        <v>50</v>
      </c>
      <c r="P9" s="20" t="s">
        <v>51</v>
      </c>
      <c r="Q9" s="20" t="s">
        <v>52</v>
      </c>
      <c r="R9" s="22"/>
      <c r="S9" s="9" t="str">
        <f>"355,0"</f>
        <v>355,0</v>
      </c>
      <c r="T9" s="9" t="str">
        <f>"397,8485"</f>
        <v>397,8485</v>
      </c>
      <c r="U9" s="7" t="s">
        <v>945</v>
      </c>
    </row>
    <row r="11" spans="1:21" ht="16">
      <c r="A11" s="45" t="s">
        <v>53</v>
      </c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21">
      <c r="A12" s="22" t="s">
        <v>30</v>
      </c>
      <c r="B12" s="7" t="s">
        <v>54</v>
      </c>
      <c r="C12" s="7" t="s">
        <v>770</v>
      </c>
      <c r="D12" s="7" t="s">
        <v>55</v>
      </c>
      <c r="E12" s="8" t="s">
        <v>953</v>
      </c>
      <c r="F12" s="7" t="s">
        <v>904</v>
      </c>
      <c r="G12" s="20" t="s">
        <v>56</v>
      </c>
      <c r="H12" s="20" t="s">
        <v>57</v>
      </c>
      <c r="I12" s="20" t="s">
        <v>58</v>
      </c>
      <c r="J12" s="22"/>
      <c r="K12" s="20" t="s">
        <v>59</v>
      </c>
      <c r="L12" s="20" t="s">
        <v>40</v>
      </c>
      <c r="M12" s="20" t="s">
        <v>41</v>
      </c>
      <c r="N12" s="22"/>
      <c r="O12" s="20" t="s">
        <v>60</v>
      </c>
      <c r="P12" s="20" t="s">
        <v>61</v>
      </c>
      <c r="Q12" s="21" t="s">
        <v>62</v>
      </c>
      <c r="R12" s="22"/>
      <c r="S12" s="9" t="str">
        <f>"490,0"</f>
        <v>490,0</v>
      </c>
      <c r="T12" s="9" t="str">
        <f>"508,1884"</f>
        <v>508,1884</v>
      </c>
      <c r="U12" s="7" t="s">
        <v>368</v>
      </c>
    </row>
    <row r="14" spans="1:21" ht="16">
      <c r="A14" s="45" t="s">
        <v>63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21">
      <c r="A15" s="22" t="s">
        <v>30</v>
      </c>
      <c r="B15" s="7" t="s">
        <v>64</v>
      </c>
      <c r="C15" s="7" t="s">
        <v>65</v>
      </c>
      <c r="D15" s="7" t="s">
        <v>66</v>
      </c>
      <c r="E15" s="8" t="s">
        <v>951</v>
      </c>
      <c r="F15" s="7" t="s">
        <v>904</v>
      </c>
      <c r="G15" s="20" t="s">
        <v>67</v>
      </c>
      <c r="H15" s="20" t="s">
        <v>68</v>
      </c>
      <c r="I15" s="20" t="s">
        <v>60</v>
      </c>
      <c r="J15" s="22"/>
      <c r="K15" s="20" t="s">
        <v>59</v>
      </c>
      <c r="L15" s="20" t="s">
        <v>40</v>
      </c>
      <c r="M15" s="21" t="s">
        <v>41</v>
      </c>
      <c r="N15" s="22"/>
      <c r="O15" s="21" t="s">
        <v>69</v>
      </c>
      <c r="P15" s="20" t="s">
        <v>70</v>
      </c>
      <c r="Q15" s="21" t="s">
        <v>71</v>
      </c>
      <c r="R15" s="22"/>
      <c r="S15" s="9" t="str">
        <f>"512,5"</f>
        <v>512,5</v>
      </c>
      <c r="T15" s="9" t="str">
        <f>"461,2500"</f>
        <v>461,2500</v>
      </c>
      <c r="U15" s="7" t="s">
        <v>368</v>
      </c>
    </row>
    <row r="17" spans="1:21" ht="16">
      <c r="A17" s="45" t="s">
        <v>63</v>
      </c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21">
      <c r="A18" s="22" t="s">
        <v>30</v>
      </c>
      <c r="B18" s="7" t="s">
        <v>72</v>
      </c>
      <c r="C18" s="7" t="s">
        <v>771</v>
      </c>
      <c r="D18" s="7" t="s">
        <v>73</v>
      </c>
      <c r="E18" s="8" t="s">
        <v>959</v>
      </c>
      <c r="F18" s="7" t="s">
        <v>904</v>
      </c>
      <c r="G18" s="20" t="s">
        <v>74</v>
      </c>
      <c r="H18" s="21" t="s">
        <v>75</v>
      </c>
      <c r="I18" s="21" t="s">
        <v>75</v>
      </c>
      <c r="J18" s="22"/>
      <c r="K18" s="20" t="s">
        <v>76</v>
      </c>
      <c r="L18" s="21" t="s">
        <v>77</v>
      </c>
      <c r="M18" s="21" t="s">
        <v>77</v>
      </c>
      <c r="N18" s="22"/>
      <c r="O18" s="20" t="s">
        <v>75</v>
      </c>
      <c r="P18" s="20" t="s">
        <v>17</v>
      </c>
      <c r="Q18" s="20" t="s">
        <v>67</v>
      </c>
      <c r="R18" s="22"/>
      <c r="S18" s="9" t="str">
        <f>"405,0"</f>
        <v>405,0</v>
      </c>
      <c r="T18" s="9" t="str">
        <f>"409,0593"</f>
        <v>409,0593</v>
      </c>
      <c r="U18" s="7" t="s">
        <v>945</v>
      </c>
    </row>
    <row r="20" spans="1:21" ht="16">
      <c r="A20" s="45" t="s">
        <v>78</v>
      </c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1:21">
      <c r="A21" s="34" t="s">
        <v>30</v>
      </c>
      <c r="B21" s="23" t="s">
        <v>79</v>
      </c>
      <c r="C21" s="23" t="s">
        <v>80</v>
      </c>
      <c r="D21" s="23" t="s">
        <v>81</v>
      </c>
      <c r="E21" s="24" t="s">
        <v>951</v>
      </c>
      <c r="F21" s="23" t="s">
        <v>922</v>
      </c>
      <c r="G21" s="32" t="s">
        <v>82</v>
      </c>
      <c r="H21" s="33" t="s">
        <v>82</v>
      </c>
      <c r="I21" s="32" t="s">
        <v>83</v>
      </c>
      <c r="J21" s="34"/>
      <c r="K21" s="33" t="s">
        <v>17</v>
      </c>
      <c r="L21" s="33" t="s">
        <v>67</v>
      </c>
      <c r="M21" s="32" t="s">
        <v>84</v>
      </c>
      <c r="N21" s="34"/>
      <c r="O21" s="33" t="s">
        <v>85</v>
      </c>
      <c r="P21" s="32" t="s">
        <v>21</v>
      </c>
      <c r="Q21" s="32" t="s">
        <v>21</v>
      </c>
      <c r="R21" s="34"/>
      <c r="S21" s="25" t="str">
        <f>"670,0"</f>
        <v>670,0</v>
      </c>
      <c r="T21" s="25" t="str">
        <f>"427,7280"</f>
        <v>427,7280</v>
      </c>
      <c r="U21" s="23" t="s">
        <v>86</v>
      </c>
    </row>
    <row r="22" spans="1:21">
      <c r="A22" s="36" t="s">
        <v>129</v>
      </c>
      <c r="B22" s="26" t="s">
        <v>87</v>
      </c>
      <c r="C22" s="26" t="s">
        <v>88</v>
      </c>
      <c r="D22" s="26" t="s">
        <v>89</v>
      </c>
      <c r="E22" s="27" t="s">
        <v>951</v>
      </c>
      <c r="F22" s="26" t="s">
        <v>904</v>
      </c>
      <c r="G22" s="35" t="s">
        <v>62</v>
      </c>
      <c r="H22" s="35" t="s">
        <v>70</v>
      </c>
      <c r="I22" s="35" t="s">
        <v>90</v>
      </c>
      <c r="J22" s="36"/>
      <c r="K22" s="35" t="s">
        <v>91</v>
      </c>
      <c r="L22" s="35" t="s">
        <v>92</v>
      </c>
      <c r="M22" s="35" t="s">
        <v>57</v>
      </c>
      <c r="N22" s="36"/>
      <c r="O22" s="35" t="s">
        <v>93</v>
      </c>
      <c r="P22" s="35" t="s">
        <v>94</v>
      </c>
      <c r="Q22" s="37" t="s">
        <v>95</v>
      </c>
      <c r="R22" s="36"/>
      <c r="S22" s="28" t="str">
        <f>"632,5"</f>
        <v>632,5</v>
      </c>
      <c r="T22" s="28" t="str">
        <f>"407,7727"</f>
        <v>407,7727</v>
      </c>
      <c r="U22" s="26" t="s">
        <v>368</v>
      </c>
    </row>
    <row r="23" spans="1:21">
      <c r="A23" s="36" t="s">
        <v>130</v>
      </c>
      <c r="B23" s="26" t="s">
        <v>96</v>
      </c>
      <c r="C23" s="26" t="s">
        <v>97</v>
      </c>
      <c r="D23" s="26" t="s">
        <v>98</v>
      </c>
      <c r="E23" s="27" t="s">
        <v>951</v>
      </c>
      <c r="F23" s="26" t="s">
        <v>904</v>
      </c>
      <c r="G23" s="35" t="s">
        <v>61</v>
      </c>
      <c r="H23" s="37" t="s">
        <v>62</v>
      </c>
      <c r="I23" s="35" t="s">
        <v>62</v>
      </c>
      <c r="J23" s="36"/>
      <c r="K23" s="35" t="s">
        <v>74</v>
      </c>
      <c r="L23" s="37" t="s">
        <v>99</v>
      </c>
      <c r="M23" s="37" t="s">
        <v>99</v>
      </c>
      <c r="N23" s="36"/>
      <c r="O23" s="35" t="s">
        <v>100</v>
      </c>
      <c r="P23" s="35" t="s">
        <v>95</v>
      </c>
      <c r="Q23" s="37" t="s">
        <v>101</v>
      </c>
      <c r="R23" s="36"/>
      <c r="S23" s="28" t="str">
        <f>"600,0"</f>
        <v>600,0</v>
      </c>
      <c r="T23" s="28" t="str">
        <f>"385,4400"</f>
        <v>385,4400</v>
      </c>
      <c r="U23" s="26" t="s">
        <v>945</v>
      </c>
    </row>
    <row r="24" spans="1:21">
      <c r="A24" s="39" t="s">
        <v>30</v>
      </c>
      <c r="B24" s="29" t="s">
        <v>102</v>
      </c>
      <c r="C24" s="29" t="s">
        <v>772</v>
      </c>
      <c r="D24" s="29" t="s">
        <v>89</v>
      </c>
      <c r="E24" s="30" t="s">
        <v>959</v>
      </c>
      <c r="F24" s="29" t="s">
        <v>904</v>
      </c>
      <c r="G24" s="38" t="s">
        <v>103</v>
      </c>
      <c r="H24" s="38" t="s">
        <v>99</v>
      </c>
      <c r="I24" s="38" t="s">
        <v>75</v>
      </c>
      <c r="J24" s="39"/>
      <c r="K24" s="38" t="s">
        <v>36</v>
      </c>
      <c r="L24" s="38" t="s">
        <v>37</v>
      </c>
      <c r="M24" s="38" t="s">
        <v>104</v>
      </c>
      <c r="N24" s="39"/>
      <c r="O24" s="38" t="s">
        <v>50</v>
      </c>
      <c r="P24" s="38" t="s">
        <v>99</v>
      </c>
      <c r="Q24" s="40" t="s">
        <v>51</v>
      </c>
      <c r="R24" s="39"/>
      <c r="S24" s="31" t="str">
        <f>"397,5"</f>
        <v>397,5</v>
      </c>
      <c r="T24" s="31" t="str">
        <f>"376,7143"</f>
        <v>376,7143</v>
      </c>
      <c r="U24" s="29" t="s">
        <v>202</v>
      </c>
    </row>
    <row r="26" spans="1:21" ht="16">
      <c r="A26" s="45" t="s">
        <v>105</v>
      </c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21">
      <c r="A27" s="34" t="s">
        <v>30</v>
      </c>
      <c r="B27" s="23" t="s">
        <v>106</v>
      </c>
      <c r="C27" s="23" t="s">
        <v>107</v>
      </c>
      <c r="D27" s="23" t="s">
        <v>108</v>
      </c>
      <c r="E27" s="24" t="s">
        <v>951</v>
      </c>
      <c r="F27" s="23" t="s">
        <v>922</v>
      </c>
      <c r="G27" s="33" t="s">
        <v>20</v>
      </c>
      <c r="H27" s="33" t="s">
        <v>21</v>
      </c>
      <c r="I27" s="32" t="s">
        <v>109</v>
      </c>
      <c r="J27" s="34"/>
      <c r="K27" s="33" t="s">
        <v>18</v>
      </c>
      <c r="L27" s="32" t="s">
        <v>19</v>
      </c>
      <c r="M27" s="32" t="s">
        <v>19</v>
      </c>
      <c r="N27" s="34"/>
      <c r="O27" s="33" t="s">
        <v>109</v>
      </c>
      <c r="P27" s="32" t="s">
        <v>22</v>
      </c>
      <c r="Q27" s="34"/>
      <c r="R27" s="34"/>
      <c r="S27" s="25" t="str">
        <f>"750,0"</f>
        <v>750,0</v>
      </c>
      <c r="T27" s="25" t="str">
        <f>"462,9000"</f>
        <v>462,9000</v>
      </c>
      <c r="U27" s="23" t="s">
        <v>945</v>
      </c>
    </row>
    <row r="28" spans="1:21">
      <c r="A28" s="36" t="s">
        <v>129</v>
      </c>
      <c r="B28" s="26" t="s">
        <v>110</v>
      </c>
      <c r="C28" s="26" t="s">
        <v>111</v>
      </c>
      <c r="D28" s="26" t="s">
        <v>112</v>
      </c>
      <c r="E28" s="27" t="s">
        <v>951</v>
      </c>
      <c r="F28" s="26" t="s">
        <v>904</v>
      </c>
      <c r="G28" s="35" t="s">
        <v>113</v>
      </c>
      <c r="H28" s="35" t="s">
        <v>114</v>
      </c>
      <c r="I28" s="35" t="s">
        <v>115</v>
      </c>
      <c r="J28" s="36"/>
      <c r="K28" s="35" t="s">
        <v>116</v>
      </c>
      <c r="L28" s="35" t="s">
        <v>84</v>
      </c>
      <c r="M28" s="37" t="s">
        <v>68</v>
      </c>
      <c r="N28" s="36"/>
      <c r="O28" s="35" t="s">
        <v>114</v>
      </c>
      <c r="P28" s="35" t="s">
        <v>93</v>
      </c>
      <c r="Q28" s="37" t="s">
        <v>83</v>
      </c>
      <c r="R28" s="36"/>
      <c r="S28" s="28" t="str">
        <f>"635,0"</f>
        <v>635,0</v>
      </c>
      <c r="T28" s="28" t="str">
        <f>"392,6205"</f>
        <v>392,6205</v>
      </c>
      <c r="U28" s="26" t="s">
        <v>945</v>
      </c>
    </row>
    <row r="29" spans="1:21">
      <c r="A29" s="39" t="s">
        <v>130</v>
      </c>
      <c r="B29" s="29" t="s">
        <v>117</v>
      </c>
      <c r="C29" s="29" t="s">
        <v>118</v>
      </c>
      <c r="D29" s="29" t="s">
        <v>119</v>
      </c>
      <c r="E29" s="30" t="s">
        <v>951</v>
      </c>
      <c r="F29" s="29" t="s">
        <v>904</v>
      </c>
      <c r="G29" s="38" t="s">
        <v>71</v>
      </c>
      <c r="H29" s="38" t="s">
        <v>115</v>
      </c>
      <c r="I29" s="40" t="s">
        <v>120</v>
      </c>
      <c r="J29" s="39"/>
      <c r="K29" s="40" t="s">
        <v>91</v>
      </c>
      <c r="L29" s="40" t="s">
        <v>91</v>
      </c>
      <c r="M29" s="38" t="s">
        <v>91</v>
      </c>
      <c r="N29" s="39"/>
      <c r="O29" s="38" t="s">
        <v>82</v>
      </c>
      <c r="P29" s="38" t="s">
        <v>83</v>
      </c>
      <c r="Q29" s="40" t="s">
        <v>100</v>
      </c>
      <c r="R29" s="39"/>
      <c r="S29" s="31" t="str">
        <f>"620,0"</f>
        <v>620,0</v>
      </c>
      <c r="T29" s="31" t="str">
        <f>"381,6100"</f>
        <v>381,6100</v>
      </c>
      <c r="U29" s="29" t="s">
        <v>160</v>
      </c>
    </row>
    <row r="33" spans="2:6" ht="18">
      <c r="B33" s="11" t="s">
        <v>23</v>
      </c>
      <c r="C33" s="11"/>
    </row>
    <row r="34" spans="2:6" ht="16">
      <c r="B34" s="12" t="s">
        <v>24</v>
      </c>
      <c r="C34" s="12"/>
    </row>
    <row r="35" spans="2:6" ht="14">
      <c r="B35" s="13"/>
      <c r="C35" s="14" t="s">
        <v>122</v>
      </c>
    </row>
    <row r="36" spans="2:6" ht="14">
      <c r="B36" s="15" t="s">
        <v>26</v>
      </c>
      <c r="C36" s="15" t="s">
        <v>27</v>
      </c>
      <c r="D36" s="15" t="s">
        <v>853</v>
      </c>
      <c r="E36" s="16" t="s">
        <v>28</v>
      </c>
      <c r="F36" s="15" t="s">
        <v>29</v>
      </c>
    </row>
    <row r="37" spans="2:6">
      <c r="B37" s="5" t="s">
        <v>106</v>
      </c>
      <c r="C37" s="5" t="s">
        <v>122</v>
      </c>
      <c r="D37" s="18" t="s">
        <v>127</v>
      </c>
      <c r="E37" s="19">
        <v>750</v>
      </c>
      <c r="F37" s="17">
        <v>462.90001273155201</v>
      </c>
    </row>
    <row r="38" spans="2:6">
      <c r="B38" s="5" t="s">
        <v>79</v>
      </c>
      <c r="C38" s="5" t="s">
        <v>122</v>
      </c>
      <c r="D38" s="18" t="s">
        <v>128</v>
      </c>
      <c r="E38" s="19">
        <v>670</v>
      </c>
      <c r="F38" s="17">
        <v>427.72801220417</v>
      </c>
    </row>
    <row r="39" spans="2:6">
      <c r="B39" s="5" t="s">
        <v>87</v>
      </c>
      <c r="C39" s="5" t="s">
        <v>122</v>
      </c>
      <c r="D39" s="18" t="s">
        <v>128</v>
      </c>
      <c r="E39" s="19">
        <v>632.5</v>
      </c>
      <c r="F39" s="17">
        <v>407.77274414896999</v>
      </c>
    </row>
  </sheetData>
  <mergeCells count="20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6:R26"/>
    <mergeCell ref="S3:S4"/>
    <mergeCell ref="T3:T4"/>
    <mergeCell ref="U3:U4"/>
    <mergeCell ref="A5:R5"/>
    <mergeCell ref="B3:B4"/>
    <mergeCell ref="A8:R8"/>
    <mergeCell ref="A11:R11"/>
    <mergeCell ref="A14:R14"/>
    <mergeCell ref="A17:R17"/>
    <mergeCell ref="A20:R2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EBDBE-0767-4796-811B-775D61D2E6C1}">
  <dimension ref="A1:M49"/>
  <sheetViews>
    <sheetView topLeftCell="A5" workbookViewId="0">
      <selection activeCell="E40" sqref="E40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0.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7.6640625" style="6" bestFit="1" customWidth="1"/>
    <col min="13" max="13" width="26.5" style="5" bestFit="1" customWidth="1"/>
    <col min="14" max="16384" width="9.1640625" style="3"/>
  </cols>
  <sheetData>
    <row r="1" spans="1:13" s="2" customFormat="1" ht="29" customHeight="1">
      <c r="A1" s="57" t="s">
        <v>898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962</v>
      </c>
      <c r="H3" s="69"/>
      <c r="I3" s="69"/>
      <c r="J3" s="69"/>
      <c r="K3" s="51" t="s">
        <v>381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131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2" t="s">
        <v>30</v>
      </c>
      <c r="B6" s="7" t="s">
        <v>142</v>
      </c>
      <c r="C6" s="7" t="s">
        <v>143</v>
      </c>
      <c r="D6" s="7" t="s">
        <v>144</v>
      </c>
      <c r="E6" s="8" t="s">
        <v>951</v>
      </c>
      <c r="F6" s="7" t="s">
        <v>903</v>
      </c>
      <c r="G6" s="21" t="s">
        <v>683</v>
      </c>
      <c r="H6" s="20" t="s">
        <v>683</v>
      </c>
      <c r="I6" s="21" t="s">
        <v>684</v>
      </c>
      <c r="J6" s="22"/>
      <c r="K6" s="9" t="str">
        <f>"25,0"</f>
        <v>25,0</v>
      </c>
      <c r="L6" s="9" t="str">
        <f>"29,9500"</f>
        <v>29,9500</v>
      </c>
      <c r="M6" s="7" t="s">
        <v>845</v>
      </c>
    </row>
    <row r="8" spans="1:13" ht="16">
      <c r="A8" s="45" t="s">
        <v>53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22" t="s">
        <v>30</v>
      </c>
      <c r="B9" s="7" t="s">
        <v>697</v>
      </c>
      <c r="C9" s="7" t="s">
        <v>698</v>
      </c>
      <c r="D9" s="7" t="s">
        <v>699</v>
      </c>
      <c r="E9" s="8" t="s">
        <v>951</v>
      </c>
      <c r="F9" s="7" t="s">
        <v>904</v>
      </c>
      <c r="G9" s="20" t="s">
        <v>688</v>
      </c>
      <c r="H9" s="20" t="s">
        <v>689</v>
      </c>
      <c r="I9" s="21" t="s">
        <v>690</v>
      </c>
      <c r="J9" s="22"/>
      <c r="K9" s="9" t="str">
        <f>"32,5"</f>
        <v>32,5</v>
      </c>
      <c r="L9" s="9" t="str">
        <f>"30,2250"</f>
        <v>30,2250</v>
      </c>
      <c r="M9" s="7" t="s">
        <v>945</v>
      </c>
    </row>
    <row r="11" spans="1:13" ht="16">
      <c r="A11" s="45" t="s">
        <v>206</v>
      </c>
      <c r="B11" s="45"/>
      <c r="C11" s="46"/>
      <c r="D11" s="46"/>
      <c r="E11" s="46"/>
      <c r="F11" s="46"/>
      <c r="G11" s="46"/>
      <c r="H11" s="46"/>
      <c r="I11" s="46"/>
      <c r="J11" s="46"/>
    </row>
    <row r="12" spans="1:13">
      <c r="A12" s="22" t="s">
        <v>30</v>
      </c>
      <c r="B12" s="7" t="s">
        <v>700</v>
      </c>
      <c r="C12" s="7" t="s">
        <v>701</v>
      </c>
      <c r="D12" s="7" t="s">
        <v>328</v>
      </c>
      <c r="E12" s="8" t="s">
        <v>951</v>
      </c>
      <c r="F12" s="7" t="s">
        <v>904</v>
      </c>
      <c r="G12" s="20" t="s">
        <v>690</v>
      </c>
      <c r="H12" s="20" t="s">
        <v>137</v>
      </c>
      <c r="I12" s="20" t="s">
        <v>154</v>
      </c>
      <c r="J12" s="22"/>
      <c r="K12" s="9" t="str">
        <f>"42,5"</f>
        <v>42,5</v>
      </c>
      <c r="L12" s="9" t="str">
        <f>"35,7914"</f>
        <v>35,7914</v>
      </c>
      <c r="M12" s="7" t="s">
        <v>263</v>
      </c>
    </row>
    <row r="14" spans="1:13" ht="16">
      <c r="A14" s="45" t="s">
        <v>63</v>
      </c>
      <c r="B14" s="45"/>
      <c r="C14" s="46"/>
      <c r="D14" s="46"/>
      <c r="E14" s="46"/>
      <c r="F14" s="46"/>
      <c r="G14" s="46"/>
      <c r="H14" s="46"/>
      <c r="I14" s="46"/>
      <c r="J14" s="46"/>
    </row>
    <row r="15" spans="1:13">
      <c r="A15" s="22" t="s">
        <v>30</v>
      </c>
      <c r="B15" s="7" t="s">
        <v>702</v>
      </c>
      <c r="C15" s="7" t="s">
        <v>703</v>
      </c>
      <c r="D15" s="7" t="s">
        <v>704</v>
      </c>
      <c r="E15" s="8" t="s">
        <v>951</v>
      </c>
      <c r="F15" s="7" t="s">
        <v>903</v>
      </c>
      <c r="G15" s="20" t="s">
        <v>688</v>
      </c>
      <c r="H15" s="20" t="s">
        <v>690</v>
      </c>
      <c r="I15" s="21" t="s">
        <v>153</v>
      </c>
      <c r="J15" s="22"/>
      <c r="K15" s="9" t="str">
        <f>"35,0"</f>
        <v>35,0</v>
      </c>
      <c r="L15" s="9" t="str">
        <f>"28,4270"</f>
        <v>28,4270</v>
      </c>
      <c r="M15" s="7" t="s">
        <v>845</v>
      </c>
    </row>
    <row r="17" spans="1:13" ht="16">
      <c r="A17" s="45" t="s">
        <v>43</v>
      </c>
      <c r="B17" s="45"/>
      <c r="C17" s="46"/>
      <c r="D17" s="46"/>
      <c r="E17" s="46"/>
      <c r="F17" s="46"/>
      <c r="G17" s="46"/>
      <c r="H17" s="46"/>
      <c r="I17" s="46"/>
      <c r="J17" s="46"/>
    </row>
    <row r="18" spans="1:13">
      <c r="A18" s="22" t="s">
        <v>30</v>
      </c>
      <c r="B18" s="7" t="s">
        <v>705</v>
      </c>
      <c r="C18" s="7" t="s">
        <v>839</v>
      </c>
      <c r="D18" s="7" t="s">
        <v>706</v>
      </c>
      <c r="E18" s="8" t="s">
        <v>954</v>
      </c>
      <c r="F18" s="7" t="s">
        <v>903</v>
      </c>
      <c r="G18" s="20" t="s">
        <v>137</v>
      </c>
      <c r="H18" s="20" t="s">
        <v>154</v>
      </c>
      <c r="I18" s="21" t="s">
        <v>138</v>
      </c>
      <c r="J18" s="22"/>
      <c r="K18" s="9" t="str">
        <f>"42,5"</f>
        <v>42,5</v>
      </c>
      <c r="L18" s="9" t="str">
        <f>"36,6010"</f>
        <v>36,6010</v>
      </c>
      <c r="M18" s="7" t="s">
        <v>945</v>
      </c>
    </row>
    <row r="20" spans="1:13" ht="16">
      <c r="A20" s="45" t="s">
        <v>206</v>
      </c>
      <c r="B20" s="45"/>
      <c r="C20" s="46"/>
      <c r="D20" s="46"/>
      <c r="E20" s="46"/>
      <c r="F20" s="46"/>
      <c r="G20" s="46"/>
      <c r="H20" s="46"/>
      <c r="I20" s="46"/>
      <c r="J20" s="46"/>
    </row>
    <row r="21" spans="1:13">
      <c r="A21" s="34" t="s">
        <v>30</v>
      </c>
      <c r="B21" s="23" t="s">
        <v>707</v>
      </c>
      <c r="C21" s="23" t="s">
        <v>708</v>
      </c>
      <c r="D21" s="23" t="s">
        <v>709</v>
      </c>
      <c r="E21" s="24" t="s">
        <v>951</v>
      </c>
      <c r="F21" s="23" t="s">
        <v>919</v>
      </c>
      <c r="G21" s="33" t="s">
        <v>146</v>
      </c>
      <c r="H21" s="33" t="s">
        <v>201</v>
      </c>
      <c r="I21" s="32" t="s">
        <v>164</v>
      </c>
      <c r="J21" s="34"/>
      <c r="K21" s="25" t="str">
        <f>"57,5"</f>
        <v>57,5</v>
      </c>
      <c r="L21" s="25" t="str">
        <f>"40,0689"</f>
        <v>40,0689</v>
      </c>
      <c r="M21" s="23" t="s">
        <v>878</v>
      </c>
    </row>
    <row r="22" spans="1:13">
      <c r="A22" s="36" t="s">
        <v>129</v>
      </c>
      <c r="B22" s="26" t="s">
        <v>710</v>
      </c>
      <c r="C22" s="26" t="s">
        <v>711</v>
      </c>
      <c r="D22" s="26" t="s">
        <v>712</v>
      </c>
      <c r="E22" s="27" t="s">
        <v>951</v>
      </c>
      <c r="F22" s="26" t="s">
        <v>919</v>
      </c>
      <c r="G22" s="35" t="s">
        <v>39</v>
      </c>
      <c r="H22" s="35" t="s">
        <v>146</v>
      </c>
      <c r="I22" s="37" t="s">
        <v>164</v>
      </c>
      <c r="J22" s="36"/>
      <c r="K22" s="28" t="str">
        <f>"55,0"</f>
        <v>55,0</v>
      </c>
      <c r="L22" s="28" t="str">
        <f>"38,0958"</f>
        <v>38,0958</v>
      </c>
      <c r="M22" s="26" t="s">
        <v>713</v>
      </c>
    </row>
    <row r="23" spans="1:13">
      <c r="A23" s="36" t="s">
        <v>30</v>
      </c>
      <c r="B23" s="26" t="s">
        <v>457</v>
      </c>
      <c r="C23" s="26" t="s">
        <v>840</v>
      </c>
      <c r="D23" s="26" t="s">
        <v>440</v>
      </c>
      <c r="E23" s="27" t="s">
        <v>953</v>
      </c>
      <c r="F23" s="26" t="s">
        <v>904</v>
      </c>
      <c r="G23" s="35" t="s">
        <v>138</v>
      </c>
      <c r="H23" s="35" t="s">
        <v>38</v>
      </c>
      <c r="I23" s="35" t="s">
        <v>146</v>
      </c>
      <c r="J23" s="36"/>
      <c r="K23" s="28" t="str">
        <f>"55,0"</f>
        <v>55,0</v>
      </c>
      <c r="L23" s="28" t="str">
        <f>"39,8945"</f>
        <v>39,8945</v>
      </c>
      <c r="M23" s="26" t="s">
        <v>846</v>
      </c>
    </row>
    <row r="24" spans="1:13">
      <c r="A24" s="39" t="s">
        <v>129</v>
      </c>
      <c r="B24" s="29" t="s">
        <v>714</v>
      </c>
      <c r="C24" s="29" t="s">
        <v>841</v>
      </c>
      <c r="D24" s="29" t="s">
        <v>712</v>
      </c>
      <c r="E24" s="30" t="s">
        <v>953</v>
      </c>
      <c r="F24" s="29" t="s">
        <v>904</v>
      </c>
      <c r="G24" s="38" t="s">
        <v>38</v>
      </c>
      <c r="H24" s="38" t="s">
        <v>39</v>
      </c>
      <c r="I24" s="38" t="s">
        <v>146</v>
      </c>
      <c r="J24" s="39"/>
      <c r="K24" s="31" t="str">
        <f>"55,0"</f>
        <v>55,0</v>
      </c>
      <c r="L24" s="31" t="str">
        <f>"39,2767"</f>
        <v>39,2767</v>
      </c>
      <c r="M24" s="29" t="s">
        <v>945</v>
      </c>
    </row>
    <row r="26" spans="1:13" ht="16">
      <c r="A26" s="45" t="s">
        <v>63</v>
      </c>
      <c r="B26" s="45"/>
      <c r="C26" s="46"/>
      <c r="D26" s="46"/>
      <c r="E26" s="46"/>
      <c r="F26" s="46"/>
      <c r="G26" s="46"/>
      <c r="H26" s="46"/>
      <c r="I26" s="46"/>
      <c r="J26" s="46"/>
    </row>
    <row r="27" spans="1:13">
      <c r="A27" s="34" t="s">
        <v>30</v>
      </c>
      <c r="B27" s="23" t="s">
        <v>715</v>
      </c>
      <c r="C27" s="23" t="s">
        <v>842</v>
      </c>
      <c r="D27" s="23" t="s">
        <v>478</v>
      </c>
      <c r="E27" s="24" t="s">
        <v>954</v>
      </c>
      <c r="F27" s="23" t="s">
        <v>716</v>
      </c>
      <c r="G27" s="33" t="s">
        <v>158</v>
      </c>
      <c r="H27" s="33" t="s">
        <v>39</v>
      </c>
      <c r="I27" s="32" t="s">
        <v>164</v>
      </c>
      <c r="J27" s="34"/>
      <c r="K27" s="25" t="str">
        <f>"52,5"</f>
        <v>52,5</v>
      </c>
      <c r="L27" s="25" t="str">
        <f>"34,1670"</f>
        <v>34,1670</v>
      </c>
      <c r="M27" s="23" t="s">
        <v>141</v>
      </c>
    </row>
    <row r="28" spans="1:13">
      <c r="A28" s="36" t="s">
        <v>30</v>
      </c>
      <c r="B28" s="26" t="s">
        <v>717</v>
      </c>
      <c r="C28" s="26" t="s">
        <v>718</v>
      </c>
      <c r="D28" s="26" t="s">
        <v>66</v>
      </c>
      <c r="E28" s="27" t="s">
        <v>951</v>
      </c>
      <c r="F28" s="26" t="s">
        <v>904</v>
      </c>
      <c r="G28" s="35" t="s">
        <v>48</v>
      </c>
      <c r="H28" s="37" t="s">
        <v>184</v>
      </c>
      <c r="I28" s="37" t="s">
        <v>184</v>
      </c>
      <c r="J28" s="36"/>
      <c r="K28" s="28" t="str">
        <f>"70,0"</f>
        <v>70,0</v>
      </c>
      <c r="L28" s="28" t="str">
        <f>"45,1220"</f>
        <v>45,1220</v>
      </c>
      <c r="M28" s="26" t="s">
        <v>945</v>
      </c>
    </row>
    <row r="29" spans="1:13">
      <c r="A29" s="39" t="s">
        <v>129</v>
      </c>
      <c r="B29" s="29" t="s">
        <v>719</v>
      </c>
      <c r="C29" s="29" t="s">
        <v>720</v>
      </c>
      <c r="D29" s="29" t="s">
        <v>634</v>
      </c>
      <c r="E29" s="30" t="s">
        <v>951</v>
      </c>
      <c r="F29" s="29" t="s">
        <v>923</v>
      </c>
      <c r="G29" s="38" t="s">
        <v>164</v>
      </c>
      <c r="H29" s="38" t="s">
        <v>183</v>
      </c>
      <c r="I29" s="40" t="s">
        <v>152</v>
      </c>
      <c r="J29" s="39"/>
      <c r="K29" s="31" t="str">
        <f>"65,0"</f>
        <v>65,0</v>
      </c>
      <c r="L29" s="31" t="str">
        <f>"42,2012"</f>
        <v>42,2012</v>
      </c>
      <c r="M29" s="29" t="s">
        <v>945</v>
      </c>
    </row>
    <row r="31" spans="1:13" ht="16">
      <c r="A31" s="45" t="s">
        <v>105</v>
      </c>
      <c r="B31" s="45"/>
      <c r="C31" s="46"/>
      <c r="D31" s="46"/>
      <c r="E31" s="46"/>
      <c r="F31" s="46"/>
      <c r="G31" s="46"/>
      <c r="H31" s="46"/>
      <c r="I31" s="46"/>
      <c r="J31" s="46"/>
    </row>
    <row r="32" spans="1:13">
      <c r="A32" s="34" t="s">
        <v>30</v>
      </c>
      <c r="B32" s="23" t="s">
        <v>721</v>
      </c>
      <c r="C32" s="23" t="s">
        <v>722</v>
      </c>
      <c r="D32" s="23" t="s">
        <v>723</v>
      </c>
      <c r="E32" s="24" t="s">
        <v>951</v>
      </c>
      <c r="F32" s="23" t="s">
        <v>923</v>
      </c>
      <c r="G32" s="33" t="s">
        <v>48</v>
      </c>
      <c r="H32" s="33" t="s">
        <v>49</v>
      </c>
      <c r="I32" s="33" t="s">
        <v>145</v>
      </c>
      <c r="J32" s="34"/>
      <c r="K32" s="25" t="str">
        <f>"80,0"</f>
        <v>80,0</v>
      </c>
      <c r="L32" s="25" t="str">
        <f>"47,3560"</f>
        <v>47,3560</v>
      </c>
      <c r="M32" s="23" t="s">
        <v>314</v>
      </c>
    </row>
    <row r="33" spans="1:13">
      <c r="A33" s="36" t="s">
        <v>129</v>
      </c>
      <c r="B33" s="26" t="s">
        <v>724</v>
      </c>
      <c r="C33" s="26" t="s">
        <v>725</v>
      </c>
      <c r="D33" s="26" t="s">
        <v>726</v>
      </c>
      <c r="E33" s="27" t="s">
        <v>951</v>
      </c>
      <c r="F33" s="26" t="s">
        <v>904</v>
      </c>
      <c r="G33" s="35" t="s">
        <v>183</v>
      </c>
      <c r="H33" s="37" t="s">
        <v>48</v>
      </c>
      <c r="I33" s="37" t="s">
        <v>48</v>
      </c>
      <c r="J33" s="36"/>
      <c r="K33" s="28" t="str">
        <f>"65,0"</f>
        <v>65,0</v>
      </c>
      <c r="L33" s="28" t="str">
        <f>"38,5938"</f>
        <v>38,5938</v>
      </c>
      <c r="M33" s="26" t="s">
        <v>945</v>
      </c>
    </row>
    <row r="34" spans="1:13">
      <c r="A34" s="39" t="s">
        <v>30</v>
      </c>
      <c r="B34" s="29" t="s">
        <v>727</v>
      </c>
      <c r="C34" s="29" t="s">
        <v>843</v>
      </c>
      <c r="D34" s="29" t="s">
        <v>728</v>
      </c>
      <c r="E34" s="30" t="s">
        <v>953</v>
      </c>
      <c r="F34" s="29" t="s">
        <v>925</v>
      </c>
      <c r="G34" s="38" t="s">
        <v>152</v>
      </c>
      <c r="H34" s="38" t="s">
        <v>729</v>
      </c>
      <c r="I34" s="40" t="s">
        <v>49</v>
      </c>
      <c r="J34" s="39"/>
      <c r="K34" s="31" t="str">
        <f>"73,5"</f>
        <v>73,5</v>
      </c>
      <c r="L34" s="31" t="str">
        <f>"48,0566"</f>
        <v>48,0566</v>
      </c>
      <c r="M34" s="29" t="s">
        <v>879</v>
      </c>
    </row>
    <row r="36" spans="1:13" ht="16">
      <c r="A36" s="45" t="s">
        <v>288</v>
      </c>
      <c r="B36" s="45"/>
      <c r="C36" s="46"/>
      <c r="D36" s="46"/>
      <c r="E36" s="46"/>
      <c r="F36" s="46"/>
      <c r="G36" s="46"/>
      <c r="H36" s="46"/>
      <c r="I36" s="46"/>
      <c r="J36" s="46"/>
    </row>
    <row r="37" spans="1:13">
      <c r="A37" s="34" t="s">
        <v>30</v>
      </c>
      <c r="B37" s="23" t="s">
        <v>692</v>
      </c>
      <c r="C37" s="23" t="s">
        <v>693</v>
      </c>
      <c r="D37" s="23" t="s">
        <v>694</v>
      </c>
      <c r="E37" s="24" t="s">
        <v>951</v>
      </c>
      <c r="F37" s="23" t="s">
        <v>903</v>
      </c>
      <c r="G37" s="33" t="s">
        <v>145</v>
      </c>
      <c r="H37" s="33" t="s">
        <v>169</v>
      </c>
      <c r="I37" s="32" t="s">
        <v>136</v>
      </c>
      <c r="J37" s="34"/>
      <c r="K37" s="25" t="str">
        <f>"85,0"</f>
        <v>85,0</v>
      </c>
      <c r="L37" s="25" t="str">
        <f>"48,3990"</f>
        <v>48,3990</v>
      </c>
      <c r="M37" s="23" t="s">
        <v>695</v>
      </c>
    </row>
    <row r="38" spans="1:13">
      <c r="A38" s="36" t="s">
        <v>129</v>
      </c>
      <c r="B38" s="26" t="s">
        <v>528</v>
      </c>
      <c r="C38" s="26" t="s">
        <v>529</v>
      </c>
      <c r="D38" s="26" t="s">
        <v>730</v>
      </c>
      <c r="E38" s="27" t="s">
        <v>951</v>
      </c>
      <c r="F38" s="26" t="s">
        <v>904</v>
      </c>
      <c r="G38" s="35" t="s">
        <v>48</v>
      </c>
      <c r="H38" s="35" t="s">
        <v>49</v>
      </c>
      <c r="I38" s="37" t="s">
        <v>35</v>
      </c>
      <c r="J38" s="36"/>
      <c r="K38" s="28" t="str">
        <f>"75,0"</f>
        <v>75,0</v>
      </c>
      <c r="L38" s="28" t="str">
        <f>"42,3300"</f>
        <v>42,3300</v>
      </c>
      <c r="M38" s="26" t="s">
        <v>945</v>
      </c>
    </row>
    <row r="39" spans="1:13">
      <c r="A39" s="39" t="s">
        <v>30</v>
      </c>
      <c r="B39" s="29" t="s">
        <v>692</v>
      </c>
      <c r="C39" s="29" t="s">
        <v>844</v>
      </c>
      <c r="D39" s="29" t="s">
        <v>694</v>
      </c>
      <c r="E39" s="30" t="s">
        <v>953</v>
      </c>
      <c r="F39" s="29" t="s">
        <v>903</v>
      </c>
      <c r="G39" s="38" t="s">
        <v>145</v>
      </c>
      <c r="H39" s="38" t="s">
        <v>169</v>
      </c>
      <c r="I39" s="40" t="s">
        <v>136</v>
      </c>
      <c r="J39" s="39"/>
      <c r="K39" s="31" t="str">
        <f>"85,0"</f>
        <v>85,0</v>
      </c>
      <c r="L39" s="31" t="str">
        <f>"48,3990"</f>
        <v>48,3990</v>
      </c>
      <c r="M39" s="29" t="s">
        <v>695</v>
      </c>
    </row>
    <row r="41" spans="1:13">
      <c r="K41" s="18"/>
      <c r="M41" s="6"/>
    </row>
    <row r="42" spans="1:13">
      <c r="K42" s="18"/>
      <c r="M42" s="6"/>
    </row>
    <row r="43" spans="1:13" ht="18">
      <c r="B43" s="11" t="s">
        <v>23</v>
      </c>
      <c r="C43" s="11"/>
      <c r="K43" s="18"/>
      <c r="M43" s="6"/>
    </row>
    <row r="44" spans="1:13" ht="16">
      <c r="B44" s="12" t="s">
        <v>24</v>
      </c>
      <c r="C44" s="12"/>
      <c r="K44" s="18"/>
      <c r="M44" s="6"/>
    </row>
    <row r="45" spans="1:13" ht="14">
      <c r="B45" s="13"/>
      <c r="C45" s="14" t="s">
        <v>122</v>
      </c>
      <c r="K45" s="18"/>
      <c r="M45" s="6"/>
    </row>
    <row r="46" spans="1:13" ht="14">
      <c r="B46" s="15" t="s">
        <v>26</v>
      </c>
      <c r="C46" s="15" t="s">
        <v>27</v>
      </c>
      <c r="D46" s="15" t="s">
        <v>853</v>
      </c>
      <c r="E46" s="16" t="s">
        <v>379</v>
      </c>
      <c r="F46" s="15" t="s">
        <v>682</v>
      </c>
      <c r="K46" s="18"/>
      <c r="M46" s="6"/>
    </row>
    <row r="47" spans="1:13">
      <c r="B47" s="5" t="s">
        <v>692</v>
      </c>
      <c r="C47" s="5" t="s">
        <v>122</v>
      </c>
      <c r="D47" s="18" t="s">
        <v>322</v>
      </c>
      <c r="E47" s="19">
        <v>85</v>
      </c>
      <c r="F47" s="17">
        <v>48.399001061916401</v>
      </c>
      <c r="K47" s="18"/>
      <c r="M47" s="6"/>
    </row>
    <row r="48" spans="1:13">
      <c r="B48" s="5" t="s">
        <v>721</v>
      </c>
      <c r="C48" s="5" t="s">
        <v>122</v>
      </c>
      <c r="D48" s="18" t="s">
        <v>127</v>
      </c>
      <c r="E48" s="19">
        <v>80</v>
      </c>
      <c r="F48" s="17">
        <v>47.355999946594203</v>
      </c>
    </row>
    <row r="49" spans="2:6">
      <c r="B49" s="5" t="s">
        <v>717</v>
      </c>
      <c r="C49" s="5" t="s">
        <v>122</v>
      </c>
      <c r="D49" s="18" t="s">
        <v>123</v>
      </c>
      <c r="E49" s="19">
        <v>70</v>
      </c>
      <c r="F49" s="17">
        <v>45.1219981908798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1:J31"/>
    <mergeCell ref="A36:J36"/>
    <mergeCell ref="B3:B4"/>
    <mergeCell ref="A8:J8"/>
    <mergeCell ref="A11:J11"/>
    <mergeCell ref="A14:J14"/>
    <mergeCell ref="A17:J17"/>
    <mergeCell ref="A20:J20"/>
    <mergeCell ref="A26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0EB80-7735-4C29-B444-61B42B03F185}">
  <dimension ref="A1:M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15.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7.664062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57" t="s">
        <v>900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962</v>
      </c>
      <c r="H3" s="69"/>
      <c r="I3" s="69"/>
      <c r="J3" s="69"/>
      <c r="K3" s="51" t="s">
        <v>381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78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2" t="s">
        <v>30</v>
      </c>
      <c r="B6" s="7" t="s">
        <v>343</v>
      </c>
      <c r="C6" s="7" t="s">
        <v>696</v>
      </c>
      <c r="D6" s="7" t="s">
        <v>344</v>
      </c>
      <c r="E6" s="8" t="s">
        <v>958</v>
      </c>
      <c r="F6" s="7" t="s">
        <v>936</v>
      </c>
      <c r="G6" s="20" t="s">
        <v>690</v>
      </c>
      <c r="H6" s="20" t="s">
        <v>137</v>
      </c>
      <c r="I6" s="20" t="s">
        <v>138</v>
      </c>
      <c r="J6" s="22"/>
      <c r="K6" s="9" t="str">
        <f>"45,0"</f>
        <v>45,0</v>
      </c>
      <c r="L6" s="9" t="str">
        <f>"38,8029"</f>
        <v>38,8029</v>
      </c>
      <c r="M6" s="7" t="s">
        <v>945</v>
      </c>
    </row>
    <row r="8" spans="1:13">
      <c r="E8" s="5"/>
      <c r="F8" s="10"/>
      <c r="G8" s="5"/>
      <c r="K8" s="18"/>
      <c r="M8" s="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54E7-CD9C-4021-B1CB-39A2E7DD3907}">
  <dimension ref="A1:M6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15.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8.5" style="6" bestFit="1" customWidth="1"/>
    <col min="13" max="13" width="18" style="5" customWidth="1"/>
    <col min="14" max="16384" width="9.1640625" style="3"/>
  </cols>
  <sheetData>
    <row r="1" spans="1:13" s="2" customFormat="1" ht="29" customHeight="1">
      <c r="A1" s="57" t="s">
        <v>901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947</v>
      </c>
      <c r="B3" s="47" t="s">
        <v>0</v>
      </c>
      <c r="C3" s="67" t="s">
        <v>5</v>
      </c>
      <c r="D3" s="67" t="s">
        <v>6</v>
      </c>
      <c r="E3" s="51" t="s">
        <v>7</v>
      </c>
      <c r="F3" s="69" t="s">
        <v>8</v>
      </c>
      <c r="G3" s="69" t="s">
        <v>10</v>
      </c>
      <c r="H3" s="69"/>
      <c r="I3" s="69"/>
      <c r="J3" s="69"/>
      <c r="K3" s="51" t="s">
        <v>381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691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2" t="s">
        <v>30</v>
      </c>
      <c r="B6" s="7" t="s">
        <v>685</v>
      </c>
      <c r="C6" s="7" t="s">
        <v>686</v>
      </c>
      <c r="D6" s="7" t="s">
        <v>687</v>
      </c>
      <c r="E6" s="8" t="str">
        <f>"0,5872"</f>
        <v>0,5872</v>
      </c>
      <c r="F6" s="7" t="s">
        <v>926</v>
      </c>
      <c r="G6" s="20" t="s">
        <v>18</v>
      </c>
      <c r="H6" s="20" t="s">
        <v>19</v>
      </c>
      <c r="I6" s="21" t="s">
        <v>232</v>
      </c>
      <c r="J6" s="22"/>
      <c r="K6" s="9" t="str">
        <f>"190,0"</f>
        <v>190,0</v>
      </c>
      <c r="L6" s="9" t="str">
        <f>"111,5680"</f>
        <v>111,5680</v>
      </c>
      <c r="M6" s="7" t="s">
        <v>945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EE804-74F7-4EF7-9C42-198B5D58315F}">
  <dimension ref="A1:U13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0.5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7" width="5.5" style="18" customWidth="1"/>
    <col min="18" max="18" width="4.83203125" style="18" customWidth="1"/>
    <col min="19" max="19" width="7.83203125" style="6" bestFit="1" customWidth="1"/>
    <col min="20" max="20" width="8.5" style="6" bestFit="1" customWidth="1"/>
    <col min="21" max="21" width="18.33203125" style="5" bestFit="1" customWidth="1"/>
    <col min="22" max="16384" width="9.1640625" style="3"/>
  </cols>
  <sheetData>
    <row r="1" spans="1:21" s="2" customFormat="1" ht="29" customHeight="1">
      <c r="A1" s="57" t="s">
        <v>882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9</v>
      </c>
      <c r="H3" s="69"/>
      <c r="I3" s="69"/>
      <c r="J3" s="69"/>
      <c r="K3" s="69" t="s">
        <v>10</v>
      </c>
      <c r="L3" s="69"/>
      <c r="M3" s="69"/>
      <c r="N3" s="69"/>
      <c r="O3" s="69" t="s">
        <v>11</v>
      </c>
      <c r="P3" s="69"/>
      <c r="Q3" s="69"/>
      <c r="R3" s="69"/>
      <c r="S3" s="51" t="s">
        <v>1</v>
      </c>
      <c r="T3" s="51" t="s">
        <v>3</v>
      </c>
      <c r="U3" s="53" t="s">
        <v>2</v>
      </c>
    </row>
    <row r="4" spans="1:21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2"/>
      <c r="T4" s="52"/>
      <c r="U4" s="54"/>
    </row>
    <row r="5" spans="1:21" ht="16">
      <c r="A5" s="55" t="s">
        <v>206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22" t="s">
        <v>30</v>
      </c>
      <c r="B6" s="7" t="s">
        <v>309</v>
      </c>
      <c r="C6" s="7" t="s">
        <v>773</v>
      </c>
      <c r="D6" s="7" t="s">
        <v>310</v>
      </c>
      <c r="E6" s="8" t="s">
        <v>957</v>
      </c>
      <c r="F6" s="7" t="s">
        <v>904</v>
      </c>
      <c r="G6" s="20" t="s">
        <v>91</v>
      </c>
      <c r="H6" s="20" t="s">
        <v>17</v>
      </c>
      <c r="I6" s="20" t="s">
        <v>92</v>
      </c>
      <c r="J6" s="22"/>
      <c r="K6" s="20" t="s">
        <v>76</v>
      </c>
      <c r="L6" s="20" t="s">
        <v>77</v>
      </c>
      <c r="M6" s="22"/>
      <c r="N6" s="22"/>
      <c r="O6" s="20" t="s">
        <v>67</v>
      </c>
      <c r="P6" s="20" t="s">
        <v>84</v>
      </c>
      <c r="Q6" s="20" t="s">
        <v>68</v>
      </c>
      <c r="R6" s="22"/>
      <c r="S6" s="9" t="str">
        <f>"440,0"</f>
        <v>440,0</v>
      </c>
      <c r="T6" s="9" t="str">
        <f>"493,9328"</f>
        <v>493,9328</v>
      </c>
      <c r="U6" s="7" t="s">
        <v>945</v>
      </c>
    </row>
    <row r="8" spans="1:21" ht="16">
      <c r="A8" s="45" t="s">
        <v>105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21">
      <c r="A9" s="34" t="s">
        <v>30</v>
      </c>
      <c r="B9" s="23" t="s">
        <v>311</v>
      </c>
      <c r="C9" s="23" t="s">
        <v>312</v>
      </c>
      <c r="D9" s="23" t="s">
        <v>313</v>
      </c>
      <c r="E9" s="24" t="s">
        <v>951</v>
      </c>
      <c r="F9" s="23" t="s">
        <v>923</v>
      </c>
      <c r="G9" s="33" t="s">
        <v>232</v>
      </c>
      <c r="H9" s="33" t="s">
        <v>70</v>
      </c>
      <c r="I9" s="32" t="s">
        <v>114</v>
      </c>
      <c r="J9" s="34"/>
      <c r="K9" s="33" t="s">
        <v>195</v>
      </c>
      <c r="L9" s="33" t="s">
        <v>74</v>
      </c>
      <c r="M9" s="33" t="s">
        <v>75</v>
      </c>
      <c r="N9" s="34"/>
      <c r="O9" s="33" t="s">
        <v>82</v>
      </c>
      <c r="P9" s="33" t="s">
        <v>83</v>
      </c>
      <c r="Q9" s="33" t="s">
        <v>100</v>
      </c>
      <c r="R9" s="34"/>
      <c r="S9" s="25" t="str">
        <f>"610,0"</f>
        <v>610,0</v>
      </c>
      <c r="T9" s="25" t="str">
        <f>"372,4660"</f>
        <v>372,4660</v>
      </c>
      <c r="U9" s="23" t="s">
        <v>314</v>
      </c>
    </row>
    <row r="10" spans="1:21">
      <c r="A10" s="39" t="s">
        <v>30</v>
      </c>
      <c r="B10" s="29" t="s">
        <v>315</v>
      </c>
      <c r="C10" s="29" t="s">
        <v>774</v>
      </c>
      <c r="D10" s="29" t="s">
        <v>316</v>
      </c>
      <c r="E10" s="30" t="s">
        <v>958</v>
      </c>
      <c r="F10" s="29" t="s">
        <v>904</v>
      </c>
      <c r="G10" s="38" t="s">
        <v>60</v>
      </c>
      <c r="H10" s="38" t="s">
        <v>61</v>
      </c>
      <c r="I10" s="38" t="s">
        <v>70</v>
      </c>
      <c r="J10" s="39"/>
      <c r="K10" s="40" t="s">
        <v>194</v>
      </c>
      <c r="L10" s="38" t="s">
        <v>194</v>
      </c>
      <c r="M10" s="40" t="s">
        <v>195</v>
      </c>
      <c r="N10" s="39"/>
      <c r="O10" s="38" t="s">
        <v>60</v>
      </c>
      <c r="P10" s="38" t="s">
        <v>61</v>
      </c>
      <c r="Q10" s="38" t="s">
        <v>70</v>
      </c>
      <c r="R10" s="39"/>
      <c r="S10" s="31" t="str">
        <f>"545,0"</f>
        <v>545,0</v>
      </c>
      <c r="T10" s="31" t="str">
        <f>"382,5055"</f>
        <v>382,5055</v>
      </c>
      <c r="U10" s="29" t="s">
        <v>317</v>
      </c>
    </row>
    <row r="12" spans="1:21" ht="16">
      <c r="A12" s="45" t="s">
        <v>288</v>
      </c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1:21">
      <c r="A13" s="22" t="s">
        <v>30</v>
      </c>
      <c r="B13" s="7" t="s">
        <v>318</v>
      </c>
      <c r="C13" s="7" t="s">
        <v>319</v>
      </c>
      <c r="D13" s="7" t="s">
        <v>320</v>
      </c>
      <c r="E13" s="8" t="s">
        <v>951</v>
      </c>
      <c r="F13" s="7" t="s">
        <v>904</v>
      </c>
      <c r="G13" s="20" t="s">
        <v>115</v>
      </c>
      <c r="H13" s="20" t="s">
        <v>93</v>
      </c>
      <c r="I13" s="20" t="s">
        <v>321</v>
      </c>
      <c r="J13" s="22"/>
      <c r="K13" s="20" t="s">
        <v>75</v>
      </c>
      <c r="L13" s="20" t="s">
        <v>91</v>
      </c>
      <c r="M13" s="20" t="s">
        <v>17</v>
      </c>
      <c r="N13" s="22"/>
      <c r="O13" s="20" t="s">
        <v>292</v>
      </c>
      <c r="P13" s="20" t="s">
        <v>85</v>
      </c>
      <c r="Q13" s="21" t="s">
        <v>21</v>
      </c>
      <c r="R13" s="22"/>
      <c r="S13" s="9" t="str">
        <f>"672,5"</f>
        <v>672,5</v>
      </c>
      <c r="T13" s="9" t="str">
        <f>"396,9095"</f>
        <v>396,9095</v>
      </c>
      <c r="U13" s="7" t="s">
        <v>160</v>
      </c>
    </row>
  </sheetData>
  <mergeCells count="16"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2:R12"/>
    <mergeCell ref="B3:B4"/>
    <mergeCell ref="S3:S4"/>
    <mergeCell ref="T3:T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DD248-1AAE-4A52-8E2C-5D70F1463D3A}">
  <dimension ref="A1:U9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1" style="5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7" width="5.5" style="18" customWidth="1"/>
    <col min="18" max="18" width="4.83203125" style="18" customWidth="1"/>
    <col min="19" max="19" width="7.83203125" style="6" bestFit="1" customWidth="1"/>
    <col min="20" max="20" width="8.5" style="6" bestFit="1" customWidth="1"/>
    <col min="21" max="21" width="21.5" style="5" customWidth="1"/>
    <col min="22" max="16384" width="9.1640625" style="3"/>
  </cols>
  <sheetData>
    <row r="1" spans="1:21" s="2" customFormat="1" ht="29" customHeight="1">
      <c r="A1" s="57" t="s">
        <v>883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9</v>
      </c>
      <c r="H3" s="69"/>
      <c r="I3" s="69"/>
      <c r="J3" s="69"/>
      <c r="K3" s="69" t="s">
        <v>10</v>
      </c>
      <c r="L3" s="69"/>
      <c r="M3" s="69"/>
      <c r="N3" s="69"/>
      <c r="O3" s="69" t="s">
        <v>11</v>
      </c>
      <c r="P3" s="69"/>
      <c r="Q3" s="69"/>
      <c r="R3" s="69"/>
      <c r="S3" s="51" t="s">
        <v>1</v>
      </c>
      <c r="T3" s="51" t="s">
        <v>3</v>
      </c>
      <c r="U3" s="53" t="s">
        <v>2</v>
      </c>
    </row>
    <row r="4" spans="1:21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2"/>
      <c r="T4" s="52"/>
      <c r="U4" s="54"/>
    </row>
    <row r="5" spans="1:21" ht="16">
      <c r="A5" s="55" t="s">
        <v>300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22" t="s">
        <v>299</v>
      </c>
      <c r="B6" s="7" t="s">
        <v>301</v>
      </c>
      <c r="C6" s="7" t="s">
        <v>302</v>
      </c>
      <c r="D6" s="7" t="s">
        <v>303</v>
      </c>
      <c r="E6" s="8" t="s">
        <v>951</v>
      </c>
      <c r="F6" s="7" t="s">
        <v>948</v>
      </c>
      <c r="G6" s="21" t="s">
        <v>232</v>
      </c>
      <c r="H6" s="21" t="s">
        <v>232</v>
      </c>
      <c r="I6" s="21" t="s">
        <v>232</v>
      </c>
      <c r="J6" s="22"/>
      <c r="K6" s="21"/>
      <c r="L6" s="22"/>
      <c r="M6" s="22"/>
      <c r="N6" s="22"/>
      <c r="O6" s="21"/>
      <c r="P6" s="22"/>
      <c r="Q6" s="22"/>
      <c r="R6" s="22"/>
      <c r="S6" s="43">
        <v>0</v>
      </c>
      <c r="T6" s="9" t="str">
        <f>"0,0000"</f>
        <v>0,0000</v>
      </c>
      <c r="U6" s="7" t="s">
        <v>945</v>
      </c>
    </row>
    <row r="8" spans="1:21" ht="16">
      <c r="A8" s="45" t="s">
        <v>304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21">
      <c r="A9" s="22" t="s">
        <v>30</v>
      </c>
      <c r="B9" s="7" t="s">
        <v>305</v>
      </c>
      <c r="C9" s="7" t="s">
        <v>306</v>
      </c>
      <c r="D9" s="7" t="s">
        <v>307</v>
      </c>
      <c r="E9" s="8" t="s">
        <v>951</v>
      </c>
      <c r="F9" s="7" t="s">
        <v>948</v>
      </c>
      <c r="G9" s="21" t="s">
        <v>308</v>
      </c>
      <c r="H9" s="20" t="s">
        <v>308</v>
      </c>
      <c r="I9" s="21" t="s">
        <v>15</v>
      </c>
      <c r="J9" s="22"/>
      <c r="K9" s="20" t="s">
        <v>70</v>
      </c>
      <c r="L9" s="21" t="s">
        <v>115</v>
      </c>
      <c r="M9" s="20" t="s">
        <v>115</v>
      </c>
      <c r="N9" s="22"/>
      <c r="O9" s="20" t="s">
        <v>21</v>
      </c>
      <c r="P9" s="21" t="s">
        <v>22</v>
      </c>
      <c r="Q9" s="21" t="s">
        <v>22</v>
      </c>
      <c r="R9" s="22"/>
      <c r="S9" s="9" t="str">
        <f>"835,0"</f>
        <v>835,0</v>
      </c>
      <c r="T9" s="9" t="str">
        <f>"468,3515"</f>
        <v>468,3515</v>
      </c>
      <c r="U9" s="7" t="s">
        <v>946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5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15.5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7" width="5.5" style="18" customWidth="1"/>
    <col min="18" max="18" width="4.83203125" style="18" customWidth="1"/>
    <col min="19" max="19" width="7.83203125" style="6" bestFit="1" customWidth="1"/>
    <col min="20" max="20" width="8.5" style="6" bestFit="1" customWidth="1"/>
    <col min="21" max="21" width="22.1640625" style="5" customWidth="1"/>
    <col min="22" max="16384" width="9.1640625" style="3"/>
  </cols>
  <sheetData>
    <row r="1" spans="1:21" s="2" customFormat="1" ht="29" customHeight="1">
      <c r="A1" s="57" t="s">
        <v>884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9</v>
      </c>
      <c r="H3" s="69"/>
      <c r="I3" s="69"/>
      <c r="J3" s="69"/>
      <c r="K3" s="69" t="s">
        <v>10</v>
      </c>
      <c r="L3" s="69"/>
      <c r="M3" s="69"/>
      <c r="N3" s="69"/>
      <c r="O3" s="69" t="s">
        <v>11</v>
      </c>
      <c r="P3" s="69"/>
      <c r="Q3" s="69"/>
      <c r="R3" s="69"/>
      <c r="S3" s="51" t="s">
        <v>1</v>
      </c>
      <c r="T3" s="51" t="s">
        <v>3</v>
      </c>
      <c r="U3" s="53" t="s">
        <v>2</v>
      </c>
    </row>
    <row r="4" spans="1:21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2"/>
      <c r="T4" s="52"/>
      <c r="U4" s="54"/>
    </row>
    <row r="5" spans="1:21" ht="16">
      <c r="A5" s="55" t="s">
        <v>12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22" t="s">
        <v>30</v>
      </c>
      <c r="B6" s="7" t="s">
        <v>13</v>
      </c>
      <c r="C6" s="7" t="s">
        <v>775</v>
      </c>
      <c r="D6" s="7" t="s">
        <v>14</v>
      </c>
      <c r="E6" s="8" t="s">
        <v>953</v>
      </c>
      <c r="F6" s="7" t="s">
        <v>948</v>
      </c>
      <c r="G6" s="20" t="s">
        <v>15</v>
      </c>
      <c r="H6" s="21" t="s">
        <v>16</v>
      </c>
      <c r="I6" s="21" t="s">
        <v>16</v>
      </c>
      <c r="J6" s="22"/>
      <c r="K6" s="20" t="s">
        <v>17</v>
      </c>
      <c r="L6" s="20" t="s">
        <v>18</v>
      </c>
      <c r="M6" s="21" t="s">
        <v>19</v>
      </c>
      <c r="N6" s="22"/>
      <c r="O6" s="20" t="s">
        <v>20</v>
      </c>
      <c r="P6" s="20" t="s">
        <v>21</v>
      </c>
      <c r="Q6" s="20" t="s">
        <v>22</v>
      </c>
      <c r="R6" s="22"/>
      <c r="S6" s="9" t="str">
        <f>"830,0"</f>
        <v>830,0</v>
      </c>
      <c r="T6" s="9" t="str">
        <f>"462,1440"</f>
        <v>462,1440</v>
      </c>
      <c r="U6" s="7" t="s">
        <v>946</v>
      </c>
    </row>
  </sheetData>
  <mergeCells count="14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B3:B4"/>
    <mergeCell ref="E3:E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AAB63-E57D-4EE0-A9A5-9E6D48429D94}">
  <dimension ref="A1:Q23"/>
  <sheetViews>
    <sheetView workbookViewId="0">
      <selection activeCell="E24" sqref="E24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6" style="5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5" width="7.83203125" style="19" bestFit="1" customWidth="1"/>
    <col min="16" max="16" width="8.5" style="6" bestFit="1" customWidth="1"/>
    <col min="17" max="17" width="28.33203125" style="5" bestFit="1" customWidth="1"/>
    <col min="18" max="16384" width="9.1640625" style="3"/>
  </cols>
  <sheetData>
    <row r="1" spans="1:17" s="2" customFormat="1" ht="29" customHeight="1">
      <c r="A1" s="57" t="s">
        <v>885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17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10</v>
      </c>
      <c r="H3" s="69"/>
      <c r="I3" s="69"/>
      <c r="J3" s="69"/>
      <c r="K3" s="69" t="s">
        <v>11</v>
      </c>
      <c r="L3" s="69"/>
      <c r="M3" s="69"/>
      <c r="N3" s="69"/>
      <c r="O3" s="49" t="s">
        <v>1</v>
      </c>
      <c r="P3" s="51" t="s">
        <v>3</v>
      </c>
      <c r="Q3" s="53" t="s">
        <v>2</v>
      </c>
    </row>
    <row r="4" spans="1:17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0"/>
      <c r="P4" s="52"/>
      <c r="Q4" s="54"/>
    </row>
    <row r="5" spans="1:17" ht="16">
      <c r="A5" s="55" t="s">
        <v>31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7">
      <c r="A6" s="22" t="s">
        <v>30</v>
      </c>
      <c r="B6" s="7" t="s">
        <v>161</v>
      </c>
      <c r="C6" s="7" t="s">
        <v>162</v>
      </c>
      <c r="D6" s="7" t="s">
        <v>163</v>
      </c>
      <c r="E6" s="8" t="s">
        <v>951</v>
      </c>
      <c r="F6" s="7" t="s">
        <v>905</v>
      </c>
      <c r="G6" s="20" t="s">
        <v>146</v>
      </c>
      <c r="H6" s="21" t="s">
        <v>164</v>
      </c>
      <c r="I6" s="21" t="s">
        <v>164</v>
      </c>
      <c r="J6" s="22"/>
      <c r="K6" s="20" t="s">
        <v>59</v>
      </c>
      <c r="L6" s="21" t="s">
        <v>40</v>
      </c>
      <c r="M6" s="21" t="s">
        <v>159</v>
      </c>
      <c r="N6" s="22"/>
      <c r="O6" s="43" t="str">
        <f>"165,0"</f>
        <v>165,0</v>
      </c>
      <c r="P6" s="9" t="str">
        <f>"196,3500"</f>
        <v>196,3500</v>
      </c>
      <c r="Q6" s="7" t="s">
        <v>165</v>
      </c>
    </row>
    <row r="8" spans="1:17" ht="16">
      <c r="A8" s="45" t="s">
        <v>53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7">
      <c r="A9" s="34" t="s">
        <v>30</v>
      </c>
      <c r="B9" s="23" t="s">
        <v>665</v>
      </c>
      <c r="C9" s="23" t="s">
        <v>666</v>
      </c>
      <c r="D9" s="23" t="s">
        <v>55</v>
      </c>
      <c r="E9" s="24" t="s">
        <v>951</v>
      </c>
      <c r="F9" s="23" t="s">
        <v>904</v>
      </c>
      <c r="G9" s="33" t="s">
        <v>164</v>
      </c>
      <c r="H9" s="33" t="s">
        <v>151</v>
      </c>
      <c r="I9" s="32" t="s">
        <v>183</v>
      </c>
      <c r="J9" s="34"/>
      <c r="K9" s="33" t="s">
        <v>77</v>
      </c>
      <c r="L9" s="33" t="s">
        <v>139</v>
      </c>
      <c r="M9" s="33" t="s">
        <v>59</v>
      </c>
      <c r="N9" s="34"/>
      <c r="O9" s="41" t="str">
        <f>"172,5"</f>
        <v>172,5</v>
      </c>
      <c r="P9" s="25" t="str">
        <f>"176,4330"</f>
        <v>176,4330</v>
      </c>
      <c r="Q9" s="23" t="s">
        <v>160</v>
      </c>
    </row>
    <row r="10" spans="1:17">
      <c r="A10" s="39" t="s">
        <v>30</v>
      </c>
      <c r="B10" s="29" t="s">
        <v>667</v>
      </c>
      <c r="C10" s="29" t="s">
        <v>776</v>
      </c>
      <c r="D10" s="29" t="s">
        <v>434</v>
      </c>
      <c r="E10" s="30" t="s">
        <v>953</v>
      </c>
      <c r="F10" s="29" t="s">
        <v>904</v>
      </c>
      <c r="G10" s="38" t="s">
        <v>38</v>
      </c>
      <c r="H10" s="38" t="s">
        <v>201</v>
      </c>
      <c r="I10" s="38" t="s">
        <v>164</v>
      </c>
      <c r="J10" s="39"/>
      <c r="K10" s="38" t="s">
        <v>48</v>
      </c>
      <c r="L10" s="40" t="s">
        <v>169</v>
      </c>
      <c r="M10" s="40" t="s">
        <v>170</v>
      </c>
      <c r="N10" s="39"/>
      <c r="O10" s="42" t="str">
        <f>"130,0"</f>
        <v>130,0</v>
      </c>
      <c r="P10" s="31" t="str">
        <f>"135,0790"</f>
        <v>135,0790</v>
      </c>
      <c r="Q10" s="29" t="s">
        <v>856</v>
      </c>
    </row>
    <row r="12" spans="1:17" ht="16">
      <c r="A12" s="45" t="s">
        <v>78</v>
      </c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1:17">
      <c r="A13" s="34" t="s">
        <v>30</v>
      </c>
      <c r="B13" s="23" t="s">
        <v>668</v>
      </c>
      <c r="C13" s="23" t="s">
        <v>669</v>
      </c>
      <c r="D13" s="23" t="s">
        <v>265</v>
      </c>
      <c r="E13" s="24" t="s">
        <v>951</v>
      </c>
      <c r="F13" s="23" t="s">
        <v>904</v>
      </c>
      <c r="G13" s="33" t="s">
        <v>91</v>
      </c>
      <c r="H13" s="33" t="s">
        <v>92</v>
      </c>
      <c r="I13" s="33" t="s">
        <v>116</v>
      </c>
      <c r="J13" s="34"/>
      <c r="K13" s="33" t="s">
        <v>93</v>
      </c>
      <c r="L13" s="33" t="s">
        <v>100</v>
      </c>
      <c r="M13" s="32" t="s">
        <v>101</v>
      </c>
      <c r="N13" s="34"/>
      <c r="O13" s="41" t="str">
        <f>"415,0"</f>
        <v>415,0</v>
      </c>
      <c r="P13" s="25" t="str">
        <f>"265,6830"</f>
        <v>265,6830</v>
      </c>
      <c r="Q13" s="23" t="s">
        <v>945</v>
      </c>
    </row>
    <row r="14" spans="1:17">
      <c r="A14" s="36" t="s">
        <v>30</v>
      </c>
      <c r="B14" s="26" t="s">
        <v>670</v>
      </c>
      <c r="C14" s="26" t="s">
        <v>777</v>
      </c>
      <c r="D14" s="26" t="s">
        <v>671</v>
      </c>
      <c r="E14" s="27" t="s">
        <v>953</v>
      </c>
      <c r="F14" s="26" t="s">
        <v>904</v>
      </c>
      <c r="G14" s="35" t="s">
        <v>190</v>
      </c>
      <c r="H14" s="35" t="s">
        <v>51</v>
      </c>
      <c r="I14" s="36"/>
      <c r="J14" s="36"/>
      <c r="K14" s="35" t="s">
        <v>71</v>
      </c>
      <c r="L14" s="35" t="s">
        <v>120</v>
      </c>
      <c r="M14" s="36"/>
      <c r="N14" s="36"/>
      <c r="O14" s="44" t="str">
        <f>"375,0"</f>
        <v>375,0</v>
      </c>
      <c r="P14" s="28" t="str">
        <f>"243,1221"</f>
        <v>243,1221</v>
      </c>
      <c r="Q14" s="26" t="s">
        <v>945</v>
      </c>
    </row>
    <row r="15" spans="1:17">
      <c r="A15" s="36" t="s">
        <v>129</v>
      </c>
      <c r="B15" s="26" t="s">
        <v>638</v>
      </c>
      <c r="C15" s="26" t="s">
        <v>778</v>
      </c>
      <c r="D15" s="26" t="s">
        <v>239</v>
      </c>
      <c r="E15" s="27" t="s">
        <v>953</v>
      </c>
      <c r="F15" s="26" t="s">
        <v>923</v>
      </c>
      <c r="G15" s="35" t="s">
        <v>59</v>
      </c>
      <c r="H15" s="35" t="s">
        <v>159</v>
      </c>
      <c r="I15" s="35" t="s">
        <v>194</v>
      </c>
      <c r="J15" s="36"/>
      <c r="K15" s="35" t="s">
        <v>84</v>
      </c>
      <c r="L15" s="35" t="s">
        <v>19</v>
      </c>
      <c r="M15" s="35" t="s">
        <v>232</v>
      </c>
      <c r="N15" s="36"/>
      <c r="O15" s="44" t="str">
        <f>"325,0"</f>
        <v>325,0</v>
      </c>
      <c r="P15" s="28" t="str">
        <f>"217,8645"</f>
        <v>217,8645</v>
      </c>
      <c r="Q15" s="26" t="s">
        <v>314</v>
      </c>
    </row>
    <row r="16" spans="1:17">
      <c r="A16" s="36" t="s">
        <v>299</v>
      </c>
      <c r="B16" s="26" t="s">
        <v>672</v>
      </c>
      <c r="C16" s="26" t="s">
        <v>779</v>
      </c>
      <c r="D16" s="26" t="s">
        <v>673</v>
      </c>
      <c r="E16" s="27" t="s">
        <v>955</v>
      </c>
      <c r="F16" s="26" t="s">
        <v>904</v>
      </c>
      <c r="G16" s="35" t="s">
        <v>170</v>
      </c>
      <c r="H16" s="35" t="s">
        <v>77</v>
      </c>
      <c r="I16" s="37" t="s">
        <v>139</v>
      </c>
      <c r="J16" s="36"/>
      <c r="K16" s="37" t="s">
        <v>74</v>
      </c>
      <c r="L16" s="37" t="s">
        <v>74</v>
      </c>
      <c r="M16" s="36"/>
      <c r="N16" s="36"/>
      <c r="O16" s="44">
        <v>0</v>
      </c>
      <c r="P16" s="28" t="str">
        <f>"0,0000"</f>
        <v>0,0000</v>
      </c>
      <c r="Q16" s="26" t="s">
        <v>854</v>
      </c>
    </row>
    <row r="17" spans="1:17">
      <c r="A17" s="39" t="s">
        <v>30</v>
      </c>
      <c r="B17" s="29" t="s">
        <v>269</v>
      </c>
      <c r="C17" s="29" t="s">
        <v>765</v>
      </c>
      <c r="D17" s="29" t="s">
        <v>270</v>
      </c>
      <c r="E17" s="30" t="s">
        <v>957</v>
      </c>
      <c r="F17" s="29" t="s">
        <v>910</v>
      </c>
      <c r="G17" s="38" t="s">
        <v>170</v>
      </c>
      <c r="H17" s="38" t="s">
        <v>77</v>
      </c>
      <c r="I17" s="40" t="s">
        <v>139</v>
      </c>
      <c r="J17" s="39"/>
      <c r="K17" s="38" t="s">
        <v>18</v>
      </c>
      <c r="L17" s="38" t="s">
        <v>19</v>
      </c>
      <c r="M17" s="38" t="s">
        <v>232</v>
      </c>
      <c r="N17" s="39"/>
      <c r="O17" s="42" t="str">
        <f>"300,0"</f>
        <v>300,0</v>
      </c>
      <c r="P17" s="31" t="str">
        <f>"311,9420"</f>
        <v>311,9420</v>
      </c>
      <c r="Q17" s="29" t="s">
        <v>849</v>
      </c>
    </row>
    <row r="19" spans="1:17" ht="16">
      <c r="A19" s="45" t="s">
        <v>105</v>
      </c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7">
      <c r="A20" s="34" t="s">
        <v>30</v>
      </c>
      <c r="B20" s="23" t="s">
        <v>507</v>
      </c>
      <c r="C20" s="23" t="s">
        <v>508</v>
      </c>
      <c r="D20" s="23" t="s">
        <v>509</v>
      </c>
      <c r="E20" s="24" t="s">
        <v>951</v>
      </c>
      <c r="F20" s="23" t="s">
        <v>923</v>
      </c>
      <c r="G20" s="33" t="s">
        <v>91</v>
      </c>
      <c r="H20" s="33" t="s">
        <v>92</v>
      </c>
      <c r="I20" s="32" t="s">
        <v>116</v>
      </c>
      <c r="J20" s="34"/>
      <c r="K20" s="33" t="s">
        <v>82</v>
      </c>
      <c r="L20" s="33" t="s">
        <v>83</v>
      </c>
      <c r="M20" s="33" t="s">
        <v>100</v>
      </c>
      <c r="N20" s="34"/>
      <c r="O20" s="41" t="str">
        <f>"412,5"</f>
        <v>412,5</v>
      </c>
      <c r="P20" s="25" t="str">
        <f>"251,5425"</f>
        <v>251,5425</v>
      </c>
      <c r="Q20" s="23" t="s">
        <v>314</v>
      </c>
    </row>
    <row r="21" spans="1:17">
      <c r="A21" s="36" t="s">
        <v>129</v>
      </c>
      <c r="B21" s="26" t="s">
        <v>674</v>
      </c>
      <c r="C21" s="26" t="s">
        <v>675</v>
      </c>
      <c r="D21" s="26" t="s">
        <v>676</v>
      </c>
      <c r="E21" s="27" t="s">
        <v>951</v>
      </c>
      <c r="F21" s="26" t="s">
        <v>904</v>
      </c>
      <c r="G21" s="35" t="s">
        <v>190</v>
      </c>
      <c r="H21" s="35" t="s">
        <v>51</v>
      </c>
      <c r="I21" s="35" t="s">
        <v>75</v>
      </c>
      <c r="J21" s="36"/>
      <c r="K21" s="35" t="s">
        <v>70</v>
      </c>
      <c r="L21" s="37" t="s">
        <v>115</v>
      </c>
      <c r="M21" s="37" t="s">
        <v>115</v>
      </c>
      <c r="N21" s="36"/>
      <c r="O21" s="44" t="str">
        <f>"360,0"</f>
        <v>360,0</v>
      </c>
      <c r="P21" s="28" t="str">
        <f>"219,3480"</f>
        <v>219,3480</v>
      </c>
      <c r="Q21" s="26" t="s">
        <v>677</v>
      </c>
    </row>
    <row r="22" spans="1:17">
      <c r="A22" s="36" t="s">
        <v>130</v>
      </c>
      <c r="B22" s="26" t="s">
        <v>678</v>
      </c>
      <c r="C22" s="26" t="s">
        <v>679</v>
      </c>
      <c r="D22" s="26" t="s">
        <v>680</v>
      </c>
      <c r="E22" s="27" t="s">
        <v>951</v>
      </c>
      <c r="F22" s="26" t="s">
        <v>904</v>
      </c>
      <c r="G22" s="35" t="s">
        <v>99</v>
      </c>
      <c r="H22" s="35" t="s">
        <v>52</v>
      </c>
      <c r="I22" s="37" t="s">
        <v>91</v>
      </c>
      <c r="J22" s="36"/>
      <c r="K22" s="35" t="s">
        <v>18</v>
      </c>
      <c r="L22" s="35" t="s">
        <v>62</v>
      </c>
      <c r="M22" s="37" t="s">
        <v>71</v>
      </c>
      <c r="N22" s="36"/>
      <c r="O22" s="44" t="str">
        <f>"355,0"</f>
        <v>355,0</v>
      </c>
      <c r="P22" s="28" t="str">
        <f>"216,0530"</f>
        <v>216,0530</v>
      </c>
      <c r="Q22" s="26" t="s">
        <v>855</v>
      </c>
    </row>
    <row r="23" spans="1:17">
      <c r="A23" s="39" t="s">
        <v>30</v>
      </c>
      <c r="B23" s="29" t="s">
        <v>286</v>
      </c>
      <c r="C23" s="29" t="s">
        <v>766</v>
      </c>
      <c r="D23" s="29" t="s">
        <v>287</v>
      </c>
      <c r="E23" s="30" t="s">
        <v>953</v>
      </c>
      <c r="F23" s="29" t="s">
        <v>904</v>
      </c>
      <c r="G23" s="38" t="s">
        <v>260</v>
      </c>
      <c r="H23" s="38" t="s">
        <v>50</v>
      </c>
      <c r="I23" s="40" t="s">
        <v>74</v>
      </c>
      <c r="J23" s="39"/>
      <c r="K23" s="38" t="s">
        <v>82</v>
      </c>
      <c r="L23" s="38" t="s">
        <v>642</v>
      </c>
      <c r="M23" s="40" t="s">
        <v>94</v>
      </c>
      <c r="N23" s="39"/>
      <c r="O23" s="42" t="str">
        <f>"382,5"</f>
        <v>382,5</v>
      </c>
      <c r="P23" s="31" t="str">
        <f>"239,3862"</f>
        <v>239,3862</v>
      </c>
      <c r="Q23" s="29" t="s">
        <v>945</v>
      </c>
    </row>
  </sheetData>
  <mergeCells count="16"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2:N12"/>
    <mergeCell ref="A19:N19"/>
    <mergeCell ref="B3:B4"/>
    <mergeCell ref="O3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5C37-EC8C-40DB-9DC1-5CD2DD9A81B0}">
  <dimension ref="A1:Q15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3.6640625" style="5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5" width="7.83203125" style="6" bestFit="1" customWidth="1"/>
    <col min="16" max="16" width="8.5" style="6" bestFit="1" customWidth="1"/>
    <col min="17" max="17" width="21.33203125" style="5" customWidth="1"/>
    <col min="18" max="16384" width="9.1640625" style="3"/>
  </cols>
  <sheetData>
    <row r="1" spans="1:17" s="2" customFormat="1" ht="29" customHeight="1">
      <c r="A1" s="57" t="s">
        <v>886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17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10</v>
      </c>
      <c r="H3" s="69"/>
      <c r="I3" s="69"/>
      <c r="J3" s="69"/>
      <c r="K3" s="69" t="s">
        <v>11</v>
      </c>
      <c r="L3" s="69"/>
      <c r="M3" s="69"/>
      <c r="N3" s="69"/>
      <c r="O3" s="51" t="s">
        <v>1</v>
      </c>
      <c r="P3" s="51" t="s">
        <v>3</v>
      </c>
      <c r="Q3" s="53" t="s">
        <v>2</v>
      </c>
    </row>
    <row r="4" spans="1:17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2"/>
      <c r="P4" s="52"/>
      <c r="Q4" s="54"/>
    </row>
    <row r="5" spans="1:17" ht="16">
      <c r="A5" s="55" t="s">
        <v>43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7">
      <c r="A6" s="22" t="s">
        <v>30</v>
      </c>
      <c r="B6" s="7" t="s">
        <v>44</v>
      </c>
      <c r="C6" s="7" t="s">
        <v>45</v>
      </c>
      <c r="D6" s="7" t="s">
        <v>46</v>
      </c>
      <c r="E6" s="8" t="s">
        <v>951</v>
      </c>
      <c r="F6" s="7" t="s">
        <v>921</v>
      </c>
      <c r="G6" s="20" t="s">
        <v>48</v>
      </c>
      <c r="H6" s="21" t="s">
        <v>49</v>
      </c>
      <c r="I6" s="20" t="s">
        <v>49</v>
      </c>
      <c r="J6" s="22"/>
      <c r="K6" s="20" t="s">
        <v>50</v>
      </c>
      <c r="L6" s="20" t="s">
        <v>51</v>
      </c>
      <c r="M6" s="20" t="s">
        <v>52</v>
      </c>
      <c r="N6" s="22"/>
      <c r="O6" s="9" t="str">
        <f>"227,5"</f>
        <v>227,5</v>
      </c>
      <c r="P6" s="9" t="str">
        <f>"254,9593"</f>
        <v>254,9593</v>
      </c>
      <c r="Q6" s="7" t="s">
        <v>945</v>
      </c>
    </row>
    <row r="8" spans="1:17" ht="16">
      <c r="A8" s="45" t="s">
        <v>63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7">
      <c r="A9" s="22" t="s">
        <v>30</v>
      </c>
      <c r="B9" s="7" t="s">
        <v>656</v>
      </c>
      <c r="C9" s="7" t="s">
        <v>780</v>
      </c>
      <c r="D9" s="7" t="s">
        <v>657</v>
      </c>
      <c r="E9" s="8" t="s">
        <v>953</v>
      </c>
      <c r="F9" s="7" t="s">
        <v>658</v>
      </c>
      <c r="G9" s="20" t="s">
        <v>38</v>
      </c>
      <c r="H9" s="20" t="s">
        <v>146</v>
      </c>
      <c r="I9" s="21" t="s">
        <v>201</v>
      </c>
      <c r="J9" s="22"/>
      <c r="K9" s="20" t="s">
        <v>40</v>
      </c>
      <c r="L9" s="20" t="s">
        <v>195</v>
      </c>
      <c r="M9" s="20" t="s">
        <v>103</v>
      </c>
      <c r="N9" s="22"/>
      <c r="O9" s="9" t="str">
        <f>"190,0"</f>
        <v>190,0</v>
      </c>
      <c r="P9" s="9" t="str">
        <f>"179,5967"</f>
        <v>179,5967</v>
      </c>
      <c r="Q9" s="7" t="s">
        <v>659</v>
      </c>
    </row>
    <row r="11" spans="1:17" ht="16">
      <c r="A11" s="45" t="s">
        <v>105</v>
      </c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7">
      <c r="A12" s="22" t="s">
        <v>30</v>
      </c>
      <c r="B12" s="7" t="s">
        <v>660</v>
      </c>
      <c r="C12" s="7" t="s">
        <v>781</v>
      </c>
      <c r="D12" s="7" t="s">
        <v>661</v>
      </c>
      <c r="E12" s="8" t="s">
        <v>959</v>
      </c>
      <c r="F12" s="7" t="s">
        <v>658</v>
      </c>
      <c r="G12" s="20" t="s">
        <v>77</v>
      </c>
      <c r="H12" s="20" t="s">
        <v>139</v>
      </c>
      <c r="I12" s="21" t="s">
        <v>189</v>
      </c>
      <c r="J12" s="22"/>
      <c r="K12" s="20" t="s">
        <v>113</v>
      </c>
      <c r="L12" s="21" t="s">
        <v>114</v>
      </c>
      <c r="M12" s="21" t="s">
        <v>114</v>
      </c>
      <c r="N12" s="22"/>
      <c r="O12" s="9" t="str">
        <f>"310,0"</f>
        <v>310,0</v>
      </c>
      <c r="P12" s="9" t="str">
        <f>"282,2606"</f>
        <v>282,2606</v>
      </c>
      <c r="Q12" s="7" t="s">
        <v>662</v>
      </c>
    </row>
    <row r="14" spans="1:17" ht="16">
      <c r="A14" s="45" t="s">
        <v>288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</row>
    <row r="15" spans="1:17">
      <c r="A15" s="22" t="s">
        <v>30</v>
      </c>
      <c r="B15" s="7" t="s">
        <v>663</v>
      </c>
      <c r="C15" s="7" t="s">
        <v>782</v>
      </c>
      <c r="D15" s="7" t="s">
        <v>664</v>
      </c>
      <c r="E15" s="8" t="s">
        <v>953</v>
      </c>
      <c r="F15" s="7" t="s">
        <v>903</v>
      </c>
      <c r="G15" s="20" t="s">
        <v>84</v>
      </c>
      <c r="H15" s="20" t="s">
        <v>18</v>
      </c>
      <c r="I15" s="20" t="s">
        <v>268</v>
      </c>
      <c r="J15" s="22"/>
      <c r="K15" s="20" t="s">
        <v>70</v>
      </c>
      <c r="L15" s="20" t="s">
        <v>82</v>
      </c>
      <c r="M15" s="20" t="s">
        <v>83</v>
      </c>
      <c r="N15" s="22"/>
      <c r="O15" s="9" t="str">
        <f>"422,5"</f>
        <v>422,5</v>
      </c>
      <c r="P15" s="9" t="str">
        <f>"250,2890"</f>
        <v>250,2890</v>
      </c>
      <c r="Q15" s="7" t="s">
        <v>857</v>
      </c>
    </row>
  </sheetData>
  <mergeCells count="16"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A14:N14"/>
    <mergeCell ref="B3:B4"/>
    <mergeCell ref="O3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B2D64-1B8E-4DE9-A9DF-4A1414299322}">
  <dimension ref="A1:M7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21.5" style="5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1.5" style="5" customWidth="1"/>
    <col min="7" max="9" width="5.5" style="18" customWidth="1"/>
    <col min="10" max="10" width="4.83203125" style="18" customWidth="1"/>
    <col min="11" max="11" width="10.5" style="6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57" t="s">
        <v>887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9</v>
      </c>
      <c r="H3" s="69"/>
      <c r="I3" s="69"/>
      <c r="J3" s="69"/>
      <c r="K3" s="51" t="s">
        <v>381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31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34" t="s">
        <v>30</v>
      </c>
      <c r="B6" s="23" t="s">
        <v>161</v>
      </c>
      <c r="C6" s="23" t="s">
        <v>162</v>
      </c>
      <c r="D6" s="23" t="s">
        <v>163</v>
      </c>
      <c r="E6" s="24" t="s">
        <v>951</v>
      </c>
      <c r="F6" s="23" t="s">
        <v>905</v>
      </c>
      <c r="G6" s="32" t="s">
        <v>76</v>
      </c>
      <c r="H6" s="33" t="s">
        <v>76</v>
      </c>
      <c r="I6" s="33" t="s">
        <v>37</v>
      </c>
      <c r="J6" s="34"/>
      <c r="K6" s="25" t="str">
        <f>"97,5"</f>
        <v>97,5</v>
      </c>
      <c r="L6" s="25" t="str">
        <f>"116,0250"</f>
        <v>116,0250</v>
      </c>
      <c r="M6" s="23" t="s">
        <v>165</v>
      </c>
    </row>
    <row r="7" spans="1:13">
      <c r="A7" s="39" t="s">
        <v>30</v>
      </c>
      <c r="B7" s="29" t="s">
        <v>590</v>
      </c>
      <c r="C7" s="29" t="s">
        <v>783</v>
      </c>
      <c r="D7" s="29" t="s">
        <v>157</v>
      </c>
      <c r="E7" s="30" t="s">
        <v>953</v>
      </c>
      <c r="F7" s="29" t="s">
        <v>907</v>
      </c>
      <c r="G7" s="38" t="s">
        <v>139</v>
      </c>
      <c r="H7" s="38" t="s">
        <v>59</v>
      </c>
      <c r="I7" s="40" t="s">
        <v>213</v>
      </c>
      <c r="J7" s="39"/>
      <c r="K7" s="31" t="str">
        <f>"110,0"</f>
        <v>110,0</v>
      </c>
      <c r="L7" s="31" t="str">
        <f>"130,0731"</f>
        <v>130,0731</v>
      </c>
      <c r="M7" s="29" t="s">
        <v>479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74286-0585-4DED-B196-5B530BE33B46}">
  <dimension ref="A1:M138"/>
  <sheetViews>
    <sheetView topLeftCell="A75" workbookViewId="0">
      <selection activeCell="E116" sqref="E116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3.83203125" style="5" customWidth="1"/>
    <col min="7" max="9" width="5.5" style="18" customWidth="1"/>
    <col min="10" max="10" width="4.83203125" style="18" customWidth="1"/>
    <col min="11" max="11" width="10.5" style="19" bestFit="1" customWidth="1"/>
    <col min="12" max="12" width="8.5" style="6" bestFit="1" customWidth="1"/>
    <col min="13" max="13" width="29.83203125" style="5" bestFit="1" customWidth="1"/>
    <col min="14" max="16384" width="9.1640625" style="3"/>
  </cols>
  <sheetData>
    <row r="1" spans="1:13" s="2" customFormat="1" ht="29" customHeight="1">
      <c r="A1" s="57" t="s">
        <v>888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947</v>
      </c>
      <c r="B3" s="47" t="s">
        <v>0</v>
      </c>
      <c r="C3" s="67" t="s">
        <v>949</v>
      </c>
      <c r="D3" s="67" t="s">
        <v>6</v>
      </c>
      <c r="E3" s="51" t="s">
        <v>950</v>
      </c>
      <c r="F3" s="69" t="s">
        <v>8</v>
      </c>
      <c r="G3" s="69" t="s">
        <v>10</v>
      </c>
      <c r="H3" s="69"/>
      <c r="I3" s="69"/>
      <c r="J3" s="69"/>
      <c r="K3" s="49" t="s">
        <v>381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68"/>
      <c r="D4" s="68"/>
      <c r="E4" s="52"/>
      <c r="F4" s="68"/>
      <c r="G4" s="4">
        <v>1</v>
      </c>
      <c r="H4" s="4">
        <v>2</v>
      </c>
      <c r="I4" s="4">
        <v>3</v>
      </c>
      <c r="J4" s="4" t="s">
        <v>4</v>
      </c>
      <c r="K4" s="50"/>
      <c r="L4" s="52"/>
      <c r="M4" s="54"/>
    </row>
    <row r="5" spans="1:13" ht="16">
      <c r="A5" s="55" t="s">
        <v>131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22" t="s">
        <v>30</v>
      </c>
      <c r="B6" s="7" t="s">
        <v>142</v>
      </c>
      <c r="C6" s="7" t="s">
        <v>143</v>
      </c>
      <c r="D6" s="7" t="s">
        <v>144</v>
      </c>
      <c r="E6" s="8" t="s">
        <v>951</v>
      </c>
      <c r="F6" s="7" t="s">
        <v>903</v>
      </c>
      <c r="G6" s="20" t="s">
        <v>146</v>
      </c>
      <c r="H6" s="20" t="s">
        <v>146</v>
      </c>
      <c r="I6" s="22"/>
      <c r="J6" s="22"/>
      <c r="K6" s="43" t="str">
        <f>"55,0"</f>
        <v>55,0</v>
      </c>
      <c r="L6" s="9" t="str">
        <f>"73,9695"</f>
        <v>73,9695</v>
      </c>
      <c r="M6" s="7" t="s">
        <v>845</v>
      </c>
    </row>
    <row r="8" spans="1:13" ht="16">
      <c r="A8" s="45" t="s">
        <v>147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34" t="s">
        <v>30</v>
      </c>
      <c r="B9" s="23" t="s">
        <v>382</v>
      </c>
      <c r="C9" s="23" t="s">
        <v>383</v>
      </c>
      <c r="D9" s="23" t="s">
        <v>384</v>
      </c>
      <c r="E9" s="24" t="s">
        <v>954</v>
      </c>
      <c r="F9" s="23" t="s">
        <v>923</v>
      </c>
      <c r="G9" s="33" t="s">
        <v>164</v>
      </c>
      <c r="H9" s="32" t="s">
        <v>183</v>
      </c>
      <c r="I9" s="32" t="s">
        <v>183</v>
      </c>
      <c r="J9" s="34"/>
      <c r="K9" s="41" t="str">
        <f>"60,0"</f>
        <v>60,0</v>
      </c>
      <c r="L9" s="25" t="str">
        <f>"75,3600"</f>
        <v>75,3600</v>
      </c>
      <c r="M9" s="23" t="s">
        <v>314</v>
      </c>
    </row>
    <row r="10" spans="1:13">
      <c r="A10" s="36" t="s">
        <v>30</v>
      </c>
      <c r="B10" s="26" t="s">
        <v>385</v>
      </c>
      <c r="C10" s="26" t="s">
        <v>386</v>
      </c>
      <c r="D10" s="26" t="s">
        <v>387</v>
      </c>
      <c r="E10" s="27" t="s">
        <v>951</v>
      </c>
      <c r="F10" s="26" t="s">
        <v>904</v>
      </c>
      <c r="G10" s="35" t="s">
        <v>146</v>
      </c>
      <c r="H10" s="35" t="s">
        <v>201</v>
      </c>
      <c r="I10" s="37" t="s">
        <v>164</v>
      </c>
      <c r="J10" s="36"/>
      <c r="K10" s="44" t="str">
        <f>"57,5"</f>
        <v>57,5</v>
      </c>
      <c r="L10" s="28" t="str">
        <f>"73,9795"</f>
        <v>73,9795</v>
      </c>
      <c r="M10" s="26" t="s">
        <v>945</v>
      </c>
    </row>
    <row r="11" spans="1:13">
      <c r="A11" s="39" t="s">
        <v>299</v>
      </c>
      <c r="B11" s="29" t="s">
        <v>388</v>
      </c>
      <c r="C11" s="29" t="s">
        <v>389</v>
      </c>
      <c r="D11" s="29" t="s">
        <v>216</v>
      </c>
      <c r="E11" s="30" t="s">
        <v>951</v>
      </c>
      <c r="F11" s="29" t="s">
        <v>904</v>
      </c>
      <c r="G11" s="40" t="s">
        <v>183</v>
      </c>
      <c r="H11" s="40" t="s">
        <v>183</v>
      </c>
      <c r="I11" s="39"/>
      <c r="J11" s="39"/>
      <c r="K11" s="42">
        <v>0</v>
      </c>
      <c r="L11" s="31" t="str">
        <f>"0,0000"</f>
        <v>0,0000</v>
      </c>
      <c r="M11" s="29" t="s">
        <v>141</v>
      </c>
    </row>
    <row r="13" spans="1:13" ht="16">
      <c r="A13" s="45" t="s">
        <v>31</v>
      </c>
      <c r="B13" s="45"/>
      <c r="C13" s="46"/>
      <c r="D13" s="46"/>
      <c r="E13" s="46"/>
      <c r="F13" s="46"/>
      <c r="G13" s="46"/>
      <c r="H13" s="46"/>
      <c r="I13" s="46"/>
      <c r="J13" s="46"/>
    </row>
    <row r="14" spans="1:13">
      <c r="A14" s="34" t="s">
        <v>30</v>
      </c>
      <c r="B14" s="23" t="s">
        <v>390</v>
      </c>
      <c r="C14" s="23" t="s">
        <v>391</v>
      </c>
      <c r="D14" s="23" t="s">
        <v>392</v>
      </c>
      <c r="E14" s="24" t="s">
        <v>951</v>
      </c>
      <c r="F14" s="23" t="s">
        <v>904</v>
      </c>
      <c r="G14" s="33" t="s">
        <v>151</v>
      </c>
      <c r="H14" s="33" t="s">
        <v>183</v>
      </c>
      <c r="I14" s="33" t="s">
        <v>152</v>
      </c>
      <c r="J14" s="34"/>
      <c r="K14" s="41" t="str">
        <f>"67,5"</f>
        <v>67,5</v>
      </c>
      <c r="L14" s="25" t="str">
        <f>"79,7580"</f>
        <v>79,7580</v>
      </c>
      <c r="M14" s="23" t="s">
        <v>393</v>
      </c>
    </row>
    <row r="15" spans="1:13">
      <c r="A15" s="36" t="s">
        <v>129</v>
      </c>
      <c r="B15" s="26" t="s">
        <v>394</v>
      </c>
      <c r="C15" s="26" t="s">
        <v>395</v>
      </c>
      <c r="D15" s="26" t="s">
        <v>396</v>
      </c>
      <c r="E15" s="27" t="s">
        <v>951</v>
      </c>
      <c r="F15" s="26" t="s">
        <v>904</v>
      </c>
      <c r="G15" s="35" t="s">
        <v>146</v>
      </c>
      <c r="H15" s="35" t="s">
        <v>164</v>
      </c>
      <c r="I15" s="35" t="s">
        <v>151</v>
      </c>
      <c r="J15" s="36"/>
      <c r="K15" s="44" t="str">
        <f>"62,5"</f>
        <v>62,5</v>
      </c>
      <c r="L15" s="28" t="str">
        <f>"73,7438"</f>
        <v>73,7438</v>
      </c>
      <c r="M15" s="26" t="s">
        <v>221</v>
      </c>
    </row>
    <row r="16" spans="1:13">
      <c r="A16" s="36" t="s">
        <v>130</v>
      </c>
      <c r="B16" s="26" t="s">
        <v>397</v>
      </c>
      <c r="C16" s="26" t="s">
        <v>398</v>
      </c>
      <c r="D16" s="26" t="s">
        <v>399</v>
      </c>
      <c r="E16" s="27" t="s">
        <v>951</v>
      </c>
      <c r="F16" s="26" t="s">
        <v>904</v>
      </c>
      <c r="G16" s="35" t="s">
        <v>38</v>
      </c>
      <c r="H16" s="35" t="s">
        <v>146</v>
      </c>
      <c r="I16" s="36"/>
      <c r="J16" s="36"/>
      <c r="K16" s="44" t="str">
        <f>"55,0"</f>
        <v>55,0</v>
      </c>
      <c r="L16" s="28" t="str">
        <f>"66,4840"</f>
        <v>66,4840</v>
      </c>
      <c r="M16" s="26" t="s">
        <v>945</v>
      </c>
    </row>
    <row r="17" spans="1:13">
      <c r="A17" s="36" t="s">
        <v>297</v>
      </c>
      <c r="B17" s="26" t="s">
        <v>161</v>
      </c>
      <c r="C17" s="26" t="s">
        <v>162</v>
      </c>
      <c r="D17" s="26" t="s">
        <v>163</v>
      </c>
      <c r="E17" s="27" t="s">
        <v>951</v>
      </c>
      <c r="F17" s="26" t="s">
        <v>905</v>
      </c>
      <c r="G17" s="35" t="s">
        <v>146</v>
      </c>
      <c r="H17" s="37" t="s">
        <v>164</v>
      </c>
      <c r="I17" s="37" t="s">
        <v>164</v>
      </c>
      <c r="J17" s="36"/>
      <c r="K17" s="44" t="str">
        <f>"55,0"</f>
        <v>55,0</v>
      </c>
      <c r="L17" s="28" t="str">
        <f>"65,4500"</f>
        <v>65,4500</v>
      </c>
      <c r="M17" s="26" t="s">
        <v>165</v>
      </c>
    </row>
    <row r="18" spans="1:13">
      <c r="A18" s="39" t="s">
        <v>298</v>
      </c>
      <c r="B18" s="29" t="s">
        <v>400</v>
      </c>
      <c r="C18" s="29" t="s">
        <v>401</v>
      </c>
      <c r="D18" s="29" t="s">
        <v>392</v>
      </c>
      <c r="E18" s="30" t="s">
        <v>951</v>
      </c>
      <c r="F18" s="29" t="s">
        <v>904</v>
      </c>
      <c r="G18" s="38" t="s">
        <v>38</v>
      </c>
      <c r="H18" s="38" t="s">
        <v>146</v>
      </c>
      <c r="I18" s="40" t="s">
        <v>151</v>
      </c>
      <c r="J18" s="39"/>
      <c r="K18" s="42" t="str">
        <f>"55,0"</f>
        <v>55,0</v>
      </c>
      <c r="L18" s="31" t="str">
        <f>"64,9880"</f>
        <v>64,9880</v>
      </c>
      <c r="M18" s="29" t="s">
        <v>317</v>
      </c>
    </row>
    <row r="20" spans="1:13" ht="16">
      <c r="A20" s="45" t="s">
        <v>43</v>
      </c>
      <c r="B20" s="45"/>
      <c r="C20" s="46"/>
      <c r="D20" s="46"/>
      <c r="E20" s="46"/>
      <c r="F20" s="46"/>
      <c r="G20" s="46"/>
      <c r="H20" s="46"/>
      <c r="I20" s="46"/>
      <c r="J20" s="46"/>
    </row>
    <row r="21" spans="1:13">
      <c r="A21" s="22" t="s">
        <v>30</v>
      </c>
      <c r="B21" s="7" t="s">
        <v>402</v>
      </c>
      <c r="C21" s="7" t="s">
        <v>403</v>
      </c>
      <c r="D21" s="7" t="s">
        <v>220</v>
      </c>
      <c r="E21" s="8" t="s">
        <v>954</v>
      </c>
      <c r="F21" s="7" t="s">
        <v>915</v>
      </c>
      <c r="G21" s="20" t="s">
        <v>39</v>
      </c>
      <c r="H21" s="20" t="s">
        <v>201</v>
      </c>
      <c r="I21" s="20" t="s">
        <v>164</v>
      </c>
      <c r="J21" s="22"/>
      <c r="K21" s="43" t="str">
        <f>"60,0"</f>
        <v>60,0</v>
      </c>
      <c r="L21" s="9" t="str">
        <f>"66,8940"</f>
        <v>66,8940</v>
      </c>
      <c r="M21" s="7" t="s">
        <v>858</v>
      </c>
    </row>
    <row r="23" spans="1:13" ht="16">
      <c r="A23" s="45" t="s">
        <v>53</v>
      </c>
      <c r="B23" s="45"/>
      <c r="C23" s="46"/>
      <c r="D23" s="46"/>
      <c r="E23" s="46"/>
      <c r="F23" s="46"/>
      <c r="G23" s="46"/>
      <c r="H23" s="46"/>
      <c r="I23" s="46"/>
      <c r="J23" s="46"/>
    </row>
    <row r="24" spans="1:13">
      <c r="A24" s="34" t="s">
        <v>30</v>
      </c>
      <c r="B24" s="23" t="s">
        <v>404</v>
      </c>
      <c r="C24" s="23" t="s">
        <v>405</v>
      </c>
      <c r="D24" s="23" t="s">
        <v>406</v>
      </c>
      <c r="E24" s="24" t="s">
        <v>951</v>
      </c>
      <c r="F24" s="23" t="s">
        <v>923</v>
      </c>
      <c r="G24" s="33" t="s">
        <v>135</v>
      </c>
      <c r="H24" s="33" t="s">
        <v>35</v>
      </c>
      <c r="I24" s="33" t="s">
        <v>169</v>
      </c>
      <c r="J24" s="34"/>
      <c r="K24" s="41" t="str">
        <f>"85,0"</f>
        <v>85,0</v>
      </c>
      <c r="L24" s="25" t="str">
        <f>"93,9165"</f>
        <v>93,9165</v>
      </c>
      <c r="M24" s="23" t="s">
        <v>314</v>
      </c>
    </row>
    <row r="25" spans="1:13">
      <c r="A25" s="36" t="s">
        <v>129</v>
      </c>
      <c r="B25" s="26" t="s">
        <v>407</v>
      </c>
      <c r="C25" s="26" t="s">
        <v>408</v>
      </c>
      <c r="D25" s="26" t="s">
        <v>409</v>
      </c>
      <c r="E25" s="27" t="s">
        <v>951</v>
      </c>
      <c r="F25" s="26" t="s">
        <v>904</v>
      </c>
      <c r="G25" s="35" t="s">
        <v>183</v>
      </c>
      <c r="H25" s="35" t="s">
        <v>152</v>
      </c>
      <c r="I25" s="37" t="s">
        <v>48</v>
      </c>
      <c r="J25" s="36"/>
      <c r="K25" s="44" t="str">
        <f>"67,5"</f>
        <v>67,5</v>
      </c>
      <c r="L25" s="28" t="str">
        <f>"69,4845"</f>
        <v>69,4845</v>
      </c>
      <c r="M25" s="26" t="s">
        <v>410</v>
      </c>
    </row>
    <row r="26" spans="1:13">
      <c r="A26" s="36" t="s">
        <v>30</v>
      </c>
      <c r="B26" s="26" t="s">
        <v>404</v>
      </c>
      <c r="C26" s="26" t="s">
        <v>784</v>
      </c>
      <c r="D26" s="26" t="s">
        <v>406</v>
      </c>
      <c r="E26" s="27" t="s">
        <v>956</v>
      </c>
      <c r="F26" s="26" t="s">
        <v>923</v>
      </c>
      <c r="G26" s="35" t="s">
        <v>135</v>
      </c>
      <c r="H26" s="35" t="s">
        <v>35</v>
      </c>
      <c r="I26" s="35" t="s">
        <v>169</v>
      </c>
      <c r="J26" s="36"/>
      <c r="K26" s="44" t="str">
        <f>"85,0"</f>
        <v>85,0</v>
      </c>
      <c r="L26" s="28" t="str">
        <f>"101,2420"</f>
        <v>101,2420</v>
      </c>
      <c r="M26" s="26" t="s">
        <v>314</v>
      </c>
    </row>
    <row r="27" spans="1:13">
      <c r="A27" s="36" t="s">
        <v>129</v>
      </c>
      <c r="B27" s="26" t="s">
        <v>411</v>
      </c>
      <c r="C27" s="26" t="s">
        <v>785</v>
      </c>
      <c r="D27" s="26" t="s">
        <v>412</v>
      </c>
      <c r="E27" s="27" t="s">
        <v>956</v>
      </c>
      <c r="F27" s="26" t="s">
        <v>924</v>
      </c>
      <c r="G27" s="35" t="s">
        <v>49</v>
      </c>
      <c r="H27" s="37" t="s">
        <v>135</v>
      </c>
      <c r="I27" s="37" t="s">
        <v>135</v>
      </c>
      <c r="J27" s="36"/>
      <c r="K27" s="44" t="str">
        <f>"75,0"</f>
        <v>75,0</v>
      </c>
      <c r="L27" s="28" t="str">
        <f>"85,2078"</f>
        <v>85,2078</v>
      </c>
      <c r="M27" s="26" t="s">
        <v>859</v>
      </c>
    </row>
    <row r="28" spans="1:13">
      <c r="A28" s="39" t="s">
        <v>30</v>
      </c>
      <c r="B28" s="29" t="s">
        <v>413</v>
      </c>
      <c r="C28" s="29" t="s">
        <v>786</v>
      </c>
      <c r="D28" s="29" t="s">
        <v>414</v>
      </c>
      <c r="E28" s="30" t="s">
        <v>958</v>
      </c>
      <c r="F28" s="29" t="s">
        <v>904</v>
      </c>
      <c r="G28" s="40" t="s">
        <v>158</v>
      </c>
      <c r="H28" s="38" t="s">
        <v>158</v>
      </c>
      <c r="I28" s="38" t="s">
        <v>38</v>
      </c>
      <c r="J28" s="39"/>
      <c r="K28" s="42" t="str">
        <f>"50,0"</f>
        <v>50,0</v>
      </c>
      <c r="L28" s="31" t="str">
        <f>"61,0248"</f>
        <v>61,0248</v>
      </c>
      <c r="M28" s="29" t="s">
        <v>410</v>
      </c>
    </row>
    <row r="30" spans="1:13" ht="16">
      <c r="A30" s="45" t="s">
        <v>206</v>
      </c>
      <c r="B30" s="45"/>
      <c r="C30" s="46"/>
      <c r="D30" s="46"/>
      <c r="E30" s="46"/>
      <c r="F30" s="46"/>
      <c r="G30" s="46"/>
      <c r="H30" s="46"/>
      <c r="I30" s="46"/>
      <c r="J30" s="46"/>
    </row>
    <row r="31" spans="1:13">
      <c r="A31" s="34" t="s">
        <v>30</v>
      </c>
      <c r="B31" s="23" t="s">
        <v>415</v>
      </c>
      <c r="C31" s="23" t="s">
        <v>787</v>
      </c>
      <c r="D31" s="23" t="s">
        <v>416</v>
      </c>
      <c r="E31" s="24" t="s">
        <v>956</v>
      </c>
      <c r="F31" s="23" t="s">
        <v>904</v>
      </c>
      <c r="G31" s="33" t="s">
        <v>146</v>
      </c>
      <c r="H31" s="33" t="s">
        <v>164</v>
      </c>
      <c r="I31" s="32" t="s">
        <v>151</v>
      </c>
      <c r="J31" s="34"/>
      <c r="K31" s="41" t="str">
        <f>"60,0"</f>
        <v>60,0</v>
      </c>
      <c r="L31" s="25" t="str">
        <f>"64,0634"</f>
        <v>64,0634</v>
      </c>
      <c r="M31" s="23" t="s">
        <v>945</v>
      </c>
    </row>
    <row r="32" spans="1:13">
      <c r="A32" s="39" t="s">
        <v>30</v>
      </c>
      <c r="B32" s="29" t="s">
        <v>417</v>
      </c>
      <c r="C32" s="29" t="s">
        <v>788</v>
      </c>
      <c r="D32" s="29" t="s">
        <v>418</v>
      </c>
      <c r="E32" s="30" t="s">
        <v>959</v>
      </c>
      <c r="F32" s="29" t="s">
        <v>923</v>
      </c>
      <c r="G32" s="38" t="s">
        <v>158</v>
      </c>
      <c r="H32" s="38" t="s">
        <v>39</v>
      </c>
      <c r="I32" s="40" t="s">
        <v>146</v>
      </c>
      <c r="J32" s="39"/>
      <c r="K32" s="42" t="str">
        <f>"52,5"</f>
        <v>52,5</v>
      </c>
      <c r="L32" s="31" t="str">
        <f>"69,1680"</f>
        <v>69,1680</v>
      </c>
      <c r="M32" s="29" t="s">
        <v>314</v>
      </c>
    </row>
    <row r="34" spans="1:13" ht="16">
      <c r="A34" s="45" t="s">
        <v>147</v>
      </c>
      <c r="B34" s="45"/>
      <c r="C34" s="46"/>
      <c r="D34" s="46"/>
      <c r="E34" s="46"/>
      <c r="F34" s="46"/>
      <c r="G34" s="46"/>
      <c r="H34" s="46"/>
      <c r="I34" s="46"/>
      <c r="J34" s="46"/>
    </row>
    <row r="35" spans="1:13">
      <c r="A35" s="22" t="s">
        <v>30</v>
      </c>
      <c r="B35" s="7" t="s">
        <v>419</v>
      </c>
      <c r="C35" s="7" t="s">
        <v>420</v>
      </c>
      <c r="D35" s="7" t="s">
        <v>421</v>
      </c>
      <c r="E35" s="8" t="s">
        <v>954</v>
      </c>
      <c r="F35" s="7" t="s">
        <v>925</v>
      </c>
      <c r="G35" s="20" t="s">
        <v>154</v>
      </c>
      <c r="H35" s="20" t="s">
        <v>158</v>
      </c>
      <c r="I35" s="21" t="s">
        <v>39</v>
      </c>
      <c r="J35" s="22"/>
      <c r="K35" s="43" t="str">
        <f>"47,5"</f>
        <v>47,5</v>
      </c>
      <c r="L35" s="9" t="str">
        <f>"48,6020"</f>
        <v>48,6020</v>
      </c>
      <c r="M35" s="7" t="s">
        <v>860</v>
      </c>
    </row>
    <row r="37" spans="1:13" ht="16">
      <c r="A37" s="45" t="s">
        <v>43</v>
      </c>
      <c r="B37" s="45"/>
      <c r="C37" s="46"/>
      <c r="D37" s="46"/>
      <c r="E37" s="46"/>
      <c r="F37" s="46"/>
      <c r="G37" s="46"/>
      <c r="H37" s="46"/>
      <c r="I37" s="46"/>
      <c r="J37" s="46"/>
    </row>
    <row r="38" spans="1:13">
      <c r="A38" s="34" t="s">
        <v>30</v>
      </c>
      <c r="B38" s="23" t="s">
        <v>422</v>
      </c>
      <c r="C38" s="23" t="s">
        <v>423</v>
      </c>
      <c r="D38" s="23" t="s">
        <v>178</v>
      </c>
      <c r="E38" s="24" t="s">
        <v>954</v>
      </c>
      <c r="F38" s="23" t="s">
        <v>924</v>
      </c>
      <c r="G38" s="33" t="s">
        <v>48</v>
      </c>
      <c r="H38" s="33" t="s">
        <v>184</v>
      </c>
      <c r="I38" s="33" t="s">
        <v>49</v>
      </c>
      <c r="J38" s="34"/>
      <c r="K38" s="41" t="str">
        <f>"75,0"</f>
        <v>75,0</v>
      </c>
      <c r="L38" s="25" t="str">
        <f>"65,1675"</f>
        <v>65,1675</v>
      </c>
      <c r="M38" s="23" t="s">
        <v>859</v>
      </c>
    </row>
    <row r="39" spans="1:13">
      <c r="A39" s="39" t="s">
        <v>30</v>
      </c>
      <c r="B39" s="29" t="s">
        <v>424</v>
      </c>
      <c r="C39" s="29" t="s">
        <v>789</v>
      </c>
      <c r="D39" s="29" t="s">
        <v>425</v>
      </c>
      <c r="E39" s="30" t="s">
        <v>952</v>
      </c>
      <c r="F39" s="29" t="s">
        <v>904</v>
      </c>
      <c r="G39" s="38" t="s">
        <v>170</v>
      </c>
      <c r="H39" s="38" t="s">
        <v>37</v>
      </c>
      <c r="I39" s="38" t="s">
        <v>77</v>
      </c>
      <c r="J39" s="39"/>
      <c r="K39" s="42" t="str">
        <f>"100,0"</f>
        <v>100,0</v>
      </c>
      <c r="L39" s="31" t="str">
        <f>"86,3500"</f>
        <v>86,3500</v>
      </c>
      <c r="M39" s="29" t="s">
        <v>393</v>
      </c>
    </row>
    <row r="41" spans="1:13" ht="16">
      <c r="A41" s="45" t="s">
        <v>53</v>
      </c>
      <c r="B41" s="45"/>
      <c r="C41" s="46"/>
      <c r="D41" s="46"/>
      <c r="E41" s="46"/>
      <c r="F41" s="46"/>
      <c r="G41" s="46"/>
      <c r="H41" s="46"/>
      <c r="I41" s="46"/>
      <c r="J41" s="46"/>
    </row>
    <row r="42" spans="1:13">
      <c r="A42" s="34" t="s">
        <v>30</v>
      </c>
      <c r="B42" s="23" t="s">
        <v>426</v>
      </c>
      <c r="C42" s="23" t="s">
        <v>427</v>
      </c>
      <c r="D42" s="23" t="s">
        <v>428</v>
      </c>
      <c r="E42" s="24" t="s">
        <v>954</v>
      </c>
      <c r="F42" s="23" t="s">
        <v>923</v>
      </c>
      <c r="G42" s="33" t="s">
        <v>169</v>
      </c>
      <c r="H42" s="33" t="s">
        <v>170</v>
      </c>
      <c r="I42" s="32" t="s">
        <v>36</v>
      </c>
      <c r="J42" s="34"/>
      <c r="K42" s="41" t="str">
        <f>"90,0"</f>
        <v>90,0</v>
      </c>
      <c r="L42" s="25" t="str">
        <f>"70,1460"</f>
        <v>70,1460</v>
      </c>
      <c r="M42" s="23" t="s">
        <v>314</v>
      </c>
    </row>
    <row r="43" spans="1:13">
      <c r="A43" s="36" t="s">
        <v>129</v>
      </c>
      <c r="B43" s="26" t="s">
        <v>429</v>
      </c>
      <c r="C43" s="26" t="s">
        <v>430</v>
      </c>
      <c r="D43" s="26" t="s">
        <v>431</v>
      </c>
      <c r="E43" s="27" t="s">
        <v>954</v>
      </c>
      <c r="F43" s="26" t="s">
        <v>923</v>
      </c>
      <c r="G43" s="35" t="s">
        <v>183</v>
      </c>
      <c r="H43" s="37" t="s">
        <v>152</v>
      </c>
      <c r="I43" s="37" t="s">
        <v>152</v>
      </c>
      <c r="J43" s="36"/>
      <c r="K43" s="44" t="str">
        <f>"65,0"</f>
        <v>65,0</v>
      </c>
      <c r="L43" s="28" t="str">
        <f>"52,7215"</f>
        <v>52,7215</v>
      </c>
      <c r="M43" s="26" t="s">
        <v>861</v>
      </c>
    </row>
    <row r="44" spans="1:13">
      <c r="A44" s="36" t="s">
        <v>30</v>
      </c>
      <c r="B44" s="26" t="s">
        <v>432</v>
      </c>
      <c r="C44" s="26" t="s">
        <v>433</v>
      </c>
      <c r="D44" s="26" t="s">
        <v>434</v>
      </c>
      <c r="E44" s="27" t="s">
        <v>951</v>
      </c>
      <c r="F44" s="26" t="s">
        <v>904</v>
      </c>
      <c r="G44" s="35" t="s">
        <v>189</v>
      </c>
      <c r="H44" s="35" t="s">
        <v>59</v>
      </c>
      <c r="I44" s="37" t="s">
        <v>140</v>
      </c>
      <c r="J44" s="36"/>
      <c r="K44" s="44" t="str">
        <f>"110,0"</f>
        <v>110,0</v>
      </c>
      <c r="L44" s="28" t="str">
        <f>"86,0530"</f>
        <v>86,0530</v>
      </c>
      <c r="M44" s="26" t="s">
        <v>862</v>
      </c>
    </row>
    <row r="45" spans="1:13">
      <c r="A45" s="39" t="s">
        <v>129</v>
      </c>
      <c r="B45" s="29" t="s">
        <v>435</v>
      </c>
      <c r="C45" s="29" t="s">
        <v>436</v>
      </c>
      <c r="D45" s="29" t="s">
        <v>437</v>
      </c>
      <c r="E45" s="30" t="s">
        <v>951</v>
      </c>
      <c r="F45" s="29" t="s">
        <v>904</v>
      </c>
      <c r="G45" s="40" t="s">
        <v>170</v>
      </c>
      <c r="H45" s="38" t="s">
        <v>170</v>
      </c>
      <c r="I45" s="40" t="s">
        <v>189</v>
      </c>
      <c r="J45" s="39"/>
      <c r="K45" s="42" t="str">
        <f>"90,0"</f>
        <v>90,0</v>
      </c>
      <c r="L45" s="31" t="str">
        <f>"75,0690"</f>
        <v>75,0690</v>
      </c>
      <c r="M45" s="29" t="s">
        <v>945</v>
      </c>
    </row>
    <row r="47" spans="1:13" ht="16">
      <c r="A47" s="45" t="s">
        <v>206</v>
      </c>
      <c r="B47" s="45"/>
      <c r="C47" s="46"/>
      <c r="D47" s="46"/>
      <c r="E47" s="46"/>
      <c r="F47" s="46"/>
      <c r="G47" s="46"/>
      <c r="H47" s="46"/>
      <c r="I47" s="46"/>
      <c r="J47" s="46"/>
    </row>
    <row r="48" spans="1:13">
      <c r="A48" s="34" t="s">
        <v>30</v>
      </c>
      <c r="B48" s="23" t="s">
        <v>438</v>
      </c>
      <c r="C48" s="23" t="s">
        <v>439</v>
      </c>
      <c r="D48" s="23" t="s">
        <v>440</v>
      </c>
      <c r="E48" s="24" t="s">
        <v>954</v>
      </c>
      <c r="F48" s="23" t="s">
        <v>923</v>
      </c>
      <c r="G48" s="33" t="s">
        <v>49</v>
      </c>
      <c r="H48" s="32" t="s">
        <v>135</v>
      </c>
      <c r="I48" s="32" t="s">
        <v>135</v>
      </c>
      <c r="J48" s="34"/>
      <c r="K48" s="41" t="str">
        <f>"75,0"</f>
        <v>75,0</v>
      </c>
      <c r="L48" s="25" t="str">
        <f>"53,9475"</f>
        <v>53,9475</v>
      </c>
      <c r="M48" s="23" t="s">
        <v>314</v>
      </c>
    </row>
    <row r="49" spans="1:13">
      <c r="A49" s="36" t="s">
        <v>30</v>
      </c>
      <c r="B49" s="26" t="s">
        <v>441</v>
      </c>
      <c r="C49" s="26" t="s">
        <v>790</v>
      </c>
      <c r="D49" s="26" t="s">
        <v>442</v>
      </c>
      <c r="E49" s="27" t="s">
        <v>952</v>
      </c>
      <c r="F49" s="26" t="s">
        <v>923</v>
      </c>
      <c r="G49" s="35" t="s">
        <v>59</v>
      </c>
      <c r="H49" s="37" t="s">
        <v>40</v>
      </c>
      <c r="I49" s="35" t="s">
        <v>40</v>
      </c>
      <c r="J49" s="36"/>
      <c r="K49" s="44" t="str">
        <f>"117,5"</f>
        <v>117,5</v>
      </c>
      <c r="L49" s="28" t="str">
        <f>"84,4355"</f>
        <v>84,4355</v>
      </c>
      <c r="M49" s="26" t="s">
        <v>393</v>
      </c>
    </row>
    <row r="50" spans="1:13">
      <c r="A50" s="36" t="s">
        <v>30</v>
      </c>
      <c r="B50" s="26" t="s">
        <v>443</v>
      </c>
      <c r="C50" s="26" t="s">
        <v>444</v>
      </c>
      <c r="D50" s="26" t="s">
        <v>445</v>
      </c>
      <c r="E50" s="27" t="s">
        <v>951</v>
      </c>
      <c r="F50" s="26" t="s">
        <v>926</v>
      </c>
      <c r="G50" s="35" t="s">
        <v>190</v>
      </c>
      <c r="H50" s="37" t="s">
        <v>99</v>
      </c>
      <c r="I50" s="35" t="s">
        <v>99</v>
      </c>
      <c r="J50" s="36"/>
      <c r="K50" s="44" t="str">
        <f>"145,0"</f>
        <v>145,0</v>
      </c>
      <c r="L50" s="28" t="str">
        <f>"103,5155"</f>
        <v>103,5155</v>
      </c>
      <c r="M50" s="26" t="s">
        <v>945</v>
      </c>
    </row>
    <row r="51" spans="1:13">
      <c r="A51" s="36" t="s">
        <v>129</v>
      </c>
      <c r="B51" s="26" t="s">
        <v>446</v>
      </c>
      <c r="C51" s="26" t="s">
        <v>447</v>
      </c>
      <c r="D51" s="26" t="s">
        <v>448</v>
      </c>
      <c r="E51" s="27" t="s">
        <v>951</v>
      </c>
      <c r="F51" s="26" t="s">
        <v>904</v>
      </c>
      <c r="G51" s="35" t="s">
        <v>74</v>
      </c>
      <c r="H51" s="37" t="s">
        <v>75</v>
      </c>
      <c r="I51" s="37" t="s">
        <v>75</v>
      </c>
      <c r="J51" s="36"/>
      <c r="K51" s="44" t="str">
        <f>"140,0"</f>
        <v>140,0</v>
      </c>
      <c r="L51" s="28" t="str">
        <f>"100,1280"</f>
        <v>100,1280</v>
      </c>
      <c r="M51" s="26" t="s">
        <v>945</v>
      </c>
    </row>
    <row r="52" spans="1:13">
      <c r="A52" s="36" t="s">
        <v>130</v>
      </c>
      <c r="B52" s="26" t="s">
        <v>449</v>
      </c>
      <c r="C52" s="26" t="s">
        <v>450</v>
      </c>
      <c r="D52" s="26" t="s">
        <v>442</v>
      </c>
      <c r="E52" s="27" t="s">
        <v>951</v>
      </c>
      <c r="F52" s="26" t="s">
        <v>906</v>
      </c>
      <c r="G52" s="35" t="s">
        <v>159</v>
      </c>
      <c r="H52" s="37" t="s">
        <v>194</v>
      </c>
      <c r="I52" s="37" t="s">
        <v>194</v>
      </c>
      <c r="J52" s="36"/>
      <c r="K52" s="44" t="str">
        <f>"120,0"</f>
        <v>120,0</v>
      </c>
      <c r="L52" s="28" t="str">
        <f>"86,2320"</f>
        <v>86,2320</v>
      </c>
      <c r="M52" s="26" t="s">
        <v>171</v>
      </c>
    </row>
    <row r="53" spans="1:13">
      <c r="A53" s="36" t="s">
        <v>297</v>
      </c>
      <c r="B53" s="26" t="s">
        <v>451</v>
      </c>
      <c r="C53" s="26" t="s">
        <v>452</v>
      </c>
      <c r="D53" s="26" t="s">
        <v>453</v>
      </c>
      <c r="E53" s="27" t="s">
        <v>951</v>
      </c>
      <c r="F53" s="26" t="s">
        <v>904</v>
      </c>
      <c r="G53" s="37" t="s">
        <v>59</v>
      </c>
      <c r="H53" s="35" t="s">
        <v>59</v>
      </c>
      <c r="I53" s="35" t="s">
        <v>40</v>
      </c>
      <c r="J53" s="36"/>
      <c r="K53" s="44" t="str">
        <f>"117,5"</f>
        <v>117,5</v>
      </c>
      <c r="L53" s="28" t="str">
        <f>"84,8468"</f>
        <v>84,8468</v>
      </c>
      <c r="M53" s="26" t="s">
        <v>945</v>
      </c>
    </row>
    <row r="54" spans="1:13">
      <c r="A54" s="36" t="s">
        <v>298</v>
      </c>
      <c r="B54" s="26" t="s">
        <v>454</v>
      </c>
      <c r="C54" s="26" t="s">
        <v>455</v>
      </c>
      <c r="D54" s="26" t="s">
        <v>456</v>
      </c>
      <c r="E54" s="27" t="s">
        <v>951</v>
      </c>
      <c r="F54" s="26" t="s">
        <v>903</v>
      </c>
      <c r="G54" s="35" t="s">
        <v>49</v>
      </c>
      <c r="H54" s="35" t="s">
        <v>145</v>
      </c>
      <c r="I54" s="35" t="s">
        <v>169</v>
      </c>
      <c r="J54" s="36"/>
      <c r="K54" s="44" t="str">
        <f>"85,0"</f>
        <v>85,0</v>
      </c>
      <c r="L54" s="28" t="str">
        <f>"63,4865"</f>
        <v>63,4865</v>
      </c>
      <c r="M54" s="26" t="s">
        <v>849</v>
      </c>
    </row>
    <row r="55" spans="1:13">
      <c r="A55" s="36" t="s">
        <v>30</v>
      </c>
      <c r="B55" s="26" t="s">
        <v>457</v>
      </c>
      <c r="C55" s="26" t="s">
        <v>791</v>
      </c>
      <c r="D55" s="26" t="s">
        <v>326</v>
      </c>
      <c r="E55" s="27" t="s">
        <v>953</v>
      </c>
      <c r="F55" s="26" t="s">
        <v>904</v>
      </c>
      <c r="G55" s="35" t="s">
        <v>189</v>
      </c>
      <c r="H55" s="35" t="s">
        <v>59</v>
      </c>
      <c r="I55" s="37" t="s">
        <v>213</v>
      </c>
      <c r="J55" s="36"/>
      <c r="K55" s="44" t="str">
        <f>"110,0"</f>
        <v>110,0</v>
      </c>
      <c r="L55" s="28" t="str">
        <f>"83,4198"</f>
        <v>83,4198</v>
      </c>
      <c r="M55" s="26" t="s">
        <v>846</v>
      </c>
    </row>
    <row r="56" spans="1:13">
      <c r="A56" s="36" t="s">
        <v>30</v>
      </c>
      <c r="B56" s="26" t="s">
        <v>458</v>
      </c>
      <c r="C56" s="26" t="s">
        <v>792</v>
      </c>
      <c r="D56" s="26" t="s">
        <v>453</v>
      </c>
      <c r="E56" s="27" t="s">
        <v>956</v>
      </c>
      <c r="F56" s="26" t="s">
        <v>927</v>
      </c>
      <c r="G56" s="35" t="s">
        <v>159</v>
      </c>
      <c r="H56" s="35" t="s">
        <v>47</v>
      </c>
      <c r="I56" s="37" t="s">
        <v>195</v>
      </c>
      <c r="J56" s="36"/>
      <c r="K56" s="44" t="str">
        <f>"127,5"</f>
        <v>127,5</v>
      </c>
      <c r="L56" s="28" t="str">
        <f>"99,2490"</f>
        <v>99,2490</v>
      </c>
      <c r="M56" s="26" t="s">
        <v>945</v>
      </c>
    </row>
    <row r="57" spans="1:13">
      <c r="A57" s="36" t="s">
        <v>299</v>
      </c>
      <c r="B57" s="26" t="s">
        <v>459</v>
      </c>
      <c r="C57" s="26" t="s">
        <v>793</v>
      </c>
      <c r="D57" s="26" t="s">
        <v>460</v>
      </c>
      <c r="E57" s="27" t="s">
        <v>956</v>
      </c>
      <c r="F57" s="26" t="s">
        <v>904</v>
      </c>
      <c r="G57" s="37" t="s">
        <v>59</v>
      </c>
      <c r="H57" s="37" t="s">
        <v>59</v>
      </c>
      <c r="I57" s="36"/>
      <c r="J57" s="36"/>
      <c r="K57" s="44">
        <v>0</v>
      </c>
      <c r="L57" s="28" t="str">
        <f>"0,0000"</f>
        <v>0,0000</v>
      </c>
      <c r="M57" s="26" t="s">
        <v>863</v>
      </c>
    </row>
    <row r="58" spans="1:13">
      <c r="A58" s="39" t="s">
        <v>30</v>
      </c>
      <c r="B58" s="29" t="s">
        <v>461</v>
      </c>
      <c r="C58" s="29" t="s">
        <v>794</v>
      </c>
      <c r="D58" s="29" t="s">
        <v>462</v>
      </c>
      <c r="E58" s="30" t="s">
        <v>960</v>
      </c>
      <c r="F58" s="29" t="s">
        <v>926</v>
      </c>
      <c r="G58" s="38" t="s">
        <v>139</v>
      </c>
      <c r="H58" s="40" t="s">
        <v>140</v>
      </c>
      <c r="I58" s="40" t="s">
        <v>140</v>
      </c>
      <c r="J58" s="39"/>
      <c r="K58" s="42" t="str">
        <f>"105,0"</f>
        <v>105,0</v>
      </c>
      <c r="L58" s="31" t="str">
        <f>"130,3050"</f>
        <v>130,3050</v>
      </c>
      <c r="M58" s="29" t="s">
        <v>945</v>
      </c>
    </row>
    <row r="60" spans="1:13" ht="16">
      <c r="A60" s="45" t="s">
        <v>63</v>
      </c>
      <c r="B60" s="45"/>
      <c r="C60" s="46"/>
      <c r="D60" s="46"/>
      <c r="E60" s="46"/>
      <c r="F60" s="46"/>
      <c r="G60" s="46"/>
      <c r="H60" s="46"/>
      <c r="I60" s="46"/>
      <c r="J60" s="46"/>
    </row>
    <row r="61" spans="1:13">
      <c r="A61" s="34" t="s">
        <v>30</v>
      </c>
      <c r="B61" s="23" t="s">
        <v>463</v>
      </c>
      <c r="C61" s="23" t="s">
        <v>464</v>
      </c>
      <c r="D61" s="23" t="s">
        <v>465</v>
      </c>
      <c r="E61" s="24" t="s">
        <v>954</v>
      </c>
      <c r="F61" s="23" t="s">
        <v>923</v>
      </c>
      <c r="G61" s="33" t="s">
        <v>51</v>
      </c>
      <c r="H61" s="32" t="s">
        <v>91</v>
      </c>
      <c r="I61" s="32" t="s">
        <v>91</v>
      </c>
      <c r="J61" s="34"/>
      <c r="K61" s="41" t="str">
        <f>"147,5"</f>
        <v>147,5</v>
      </c>
      <c r="L61" s="25" t="str">
        <f>"101,1850"</f>
        <v>101,1850</v>
      </c>
      <c r="M61" s="23" t="s">
        <v>314</v>
      </c>
    </row>
    <row r="62" spans="1:13">
      <c r="A62" s="36" t="s">
        <v>30</v>
      </c>
      <c r="B62" s="26" t="s">
        <v>466</v>
      </c>
      <c r="C62" s="26" t="s">
        <v>795</v>
      </c>
      <c r="D62" s="26" t="s">
        <v>467</v>
      </c>
      <c r="E62" s="27" t="s">
        <v>952</v>
      </c>
      <c r="F62" s="26" t="s">
        <v>928</v>
      </c>
      <c r="G62" s="35" t="s">
        <v>159</v>
      </c>
      <c r="H62" s="35" t="s">
        <v>47</v>
      </c>
      <c r="I62" s="35" t="s">
        <v>103</v>
      </c>
      <c r="J62" s="36"/>
      <c r="K62" s="44" t="str">
        <f>"135,0"</f>
        <v>135,0</v>
      </c>
      <c r="L62" s="28" t="str">
        <f>"92,9880"</f>
        <v>92,9880</v>
      </c>
      <c r="M62" s="26" t="s">
        <v>945</v>
      </c>
    </row>
    <row r="63" spans="1:13">
      <c r="A63" s="36" t="s">
        <v>129</v>
      </c>
      <c r="B63" s="26" t="s">
        <v>468</v>
      </c>
      <c r="C63" s="26" t="s">
        <v>796</v>
      </c>
      <c r="D63" s="26" t="s">
        <v>469</v>
      </c>
      <c r="E63" s="27" t="s">
        <v>952</v>
      </c>
      <c r="F63" s="26" t="s">
        <v>904</v>
      </c>
      <c r="G63" s="35" t="s">
        <v>59</v>
      </c>
      <c r="H63" s="37" t="s">
        <v>213</v>
      </c>
      <c r="I63" s="37" t="s">
        <v>213</v>
      </c>
      <c r="J63" s="36"/>
      <c r="K63" s="44" t="str">
        <f>"110,0"</f>
        <v>110,0</v>
      </c>
      <c r="L63" s="28" t="str">
        <f>"74,4590"</f>
        <v>74,4590</v>
      </c>
      <c r="M63" s="26" t="s">
        <v>945</v>
      </c>
    </row>
    <row r="64" spans="1:13">
      <c r="A64" s="36" t="s">
        <v>30</v>
      </c>
      <c r="B64" s="26" t="s">
        <v>470</v>
      </c>
      <c r="C64" s="26" t="s">
        <v>471</v>
      </c>
      <c r="D64" s="26" t="s">
        <v>73</v>
      </c>
      <c r="E64" s="27" t="s">
        <v>951</v>
      </c>
      <c r="F64" s="26" t="s">
        <v>903</v>
      </c>
      <c r="G64" s="35" t="s">
        <v>116</v>
      </c>
      <c r="H64" s="35" t="s">
        <v>58</v>
      </c>
      <c r="I64" s="35" t="s">
        <v>84</v>
      </c>
      <c r="J64" s="36"/>
      <c r="K64" s="44" t="str">
        <f>"175,0"</f>
        <v>175,0</v>
      </c>
      <c r="L64" s="28" t="str">
        <f>"117,7575"</f>
        <v>117,7575</v>
      </c>
      <c r="M64" s="26" t="s">
        <v>864</v>
      </c>
    </row>
    <row r="65" spans="1:13">
      <c r="A65" s="36" t="s">
        <v>129</v>
      </c>
      <c r="B65" s="26" t="s">
        <v>472</v>
      </c>
      <c r="C65" s="26" t="s">
        <v>473</v>
      </c>
      <c r="D65" s="26" t="s">
        <v>474</v>
      </c>
      <c r="E65" s="27" t="s">
        <v>951</v>
      </c>
      <c r="F65" s="26" t="s">
        <v>929</v>
      </c>
      <c r="G65" s="35" t="s">
        <v>75</v>
      </c>
      <c r="H65" s="35" t="s">
        <v>17</v>
      </c>
      <c r="I65" s="37" t="s">
        <v>58</v>
      </c>
      <c r="J65" s="36"/>
      <c r="K65" s="44" t="str">
        <f>"160,0"</f>
        <v>160,0</v>
      </c>
      <c r="L65" s="28" t="str">
        <f>"108,2240"</f>
        <v>108,2240</v>
      </c>
      <c r="M65" s="26" t="s">
        <v>945</v>
      </c>
    </row>
    <row r="66" spans="1:13">
      <c r="A66" s="36" t="s">
        <v>130</v>
      </c>
      <c r="B66" s="26" t="s">
        <v>463</v>
      </c>
      <c r="C66" s="26" t="s">
        <v>475</v>
      </c>
      <c r="D66" s="26" t="s">
        <v>465</v>
      </c>
      <c r="E66" s="27" t="s">
        <v>951</v>
      </c>
      <c r="F66" s="26" t="s">
        <v>923</v>
      </c>
      <c r="G66" s="35" t="s">
        <v>51</v>
      </c>
      <c r="H66" s="37" t="s">
        <v>91</v>
      </c>
      <c r="I66" s="37" t="s">
        <v>91</v>
      </c>
      <c r="J66" s="36"/>
      <c r="K66" s="44" t="str">
        <f>"147,5"</f>
        <v>147,5</v>
      </c>
      <c r="L66" s="28" t="str">
        <f>"101,1850"</f>
        <v>101,1850</v>
      </c>
      <c r="M66" s="26" t="s">
        <v>314</v>
      </c>
    </row>
    <row r="67" spans="1:13">
      <c r="A67" s="36" t="s">
        <v>297</v>
      </c>
      <c r="B67" s="26" t="s">
        <v>476</v>
      </c>
      <c r="C67" s="26" t="s">
        <v>477</v>
      </c>
      <c r="D67" s="26" t="s">
        <v>478</v>
      </c>
      <c r="E67" s="27" t="s">
        <v>951</v>
      </c>
      <c r="F67" s="26" t="s">
        <v>907</v>
      </c>
      <c r="G67" s="35" t="s">
        <v>139</v>
      </c>
      <c r="H67" s="35" t="s">
        <v>213</v>
      </c>
      <c r="I67" s="37" t="s">
        <v>47</v>
      </c>
      <c r="J67" s="36"/>
      <c r="K67" s="44" t="str">
        <f>"115,0"</f>
        <v>115,0</v>
      </c>
      <c r="L67" s="28" t="str">
        <f>"77,7285"</f>
        <v>77,7285</v>
      </c>
      <c r="M67" s="26" t="s">
        <v>221</v>
      </c>
    </row>
    <row r="68" spans="1:13">
      <c r="A68" s="36" t="s">
        <v>30</v>
      </c>
      <c r="B68" s="26" t="s">
        <v>472</v>
      </c>
      <c r="C68" s="26" t="s">
        <v>797</v>
      </c>
      <c r="D68" s="26" t="s">
        <v>474</v>
      </c>
      <c r="E68" s="27" t="s">
        <v>956</v>
      </c>
      <c r="F68" s="26" t="s">
        <v>929</v>
      </c>
      <c r="G68" s="35" t="s">
        <v>75</v>
      </c>
      <c r="H68" s="35" t="s">
        <v>17</v>
      </c>
      <c r="I68" s="37" t="s">
        <v>58</v>
      </c>
      <c r="J68" s="36"/>
      <c r="K68" s="44" t="str">
        <f>"160,0"</f>
        <v>160,0</v>
      </c>
      <c r="L68" s="28" t="str">
        <f>"122,5096"</f>
        <v>122,5096</v>
      </c>
      <c r="M68" s="26" t="s">
        <v>945</v>
      </c>
    </row>
    <row r="69" spans="1:13">
      <c r="A69" s="39" t="s">
        <v>129</v>
      </c>
      <c r="B69" s="29" t="s">
        <v>480</v>
      </c>
      <c r="C69" s="29" t="s">
        <v>798</v>
      </c>
      <c r="D69" s="29" t="s">
        <v>229</v>
      </c>
      <c r="E69" s="30" t="s">
        <v>956</v>
      </c>
      <c r="F69" s="29" t="s">
        <v>914</v>
      </c>
      <c r="G69" s="40" t="s">
        <v>74</v>
      </c>
      <c r="H69" s="38" t="s">
        <v>74</v>
      </c>
      <c r="I69" s="40" t="s">
        <v>99</v>
      </c>
      <c r="J69" s="39"/>
      <c r="K69" s="42" t="str">
        <f>"140,0"</f>
        <v>140,0</v>
      </c>
      <c r="L69" s="31" t="str">
        <f>"107,3544"</f>
        <v>107,3544</v>
      </c>
      <c r="M69" s="29" t="s">
        <v>621</v>
      </c>
    </row>
    <row r="71" spans="1:13" ht="16">
      <c r="A71" s="45" t="s">
        <v>78</v>
      </c>
      <c r="B71" s="45"/>
      <c r="C71" s="46"/>
      <c r="D71" s="46"/>
      <c r="E71" s="46"/>
      <c r="F71" s="46"/>
      <c r="G71" s="46"/>
      <c r="H71" s="46"/>
      <c r="I71" s="46"/>
      <c r="J71" s="46"/>
    </row>
    <row r="72" spans="1:13">
      <c r="A72" s="34" t="s">
        <v>30</v>
      </c>
      <c r="B72" s="23" t="s">
        <v>481</v>
      </c>
      <c r="C72" s="23" t="s">
        <v>482</v>
      </c>
      <c r="D72" s="23" t="s">
        <v>333</v>
      </c>
      <c r="E72" s="24" t="s">
        <v>951</v>
      </c>
      <c r="F72" s="23" t="s">
        <v>906</v>
      </c>
      <c r="G72" s="32" t="s">
        <v>18</v>
      </c>
      <c r="H72" s="33" t="s">
        <v>18</v>
      </c>
      <c r="I72" s="32" t="s">
        <v>60</v>
      </c>
      <c r="J72" s="34"/>
      <c r="K72" s="41" t="str">
        <f>"180,0"</f>
        <v>180,0</v>
      </c>
      <c r="L72" s="25" t="str">
        <f>"115,8480"</f>
        <v>115,8480</v>
      </c>
      <c r="M72" s="23" t="s">
        <v>171</v>
      </c>
    </row>
    <row r="73" spans="1:13">
      <c r="A73" s="36" t="s">
        <v>129</v>
      </c>
      <c r="B73" s="26" t="s">
        <v>483</v>
      </c>
      <c r="C73" s="26" t="s">
        <v>484</v>
      </c>
      <c r="D73" s="26" t="s">
        <v>249</v>
      </c>
      <c r="E73" s="27" t="s">
        <v>951</v>
      </c>
      <c r="F73" s="26" t="s">
        <v>904</v>
      </c>
      <c r="G73" s="35" t="s">
        <v>75</v>
      </c>
      <c r="H73" s="35" t="s">
        <v>92</v>
      </c>
      <c r="I73" s="35" t="s">
        <v>84</v>
      </c>
      <c r="J73" s="36"/>
      <c r="K73" s="44" t="str">
        <f>"175,0"</f>
        <v>175,0</v>
      </c>
      <c r="L73" s="28" t="str">
        <f>"112,1750"</f>
        <v>112,1750</v>
      </c>
      <c r="M73" s="26" t="s">
        <v>851</v>
      </c>
    </row>
    <row r="74" spans="1:13">
      <c r="A74" s="36" t="s">
        <v>130</v>
      </c>
      <c r="B74" s="26" t="s">
        <v>251</v>
      </c>
      <c r="C74" s="26" t="s">
        <v>252</v>
      </c>
      <c r="D74" s="26" t="s">
        <v>253</v>
      </c>
      <c r="E74" s="27" t="s">
        <v>951</v>
      </c>
      <c r="F74" s="26" t="s">
        <v>917</v>
      </c>
      <c r="G74" s="37" t="s">
        <v>17</v>
      </c>
      <c r="H74" s="35" t="s">
        <v>17</v>
      </c>
      <c r="I74" s="37" t="s">
        <v>116</v>
      </c>
      <c r="J74" s="36"/>
      <c r="K74" s="44" t="str">
        <f>"160,0"</f>
        <v>160,0</v>
      </c>
      <c r="L74" s="28" t="str">
        <f>"102,2080"</f>
        <v>102,2080</v>
      </c>
      <c r="M74" s="26" t="s">
        <v>945</v>
      </c>
    </row>
    <row r="75" spans="1:13">
      <c r="A75" s="36" t="s">
        <v>297</v>
      </c>
      <c r="B75" s="26" t="s">
        <v>485</v>
      </c>
      <c r="C75" s="26" t="s">
        <v>486</v>
      </c>
      <c r="D75" s="26" t="s">
        <v>98</v>
      </c>
      <c r="E75" s="27" t="s">
        <v>951</v>
      </c>
      <c r="F75" s="26" t="s">
        <v>904</v>
      </c>
      <c r="G75" s="35" t="s">
        <v>99</v>
      </c>
      <c r="H75" s="37" t="s">
        <v>52</v>
      </c>
      <c r="I75" s="37" t="s">
        <v>52</v>
      </c>
      <c r="J75" s="36"/>
      <c r="K75" s="44" t="str">
        <f>"145,0"</f>
        <v>145,0</v>
      </c>
      <c r="L75" s="28" t="str">
        <f>"93,1480"</f>
        <v>93,1480</v>
      </c>
      <c r="M75" s="26" t="s">
        <v>945</v>
      </c>
    </row>
    <row r="76" spans="1:13">
      <c r="A76" s="36" t="s">
        <v>298</v>
      </c>
      <c r="B76" s="26" t="s">
        <v>487</v>
      </c>
      <c r="C76" s="26" t="s">
        <v>488</v>
      </c>
      <c r="D76" s="26" t="s">
        <v>489</v>
      </c>
      <c r="E76" s="27" t="s">
        <v>951</v>
      </c>
      <c r="F76" s="26" t="s">
        <v>907</v>
      </c>
      <c r="G76" s="37" t="s">
        <v>260</v>
      </c>
      <c r="H76" s="37" t="s">
        <v>74</v>
      </c>
      <c r="I76" s="35" t="s">
        <v>74</v>
      </c>
      <c r="J76" s="36"/>
      <c r="K76" s="44" t="str">
        <f>"140,0"</f>
        <v>140,0</v>
      </c>
      <c r="L76" s="28" t="str">
        <f>"90,7060"</f>
        <v>90,7060</v>
      </c>
      <c r="M76" s="26" t="s">
        <v>865</v>
      </c>
    </row>
    <row r="77" spans="1:13">
      <c r="A77" s="36" t="s">
        <v>557</v>
      </c>
      <c r="B77" s="26" t="s">
        <v>490</v>
      </c>
      <c r="C77" s="26" t="s">
        <v>491</v>
      </c>
      <c r="D77" s="26" t="s">
        <v>246</v>
      </c>
      <c r="E77" s="27" t="s">
        <v>951</v>
      </c>
      <c r="F77" s="26" t="s">
        <v>904</v>
      </c>
      <c r="G77" s="35" t="s">
        <v>260</v>
      </c>
      <c r="H77" s="35" t="s">
        <v>103</v>
      </c>
      <c r="I77" s="37" t="s">
        <v>50</v>
      </c>
      <c r="J77" s="36"/>
      <c r="K77" s="44" t="str">
        <f>"135,0"</f>
        <v>135,0</v>
      </c>
      <c r="L77" s="28" t="str">
        <f>"86,6295"</f>
        <v>86,6295</v>
      </c>
      <c r="M77" s="26" t="s">
        <v>866</v>
      </c>
    </row>
    <row r="78" spans="1:13">
      <c r="A78" s="36" t="s">
        <v>558</v>
      </c>
      <c r="B78" s="26" t="s">
        <v>492</v>
      </c>
      <c r="C78" s="26" t="s">
        <v>493</v>
      </c>
      <c r="D78" s="26" t="s">
        <v>489</v>
      </c>
      <c r="E78" s="27" t="s">
        <v>951</v>
      </c>
      <c r="F78" s="26" t="s">
        <v>904</v>
      </c>
      <c r="G78" s="35" t="s">
        <v>260</v>
      </c>
      <c r="H78" s="37" t="s">
        <v>103</v>
      </c>
      <c r="I78" s="37" t="s">
        <v>74</v>
      </c>
      <c r="J78" s="36"/>
      <c r="K78" s="44" t="str">
        <f>"132,5"</f>
        <v>132,5</v>
      </c>
      <c r="L78" s="28" t="str">
        <f>"85,8467"</f>
        <v>85,8467</v>
      </c>
      <c r="M78" s="26" t="s">
        <v>866</v>
      </c>
    </row>
    <row r="79" spans="1:13">
      <c r="A79" s="36" t="s">
        <v>299</v>
      </c>
      <c r="B79" s="26" t="s">
        <v>494</v>
      </c>
      <c r="C79" s="26" t="s">
        <v>495</v>
      </c>
      <c r="D79" s="26" t="s">
        <v>265</v>
      </c>
      <c r="E79" s="27" t="s">
        <v>951</v>
      </c>
      <c r="F79" s="26" t="s">
        <v>907</v>
      </c>
      <c r="G79" s="37" t="s">
        <v>84</v>
      </c>
      <c r="H79" s="37" t="s">
        <v>84</v>
      </c>
      <c r="I79" s="37" t="s">
        <v>84</v>
      </c>
      <c r="J79" s="36"/>
      <c r="K79" s="44">
        <v>0</v>
      </c>
      <c r="L79" s="28" t="str">
        <f>"0,0000"</f>
        <v>0,0000</v>
      </c>
      <c r="M79" s="26" t="s">
        <v>945</v>
      </c>
    </row>
    <row r="80" spans="1:13">
      <c r="A80" s="36" t="s">
        <v>30</v>
      </c>
      <c r="B80" s="26" t="s">
        <v>496</v>
      </c>
      <c r="C80" s="26" t="s">
        <v>799</v>
      </c>
      <c r="D80" s="26" t="s">
        <v>497</v>
      </c>
      <c r="E80" s="27" t="s">
        <v>953</v>
      </c>
      <c r="F80" s="26" t="s">
        <v>904</v>
      </c>
      <c r="G80" s="35" t="s">
        <v>74</v>
      </c>
      <c r="H80" s="37" t="s">
        <v>52</v>
      </c>
      <c r="I80" s="37" t="s">
        <v>52</v>
      </c>
      <c r="J80" s="36"/>
      <c r="K80" s="44" t="str">
        <f>"140,0"</f>
        <v>140,0</v>
      </c>
      <c r="L80" s="28" t="str">
        <f>"90,2160"</f>
        <v>90,2160</v>
      </c>
      <c r="M80" s="26" t="s">
        <v>945</v>
      </c>
    </row>
    <row r="81" spans="1:13">
      <c r="A81" s="36" t="s">
        <v>30</v>
      </c>
      <c r="B81" s="26" t="s">
        <v>492</v>
      </c>
      <c r="C81" s="26" t="s">
        <v>800</v>
      </c>
      <c r="D81" s="26" t="s">
        <v>489</v>
      </c>
      <c r="E81" s="27" t="s">
        <v>956</v>
      </c>
      <c r="F81" s="26" t="s">
        <v>904</v>
      </c>
      <c r="G81" s="35" t="s">
        <v>260</v>
      </c>
      <c r="H81" s="37" t="s">
        <v>103</v>
      </c>
      <c r="I81" s="37" t="s">
        <v>74</v>
      </c>
      <c r="J81" s="36"/>
      <c r="K81" s="44" t="str">
        <f>"132,5"</f>
        <v>132,5</v>
      </c>
      <c r="L81" s="28" t="str">
        <f>"90,9976"</f>
        <v>90,9976</v>
      </c>
      <c r="M81" s="26" t="s">
        <v>866</v>
      </c>
    </row>
    <row r="82" spans="1:13">
      <c r="A82" s="39" t="s">
        <v>30</v>
      </c>
      <c r="B82" s="29" t="s">
        <v>498</v>
      </c>
      <c r="C82" s="29" t="s">
        <v>801</v>
      </c>
      <c r="D82" s="29" t="s">
        <v>499</v>
      </c>
      <c r="E82" s="30" t="s">
        <v>958</v>
      </c>
      <c r="F82" s="29" t="s">
        <v>930</v>
      </c>
      <c r="G82" s="38" t="s">
        <v>59</v>
      </c>
      <c r="H82" s="38" t="s">
        <v>40</v>
      </c>
      <c r="I82" s="38" t="s">
        <v>41</v>
      </c>
      <c r="J82" s="39"/>
      <c r="K82" s="42" t="str">
        <f>"122,5"</f>
        <v>122,5</v>
      </c>
      <c r="L82" s="31" t="str">
        <f>"97,6441"</f>
        <v>97,6441</v>
      </c>
      <c r="M82" s="29" t="s">
        <v>945</v>
      </c>
    </row>
    <row r="84" spans="1:13" ht="16">
      <c r="A84" s="45" t="s">
        <v>105</v>
      </c>
      <c r="B84" s="45"/>
      <c r="C84" s="46"/>
      <c r="D84" s="46"/>
      <c r="E84" s="46"/>
      <c r="F84" s="46"/>
      <c r="G84" s="46"/>
      <c r="H84" s="46"/>
      <c r="I84" s="46"/>
      <c r="J84" s="46"/>
    </row>
    <row r="85" spans="1:13">
      <c r="A85" s="34" t="s">
        <v>30</v>
      </c>
      <c r="B85" s="23" t="s">
        <v>500</v>
      </c>
      <c r="C85" s="23" t="s">
        <v>802</v>
      </c>
      <c r="D85" s="23" t="s">
        <v>284</v>
      </c>
      <c r="E85" s="24" t="s">
        <v>952</v>
      </c>
      <c r="F85" s="23" t="s">
        <v>923</v>
      </c>
      <c r="G85" s="33" t="s">
        <v>56</v>
      </c>
      <c r="H85" s="33" t="s">
        <v>57</v>
      </c>
      <c r="I85" s="33" t="s">
        <v>67</v>
      </c>
      <c r="J85" s="34"/>
      <c r="K85" s="41" t="str">
        <f>"170,0"</f>
        <v>170,0</v>
      </c>
      <c r="L85" s="25" t="str">
        <f>"103,8360"</f>
        <v>103,8360</v>
      </c>
      <c r="M85" s="23" t="s">
        <v>314</v>
      </c>
    </row>
    <row r="86" spans="1:13">
      <c r="A86" s="36" t="s">
        <v>30</v>
      </c>
      <c r="B86" s="26" t="s">
        <v>501</v>
      </c>
      <c r="C86" s="26" t="s">
        <v>502</v>
      </c>
      <c r="D86" s="26" t="s">
        <v>284</v>
      </c>
      <c r="E86" s="27" t="s">
        <v>951</v>
      </c>
      <c r="F86" s="26" t="s">
        <v>904</v>
      </c>
      <c r="G86" s="35" t="s">
        <v>60</v>
      </c>
      <c r="H86" s="35" t="s">
        <v>285</v>
      </c>
      <c r="I86" s="37" t="s">
        <v>232</v>
      </c>
      <c r="J86" s="36"/>
      <c r="K86" s="44" t="str">
        <f>"192,5"</f>
        <v>192,5</v>
      </c>
      <c r="L86" s="28" t="str">
        <f>"117,5790"</f>
        <v>117,5790</v>
      </c>
      <c r="M86" s="26" t="s">
        <v>945</v>
      </c>
    </row>
    <row r="87" spans="1:13">
      <c r="A87" s="36" t="s">
        <v>129</v>
      </c>
      <c r="B87" s="26" t="s">
        <v>503</v>
      </c>
      <c r="C87" s="26" t="s">
        <v>504</v>
      </c>
      <c r="D87" s="26" t="s">
        <v>505</v>
      </c>
      <c r="E87" s="27" t="s">
        <v>951</v>
      </c>
      <c r="F87" s="26" t="s">
        <v>904</v>
      </c>
      <c r="G87" s="35" t="s">
        <v>84</v>
      </c>
      <c r="H87" s="35" t="s">
        <v>18</v>
      </c>
      <c r="I87" s="37" t="s">
        <v>268</v>
      </c>
      <c r="J87" s="36"/>
      <c r="K87" s="44" t="str">
        <f>"180,0"</f>
        <v>180,0</v>
      </c>
      <c r="L87" s="28" t="str">
        <f>"110,9880"</f>
        <v>110,9880</v>
      </c>
      <c r="M87" s="26" t="s">
        <v>945</v>
      </c>
    </row>
    <row r="88" spans="1:13">
      <c r="A88" s="36" t="s">
        <v>130</v>
      </c>
      <c r="B88" s="26" t="s">
        <v>500</v>
      </c>
      <c r="C88" s="26" t="s">
        <v>506</v>
      </c>
      <c r="D88" s="26" t="s">
        <v>284</v>
      </c>
      <c r="E88" s="27" t="s">
        <v>951</v>
      </c>
      <c r="F88" s="26" t="s">
        <v>923</v>
      </c>
      <c r="G88" s="35" t="s">
        <v>56</v>
      </c>
      <c r="H88" s="35" t="s">
        <v>57</v>
      </c>
      <c r="I88" s="35" t="s">
        <v>67</v>
      </c>
      <c r="J88" s="36"/>
      <c r="K88" s="44" t="str">
        <f>"170,0"</f>
        <v>170,0</v>
      </c>
      <c r="L88" s="28" t="str">
        <f>"103,8360"</f>
        <v>103,8360</v>
      </c>
      <c r="M88" s="26" t="s">
        <v>314</v>
      </c>
    </row>
    <row r="89" spans="1:13">
      <c r="A89" s="36" t="s">
        <v>297</v>
      </c>
      <c r="B89" s="26" t="s">
        <v>507</v>
      </c>
      <c r="C89" s="26" t="s">
        <v>508</v>
      </c>
      <c r="D89" s="26" t="s">
        <v>509</v>
      </c>
      <c r="E89" s="27" t="s">
        <v>951</v>
      </c>
      <c r="F89" s="26" t="s">
        <v>923</v>
      </c>
      <c r="G89" s="35" t="s">
        <v>91</v>
      </c>
      <c r="H89" s="35" t="s">
        <v>92</v>
      </c>
      <c r="I89" s="37" t="s">
        <v>116</v>
      </c>
      <c r="J89" s="36"/>
      <c r="K89" s="44" t="str">
        <f>"162,5"</f>
        <v>162,5</v>
      </c>
      <c r="L89" s="28" t="str">
        <f>"99,0925"</f>
        <v>99,0925</v>
      </c>
      <c r="M89" s="26" t="s">
        <v>314</v>
      </c>
    </row>
    <row r="90" spans="1:13">
      <c r="A90" s="36" t="s">
        <v>298</v>
      </c>
      <c r="B90" s="26" t="s">
        <v>510</v>
      </c>
      <c r="C90" s="26" t="s">
        <v>511</v>
      </c>
      <c r="D90" s="26" t="s">
        <v>505</v>
      </c>
      <c r="E90" s="27" t="s">
        <v>951</v>
      </c>
      <c r="F90" s="26" t="s">
        <v>931</v>
      </c>
      <c r="G90" s="35" t="s">
        <v>75</v>
      </c>
      <c r="H90" s="35" t="s">
        <v>91</v>
      </c>
      <c r="I90" s="37" t="s">
        <v>17</v>
      </c>
      <c r="J90" s="36"/>
      <c r="K90" s="44" t="str">
        <f>"155,0"</f>
        <v>155,0</v>
      </c>
      <c r="L90" s="28" t="str">
        <f>"95,5730"</f>
        <v>95,5730</v>
      </c>
      <c r="M90" s="26" t="s">
        <v>512</v>
      </c>
    </row>
    <row r="91" spans="1:13">
      <c r="A91" s="36" t="s">
        <v>557</v>
      </c>
      <c r="B91" s="26" t="s">
        <v>513</v>
      </c>
      <c r="C91" s="26" t="s">
        <v>514</v>
      </c>
      <c r="D91" s="26" t="s">
        <v>316</v>
      </c>
      <c r="E91" s="27" t="s">
        <v>951</v>
      </c>
      <c r="F91" s="26" t="s">
        <v>923</v>
      </c>
      <c r="G91" s="35" t="s">
        <v>91</v>
      </c>
      <c r="H91" s="37" t="s">
        <v>92</v>
      </c>
      <c r="I91" s="37" t="s">
        <v>92</v>
      </c>
      <c r="J91" s="36"/>
      <c r="K91" s="44" t="str">
        <f>"155,0"</f>
        <v>155,0</v>
      </c>
      <c r="L91" s="28" t="str">
        <f>"94,5965"</f>
        <v>94,5965</v>
      </c>
      <c r="M91" s="26" t="s">
        <v>314</v>
      </c>
    </row>
    <row r="92" spans="1:13">
      <c r="A92" s="36" t="s">
        <v>299</v>
      </c>
      <c r="B92" s="26" t="s">
        <v>515</v>
      </c>
      <c r="C92" s="26" t="s">
        <v>516</v>
      </c>
      <c r="D92" s="26" t="s">
        <v>316</v>
      </c>
      <c r="E92" s="27" t="s">
        <v>951</v>
      </c>
      <c r="F92" s="26" t="s">
        <v>925</v>
      </c>
      <c r="G92" s="37" t="s">
        <v>195</v>
      </c>
      <c r="H92" s="37" t="s">
        <v>74</v>
      </c>
      <c r="I92" s="37" t="s">
        <v>74</v>
      </c>
      <c r="J92" s="36"/>
      <c r="K92" s="44">
        <v>0</v>
      </c>
      <c r="L92" s="28" t="str">
        <f>"0,0000"</f>
        <v>0,0000</v>
      </c>
      <c r="M92" s="26" t="s">
        <v>860</v>
      </c>
    </row>
    <row r="93" spans="1:13">
      <c r="A93" s="36" t="s">
        <v>30</v>
      </c>
      <c r="B93" s="26" t="s">
        <v>517</v>
      </c>
      <c r="C93" s="26" t="s">
        <v>803</v>
      </c>
      <c r="D93" s="26" t="s">
        <v>518</v>
      </c>
      <c r="E93" s="27" t="s">
        <v>953</v>
      </c>
      <c r="F93" s="26" t="s">
        <v>904</v>
      </c>
      <c r="G93" s="35" t="s">
        <v>75</v>
      </c>
      <c r="H93" s="35" t="s">
        <v>91</v>
      </c>
      <c r="I93" s="37" t="s">
        <v>92</v>
      </c>
      <c r="J93" s="36"/>
      <c r="K93" s="44" t="str">
        <f>"155,0"</f>
        <v>155,0</v>
      </c>
      <c r="L93" s="28" t="str">
        <f>"97,7392"</f>
        <v>97,7392</v>
      </c>
      <c r="M93" s="26" t="s">
        <v>256</v>
      </c>
    </row>
    <row r="94" spans="1:13">
      <c r="A94" s="36" t="s">
        <v>129</v>
      </c>
      <c r="B94" s="26" t="s">
        <v>519</v>
      </c>
      <c r="C94" s="26" t="s">
        <v>804</v>
      </c>
      <c r="D94" s="26" t="s">
        <v>316</v>
      </c>
      <c r="E94" s="27" t="s">
        <v>953</v>
      </c>
      <c r="F94" s="26" t="s">
        <v>923</v>
      </c>
      <c r="G94" s="35" t="s">
        <v>159</v>
      </c>
      <c r="H94" s="35" t="s">
        <v>195</v>
      </c>
      <c r="I94" s="35" t="s">
        <v>103</v>
      </c>
      <c r="J94" s="36"/>
      <c r="K94" s="44" t="str">
        <f>"135,0"</f>
        <v>135,0</v>
      </c>
      <c r="L94" s="28" t="str">
        <f>"86,0157"</f>
        <v>86,0157</v>
      </c>
      <c r="M94" s="26" t="s">
        <v>314</v>
      </c>
    </row>
    <row r="95" spans="1:13">
      <c r="A95" s="36" t="s">
        <v>30</v>
      </c>
      <c r="B95" s="26" t="s">
        <v>520</v>
      </c>
      <c r="C95" s="26" t="s">
        <v>805</v>
      </c>
      <c r="D95" s="26" t="s">
        <v>521</v>
      </c>
      <c r="E95" s="27" t="s">
        <v>956</v>
      </c>
      <c r="F95" s="26" t="s">
        <v>924</v>
      </c>
      <c r="G95" s="35" t="s">
        <v>67</v>
      </c>
      <c r="H95" s="35" t="s">
        <v>84</v>
      </c>
      <c r="I95" s="37" t="s">
        <v>18</v>
      </c>
      <c r="J95" s="36"/>
      <c r="K95" s="44" t="str">
        <f>"175,0"</f>
        <v>175,0</v>
      </c>
      <c r="L95" s="28" t="str">
        <f>"119,5238"</f>
        <v>119,5238</v>
      </c>
      <c r="M95" s="26" t="s">
        <v>859</v>
      </c>
    </row>
    <row r="96" spans="1:13">
      <c r="A96" s="39" t="s">
        <v>30</v>
      </c>
      <c r="B96" s="29" t="s">
        <v>522</v>
      </c>
      <c r="C96" s="29" t="s">
        <v>806</v>
      </c>
      <c r="D96" s="29" t="s">
        <v>523</v>
      </c>
      <c r="E96" s="30" t="s">
        <v>961</v>
      </c>
      <c r="F96" s="29" t="s">
        <v>908</v>
      </c>
      <c r="G96" s="38" t="s">
        <v>59</v>
      </c>
      <c r="H96" s="40" t="s">
        <v>213</v>
      </c>
      <c r="I96" s="40" t="s">
        <v>213</v>
      </c>
      <c r="J96" s="39"/>
      <c r="K96" s="42" t="str">
        <f>"110,0"</f>
        <v>110,0</v>
      </c>
      <c r="L96" s="31" t="str">
        <f>"142,3501"</f>
        <v>142,3501</v>
      </c>
      <c r="M96" s="29" t="s">
        <v>867</v>
      </c>
    </row>
    <row r="98" spans="1:13" ht="16">
      <c r="A98" s="45" t="s">
        <v>288</v>
      </c>
      <c r="B98" s="45"/>
      <c r="C98" s="46"/>
      <c r="D98" s="46"/>
      <c r="E98" s="46"/>
      <c r="F98" s="46"/>
      <c r="G98" s="46"/>
      <c r="H98" s="46"/>
      <c r="I98" s="46"/>
      <c r="J98" s="46"/>
    </row>
    <row r="99" spans="1:13">
      <c r="A99" s="34" t="s">
        <v>30</v>
      </c>
      <c r="B99" s="23" t="s">
        <v>524</v>
      </c>
      <c r="C99" s="23" t="s">
        <v>807</v>
      </c>
      <c r="D99" s="23" t="s">
        <v>525</v>
      </c>
      <c r="E99" s="24" t="s">
        <v>952</v>
      </c>
      <c r="F99" s="23" t="s">
        <v>904</v>
      </c>
      <c r="G99" s="33" t="s">
        <v>75</v>
      </c>
      <c r="H99" s="32" t="s">
        <v>57</v>
      </c>
      <c r="I99" s="32" t="s">
        <v>57</v>
      </c>
      <c r="J99" s="34"/>
      <c r="K99" s="41" t="str">
        <f>"150,0"</f>
        <v>150,0</v>
      </c>
      <c r="L99" s="25" t="str">
        <f>"88,2750"</f>
        <v>88,2750</v>
      </c>
      <c r="M99" s="23" t="s">
        <v>256</v>
      </c>
    </row>
    <row r="100" spans="1:13">
      <c r="A100" s="36" t="s">
        <v>30</v>
      </c>
      <c r="B100" s="26" t="s">
        <v>526</v>
      </c>
      <c r="C100" s="26" t="s">
        <v>527</v>
      </c>
      <c r="D100" s="26" t="s">
        <v>361</v>
      </c>
      <c r="E100" s="27" t="s">
        <v>951</v>
      </c>
      <c r="F100" s="26" t="s">
        <v>904</v>
      </c>
      <c r="G100" s="37" t="s">
        <v>18</v>
      </c>
      <c r="H100" s="35" t="s">
        <v>60</v>
      </c>
      <c r="I100" s="37" t="s">
        <v>61</v>
      </c>
      <c r="J100" s="36"/>
      <c r="K100" s="44" t="str">
        <f>"185,0"</f>
        <v>185,0</v>
      </c>
      <c r="L100" s="28" t="str">
        <f>"109,5015"</f>
        <v>109,5015</v>
      </c>
      <c r="M100" s="26" t="s">
        <v>945</v>
      </c>
    </row>
    <row r="101" spans="1:13">
      <c r="A101" s="36" t="s">
        <v>129</v>
      </c>
      <c r="B101" s="26" t="s">
        <v>528</v>
      </c>
      <c r="C101" s="26" t="s">
        <v>529</v>
      </c>
      <c r="D101" s="26" t="s">
        <v>530</v>
      </c>
      <c r="E101" s="27" t="s">
        <v>951</v>
      </c>
      <c r="F101" s="26" t="s">
        <v>904</v>
      </c>
      <c r="G101" s="35" t="s">
        <v>17</v>
      </c>
      <c r="H101" s="37" t="s">
        <v>57</v>
      </c>
      <c r="I101" s="35" t="s">
        <v>57</v>
      </c>
      <c r="J101" s="36"/>
      <c r="K101" s="44" t="str">
        <f>"167,5"</f>
        <v>167,5</v>
      </c>
      <c r="L101" s="28" t="str">
        <f>"98,8753"</f>
        <v>98,8753</v>
      </c>
      <c r="M101" s="26" t="s">
        <v>945</v>
      </c>
    </row>
    <row r="102" spans="1:13">
      <c r="A102" s="36" t="s">
        <v>130</v>
      </c>
      <c r="B102" s="26" t="s">
        <v>531</v>
      </c>
      <c r="C102" s="26" t="s">
        <v>532</v>
      </c>
      <c r="D102" s="26" t="s">
        <v>533</v>
      </c>
      <c r="E102" s="27" t="s">
        <v>951</v>
      </c>
      <c r="F102" s="26" t="s">
        <v>904</v>
      </c>
      <c r="G102" s="35" t="s">
        <v>116</v>
      </c>
      <c r="H102" s="37" t="s">
        <v>67</v>
      </c>
      <c r="I102" s="37" t="s">
        <v>67</v>
      </c>
      <c r="J102" s="36"/>
      <c r="K102" s="44" t="str">
        <f>"165,0"</f>
        <v>165,0</v>
      </c>
      <c r="L102" s="28" t="str">
        <f>"98,4060"</f>
        <v>98,4060</v>
      </c>
      <c r="M102" s="26" t="s">
        <v>945</v>
      </c>
    </row>
    <row r="103" spans="1:13">
      <c r="A103" s="36" t="s">
        <v>297</v>
      </c>
      <c r="B103" s="26" t="s">
        <v>534</v>
      </c>
      <c r="C103" s="26" t="s">
        <v>535</v>
      </c>
      <c r="D103" s="26" t="s">
        <v>536</v>
      </c>
      <c r="E103" s="27" t="s">
        <v>951</v>
      </c>
      <c r="F103" s="26" t="s">
        <v>904</v>
      </c>
      <c r="G103" s="35" t="s">
        <v>91</v>
      </c>
      <c r="H103" s="35" t="s">
        <v>92</v>
      </c>
      <c r="I103" s="37" t="s">
        <v>57</v>
      </c>
      <c r="J103" s="36"/>
      <c r="K103" s="44" t="str">
        <f>"162,5"</f>
        <v>162,5</v>
      </c>
      <c r="L103" s="28" t="str">
        <f>"97,2725"</f>
        <v>97,2725</v>
      </c>
      <c r="M103" s="26" t="s">
        <v>945</v>
      </c>
    </row>
    <row r="104" spans="1:13">
      <c r="A104" s="36" t="s">
        <v>298</v>
      </c>
      <c r="B104" s="26" t="s">
        <v>537</v>
      </c>
      <c r="C104" s="26" t="s">
        <v>538</v>
      </c>
      <c r="D104" s="26" t="s">
        <v>539</v>
      </c>
      <c r="E104" s="27" t="s">
        <v>951</v>
      </c>
      <c r="F104" s="26" t="s">
        <v>904</v>
      </c>
      <c r="G104" s="35" t="s">
        <v>74</v>
      </c>
      <c r="H104" s="37" t="s">
        <v>51</v>
      </c>
      <c r="I104" s="35" t="s">
        <v>52</v>
      </c>
      <c r="J104" s="36"/>
      <c r="K104" s="44" t="str">
        <f>"152,5"</f>
        <v>152,5</v>
      </c>
      <c r="L104" s="28" t="str">
        <f>"89,8225"</f>
        <v>89,8225</v>
      </c>
      <c r="M104" s="26" t="s">
        <v>542</v>
      </c>
    </row>
    <row r="105" spans="1:13">
      <c r="A105" s="36" t="s">
        <v>30</v>
      </c>
      <c r="B105" s="26" t="s">
        <v>540</v>
      </c>
      <c r="C105" s="26" t="s">
        <v>808</v>
      </c>
      <c r="D105" s="26" t="s">
        <v>541</v>
      </c>
      <c r="E105" s="27" t="s">
        <v>953</v>
      </c>
      <c r="F105" s="26" t="s">
        <v>904</v>
      </c>
      <c r="G105" s="35" t="s">
        <v>17</v>
      </c>
      <c r="H105" s="35" t="s">
        <v>57</v>
      </c>
      <c r="I105" s="37" t="s">
        <v>67</v>
      </c>
      <c r="J105" s="36"/>
      <c r="K105" s="44" t="str">
        <f>"167,5"</f>
        <v>167,5</v>
      </c>
      <c r="L105" s="28" t="str">
        <f>"102,1431"</f>
        <v>102,1431</v>
      </c>
      <c r="M105" s="26" t="s">
        <v>542</v>
      </c>
    </row>
    <row r="106" spans="1:13">
      <c r="A106" s="36" t="s">
        <v>129</v>
      </c>
      <c r="B106" s="26" t="s">
        <v>543</v>
      </c>
      <c r="C106" s="26" t="s">
        <v>809</v>
      </c>
      <c r="D106" s="26" t="s">
        <v>533</v>
      </c>
      <c r="E106" s="27" t="s">
        <v>953</v>
      </c>
      <c r="F106" s="26" t="s">
        <v>904</v>
      </c>
      <c r="G106" s="35" t="s">
        <v>260</v>
      </c>
      <c r="H106" s="35" t="s">
        <v>74</v>
      </c>
      <c r="I106" s="35" t="s">
        <v>99</v>
      </c>
      <c r="J106" s="36"/>
      <c r="K106" s="44" t="str">
        <f>"145,0"</f>
        <v>145,0</v>
      </c>
      <c r="L106" s="28" t="str">
        <f>"90,2830"</f>
        <v>90,2830</v>
      </c>
      <c r="M106" s="26" t="s">
        <v>945</v>
      </c>
    </row>
    <row r="107" spans="1:13">
      <c r="A107" s="36" t="s">
        <v>130</v>
      </c>
      <c r="B107" s="26" t="s">
        <v>544</v>
      </c>
      <c r="C107" s="26" t="s">
        <v>810</v>
      </c>
      <c r="D107" s="26" t="s">
        <v>545</v>
      </c>
      <c r="E107" s="27" t="s">
        <v>953</v>
      </c>
      <c r="F107" s="26" t="s">
        <v>904</v>
      </c>
      <c r="G107" s="35" t="s">
        <v>103</v>
      </c>
      <c r="H107" s="35" t="s">
        <v>74</v>
      </c>
      <c r="I107" s="37" t="s">
        <v>99</v>
      </c>
      <c r="J107" s="36"/>
      <c r="K107" s="44" t="str">
        <f>"140,0"</f>
        <v>140,0</v>
      </c>
      <c r="L107" s="28" t="str">
        <f>"83,3560"</f>
        <v>83,3560</v>
      </c>
      <c r="M107" s="26" t="s">
        <v>542</v>
      </c>
    </row>
    <row r="108" spans="1:13">
      <c r="A108" s="39" t="s">
        <v>30</v>
      </c>
      <c r="B108" s="29" t="s">
        <v>546</v>
      </c>
      <c r="C108" s="29" t="s">
        <v>811</v>
      </c>
      <c r="D108" s="29" t="s">
        <v>547</v>
      </c>
      <c r="E108" s="30" t="s">
        <v>958</v>
      </c>
      <c r="F108" s="29" t="s">
        <v>904</v>
      </c>
      <c r="G108" s="38" t="s">
        <v>18</v>
      </c>
      <c r="H108" s="40" t="s">
        <v>19</v>
      </c>
      <c r="I108" s="38" t="s">
        <v>19</v>
      </c>
      <c r="J108" s="39"/>
      <c r="K108" s="42" t="str">
        <f>"190,0"</f>
        <v>190,0</v>
      </c>
      <c r="L108" s="31" t="str">
        <f>"131,8427"</f>
        <v>131,8427</v>
      </c>
      <c r="M108" s="29" t="s">
        <v>945</v>
      </c>
    </row>
    <row r="110" spans="1:13" ht="16">
      <c r="A110" s="45" t="s">
        <v>300</v>
      </c>
      <c r="B110" s="45"/>
      <c r="C110" s="46"/>
      <c r="D110" s="46"/>
      <c r="E110" s="46"/>
      <c r="F110" s="46"/>
      <c r="G110" s="46"/>
      <c r="H110" s="46"/>
      <c r="I110" s="46"/>
      <c r="J110" s="46"/>
    </row>
    <row r="111" spans="1:13">
      <c r="A111" s="34" t="s">
        <v>30</v>
      </c>
      <c r="B111" s="23" t="s">
        <v>548</v>
      </c>
      <c r="C111" s="23" t="s">
        <v>549</v>
      </c>
      <c r="D111" s="23" t="s">
        <v>550</v>
      </c>
      <c r="E111" s="24" t="s">
        <v>951</v>
      </c>
      <c r="F111" s="23" t="s">
        <v>932</v>
      </c>
      <c r="G111" s="32" t="s">
        <v>116</v>
      </c>
      <c r="H111" s="33" t="s">
        <v>67</v>
      </c>
      <c r="I111" s="33" t="s">
        <v>58</v>
      </c>
      <c r="J111" s="34"/>
      <c r="K111" s="41" t="str">
        <f>"172,5"</f>
        <v>172,5</v>
      </c>
      <c r="L111" s="25" t="str">
        <f>"101,3783"</f>
        <v>101,3783</v>
      </c>
      <c r="M111" s="23" t="s">
        <v>945</v>
      </c>
    </row>
    <row r="112" spans="1:13">
      <c r="A112" s="39" t="s">
        <v>129</v>
      </c>
      <c r="B112" s="29" t="s">
        <v>551</v>
      </c>
      <c r="C112" s="29" t="s">
        <v>552</v>
      </c>
      <c r="D112" s="29" t="s">
        <v>553</v>
      </c>
      <c r="E112" s="30" t="s">
        <v>951</v>
      </c>
      <c r="F112" s="29" t="s">
        <v>904</v>
      </c>
      <c r="G112" s="38" t="s">
        <v>75</v>
      </c>
      <c r="H112" s="38" t="s">
        <v>92</v>
      </c>
      <c r="I112" s="38" t="s">
        <v>58</v>
      </c>
      <c r="J112" s="39"/>
      <c r="K112" s="42" t="str">
        <f>"172,5"</f>
        <v>172,5</v>
      </c>
      <c r="L112" s="31" t="str">
        <f>"101,1022"</f>
        <v>101,1022</v>
      </c>
      <c r="M112" s="29" t="s">
        <v>554</v>
      </c>
    </row>
    <row r="114" spans="1:13" ht="16">
      <c r="A114" s="45" t="s">
        <v>12</v>
      </c>
      <c r="B114" s="45"/>
      <c r="C114" s="46"/>
      <c r="D114" s="46"/>
      <c r="E114" s="46"/>
      <c r="F114" s="46"/>
      <c r="G114" s="46"/>
      <c r="H114" s="46"/>
      <c r="I114" s="46"/>
      <c r="J114" s="46"/>
    </row>
    <row r="115" spans="1:13">
      <c r="A115" s="22" t="s">
        <v>30</v>
      </c>
      <c r="B115" s="7" t="s">
        <v>555</v>
      </c>
      <c r="C115" s="7" t="s">
        <v>812</v>
      </c>
      <c r="D115" s="7" t="s">
        <v>556</v>
      </c>
      <c r="E115" s="8" t="s">
        <v>956</v>
      </c>
      <c r="F115" s="7" t="s">
        <v>904</v>
      </c>
      <c r="G115" s="20" t="s">
        <v>84</v>
      </c>
      <c r="H115" s="20" t="s">
        <v>18</v>
      </c>
      <c r="I115" s="21" t="s">
        <v>60</v>
      </c>
      <c r="J115" s="22"/>
      <c r="K115" s="43" t="str">
        <f>"180,0"</f>
        <v>180,0</v>
      </c>
      <c r="L115" s="9" t="str">
        <f>"108,5430"</f>
        <v>108,5430</v>
      </c>
      <c r="M115" s="7" t="s">
        <v>868</v>
      </c>
    </row>
    <row r="117" spans="1:13">
      <c r="M117" s="6"/>
    </row>
    <row r="118" spans="1:13">
      <c r="M118" s="6"/>
    </row>
    <row r="119" spans="1:13" ht="18">
      <c r="B119" s="11" t="s">
        <v>23</v>
      </c>
      <c r="C119" s="11"/>
      <c r="M119" s="6"/>
    </row>
    <row r="120" spans="1:13" ht="16">
      <c r="B120" s="12" t="s">
        <v>121</v>
      </c>
      <c r="C120" s="12"/>
      <c r="M120" s="6"/>
    </row>
    <row r="121" spans="1:13" ht="14">
      <c r="B121" s="13"/>
      <c r="C121" s="14" t="s">
        <v>122</v>
      </c>
      <c r="M121" s="6"/>
    </row>
    <row r="122" spans="1:13" ht="14">
      <c r="B122" s="15" t="s">
        <v>26</v>
      </c>
      <c r="C122" s="15" t="s">
        <v>27</v>
      </c>
      <c r="D122" s="15" t="s">
        <v>853</v>
      </c>
      <c r="E122" s="16" t="s">
        <v>379</v>
      </c>
      <c r="F122" s="15" t="s">
        <v>29</v>
      </c>
      <c r="M122" s="6"/>
    </row>
    <row r="123" spans="1:13">
      <c r="B123" s="5" t="s">
        <v>404</v>
      </c>
      <c r="C123" s="5" t="s">
        <v>122</v>
      </c>
      <c r="D123" s="18" t="s">
        <v>126</v>
      </c>
      <c r="E123" s="19">
        <v>85</v>
      </c>
      <c r="F123" s="17">
        <v>93.916500210761996</v>
      </c>
      <c r="M123" s="6"/>
    </row>
    <row r="124" spans="1:13">
      <c r="B124" s="5" t="s">
        <v>390</v>
      </c>
      <c r="C124" s="5" t="s">
        <v>122</v>
      </c>
      <c r="D124" s="18" t="s">
        <v>125</v>
      </c>
      <c r="E124" s="19">
        <v>67.5</v>
      </c>
      <c r="F124" s="17">
        <v>79.757998287677793</v>
      </c>
      <c r="M124" s="6"/>
    </row>
    <row r="125" spans="1:13">
      <c r="B125" s="5" t="s">
        <v>385</v>
      </c>
      <c r="C125" s="5" t="s">
        <v>122</v>
      </c>
      <c r="D125" s="18" t="s">
        <v>296</v>
      </c>
      <c r="E125" s="19">
        <v>57.5</v>
      </c>
      <c r="F125" s="17">
        <v>73.979499638080597</v>
      </c>
      <c r="M125" s="6"/>
    </row>
    <row r="126" spans="1:13">
      <c r="M126" s="6"/>
    </row>
    <row r="127" spans="1:13" ht="16">
      <c r="B127" s="12" t="s">
        <v>24</v>
      </c>
      <c r="C127" s="12"/>
      <c r="M127" s="6"/>
    </row>
    <row r="128" spans="1:13" ht="14">
      <c r="B128" s="13"/>
      <c r="C128" s="14" t="s">
        <v>122</v>
      </c>
      <c r="M128" s="6"/>
    </row>
    <row r="129" spans="2:13" ht="14">
      <c r="B129" s="15" t="s">
        <v>26</v>
      </c>
      <c r="C129" s="15" t="s">
        <v>27</v>
      </c>
      <c r="D129" s="15" t="s">
        <v>853</v>
      </c>
      <c r="E129" s="16" t="s">
        <v>379</v>
      </c>
      <c r="F129" s="15" t="s">
        <v>29</v>
      </c>
      <c r="M129" s="6"/>
    </row>
    <row r="130" spans="2:13">
      <c r="B130" s="5" t="s">
        <v>470</v>
      </c>
      <c r="C130" s="5" t="s">
        <v>122</v>
      </c>
      <c r="D130" s="18" t="s">
        <v>123</v>
      </c>
      <c r="E130" s="19">
        <v>175</v>
      </c>
      <c r="F130" s="17">
        <v>117.75750368833501</v>
      </c>
      <c r="M130" s="6"/>
    </row>
    <row r="131" spans="2:13">
      <c r="B131" s="5" t="s">
        <v>501</v>
      </c>
      <c r="C131" s="5" t="s">
        <v>122</v>
      </c>
      <c r="D131" s="18" t="s">
        <v>127</v>
      </c>
      <c r="E131" s="19">
        <v>192.5</v>
      </c>
      <c r="F131" s="17">
        <v>117.57900536060301</v>
      </c>
      <c r="M131" s="6"/>
    </row>
    <row r="132" spans="2:13">
      <c r="B132" s="5" t="s">
        <v>481</v>
      </c>
      <c r="C132" s="5" t="s">
        <v>122</v>
      </c>
      <c r="D132" s="18" t="s">
        <v>128</v>
      </c>
      <c r="E132" s="19">
        <v>180</v>
      </c>
      <c r="F132" s="17">
        <v>115.847997665405</v>
      </c>
      <c r="M132" s="6"/>
    </row>
    <row r="133" spans="2:13">
      <c r="M133" s="6"/>
    </row>
    <row r="134" spans="2:13" ht="14">
      <c r="B134" s="13"/>
      <c r="C134" s="14" t="s">
        <v>25</v>
      </c>
      <c r="M134" s="6"/>
    </row>
    <row r="135" spans="2:13" ht="14">
      <c r="B135" s="15" t="s">
        <v>26</v>
      </c>
      <c r="C135" s="15" t="s">
        <v>27</v>
      </c>
      <c r="D135" s="15" t="s">
        <v>853</v>
      </c>
      <c r="E135" s="16" t="s">
        <v>379</v>
      </c>
      <c r="F135" s="15" t="s">
        <v>29</v>
      </c>
      <c r="M135" s="6"/>
    </row>
    <row r="136" spans="2:13">
      <c r="B136" s="5" t="s">
        <v>522</v>
      </c>
      <c r="C136" s="5" t="s">
        <v>813</v>
      </c>
      <c r="D136" s="18" t="s">
        <v>127</v>
      </c>
      <c r="E136" s="19">
        <v>110</v>
      </c>
      <c r="F136" s="17">
        <v>142.350118768215</v>
      </c>
      <c r="M136" s="6"/>
    </row>
    <row r="137" spans="2:13">
      <c r="B137" s="5" t="s">
        <v>546</v>
      </c>
      <c r="C137" s="5" t="s">
        <v>814</v>
      </c>
      <c r="D137" s="18" t="s">
        <v>322</v>
      </c>
      <c r="E137" s="19">
        <v>190</v>
      </c>
      <c r="F137" s="17">
        <v>131.84267166137701</v>
      </c>
      <c r="G137" s="5"/>
      <c r="M137" s="6"/>
    </row>
    <row r="138" spans="2:13">
      <c r="B138" s="5" t="s">
        <v>461</v>
      </c>
      <c r="C138" s="5" t="s">
        <v>815</v>
      </c>
      <c r="D138" s="18" t="s">
        <v>323</v>
      </c>
      <c r="E138" s="19">
        <v>105</v>
      </c>
      <c r="F138" s="17">
        <v>130.305003404617</v>
      </c>
    </row>
  </sheetData>
  <mergeCells count="27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8:J98"/>
    <mergeCell ref="A110:J110"/>
    <mergeCell ref="A114:J114"/>
    <mergeCell ref="B3:B4"/>
    <mergeCell ref="A37:J37"/>
    <mergeCell ref="A41:J41"/>
    <mergeCell ref="A47:J47"/>
    <mergeCell ref="A60:J60"/>
    <mergeCell ref="A71:J71"/>
    <mergeCell ref="A84:J84"/>
    <mergeCell ref="A8:J8"/>
    <mergeCell ref="A13:J13"/>
    <mergeCell ref="A20:J20"/>
    <mergeCell ref="A23:J23"/>
    <mergeCell ref="A30:J30"/>
    <mergeCell ref="A34:J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ПЛ многослой</vt:lpstr>
      <vt:lpstr>IPL Двоеборье без экип ДК</vt:lpstr>
      <vt:lpstr>IPL Двоеборье без экип</vt:lpstr>
      <vt:lpstr>IPL Присед без экипировки ДК</vt:lpstr>
      <vt:lpstr>IPL Жим без экипировки ДК</vt:lpstr>
      <vt:lpstr>IPL Жим без экипировки</vt:lpstr>
      <vt:lpstr>IPL Жим многослой ДК</vt:lpstr>
      <vt:lpstr>СПР Жим софт однопетельная</vt:lpstr>
      <vt:lpstr>СПР Жим софт многопетельная ДК</vt:lpstr>
      <vt:lpstr>СПР Жим софт многопетельная</vt:lpstr>
      <vt:lpstr>IPL Тяга без экипировки ДК</vt:lpstr>
      <vt:lpstr>IPL Тяга без экипировки</vt:lpstr>
      <vt:lpstr>IPL Тяга многослой</vt:lpstr>
      <vt:lpstr>СПР Пауэрспорт ДК</vt:lpstr>
      <vt:lpstr>СПР Жим стоя ДК</vt:lpstr>
      <vt:lpstr>СПР Подъем на бицепс ДК</vt:lpstr>
      <vt:lpstr>СПР Подъем на бицепс</vt:lpstr>
      <vt:lpstr>ФЖД Военный жим максимум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2022-06-20T18:59:03Z</dcterms:modified>
</cp:coreProperties>
</file>