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Июль/"/>
    </mc:Choice>
  </mc:AlternateContent>
  <xr:revisionPtr revIDLastSave="0" documentId="13_ncr:1_{D68EB4D0-372C-0742-8CEA-7101114338AC}" xr6:coauthVersionLast="45" xr6:coauthVersionMax="45" xr10:uidLastSave="{00000000-0000-0000-0000-000000000000}"/>
  <bookViews>
    <workbookView xWindow="480" yWindow="460" windowWidth="28320" windowHeight="16040" firstSheet="11" activeTab="15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RPF Двоеборье без экип ДК" sheetId="30" r:id="rId5"/>
    <sheet name="WRPF Жим лежа без экип ДК" sheetId="16" r:id="rId6"/>
    <sheet name="WRPF Жим лежа без экип" sheetId="15" r:id="rId7"/>
    <sheet name="WEPF Жим софт однопетельная ДК" sheetId="17" r:id="rId8"/>
    <sheet name="WEPF Жим софт однопетельная" sheetId="13" r:id="rId9"/>
    <sheet name="WEPF Жим софт многопетельнаяДК" sheetId="22" r:id="rId10"/>
    <sheet name="WEPF Жим софт многопетельная" sheetId="21" r:id="rId11"/>
    <sheet name="WRPF Военный жим ДК" sheetId="20" r:id="rId12"/>
    <sheet name="WRPF Военный жим" sheetId="14" r:id="rId13"/>
    <sheet name="WRPF Тяга без экипировки ДК" sheetId="26" r:id="rId14"/>
    <sheet name="WRPF Тяга без экипировки" sheetId="25" r:id="rId15"/>
    <sheet name="СПР Пауэрспорт ДК" sheetId="45" r:id="rId16"/>
    <sheet name="СПР Жим стоя ДК" sheetId="41" r:id="rId17"/>
    <sheet name="СПР Подъем на бицепс ДК" sheetId="43" r:id="rId18"/>
  </sheets>
  <definedNames>
    <definedName name="_FilterDatabase" localSheetId="3" hidden="1">'WRPF ПЛ в бинтах'!$A$1:$S$3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45" l="1"/>
  <c r="O6" i="45"/>
  <c r="L26" i="43"/>
  <c r="K26" i="43"/>
  <c r="L23" i="43"/>
  <c r="K23" i="43"/>
  <c r="L20" i="43"/>
  <c r="K20" i="43"/>
  <c r="L17" i="43"/>
  <c r="K17" i="43"/>
  <c r="L14" i="43"/>
  <c r="K14" i="43"/>
  <c r="L13" i="43"/>
  <c r="K13" i="43"/>
  <c r="L12" i="43"/>
  <c r="K12" i="43"/>
  <c r="L9" i="43"/>
  <c r="K9" i="43"/>
  <c r="L6" i="43"/>
  <c r="K6" i="43"/>
  <c r="L6" i="41"/>
  <c r="K6" i="41"/>
  <c r="P12" i="30"/>
  <c r="O12" i="30"/>
  <c r="P9" i="30"/>
  <c r="O9" i="30"/>
  <c r="P6" i="30"/>
  <c r="O6" i="30"/>
  <c r="L16" i="26"/>
  <c r="K16" i="26"/>
  <c r="L13" i="26"/>
  <c r="K13" i="26"/>
  <c r="L12" i="26"/>
  <c r="K12" i="26"/>
  <c r="L9" i="26"/>
  <c r="K9" i="26"/>
  <c r="L6" i="26"/>
  <c r="K6" i="26"/>
  <c r="L12" i="25"/>
  <c r="K12" i="25"/>
  <c r="L9" i="25"/>
  <c r="K9" i="25"/>
  <c r="L6" i="25"/>
  <c r="K6" i="25"/>
  <c r="L9" i="22"/>
  <c r="K9" i="22"/>
  <c r="L6" i="22"/>
  <c r="K6" i="22"/>
  <c r="L9" i="21"/>
  <c r="K9" i="21"/>
  <c r="L6" i="21"/>
  <c r="K6" i="21"/>
  <c r="L16" i="20"/>
  <c r="K16" i="20"/>
  <c r="L15" i="20"/>
  <c r="K15" i="20"/>
  <c r="L12" i="20"/>
  <c r="K12" i="20"/>
  <c r="L9" i="20"/>
  <c r="K9" i="20"/>
  <c r="L6" i="20"/>
  <c r="K6" i="20"/>
  <c r="L6" i="17"/>
  <c r="K6" i="17"/>
  <c r="L26" i="16"/>
  <c r="K26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5" i="16"/>
  <c r="K15" i="16"/>
  <c r="L14" i="16"/>
  <c r="K14" i="16"/>
  <c r="L11" i="16"/>
  <c r="K11" i="16"/>
  <c r="L10" i="16"/>
  <c r="K10" i="16"/>
  <c r="L9" i="16"/>
  <c r="K9" i="16"/>
  <c r="L6" i="16"/>
  <c r="K6" i="16"/>
  <c r="L22" i="15"/>
  <c r="K22" i="15"/>
  <c r="L19" i="15"/>
  <c r="K19" i="15"/>
  <c r="L18" i="15"/>
  <c r="K18" i="15"/>
  <c r="L15" i="15"/>
  <c r="K15" i="15"/>
  <c r="L12" i="15"/>
  <c r="K12" i="15"/>
  <c r="L9" i="15"/>
  <c r="K9" i="15"/>
  <c r="L6" i="15"/>
  <c r="K6" i="15"/>
  <c r="L6" i="14"/>
  <c r="K6" i="14"/>
  <c r="L6" i="13"/>
  <c r="K6" i="13"/>
  <c r="T15" i="10"/>
  <c r="S15" i="10"/>
  <c r="T12" i="10"/>
  <c r="S12" i="10"/>
  <c r="T9" i="10"/>
  <c r="S9" i="10"/>
  <c r="T6" i="10"/>
  <c r="T11" i="9"/>
  <c r="S11" i="9"/>
  <c r="T10" i="9"/>
  <c r="S10" i="9"/>
  <c r="T9" i="9"/>
  <c r="S9" i="9"/>
  <c r="T6" i="9"/>
  <c r="S6" i="9"/>
  <c r="T6" i="6"/>
  <c r="T6" i="5"/>
  <c r="S6" i="5"/>
</calcChain>
</file>

<file path=xl/sharedStrings.xml><?xml version="1.0" encoding="utf-8"?>
<sst xmlns="http://schemas.openxmlformats.org/spreadsheetml/2006/main" count="950" uniqueCount="308">
  <si>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</si>
  <si>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</si>
  <si>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</si>
  <si>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</si>
  <si>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</si>
  <si>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</si>
  <si>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</si>
  <si>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</si>
  <si>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</si>
  <si>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</si>
  <si>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</si>
  <si>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Семенов Вячеслав</t>
  </si>
  <si>
    <t>Мастера 40-49 (12.09.1974)/47</t>
  </si>
  <si>
    <t>94,70</t>
  </si>
  <si>
    <t xml:space="preserve">Ульяновск/Ульяновская область </t>
  </si>
  <si>
    <t>200,0</t>
  </si>
  <si>
    <t>210,0</t>
  </si>
  <si>
    <t>127,5</t>
  </si>
  <si>
    <t>132,5</t>
  </si>
  <si>
    <t>137,5</t>
  </si>
  <si>
    <t>195,0</t>
  </si>
  <si>
    <t>205,0</t>
  </si>
  <si>
    <t>212,5</t>
  </si>
  <si>
    <t xml:space="preserve">Пономарев И. </t>
  </si>
  <si>
    <t>1</t>
  </si>
  <si>
    <t>ВЕСОВАЯ КАТЕГОРИЯ   82.5</t>
  </si>
  <si>
    <t>Маркелов Максим</t>
  </si>
  <si>
    <t>Открытая (10.07.1994)/27</t>
  </si>
  <si>
    <t>75,30</t>
  </si>
  <si>
    <t>170,0</t>
  </si>
  <si>
    <t>180,0</t>
  </si>
  <si>
    <t>100,0</t>
  </si>
  <si>
    <t>160,0</t>
  </si>
  <si>
    <t>-</t>
  </si>
  <si>
    <t>ВЕСОВАЯ КАТЕГОРИЯ   67.5</t>
  </si>
  <si>
    <t>Егорова Юлия</t>
  </si>
  <si>
    <t>Открытая (06.05.1993)/29</t>
  </si>
  <si>
    <t>64,70</t>
  </si>
  <si>
    <t>85,0</t>
  </si>
  <si>
    <t>90,0</t>
  </si>
  <si>
    <t>92,5</t>
  </si>
  <si>
    <t>55,0</t>
  </si>
  <si>
    <t>60,0</t>
  </si>
  <si>
    <t>62,5</t>
  </si>
  <si>
    <t>97,5</t>
  </si>
  <si>
    <t>105,0</t>
  </si>
  <si>
    <t>110,0</t>
  </si>
  <si>
    <t>Федосеев Степан</t>
  </si>
  <si>
    <t>Юноши 14-16 (09.08.2008)/13</t>
  </si>
  <si>
    <t>65,00</t>
  </si>
  <si>
    <t>95,0</t>
  </si>
  <si>
    <t>57,5</t>
  </si>
  <si>
    <t>65,0</t>
  </si>
  <si>
    <t>120,0</t>
  </si>
  <si>
    <t xml:space="preserve">Степанов В. </t>
  </si>
  <si>
    <t>Захаров Александр</t>
  </si>
  <si>
    <t>Юноши 17-19 (06.04.2004)/18</t>
  </si>
  <si>
    <t>63,60</t>
  </si>
  <si>
    <t>Степанов Владимир</t>
  </si>
  <si>
    <t>Открытая (27.10.1994)/27</t>
  </si>
  <si>
    <t>67,50</t>
  </si>
  <si>
    <t>115,0</t>
  </si>
  <si>
    <t>185,0</t>
  </si>
  <si>
    <t>192,5</t>
  </si>
  <si>
    <t xml:space="preserve">Продан С. </t>
  </si>
  <si>
    <t>ВЕСОВАЯ КАТЕГОРИЯ   60</t>
  </si>
  <si>
    <t>Зорина Ирина</t>
  </si>
  <si>
    <t>Открытая (11.05.1995)/27</t>
  </si>
  <si>
    <t>59,80</t>
  </si>
  <si>
    <t xml:space="preserve">Энгельс/Саратовская область </t>
  </si>
  <si>
    <t xml:space="preserve">Коптев М. </t>
  </si>
  <si>
    <t>ВЕСОВАЯ КАТЕГОРИЯ   90</t>
  </si>
  <si>
    <t>Федосеева Елена</t>
  </si>
  <si>
    <t>Мастера 40-49 (29.09.1981)/40</t>
  </si>
  <si>
    <t>87,20</t>
  </si>
  <si>
    <t>70,0</t>
  </si>
  <si>
    <t>75,0</t>
  </si>
  <si>
    <t>135,0</t>
  </si>
  <si>
    <t>145,0</t>
  </si>
  <si>
    <t>ВЕСОВАЯ КАТЕГОРИЯ   75</t>
  </si>
  <si>
    <t>Шарафиев Наиль</t>
  </si>
  <si>
    <t>Открытая (27.08.1984)/37</t>
  </si>
  <si>
    <t>74,70</t>
  </si>
  <si>
    <t>190,0</t>
  </si>
  <si>
    <t>117,5</t>
  </si>
  <si>
    <t>215,0</t>
  </si>
  <si>
    <t>230,0</t>
  </si>
  <si>
    <t>240,0</t>
  </si>
  <si>
    <t>Вострокнутов Артем</t>
  </si>
  <si>
    <t>Открытая (10.09.1985)/36</t>
  </si>
  <si>
    <t>89,40</t>
  </si>
  <si>
    <t>220,0</t>
  </si>
  <si>
    <t>150,0</t>
  </si>
  <si>
    <t>155,0</t>
  </si>
  <si>
    <t>225,0</t>
  </si>
  <si>
    <t>250,0</t>
  </si>
  <si>
    <t>ВЕСОВАЯ КАТЕГОРИЯ   110</t>
  </si>
  <si>
    <t>Репин Дмитрий</t>
  </si>
  <si>
    <t>Открытая (26.04.1987)/35</t>
  </si>
  <si>
    <t>108,10</t>
  </si>
  <si>
    <t>235,0</t>
  </si>
  <si>
    <t>Результат</t>
  </si>
  <si>
    <t>ВЕСОВАЯ КАТЕГОРИЯ   56</t>
  </si>
  <si>
    <t>Антонова Божена</t>
  </si>
  <si>
    <t>Девушки 14-16 (23.06.2008)/14</t>
  </si>
  <si>
    <t>54,80</t>
  </si>
  <si>
    <t xml:space="preserve">Северо-Курильск/Сахалинская область </t>
  </si>
  <si>
    <t>40,0</t>
  </si>
  <si>
    <t>42,5</t>
  </si>
  <si>
    <t>Антонов Эрик</t>
  </si>
  <si>
    <t>Юноши 14-16 (23.06.2008)/14</t>
  </si>
  <si>
    <t>58,60</t>
  </si>
  <si>
    <t>72,5</t>
  </si>
  <si>
    <t>Бурундуков Дамир</t>
  </si>
  <si>
    <t>Юноши 14-16 (17.10.2008)/13</t>
  </si>
  <si>
    <t>81,80</t>
  </si>
  <si>
    <t>45,0</t>
  </si>
  <si>
    <t xml:space="preserve">Лагутин Е. </t>
  </si>
  <si>
    <t>Болобан Арсений</t>
  </si>
  <si>
    <t>Юноши 14-16 (15.05.2010)/12</t>
  </si>
  <si>
    <t>89,00</t>
  </si>
  <si>
    <t>67,5</t>
  </si>
  <si>
    <t>Некрасов Иван</t>
  </si>
  <si>
    <t>Открытая (18.03.1982)/40</t>
  </si>
  <si>
    <t>96,10</t>
  </si>
  <si>
    <t xml:space="preserve">Пермь/Пермский край </t>
  </si>
  <si>
    <t>202,5</t>
  </si>
  <si>
    <t xml:space="preserve">Смирнов Д. </t>
  </si>
  <si>
    <t>Михеев Александр</t>
  </si>
  <si>
    <t>Мастера 40-49 (12.11.1978)/43</t>
  </si>
  <si>
    <t>98,00</t>
  </si>
  <si>
    <t xml:space="preserve">Тольятти/Самарская область </t>
  </si>
  <si>
    <t>125,0</t>
  </si>
  <si>
    <t>130,0</t>
  </si>
  <si>
    <t xml:space="preserve">Михеева Р. </t>
  </si>
  <si>
    <t>ВЕСОВАЯ КАТЕГОРИЯ   125</t>
  </si>
  <si>
    <t>Некнедавичюс Альгис</t>
  </si>
  <si>
    <t>Открытая (05.03.1977)/45</t>
  </si>
  <si>
    <t>116,20</t>
  </si>
  <si>
    <t xml:space="preserve">Унгаров А. </t>
  </si>
  <si>
    <t>Хайдаршин Марат</t>
  </si>
  <si>
    <t>Мастера 40-49 (14.06.1979)/43</t>
  </si>
  <si>
    <t>66,80</t>
  </si>
  <si>
    <t>Власов Александр</t>
  </si>
  <si>
    <t>Открытая (18.10.1998)/23</t>
  </si>
  <si>
    <t>73,40</t>
  </si>
  <si>
    <t>152,5</t>
  </si>
  <si>
    <t>157,5</t>
  </si>
  <si>
    <t>Панкратов Вадим</t>
  </si>
  <si>
    <t>Открытая (21.09.1997)/24</t>
  </si>
  <si>
    <t>73,00</t>
  </si>
  <si>
    <t>140,0</t>
  </si>
  <si>
    <t xml:space="preserve">Суслов Н. </t>
  </si>
  <si>
    <t>Сабиржанов Марат</t>
  </si>
  <si>
    <t>Открытая (04.01.1988)/34</t>
  </si>
  <si>
    <t>72,60</t>
  </si>
  <si>
    <t>122,5</t>
  </si>
  <si>
    <t>Секретарёв Сергей</t>
  </si>
  <si>
    <t>Открытая (03.03.1990)/32</t>
  </si>
  <si>
    <t>80,70</t>
  </si>
  <si>
    <t xml:space="preserve">Барыш/Ульяновская область </t>
  </si>
  <si>
    <t>Алексеев Владимир</t>
  </si>
  <si>
    <t>Открытая (24.07.1987)/34</t>
  </si>
  <si>
    <t>78,60</t>
  </si>
  <si>
    <t>Бондаренко Михаил</t>
  </si>
  <si>
    <t>Юноши 14-16 (03.01.2006)/16</t>
  </si>
  <si>
    <t>87,60</t>
  </si>
  <si>
    <t>142,5</t>
  </si>
  <si>
    <t>Яббаров Альберт</t>
  </si>
  <si>
    <t>Юниоры (10.07.1999)/22</t>
  </si>
  <si>
    <t>84,80</t>
  </si>
  <si>
    <t>Гоглидзе Евгений</t>
  </si>
  <si>
    <t>Юниоры (08.08.1999)/22</t>
  </si>
  <si>
    <t>85,50</t>
  </si>
  <si>
    <t xml:space="preserve">Лично </t>
  </si>
  <si>
    <t>Открытая (10.07.1999)/22</t>
  </si>
  <si>
    <t>Кривошеев Владимир</t>
  </si>
  <si>
    <t>Открытая (27.07.1982)/39</t>
  </si>
  <si>
    <t>87,90</t>
  </si>
  <si>
    <t>Безруков Владимир</t>
  </si>
  <si>
    <t>Открытая (22.04.1984)/38</t>
  </si>
  <si>
    <t>96,90</t>
  </si>
  <si>
    <t>162,5</t>
  </si>
  <si>
    <t xml:space="preserve">Мистюков А. </t>
  </si>
  <si>
    <t>2</t>
  </si>
  <si>
    <t>3</t>
  </si>
  <si>
    <t>Леушкин Руслан</t>
  </si>
  <si>
    <t>Открытая (10.08.1989)/32</t>
  </si>
  <si>
    <t>75,80</t>
  </si>
  <si>
    <t>175,0</t>
  </si>
  <si>
    <t>ВЕСОВАЯ КАТЕГОРИЯ   52</t>
  </si>
  <si>
    <t>Битюкова Ольга</t>
  </si>
  <si>
    <t>Мастера 40-49 (10.07.1974)/47</t>
  </si>
  <si>
    <t>51,00</t>
  </si>
  <si>
    <t>47,5</t>
  </si>
  <si>
    <t>52,5</t>
  </si>
  <si>
    <t xml:space="preserve">Камаляев В. </t>
  </si>
  <si>
    <t>Чернева Марина</t>
  </si>
  <si>
    <t>Мастера 50-59 (27.09.1970)/51</t>
  </si>
  <si>
    <t>82,50</t>
  </si>
  <si>
    <t>77,5</t>
  </si>
  <si>
    <t>82,5</t>
  </si>
  <si>
    <t>87,5</t>
  </si>
  <si>
    <t>147,5</t>
  </si>
  <si>
    <t>154,0</t>
  </si>
  <si>
    <t>Филатов Алексей</t>
  </si>
  <si>
    <t>Юниоры (07.05.2002)/20</t>
  </si>
  <si>
    <t>90,00</t>
  </si>
  <si>
    <t xml:space="preserve">Димитровград/Ульяновская область </t>
  </si>
  <si>
    <t>Грищенко Андрей</t>
  </si>
  <si>
    <t>Открытая (19.06.1996)/26</t>
  </si>
  <si>
    <t>270,0</t>
  </si>
  <si>
    <t>300,0</t>
  </si>
  <si>
    <t xml:space="preserve">Брославский В. </t>
  </si>
  <si>
    <t>Съемщиков Игорь</t>
  </si>
  <si>
    <t>Мастера 50-59 (15.11.1971)/50</t>
  </si>
  <si>
    <t>97,70</t>
  </si>
  <si>
    <t>280,0</t>
  </si>
  <si>
    <t>Логинов Александр</t>
  </si>
  <si>
    <t>Открытая (03.03.1997)/25</t>
  </si>
  <si>
    <t>87,10</t>
  </si>
  <si>
    <t>Чадаев Александр</t>
  </si>
  <si>
    <t>Открытая (18.11.1989)/32</t>
  </si>
  <si>
    <t>93,40</t>
  </si>
  <si>
    <t>Некрытова Анастасия</t>
  </si>
  <si>
    <t>Открытая (25.09.1986)/35</t>
  </si>
  <si>
    <t>59,70</t>
  </si>
  <si>
    <t>80,0</t>
  </si>
  <si>
    <t>Пономарев Иван</t>
  </si>
  <si>
    <t>Открытая (30.06.1988)/34</t>
  </si>
  <si>
    <t>70,70</t>
  </si>
  <si>
    <t>260,0</t>
  </si>
  <si>
    <t>Новлянский Виктор</t>
  </si>
  <si>
    <t>Мастера 50-59 (01.11.1965)/56</t>
  </si>
  <si>
    <t>106,40</t>
  </si>
  <si>
    <t xml:space="preserve">Самара/Самарская область </t>
  </si>
  <si>
    <t>Горожанина Ольга</t>
  </si>
  <si>
    <t>Открытая (05.11.1983)/38</t>
  </si>
  <si>
    <t>55,70</t>
  </si>
  <si>
    <t>Руль Андрей</t>
  </si>
  <si>
    <t>Открытая (24.07.1982)/39</t>
  </si>
  <si>
    <t xml:space="preserve">Москва </t>
  </si>
  <si>
    <t xml:space="preserve">Осипчук С. </t>
  </si>
  <si>
    <t>Волченко Юрий</t>
  </si>
  <si>
    <t>Открытая (01.10.1979)/42</t>
  </si>
  <si>
    <t>89,10</t>
  </si>
  <si>
    <t xml:space="preserve">Мастюков А. </t>
  </si>
  <si>
    <t>Гарифуллов Рафаэль</t>
  </si>
  <si>
    <t>Открытая (03.01.1995)/27</t>
  </si>
  <si>
    <t>68,80</t>
  </si>
  <si>
    <t>237,5</t>
  </si>
  <si>
    <t>ВЕСОВАЯ КАТЕГОРИЯ   140</t>
  </si>
  <si>
    <t>Кузнецов Алексей</t>
  </si>
  <si>
    <t>Юниоры (13.07.2000)/21</t>
  </si>
  <si>
    <t>140,00</t>
  </si>
  <si>
    <t>30,0</t>
  </si>
  <si>
    <t>Ошков Александр</t>
  </si>
  <si>
    <t>79,20</t>
  </si>
  <si>
    <t xml:space="preserve">Ошков С. </t>
  </si>
  <si>
    <t>Гераймас Александр</t>
  </si>
  <si>
    <t>Открытая (13.08.1982)/39</t>
  </si>
  <si>
    <t>99,70</t>
  </si>
  <si>
    <t>25,0</t>
  </si>
  <si>
    <t>Ковякин Егор</t>
  </si>
  <si>
    <t>Открытая (21.01.2007)/15</t>
  </si>
  <si>
    <t>50,0</t>
  </si>
  <si>
    <t xml:space="preserve">Горожанина О. </t>
  </si>
  <si>
    <t>Шкалев Сергей</t>
  </si>
  <si>
    <t>Открытая (25.09.1976)/45</t>
  </si>
  <si>
    <t xml:space="preserve">Рязань/Рязанская область </t>
  </si>
  <si>
    <t>Тяга</t>
  </si>
  <si>
    <t xml:space="preserve">Тимофеев Д. </t>
  </si>
  <si>
    <t>Всероссийский мастерский турнир «Ironman»
СПР Пауэрспорт ДК
Димитровград/Ульяновская область, 09 июля 2022 года</t>
  </si>
  <si>
    <t>Всероссийский мастерский турнир «Ironman»
СПР Строгий подъем штанги на бицепс ДК
Димитровград/Ульяновская область, 09 июля 2022 года</t>
  </si>
  <si>
    <t>Всероссийский мастерский турнир «Ironman»
СПР Жим штанги стоя ДК
Димитровград/Ульяновская область, 09 июля 2022 года</t>
  </si>
  <si>
    <t>Всероссийский мастерский турнир «Ironman»
WRPF Силовое двоеборье без экипировки ДК
Димитровград/Ульяновская область, 09 июля 2022 года</t>
  </si>
  <si>
    <t>Всероссийский мастерский турнир «Ironman»
WRPF Становая тяга без экипировки ДК
Димитровград/Ульяновская область, 09 июля 2022 года</t>
  </si>
  <si>
    <t>Всероссийский мастерский турнир «Ironman»
WRPF Становая тяга без экипировки
Димитровград/Ульяновская область, 09 июля 2022 года</t>
  </si>
  <si>
    <t>Всероссийский мастерский турнир «Ironman»
WEPF Жим лежа в многопетельной софт экипировке ДК
Димитровград/Ульяновская область, 09 июля 2022 года</t>
  </si>
  <si>
    <t>Всероссийский мастерский турнир «Ironman»
WEPF Жим лежа в многопетельной софт экипировке
Димитровград/Ульяновская область, 09 июля 2022 года</t>
  </si>
  <si>
    <t>Всероссийский мастерский турнир «Ironman»
WRPF Военный жим лежа с ДК
Димитровград/Ульяновская область, 09 июля 2022 года</t>
  </si>
  <si>
    <t>Всероссийский мастерский турнир «Ironman»
WEPF Жим лежа в однопетельной софт экипировке ДК
Димитровград/Ульяновская область, 09 июля 2022 года</t>
  </si>
  <si>
    <t>Всероссийский мастерский турнир «Ironman»
WRPF Жим лежа без экипировки ДК
Димитровград/Ульяновская область, 09 июля 2022 года</t>
  </si>
  <si>
    <t>Всероссийский мастерский турнир «Ironman»
WRPF Жим лежа без экипировки
Димитровград/Ульяновская область, 09 июля 2022 года</t>
  </si>
  <si>
    <t>Всероссийский мастерский турнир «Ironman»
WRPF Военный жим лежа
Димитровград/Ульяновская область, 09 июля 2022 года</t>
  </si>
  <si>
    <t>Всероссийский мастерский турнир «Ironman»
WEPF Жим лежа в однопетельной софт экипировке
Димитровград/Ульяновская область, 09 июля 2022 года</t>
  </si>
  <si>
    <t>Всероссийский мастерский турнир «Ironman»
WRPF Пауэрлифтинг без экипировки ДК
Димитровград/Ульяновская область, 09 июля 2022 года</t>
  </si>
  <si>
    <t>Всероссийский мастерский турнир «Ironman»
WRPF Пауэрлифтинг без экипировки
Димитровград/Ульяновская область, 09 июля 2022 года</t>
  </si>
  <si>
    <t>Всероссийский мастерский турнир «Ironman»
WRPF Пауэрлифтинг классический в бинтах ДК
Димитровград/Ульяновская область, 09 июля 2022 года</t>
  </si>
  <si>
    <t>Всероссийский мастерский турнир «Ironman»
WRPF Пауэрлифтинг классический в бинтах
Димитровград/Ульяновская область, 09 июля 2022 года</t>
  </si>
  <si>
    <t>Мастера 40-49 (25.09.1976)/45</t>
  </si>
  <si>
    <t>Юноши 13-19 (26.11.2003)/18</t>
  </si>
  <si>
    <t>Юниоры 20-23 (07.05.2002)/20</t>
  </si>
  <si>
    <t xml:space="preserve">Волжск/Республика Марий Эл </t>
  </si>
  <si>
    <t xml:space="preserve">Казань/Республика Татарстан </t>
  </si>
  <si>
    <t xml:space="preserve">Чебоксары/Чувашская Республика </t>
  </si>
  <si>
    <t xml:space="preserve">Ижевск/Удмуртская Республика </t>
  </si>
  <si>
    <t>№</t>
  </si>
  <si>
    <t xml:space="preserve">
Дата рождения/Возраст</t>
  </si>
  <si>
    <t>Возрастная группа</t>
  </si>
  <si>
    <t>O</t>
  </si>
  <si>
    <t>M1</t>
  </si>
  <si>
    <t>T1</t>
  </si>
  <si>
    <t>T2</t>
  </si>
  <si>
    <t>J</t>
  </si>
  <si>
    <t>M2</t>
  </si>
  <si>
    <t>T</t>
  </si>
  <si>
    <t>Жим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</si>
</sst>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U15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7" width="5.5" style="11" customWidth="1"/>
    <col min="18" max="18" width="4.83203125" style="11" customWidth="1"/>
    <col min="19" max="19" width="7.83203125" style="12" bestFit="1" customWidth="1"/>
    <col min="20" max="20" width="8.5" style="6" bestFit="1" customWidth="1"/>
    <col min="21" max="21" width="21.6640625" style="5" customWidth="1"/>
    <col min="22" max="16384" width="9.1640625" style="3"/>
  </cols>
  <sheetData>
    <row r="1" spans="1:21" s="2" customFormat="1" ht="29" customHeight="1">
      <c r="A1" s="41" t="s">
        <v>286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7</v>
      </c>
      <c r="H3" s="53"/>
      <c r="I3" s="53"/>
      <c r="J3" s="53"/>
      <c r="K3" s="53" t="s">
        <v>8</v>
      </c>
      <c r="L3" s="53"/>
      <c r="M3" s="53"/>
      <c r="N3" s="53"/>
      <c r="O3" s="53" t="s">
        <v>9</v>
      </c>
      <c r="P3" s="53"/>
      <c r="Q3" s="53"/>
      <c r="R3" s="53"/>
      <c r="S3" s="58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9"/>
      <c r="T4" s="36"/>
      <c r="U4" s="38"/>
    </row>
    <row r="5" spans="1:21" ht="16">
      <c r="A5" s="39" t="s">
        <v>65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5" t="s">
        <v>33</v>
      </c>
      <c r="B6" s="7" t="s">
        <v>66</v>
      </c>
      <c r="C6" s="7" t="s">
        <v>67</v>
      </c>
      <c r="D6" s="7" t="s">
        <v>68</v>
      </c>
      <c r="E6" s="8" t="s">
        <v>300</v>
      </c>
      <c r="F6" s="7" t="s">
        <v>69</v>
      </c>
      <c r="G6" s="13" t="s">
        <v>45</v>
      </c>
      <c r="H6" s="13" t="s">
        <v>46</v>
      </c>
      <c r="I6" s="13" t="s">
        <v>46</v>
      </c>
      <c r="J6" s="15"/>
      <c r="K6" s="13"/>
      <c r="L6" s="15"/>
      <c r="M6" s="15"/>
      <c r="N6" s="15"/>
      <c r="O6" s="13"/>
      <c r="P6" s="15"/>
      <c r="Q6" s="15"/>
      <c r="R6" s="15"/>
      <c r="S6" s="34">
        <v>0</v>
      </c>
      <c r="T6" s="9" t="str">
        <f>"0,0000"</f>
        <v>0,0000</v>
      </c>
      <c r="U6" s="7" t="s">
        <v>70</v>
      </c>
    </row>
    <row r="8" spans="1:21" ht="16">
      <c r="A8" s="54" t="s">
        <v>71</v>
      </c>
      <c r="B8" s="54"/>
      <c r="C8" s="54"/>
      <c r="D8" s="54"/>
      <c r="E8" s="5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15" t="s">
        <v>24</v>
      </c>
      <c r="B9" s="7" t="s">
        <v>72</v>
      </c>
      <c r="C9" s="7" t="s">
        <v>73</v>
      </c>
      <c r="D9" s="7" t="s">
        <v>74</v>
      </c>
      <c r="E9" s="8" t="s">
        <v>301</v>
      </c>
      <c r="F9" s="7" t="s">
        <v>14</v>
      </c>
      <c r="G9" s="14" t="s">
        <v>31</v>
      </c>
      <c r="H9" s="14" t="s">
        <v>46</v>
      </c>
      <c r="I9" s="13" t="s">
        <v>61</v>
      </c>
      <c r="J9" s="15"/>
      <c r="K9" s="14" t="s">
        <v>52</v>
      </c>
      <c r="L9" s="14" t="s">
        <v>75</v>
      </c>
      <c r="M9" s="13" t="s">
        <v>76</v>
      </c>
      <c r="N9" s="15"/>
      <c r="O9" s="13" t="s">
        <v>77</v>
      </c>
      <c r="P9" s="14" t="s">
        <v>77</v>
      </c>
      <c r="Q9" s="14" t="s">
        <v>78</v>
      </c>
      <c r="R9" s="15"/>
      <c r="S9" s="34" t="str">
        <f>"325,0"</f>
        <v>325,0</v>
      </c>
      <c r="T9" s="9" t="str">
        <f>"284,7000"</f>
        <v>284,7000</v>
      </c>
      <c r="U9" s="7" t="s">
        <v>54</v>
      </c>
    </row>
    <row r="11" spans="1:21" ht="16">
      <c r="A11" s="54" t="s">
        <v>79</v>
      </c>
      <c r="B11" s="54"/>
      <c r="C11" s="54"/>
      <c r="D11" s="54"/>
      <c r="E11" s="55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21">
      <c r="A12" s="15" t="s">
        <v>24</v>
      </c>
      <c r="B12" s="7" t="s">
        <v>80</v>
      </c>
      <c r="C12" s="7" t="s">
        <v>81</v>
      </c>
      <c r="D12" s="7" t="s">
        <v>82</v>
      </c>
      <c r="E12" s="8" t="s">
        <v>300</v>
      </c>
      <c r="F12" s="7" t="s">
        <v>294</v>
      </c>
      <c r="G12" s="14" t="s">
        <v>30</v>
      </c>
      <c r="H12" s="14" t="s">
        <v>62</v>
      </c>
      <c r="I12" s="14" t="s">
        <v>83</v>
      </c>
      <c r="J12" s="15"/>
      <c r="K12" s="14" t="s">
        <v>46</v>
      </c>
      <c r="L12" s="14" t="s">
        <v>61</v>
      </c>
      <c r="M12" s="13" t="s">
        <v>84</v>
      </c>
      <c r="N12" s="15"/>
      <c r="O12" s="14" t="s">
        <v>85</v>
      </c>
      <c r="P12" s="14" t="s">
        <v>86</v>
      </c>
      <c r="Q12" s="14" t="s">
        <v>87</v>
      </c>
      <c r="R12" s="15"/>
      <c r="S12" s="34" t="str">
        <f>"545,0"</f>
        <v>545,0</v>
      </c>
      <c r="T12" s="9" t="str">
        <f>"389,4570"</f>
        <v>389,4570</v>
      </c>
      <c r="U12" s="7"/>
    </row>
    <row r="14" spans="1:21" ht="16">
      <c r="A14" s="54" t="s">
        <v>71</v>
      </c>
      <c r="B14" s="54"/>
      <c r="C14" s="54"/>
      <c r="D14" s="54"/>
      <c r="E14" s="55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21">
      <c r="A15" s="15" t="s">
        <v>24</v>
      </c>
      <c r="B15" s="7" t="s">
        <v>88</v>
      </c>
      <c r="C15" s="7" t="s">
        <v>89</v>
      </c>
      <c r="D15" s="7" t="s">
        <v>90</v>
      </c>
      <c r="E15" s="8" t="s">
        <v>300</v>
      </c>
      <c r="F15" s="7" t="s">
        <v>296</v>
      </c>
      <c r="G15" s="14" t="s">
        <v>21</v>
      </c>
      <c r="H15" s="14" t="s">
        <v>91</v>
      </c>
      <c r="I15" s="13" t="s">
        <v>86</v>
      </c>
      <c r="J15" s="15"/>
      <c r="K15" s="14" t="s">
        <v>77</v>
      </c>
      <c r="L15" s="14" t="s">
        <v>92</v>
      </c>
      <c r="M15" s="14" t="s">
        <v>93</v>
      </c>
      <c r="N15" s="15"/>
      <c r="O15" s="14" t="s">
        <v>94</v>
      </c>
      <c r="P15" s="13" t="s">
        <v>95</v>
      </c>
      <c r="Q15" s="13" t="s">
        <v>95</v>
      </c>
      <c r="R15" s="15"/>
      <c r="S15" s="34" t="str">
        <f>"600,0"</f>
        <v>600,0</v>
      </c>
      <c r="T15" s="9" t="str">
        <f>"384,3600"</f>
        <v>384,3600</v>
      </c>
      <c r="U15" s="7"/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0" style="6" customWidth="1"/>
    <col min="13" max="13" width="17.6640625" style="5" customWidth="1"/>
    <col min="14" max="16384" width="9.1640625" style="3"/>
  </cols>
  <sheetData>
    <row r="1" spans="1:13" s="2" customFormat="1" ht="29" customHeight="1">
      <c r="A1" s="41" t="s">
        <v>278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71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218</v>
      </c>
      <c r="C6" s="7" t="s">
        <v>219</v>
      </c>
      <c r="D6" s="7" t="s">
        <v>220</v>
      </c>
      <c r="E6" s="8" t="s">
        <v>300</v>
      </c>
      <c r="F6" s="7" t="s">
        <v>14</v>
      </c>
      <c r="G6" s="14" t="s">
        <v>16</v>
      </c>
      <c r="H6" s="13" t="s">
        <v>94</v>
      </c>
      <c r="I6" s="13" t="s">
        <v>94</v>
      </c>
      <c r="J6" s="15"/>
      <c r="K6" s="9" t="str">
        <f>"210,0"</f>
        <v>210,0</v>
      </c>
      <c r="L6" s="9" t="str">
        <f>"130,9140"</f>
        <v>130,9140</v>
      </c>
      <c r="M6" s="7"/>
    </row>
    <row r="8" spans="1:13" ht="16">
      <c r="A8" s="54" t="s">
        <v>10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221</v>
      </c>
      <c r="C9" s="7" t="s">
        <v>222</v>
      </c>
      <c r="D9" s="7" t="s">
        <v>223</v>
      </c>
      <c r="E9" s="8" t="s">
        <v>300</v>
      </c>
      <c r="F9" s="7" t="s">
        <v>14</v>
      </c>
      <c r="G9" s="14" t="s">
        <v>15</v>
      </c>
      <c r="H9" s="14" t="s">
        <v>91</v>
      </c>
      <c r="I9" s="13" t="s">
        <v>87</v>
      </c>
      <c r="J9" s="15"/>
      <c r="K9" s="9" t="str">
        <f>"220,0"</f>
        <v>220,0</v>
      </c>
      <c r="L9" s="9" t="str">
        <f>"131,9890"</f>
        <v>131,9890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20.5" style="5" customWidth="1"/>
    <col min="14" max="16384" width="9.1640625" style="3"/>
  </cols>
  <sheetData>
    <row r="1" spans="1:13" s="2" customFormat="1" ht="29" customHeight="1">
      <c r="A1" s="41" t="s">
        <v>279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71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209</v>
      </c>
      <c r="C6" s="7" t="s">
        <v>210</v>
      </c>
      <c r="D6" s="7" t="s">
        <v>120</v>
      </c>
      <c r="E6" s="8" t="s">
        <v>300</v>
      </c>
      <c r="F6" s="7" t="s">
        <v>131</v>
      </c>
      <c r="G6" s="14" t="s">
        <v>211</v>
      </c>
      <c r="H6" s="13" t="s">
        <v>212</v>
      </c>
      <c r="I6" s="14" t="s">
        <v>212</v>
      </c>
      <c r="J6" s="15"/>
      <c r="K6" s="9" t="str">
        <f>"300,0"</f>
        <v>300,0</v>
      </c>
      <c r="L6" s="9" t="str">
        <f>"184,7100"</f>
        <v>184,7100</v>
      </c>
      <c r="M6" s="7" t="s">
        <v>213</v>
      </c>
    </row>
    <row r="8" spans="1:13" ht="16">
      <c r="A8" s="54" t="s">
        <v>10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214</v>
      </c>
      <c r="C9" s="7" t="s">
        <v>215</v>
      </c>
      <c r="D9" s="7" t="s">
        <v>216</v>
      </c>
      <c r="E9" s="8" t="s">
        <v>305</v>
      </c>
      <c r="F9" s="7" t="s">
        <v>14</v>
      </c>
      <c r="G9" s="13" t="s">
        <v>211</v>
      </c>
      <c r="H9" s="14" t="s">
        <v>211</v>
      </c>
      <c r="I9" s="13" t="s">
        <v>217</v>
      </c>
      <c r="J9" s="15"/>
      <c r="K9" s="9" t="str">
        <f>"270,0"</f>
        <v>270,0</v>
      </c>
      <c r="L9" s="9" t="str">
        <f>"179,1395"</f>
        <v>179,1395</v>
      </c>
      <c r="M9" s="7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3.33203125" style="5" bestFit="1" customWidth="1"/>
    <col min="7" max="10" width="5.5" style="11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1" t="s">
        <v>280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190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191</v>
      </c>
      <c r="C6" s="7" t="s">
        <v>192</v>
      </c>
      <c r="D6" s="7" t="s">
        <v>193</v>
      </c>
      <c r="E6" s="8" t="s">
        <v>301</v>
      </c>
      <c r="F6" s="7" t="s">
        <v>14</v>
      </c>
      <c r="G6" s="13" t="s">
        <v>194</v>
      </c>
      <c r="H6" s="14" t="s">
        <v>194</v>
      </c>
      <c r="I6" s="13" t="s">
        <v>195</v>
      </c>
      <c r="J6" s="15"/>
      <c r="K6" s="9" t="str">
        <f>"47,5"</f>
        <v>47,5</v>
      </c>
      <c r="L6" s="9" t="str">
        <f>"65,8767"</f>
        <v>65,8767</v>
      </c>
      <c r="M6" s="7" t="s">
        <v>196</v>
      </c>
    </row>
    <row r="8" spans="1:13" ht="16">
      <c r="A8" s="54" t="s">
        <v>25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197</v>
      </c>
      <c r="C9" s="7" t="s">
        <v>198</v>
      </c>
      <c r="D9" s="7" t="s">
        <v>199</v>
      </c>
      <c r="E9" s="8" t="s">
        <v>305</v>
      </c>
      <c r="F9" s="7" t="s">
        <v>208</v>
      </c>
      <c r="G9" s="14" t="s">
        <v>200</v>
      </c>
      <c r="H9" s="14" t="s">
        <v>201</v>
      </c>
      <c r="I9" s="13" t="s">
        <v>202</v>
      </c>
      <c r="J9" s="15"/>
      <c r="K9" s="9" t="str">
        <f>"82,5"</f>
        <v>82,5</v>
      </c>
      <c r="L9" s="9" t="str">
        <f>"86,7240"</f>
        <v>86,7240</v>
      </c>
      <c r="M9" s="7"/>
    </row>
    <row r="11" spans="1:13" ht="16">
      <c r="A11" s="54" t="s">
        <v>79</v>
      </c>
      <c r="B11" s="54"/>
      <c r="C11" s="54"/>
      <c r="D11" s="54"/>
      <c r="E11" s="55"/>
      <c r="F11" s="54"/>
      <c r="G11" s="54"/>
      <c r="H11" s="54"/>
      <c r="I11" s="54"/>
      <c r="J11" s="54"/>
    </row>
    <row r="12" spans="1:13">
      <c r="A12" s="15" t="s">
        <v>24</v>
      </c>
      <c r="B12" s="7" t="s">
        <v>143</v>
      </c>
      <c r="C12" s="7" t="s">
        <v>144</v>
      </c>
      <c r="D12" s="7" t="s">
        <v>145</v>
      </c>
      <c r="E12" s="8" t="s">
        <v>300</v>
      </c>
      <c r="F12" s="7" t="s">
        <v>14</v>
      </c>
      <c r="G12" s="14" t="s">
        <v>203</v>
      </c>
      <c r="H12" s="14" t="s">
        <v>146</v>
      </c>
      <c r="I12" s="14" t="s">
        <v>204</v>
      </c>
      <c r="J12" s="14" t="s">
        <v>93</v>
      </c>
      <c r="K12" s="9" t="str">
        <f>"154,0"</f>
        <v>154,0</v>
      </c>
      <c r="L12" s="9" t="str">
        <f>"111,4190"</f>
        <v>111,4190</v>
      </c>
      <c r="M12" s="7"/>
    </row>
    <row r="14" spans="1:13" ht="16">
      <c r="A14" s="54" t="s">
        <v>71</v>
      </c>
      <c r="B14" s="54"/>
      <c r="C14" s="54"/>
      <c r="D14" s="54"/>
      <c r="E14" s="55"/>
      <c r="F14" s="54"/>
      <c r="G14" s="54"/>
      <c r="H14" s="54"/>
      <c r="I14" s="54"/>
      <c r="J14" s="54"/>
    </row>
    <row r="15" spans="1:13">
      <c r="A15" s="26" t="s">
        <v>24</v>
      </c>
      <c r="B15" s="16" t="s">
        <v>171</v>
      </c>
      <c r="C15" s="16" t="s">
        <v>172</v>
      </c>
      <c r="D15" s="16" t="s">
        <v>173</v>
      </c>
      <c r="E15" s="17" t="s">
        <v>304</v>
      </c>
      <c r="F15" s="16" t="s">
        <v>208</v>
      </c>
      <c r="G15" s="25" t="s">
        <v>61</v>
      </c>
      <c r="H15" s="25" t="s">
        <v>132</v>
      </c>
      <c r="I15" s="25" t="s">
        <v>77</v>
      </c>
      <c r="J15" s="26"/>
      <c r="K15" s="18" t="str">
        <f>"135,0"</f>
        <v>135,0</v>
      </c>
      <c r="L15" s="18" t="str">
        <f>"88,5870"</f>
        <v>88,5870</v>
      </c>
      <c r="M15" s="16"/>
    </row>
    <row r="16" spans="1:13">
      <c r="A16" s="33" t="s">
        <v>184</v>
      </c>
      <c r="B16" s="22" t="s">
        <v>205</v>
      </c>
      <c r="C16" s="22" t="s">
        <v>206</v>
      </c>
      <c r="D16" s="22" t="s">
        <v>207</v>
      </c>
      <c r="E16" s="23" t="s">
        <v>304</v>
      </c>
      <c r="F16" s="22" t="s">
        <v>208</v>
      </c>
      <c r="G16" s="31" t="s">
        <v>45</v>
      </c>
      <c r="H16" s="31" t="s">
        <v>46</v>
      </c>
      <c r="I16" s="32" t="s">
        <v>61</v>
      </c>
      <c r="J16" s="33"/>
      <c r="K16" s="24" t="str">
        <f>"110,0"</f>
        <v>110,0</v>
      </c>
      <c r="L16" s="24" t="str">
        <f>"70,2240"</f>
        <v>70,2240</v>
      </c>
      <c r="M16" s="22" t="s">
        <v>117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9.5" style="6" customWidth="1"/>
    <col min="13" max="13" width="19.33203125" style="5" customWidth="1"/>
    <col min="14" max="16384" width="9.1640625" style="3"/>
  </cols>
  <sheetData>
    <row r="1" spans="1:13" s="2" customFormat="1" ht="29" customHeight="1">
      <c r="A1" s="41" t="s">
        <v>284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96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97</v>
      </c>
      <c r="C6" s="7" t="s">
        <v>98</v>
      </c>
      <c r="D6" s="7" t="s">
        <v>99</v>
      </c>
      <c r="E6" s="8" t="s">
        <v>300</v>
      </c>
      <c r="F6" s="7" t="s">
        <v>14</v>
      </c>
      <c r="G6" s="14" t="s">
        <v>78</v>
      </c>
      <c r="H6" s="14" t="s">
        <v>92</v>
      </c>
      <c r="I6" s="14" t="s">
        <v>93</v>
      </c>
      <c r="J6" s="15"/>
      <c r="K6" s="9" t="str">
        <f>"155,0"</f>
        <v>155,0</v>
      </c>
      <c r="L6" s="9" t="str">
        <f>"91,7135"</f>
        <v>91,7135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16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0.1640625" style="6" customWidth="1"/>
    <col min="13" max="13" width="17.5" style="5" customWidth="1"/>
    <col min="14" max="16384" width="9.1640625" style="3"/>
  </cols>
  <sheetData>
    <row r="1" spans="1:13" s="2" customFormat="1" ht="29" customHeight="1">
      <c r="A1" s="41" t="s">
        <v>276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9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236</v>
      </c>
      <c r="C6" s="7" t="s">
        <v>237</v>
      </c>
      <c r="D6" s="7" t="s">
        <v>238</v>
      </c>
      <c r="E6" s="8" t="s">
        <v>300</v>
      </c>
      <c r="F6" s="7" t="s">
        <v>14</v>
      </c>
      <c r="G6" s="14" t="s">
        <v>75</v>
      </c>
      <c r="H6" s="14" t="s">
        <v>38</v>
      </c>
      <c r="I6" s="14" t="s">
        <v>31</v>
      </c>
      <c r="J6" s="15"/>
      <c r="K6" s="9" t="str">
        <f>"100,0"</f>
        <v>100,0</v>
      </c>
      <c r="L6" s="9" t="str">
        <f>"118,1600"</f>
        <v>118,1600</v>
      </c>
      <c r="M6" s="7"/>
    </row>
    <row r="8" spans="1:13" ht="16">
      <c r="A8" s="54" t="s">
        <v>34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140</v>
      </c>
      <c r="C9" s="7" t="s">
        <v>141</v>
      </c>
      <c r="D9" s="7" t="s">
        <v>142</v>
      </c>
      <c r="E9" s="8" t="s">
        <v>301</v>
      </c>
      <c r="F9" s="7" t="s">
        <v>294</v>
      </c>
      <c r="G9" s="14" t="s">
        <v>151</v>
      </c>
      <c r="H9" s="13" t="s">
        <v>92</v>
      </c>
      <c r="I9" s="14" t="s">
        <v>92</v>
      </c>
      <c r="J9" s="15"/>
      <c r="K9" s="9" t="str">
        <f>"150,0"</f>
        <v>150,0</v>
      </c>
      <c r="L9" s="9" t="str">
        <f>"119,8905"</f>
        <v>119,8905</v>
      </c>
      <c r="M9" s="7"/>
    </row>
    <row r="11" spans="1:13" ht="16">
      <c r="A11" s="54" t="s">
        <v>79</v>
      </c>
      <c r="B11" s="54"/>
      <c r="C11" s="54"/>
      <c r="D11" s="54"/>
      <c r="E11" s="55"/>
      <c r="F11" s="54"/>
      <c r="G11" s="54"/>
      <c r="H11" s="54"/>
      <c r="I11" s="54"/>
      <c r="J11" s="54"/>
    </row>
    <row r="12" spans="1:13">
      <c r="A12" s="26" t="s">
        <v>24</v>
      </c>
      <c r="B12" s="16" t="s">
        <v>80</v>
      </c>
      <c r="C12" s="16" t="s">
        <v>81</v>
      </c>
      <c r="D12" s="16" t="s">
        <v>82</v>
      </c>
      <c r="E12" s="17" t="s">
        <v>300</v>
      </c>
      <c r="F12" s="16" t="s">
        <v>294</v>
      </c>
      <c r="G12" s="25" t="s">
        <v>85</v>
      </c>
      <c r="H12" s="25" t="s">
        <v>86</v>
      </c>
      <c r="I12" s="25" t="s">
        <v>87</v>
      </c>
      <c r="J12" s="26"/>
      <c r="K12" s="18" t="str">
        <f>"240,0"</f>
        <v>240,0</v>
      </c>
      <c r="L12" s="18" t="str">
        <f>"171,5040"</f>
        <v>171,5040</v>
      </c>
      <c r="M12" s="16"/>
    </row>
    <row r="13" spans="1:13">
      <c r="A13" s="33" t="s">
        <v>184</v>
      </c>
      <c r="B13" s="22" t="s">
        <v>239</v>
      </c>
      <c r="C13" s="22" t="s">
        <v>240</v>
      </c>
      <c r="D13" s="22" t="s">
        <v>82</v>
      </c>
      <c r="E13" s="23" t="s">
        <v>300</v>
      </c>
      <c r="F13" s="22" t="s">
        <v>241</v>
      </c>
      <c r="G13" s="31" t="s">
        <v>15</v>
      </c>
      <c r="H13" s="32" t="s">
        <v>16</v>
      </c>
      <c r="I13" s="31" t="s">
        <v>16</v>
      </c>
      <c r="J13" s="33"/>
      <c r="K13" s="24" t="str">
        <f>"210,0"</f>
        <v>210,0</v>
      </c>
      <c r="L13" s="24" t="str">
        <f>"150,0660"</f>
        <v>150,0660</v>
      </c>
      <c r="M13" s="22" t="s">
        <v>242</v>
      </c>
    </row>
    <row r="15" spans="1:13" ht="16">
      <c r="A15" s="54" t="s">
        <v>71</v>
      </c>
      <c r="B15" s="54"/>
      <c r="C15" s="54"/>
      <c r="D15" s="54"/>
      <c r="E15" s="55"/>
      <c r="F15" s="54"/>
      <c r="G15" s="54"/>
      <c r="H15" s="54"/>
      <c r="I15" s="54"/>
      <c r="J15" s="54"/>
    </row>
    <row r="16" spans="1:13">
      <c r="A16" s="15" t="s">
        <v>24</v>
      </c>
      <c r="B16" s="7" t="s">
        <v>243</v>
      </c>
      <c r="C16" s="7" t="s">
        <v>244</v>
      </c>
      <c r="D16" s="7" t="s">
        <v>245</v>
      </c>
      <c r="E16" s="8" t="s">
        <v>300</v>
      </c>
      <c r="F16" s="7" t="s">
        <v>131</v>
      </c>
      <c r="G16" s="14" t="s">
        <v>182</v>
      </c>
      <c r="H16" s="14" t="s">
        <v>29</v>
      </c>
      <c r="I16" s="14" t="s">
        <v>30</v>
      </c>
      <c r="J16" s="15"/>
      <c r="K16" s="9" t="str">
        <f>"180,0"</f>
        <v>180,0</v>
      </c>
      <c r="L16" s="9" t="str">
        <f>"115,5060"</f>
        <v>115,5060</v>
      </c>
      <c r="M16" s="7" t="s">
        <v>246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14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0.83203125" style="6" customWidth="1"/>
    <col min="13" max="13" width="17.83203125" style="5" customWidth="1"/>
    <col min="14" max="16384" width="9.1640625" style="3"/>
  </cols>
  <sheetData>
    <row r="1" spans="1:13" s="2" customFormat="1" ht="29" customHeight="1">
      <c r="A1" s="41" t="s">
        <v>277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9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65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224</v>
      </c>
      <c r="C6" s="7" t="s">
        <v>225</v>
      </c>
      <c r="D6" s="7" t="s">
        <v>226</v>
      </c>
      <c r="E6" s="8" t="s">
        <v>300</v>
      </c>
      <c r="F6" s="7" t="s">
        <v>131</v>
      </c>
      <c r="G6" s="14" t="s">
        <v>227</v>
      </c>
      <c r="H6" s="14" t="s">
        <v>39</v>
      </c>
      <c r="I6" s="14" t="s">
        <v>31</v>
      </c>
      <c r="J6" s="15"/>
      <c r="K6" s="9" t="str">
        <f>"100,0"</f>
        <v>100,0</v>
      </c>
      <c r="L6" s="9" t="str">
        <f>"111,9200"</f>
        <v>111,9200</v>
      </c>
      <c r="M6" s="7" t="s">
        <v>213</v>
      </c>
    </row>
    <row r="8" spans="1:13" ht="16">
      <c r="A8" s="54" t="s">
        <v>79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228</v>
      </c>
      <c r="C9" s="7" t="s">
        <v>229</v>
      </c>
      <c r="D9" s="7" t="s">
        <v>230</v>
      </c>
      <c r="E9" s="8" t="s">
        <v>300</v>
      </c>
      <c r="F9" s="7" t="s">
        <v>14</v>
      </c>
      <c r="G9" s="14" t="s">
        <v>87</v>
      </c>
      <c r="H9" s="14" t="s">
        <v>95</v>
      </c>
      <c r="I9" s="14" t="s">
        <v>231</v>
      </c>
      <c r="J9" s="15"/>
      <c r="K9" s="9" t="str">
        <f>"260,0"</f>
        <v>260,0</v>
      </c>
      <c r="L9" s="9" t="str">
        <f>"193,3620"</f>
        <v>193,3620</v>
      </c>
      <c r="M9" s="7"/>
    </row>
    <row r="11" spans="1:13" ht="16">
      <c r="A11" s="54" t="s">
        <v>96</v>
      </c>
      <c r="B11" s="54"/>
      <c r="C11" s="54"/>
      <c r="D11" s="54"/>
      <c r="E11" s="55"/>
      <c r="F11" s="54"/>
      <c r="G11" s="54"/>
      <c r="H11" s="54"/>
      <c r="I11" s="54"/>
      <c r="J11" s="54"/>
    </row>
    <row r="12" spans="1:13">
      <c r="A12" s="15" t="s">
        <v>24</v>
      </c>
      <c r="B12" s="7" t="s">
        <v>232</v>
      </c>
      <c r="C12" s="7" t="s">
        <v>233</v>
      </c>
      <c r="D12" s="7" t="s">
        <v>234</v>
      </c>
      <c r="E12" s="8" t="s">
        <v>305</v>
      </c>
      <c r="F12" s="7" t="s">
        <v>235</v>
      </c>
      <c r="G12" s="14" t="s">
        <v>21</v>
      </c>
      <c r="H12" s="14" t="s">
        <v>16</v>
      </c>
      <c r="I12" s="14" t="s">
        <v>85</v>
      </c>
      <c r="J12" s="15"/>
      <c r="K12" s="9" t="str">
        <f>"215,0"</f>
        <v>215,0</v>
      </c>
      <c r="L12" s="9" t="str">
        <f>"162,7938"</f>
        <v>162,7938</v>
      </c>
      <c r="M12" s="7"/>
    </row>
    <row r="14" spans="1:13">
      <c r="E14" s="5"/>
      <c r="F14" s="10"/>
      <c r="G14" s="5"/>
      <c r="K14" s="11"/>
      <c r="M14" s="6"/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6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6" style="5" bestFit="1" customWidth="1"/>
    <col min="7" max="14" width="5.5" style="11" customWidth="1"/>
    <col min="15" max="15" width="7.83203125" style="6" bestFit="1" customWidth="1"/>
    <col min="16" max="16" width="7.5" style="6" bestFit="1" customWidth="1"/>
    <col min="17" max="17" width="20.1640625" style="5" customWidth="1"/>
    <col min="18" max="16384" width="9.1640625" style="3"/>
  </cols>
  <sheetData>
    <row r="1" spans="1:17" s="2" customFormat="1" ht="29" customHeight="1">
      <c r="A1" s="41" t="s">
        <v>272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307</v>
      </c>
      <c r="H3" s="53"/>
      <c r="I3" s="53"/>
      <c r="J3" s="53"/>
      <c r="K3" s="53" t="s">
        <v>270</v>
      </c>
      <c r="L3" s="53"/>
      <c r="M3" s="53"/>
      <c r="N3" s="53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15" t="s">
        <v>24</v>
      </c>
      <c r="B6" s="7" t="s">
        <v>259</v>
      </c>
      <c r="C6" s="7" t="s">
        <v>260</v>
      </c>
      <c r="D6" s="7" t="s">
        <v>261</v>
      </c>
      <c r="E6" s="8" t="s">
        <v>300</v>
      </c>
      <c r="F6" s="7" t="s">
        <v>235</v>
      </c>
      <c r="G6" s="14" t="s">
        <v>38</v>
      </c>
      <c r="H6" s="14" t="s">
        <v>39</v>
      </c>
      <c r="I6" s="13" t="s">
        <v>40</v>
      </c>
      <c r="J6" s="15"/>
      <c r="K6" s="14" t="s">
        <v>41</v>
      </c>
      <c r="L6" s="14" t="s">
        <v>42</v>
      </c>
      <c r="M6" s="14" t="s">
        <v>43</v>
      </c>
      <c r="N6" s="15"/>
      <c r="O6" s="9" t="str">
        <f>"152,5"</f>
        <v>152,5</v>
      </c>
      <c r="P6" s="9" t="str">
        <f>"88,7626"</f>
        <v>88,7626</v>
      </c>
      <c r="Q6" s="7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6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0.33203125" style="6" customWidth="1"/>
    <col min="13" max="13" width="19.33203125" style="5" customWidth="1"/>
    <col min="14" max="16384" width="9.1640625" style="3"/>
  </cols>
  <sheetData>
    <row r="1" spans="1:13" s="2" customFormat="1" ht="29" customHeight="1">
      <c r="A1" s="41" t="s">
        <v>274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307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259</v>
      </c>
      <c r="C6" s="7" t="s">
        <v>260</v>
      </c>
      <c r="D6" s="7" t="s">
        <v>261</v>
      </c>
      <c r="E6" s="8" t="s">
        <v>300</v>
      </c>
      <c r="F6" s="7" t="s">
        <v>235</v>
      </c>
      <c r="G6" s="14" t="s">
        <v>38</v>
      </c>
      <c r="H6" s="14" t="s">
        <v>39</v>
      </c>
      <c r="I6" s="13" t="s">
        <v>40</v>
      </c>
      <c r="J6" s="15"/>
      <c r="K6" s="9" t="str">
        <f>"90,0"</f>
        <v>90,0</v>
      </c>
      <c r="L6" s="9" t="str">
        <f>"52,3845"</f>
        <v>52,3845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8.5" style="5" bestFit="1" customWidth="1"/>
    <col min="4" max="4" width="21.5" style="5" bestFit="1" customWidth="1"/>
    <col min="5" max="5" width="10.5" style="10" bestFit="1" customWidth="1"/>
    <col min="6" max="6" width="33.332031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" style="6" customWidth="1"/>
    <col min="13" max="13" width="18.6640625" style="5" customWidth="1"/>
    <col min="14" max="16384" width="9.1640625" style="3"/>
  </cols>
  <sheetData>
    <row r="1" spans="1:13" s="2" customFormat="1" ht="29" customHeight="1">
      <c r="A1" s="41" t="s">
        <v>273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307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236</v>
      </c>
      <c r="C6" s="7" t="s">
        <v>237</v>
      </c>
      <c r="D6" s="7" t="s">
        <v>238</v>
      </c>
      <c r="E6" s="8" t="s">
        <v>300</v>
      </c>
      <c r="F6" s="7" t="s">
        <v>14</v>
      </c>
      <c r="G6" s="14" t="s">
        <v>262</v>
      </c>
      <c r="H6" s="13" t="s">
        <v>255</v>
      </c>
      <c r="I6" s="14" t="s">
        <v>255</v>
      </c>
      <c r="J6" s="15"/>
      <c r="K6" s="9" t="str">
        <f>"30,0"</f>
        <v>30,0</v>
      </c>
      <c r="L6" s="9" t="str">
        <f>"31,4520"</f>
        <v>31,4520</v>
      </c>
      <c r="M6" s="7"/>
    </row>
    <row r="8" spans="1:13" ht="16">
      <c r="A8" s="54" t="s">
        <v>25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197</v>
      </c>
      <c r="C9" s="7" t="s">
        <v>198</v>
      </c>
      <c r="D9" s="7" t="s">
        <v>199</v>
      </c>
      <c r="E9" s="8" t="s">
        <v>305</v>
      </c>
      <c r="F9" s="7" t="s">
        <v>208</v>
      </c>
      <c r="G9" s="14" t="s">
        <v>107</v>
      </c>
      <c r="H9" s="14" t="s">
        <v>108</v>
      </c>
      <c r="I9" s="13" t="s">
        <v>116</v>
      </c>
      <c r="J9" s="15"/>
      <c r="K9" s="9" t="str">
        <f>"42,5"</f>
        <v>42,5</v>
      </c>
      <c r="L9" s="9" t="str">
        <f>"38,3423"</f>
        <v>38,3423</v>
      </c>
      <c r="M9" s="7"/>
    </row>
    <row r="11" spans="1:13" ht="16">
      <c r="A11" s="54" t="s">
        <v>34</v>
      </c>
      <c r="B11" s="54"/>
      <c r="C11" s="54"/>
      <c r="D11" s="54"/>
      <c r="E11" s="55"/>
      <c r="F11" s="54"/>
      <c r="G11" s="54"/>
      <c r="H11" s="54"/>
      <c r="I11" s="54"/>
      <c r="J11" s="54"/>
    </row>
    <row r="12" spans="1:13">
      <c r="A12" s="26" t="s">
        <v>24</v>
      </c>
      <c r="B12" s="16" t="s">
        <v>263</v>
      </c>
      <c r="C12" s="16" t="s">
        <v>264</v>
      </c>
      <c r="D12" s="16" t="s">
        <v>49</v>
      </c>
      <c r="E12" s="17" t="s">
        <v>300</v>
      </c>
      <c r="F12" s="16" t="s">
        <v>14</v>
      </c>
      <c r="G12" s="25" t="s">
        <v>265</v>
      </c>
      <c r="H12" s="25" t="s">
        <v>195</v>
      </c>
      <c r="I12" s="25" t="s">
        <v>41</v>
      </c>
      <c r="J12" s="26"/>
      <c r="K12" s="18" t="str">
        <f>"55,0"</f>
        <v>55,0</v>
      </c>
      <c r="L12" s="18" t="str">
        <f>"42,5315"</f>
        <v>42,5315</v>
      </c>
      <c r="M12" s="16" t="s">
        <v>266</v>
      </c>
    </row>
    <row r="13" spans="1:13">
      <c r="A13" s="30" t="s">
        <v>184</v>
      </c>
      <c r="B13" s="19" t="s">
        <v>267</v>
      </c>
      <c r="C13" s="19" t="s">
        <v>268</v>
      </c>
      <c r="D13" s="19" t="s">
        <v>142</v>
      </c>
      <c r="E13" s="20" t="s">
        <v>300</v>
      </c>
      <c r="F13" s="19" t="s">
        <v>269</v>
      </c>
      <c r="G13" s="28" t="s">
        <v>108</v>
      </c>
      <c r="H13" s="28" t="s">
        <v>194</v>
      </c>
      <c r="I13" s="29" t="s">
        <v>195</v>
      </c>
      <c r="J13" s="30"/>
      <c r="K13" s="21" t="str">
        <f>"47,5"</f>
        <v>47,5</v>
      </c>
      <c r="L13" s="21" t="str">
        <f>"35,8673"</f>
        <v>35,8673</v>
      </c>
      <c r="M13" s="19"/>
    </row>
    <row r="14" spans="1:13">
      <c r="A14" s="33" t="s">
        <v>24</v>
      </c>
      <c r="B14" s="22" t="s">
        <v>267</v>
      </c>
      <c r="C14" s="22" t="s">
        <v>290</v>
      </c>
      <c r="D14" s="22" t="s">
        <v>142</v>
      </c>
      <c r="E14" s="23" t="s">
        <v>301</v>
      </c>
      <c r="F14" s="22" t="s">
        <v>269</v>
      </c>
      <c r="G14" s="31" t="s">
        <v>108</v>
      </c>
      <c r="H14" s="31" t="s">
        <v>194</v>
      </c>
      <c r="I14" s="32" t="s">
        <v>195</v>
      </c>
      <c r="J14" s="33"/>
      <c r="K14" s="24" t="str">
        <f>"47,5"</f>
        <v>47,5</v>
      </c>
      <c r="L14" s="24" t="str">
        <f>"37,8399"</f>
        <v>37,8399</v>
      </c>
      <c r="M14" s="22"/>
    </row>
    <row r="16" spans="1:13" ht="16">
      <c r="A16" s="54" t="s">
        <v>79</v>
      </c>
      <c r="B16" s="54"/>
      <c r="C16" s="54"/>
      <c r="D16" s="54"/>
      <c r="E16" s="55"/>
      <c r="F16" s="54"/>
      <c r="G16" s="54"/>
      <c r="H16" s="54"/>
      <c r="I16" s="54"/>
      <c r="J16" s="54"/>
    </row>
    <row r="17" spans="1:13">
      <c r="A17" s="15" t="s">
        <v>24</v>
      </c>
      <c r="B17" s="7" t="s">
        <v>80</v>
      </c>
      <c r="C17" s="7" t="s">
        <v>81</v>
      </c>
      <c r="D17" s="7" t="s">
        <v>82</v>
      </c>
      <c r="E17" s="8" t="s">
        <v>300</v>
      </c>
      <c r="F17" s="7" t="s">
        <v>294</v>
      </c>
      <c r="G17" s="14" t="s">
        <v>41</v>
      </c>
      <c r="H17" s="14" t="s">
        <v>42</v>
      </c>
      <c r="I17" s="14" t="s">
        <v>52</v>
      </c>
      <c r="J17" s="15"/>
      <c r="K17" s="9" t="str">
        <f>"65,0"</f>
        <v>65,0</v>
      </c>
      <c r="L17" s="9" t="str">
        <f>"44,8890"</f>
        <v>44,8890</v>
      </c>
      <c r="M17" s="7"/>
    </row>
    <row r="19" spans="1:13" ht="16">
      <c r="A19" s="54" t="s">
        <v>25</v>
      </c>
      <c r="B19" s="54"/>
      <c r="C19" s="54"/>
      <c r="D19" s="54"/>
      <c r="E19" s="55"/>
      <c r="F19" s="54"/>
      <c r="G19" s="54"/>
      <c r="H19" s="54"/>
      <c r="I19" s="54"/>
      <c r="J19" s="54"/>
    </row>
    <row r="20" spans="1:13">
      <c r="A20" s="15" t="s">
        <v>24</v>
      </c>
      <c r="B20" s="7" t="s">
        <v>256</v>
      </c>
      <c r="C20" s="7" t="s">
        <v>291</v>
      </c>
      <c r="D20" s="7" t="s">
        <v>257</v>
      </c>
      <c r="E20" s="8" t="s">
        <v>306</v>
      </c>
      <c r="F20" s="7" t="s">
        <v>293</v>
      </c>
      <c r="G20" s="14" t="s">
        <v>41</v>
      </c>
      <c r="H20" s="14" t="s">
        <v>51</v>
      </c>
      <c r="I20" s="14" t="s">
        <v>42</v>
      </c>
      <c r="J20" s="15"/>
      <c r="K20" s="9" t="str">
        <f>"60,0"</f>
        <v>60,0</v>
      </c>
      <c r="L20" s="9" t="str">
        <f>"39,7410"</f>
        <v>39,7410</v>
      </c>
      <c r="M20" s="7" t="s">
        <v>258</v>
      </c>
    </row>
    <row r="22" spans="1:13" ht="16">
      <c r="A22" s="54" t="s">
        <v>71</v>
      </c>
      <c r="B22" s="54"/>
      <c r="C22" s="54"/>
      <c r="D22" s="54"/>
      <c r="E22" s="55"/>
      <c r="F22" s="54"/>
      <c r="G22" s="54"/>
      <c r="H22" s="54"/>
      <c r="I22" s="54"/>
      <c r="J22" s="54"/>
    </row>
    <row r="23" spans="1:13">
      <c r="A23" s="15" t="s">
        <v>24</v>
      </c>
      <c r="B23" s="7" t="s">
        <v>205</v>
      </c>
      <c r="C23" s="7" t="s">
        <v>292</v>
      </c>
      <c r="D23" s="7" t="s">
        <v>207</v>
      </c>
      <c r="E23" s="8" t="s">
        <v>304</v>
      </c>
      <c r="F23" s="7" t="s">
        <v>208</v>
      </c>
      <c r="G23" s="14" t="s">
        <v>41</v>
      </c>
      <c r="H23" s="13" t="s">
        <v>42</v>
      </c>
      <c r="I23" s="13" t="s">
        <v>42</v>
      </c>
      <c r="J23" s="15"/>
      <c r="K23" s="9" t="str">
        <f>"55,0"</f>
        <v>55,0</v>
      </c>
      <c r="L23" s="9" t="str">
        <f>"33,6518"</f>
        <v>33,6518</v>
      </c>
      <c r="M23" s="7" t="s">
        <v>117</v>
      </c>
    </row>
    <row r="25" spans="1:13" ht="16">
      <c r="A25" s="54" t="s">
        <v>10</v>
      </c>
      <c r="B25" s="54"/>
      <c r="C25" s="54"/>
      <c r="D25" s="54"/>
      <c r="E25" s="55"/>
      <c r="F25" s="54"/>
      <c r="G25" s="54"/>
      <c r="H25" s="54"/>
      <c r="I25" s="54"/>
      <c r="J25" s="54"/>
    </row>
    <row r="26" spans="1:13">
      <c r="A26" s="15" t="s">
        <v>24</v>
      </c>
      <c r="B26" s="7" t="s">
        <v>259</v>
      </c>
      <c r="C26" s="7" t="s">
        <v>260</v>
      </c>
      <c r="D26" s="7" t="s">
        <v>261</v>
      </c>
      <c r="E26" s="8" t="s">
        <v>300</v>
      </c>
      <c r="F26" s="7" t="s">
        <v>235</v>
      </c>
      <c r="G26" s="14" t="s">
        <v>41</v>
      </c>
      <c r="H26" s="14" t="s">
        <v>42</v>
      </c>
      <c r="I26" s="14" t="s">
        <v>43</v>
      </c>
      <c r="J26" s="15"/>
      <c r="K26" s="9" t="str">
        <f>"62,5"</f>
        <v>62,5</v>
      </c>
      <c r="L26" s="9" t="str">
        <f>"36,3781"</f>
        <v>36,3781</v>
      </c>
      <c r="M26" s="7"/>
    </row>
  </sheetData>
  <mergeCells count="18">
    <mergeCell ref="A25:J25"/>
    <mergeCell ref="K3:K4"/>
    <mergeCell ref="L3:L4"/>
    <mergeCell ref="M3:M4"/>
    <mergeCell ref="A5:J5"/>
    <mergeCell ref="B3:B4"/>
    <mergeCell ref="A8:J8"/>
    <mergeCell ref="A11:J11"/>
    <mergeCell ref="A16:J16"/>
    <mergeCell ref="A19:J19"/>
    <mergeCell ref="A22:J2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U11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0.83203125" style="5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7" width="5.5" style="11" customWidth="1"/>
    <col min="18" max="18" width="4.83203125" style="11" customWidth="1"/>
    <col min="19" max="19" width="7.83203125" style="6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41" t="s">
        <v>287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7</v>
      </c>
      <c r="H3" s="53"/>
      <c r="I3" s="53"/>
      <c r="J3" s="53"/>
      <c r="K3" s="53" t="s">
        <v>8</v>
      </c>
      <c r="L3" s="53"/>
      <c r="M3" s="53"/>
      <c r="N3" s="53"/>
      <c r="O3" s="53" t="s">
        <v>9</v>
      </c>
      <c r="P3" s="53"/>
      <c r="Q3" s="53"/>
      <c r="R3" s="53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34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5" t="s">
        <v>24</v>
      </c>
      <c r="B6" s="7" t="s">
        <v>35</v>
      </c>
      <c r="C6" s="7" t="s">
        <v>36</v>
      </c>
      <c r="D6" s="7" t="s">
        <v>37</v>
      </c>
      <c r="E6" s="8" t="s">
        <v>300</v>
      </c>
      <c r="F6" s="7" t="s">
        <v>14</v>
      </c>
      <c r="G6" s="14" t="s">
        <v>38</v>
      </c>
      <c r="H6" s="14" t="s">
        <v>39</v>
      </c>
      <c r="I6" s="13" t="s">
        <v>40</v>
      </c>
      <c r="J6" s="15"/>
      <c r="K6" s="14" t="s">
        <v>41</v>
      </c>
      <c r="L6" s="14" t="s">
        <v>42</v>
      </c>
      <c r="M6" s="13" t="s">
        <v>43</v>
      </c>
      <c r="N6" s="15"/>
      <c r="O6" s="14" t="s">
        <v>44</v>
      </c>
      <c r="P6" s="14" t="s">
        <v>45</v>
      </c>
      <c r="Q6" s="14" t="s">
        <v>46</v>
      </c>
      <c r="R6" s="15"/>
      <c r="S6" s="9" t="str">
        <f>"260,0"</f>
        <v>260,0</v>
      </c>
      <c r="T6" s="9" t="str">
        <f>"273,7020"</f>
        <v>273,7020</v>
      </c>
      <c r="U6" s="7" t="s">
        <v>271</v>
      </c>
    </row>
    <row r="8" spans="1:21" ht="16">
      <c r="A8" s="54" t="s">
        <v>34</v>
      </c>
      <c r="B8" s="54"/>
      <c r="C8" s="54"/>
      <c r="D8" s="54"/>
      <c r="E8" s="5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21">
      <c r="A9" s="26" t="s">
        <v>24</v>
      </c>
      <c r="B9" s="16" t="s">
        <v>47</v>
      </c>
      <c r="C9" s="16" t="s">
        <v>48</v>
      </c>
      <c r="D9" s="16" t="s">
        <v>49</v>
      </c>
      <c r="E9" s="17" t="s">
        <v>302</v>
      </c>
      <c r="F9" s="16" t="s">
        <v>14</v>
      </c>
      <c r="G9" s="25" t="s">
        <v>50</v>
      </c>
      <c r="H9" s="25" t="s">
        <v>31</v>
      </c>
      <c r="I9" s="25" t="s">
        <v>45</v>
      </c>
      <c r="J9" s="26"/>
      <c r="K9" s="25" t="s">
        <v>51</v>
      </c>
      <c r="L9" s="25" t="s">
        <v>43</v>
      </c>
      <c r="M9" s="27" t="s">
        <v>52</v>
      </c>
      <c r="N9" s="26"/>
      <c r="O9" s="25" t="s">
        <v>46</v>
      </c>
      <c r="P9" s="25" t="s">
        <v>53</v>
      </c>
      <c r="Q9" s="25" t="s">
        <v>17</v>
      </c>
      <c r="R9" s="26"/>
      <c r="S9" s="18" t="str">
        <f>"295,0"</f>
        <v>295,0</v>
      </c>
      <c r="T9" s="18" t="str">
        <f>"234,5840"</f>
        <v>234,5840</v>
      </c>
      <c r="U9" s="16" t="s">
        <v>54</v>
      </c>
    </row>
    <row r="10" spans="1:21">
      <c r="A10" s="30" t="s">
        <v>24</v>
      </c>
      <c r="B10" s="19" t="s">
        <v>55</v>
      </c>
      <c r="C10" s="19" t="s">
        <v>56</v>
      </c>
      <c r="D10" s="19" t="s">
        <v>57</v>
      </c>
      <c r="E10" s="20" t="s">
        <v>303</v>
      </c>
      <c r="F10" s="19" t="s">
        <v>14</v>
      </c>
      <c r="G10" s="28" t="s">
        <v>40</v>
      </c>
      <c r="H10" s="28" t="s">
        <v>31</v>
      </c>
      <c r="I10" s="29" t="s">
        <v>45</v>
      </c>
      <c r="J10" s="30"/>
      <c r="K10" s="28" t="s">
        <v>51</v>
      </c>
      <c r="L10" s="28" t="s">
        <v>43</v>
      </c>
      <c r="M10" s="29" t="s">
        <v>52</v>
      </c>
      <c r="N10" s="30"/>
      <c r="O10" s="28" t="s">
        <v>39</v>
      </c>
      <c r="P10" s="29" t="s">
        <v>31</v>
      </c>
      <c r="Q10" s="29" t="s">
        <v>31</v>
      </c>
      <c r="R10" s="30"/>
      <c r="S10" s="21" t="str">
        <f>"252,5"</f>
        <v>252,5</v>
      </c>
      <c r="T10" s="21" t="str">
        <f>"204,5250"</f>
        <v>204,5250</v>
      </c>
      <c r="U10" s="19" t="s">
        <v>54</v>
      </c>
    </row>
    <row r="11" spans="1:21">
      <c r="A11" s="33" t="s">
        <v>24</v>
      </c>
      <c r="B11" s="22" t="s">
        <v>58</v>
      </c>
      <c r="C11" s="22" t="s">
        <v>59</v>
      </c>
      <c r="D11" s="22" t="s">
        <v>60</v>
      </c>
      <c r="E11" s="23" t="s">
        <v>300</v>
      </c>
      <c r="F11" s="22" t="s">
        <v>14</v>
      </c>
      <c r="G11" s="31" t="s">
        <v>32</v>
      </c>
      <c r="H11" s="32" t="s">
        <v>29</v>
      </c>
      <c r="I11" s="31" t="s">
        <v>29</v>
      </c>
      <c r="J11" s="33"/>
      <c r="K11" s="31" t="s">
        <v>31</v>
      </c>
      <c r="L11" s="31" t="s">
        <v>46</v>
      </c>
      <c r="M11" s="31" t="s">
        <v>61</v>
      </c>
      <c r="N11" s="33"/>
      <c r="O11" s="31" t="s">
        <v>29</v>
      </c>
      <c r="P11" s="31" t="s">
        <v>62</v>
      </c>
      <c r="Q11" s="32" t="s">
        <v>63</v>
      </c>
      <c r="R11" s="33"/>
      <c r="S11" s="24" t="str">
        <f>"470,0"</f>
        <v>470,0</v>
      </c>
      <c r="T11" s="24" t="str">
        <f>"362,3700"</f>
        <v>362,3700</v>
      </c>
      <c r="U11" s="22" t="s">
        <v>64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6.33203125" style="5" bestFit="1" customWidth="1"/>
    <col min="4" max="4" width="15.5" style="5" bestFit="1" customWidth="1"/>
    <col min="5" max="5" width="11.1640625" style="10" customWidth="1"/>
    <col min="6" max="6" width="31.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7" width="5.5" style="11" customWidth="1"/>
    <col min="18" max="18" width="4.83203125" style="11" customWidth="1"/>
    <col min="19" max="19" width="8.83203125" style="12" customWidth="1"/>
    <col min="20" max="20" width="8.6640625" style="6" customWidth="1"/>
    <col min="21" max="21" width="18" style="5" customWidth="1"/>
    <col min="22" max="16384" width="9.1640625" style="3"/>
  </cols>
  <sheetData>
    <row r="1" spans="1:21" s="2" customFormat="1" ht="29" customHeight="1">
      <c r="A1" s="41" t="s">
        <v>288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7</v>
      </c>
      <c r="H3" s="53"/>
      <c r="I3" s="53"/>
      <c r="J3" s="53"/>
      <c r="K3" s="53" t="s">
        <v>8</v>
      </c>
      <c r="L3" s="53"/>
      <c r="M3" s="53"/>
      <c r="N3" s="53"/>
      <c r="O3" s="53" t="s">
        <v>9</v>
      </c>
      <c r="P3" s="53"/>
      <c r="Q3" s="53"/>
      <c r="R3" s="53"/>
      <c r="S3" s="58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9"/>
      <c r="T4" s="36"/>
      <c r="U4" s="38"/>
    </row>
    <row r="5" spans="1:21" ht="16">
      <c r="A5" s="39" t="s">
        <v>25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5" t="s">
        <v>33</v>
      </c>
      <c r="B6" s="7" t="s">
        <v>26</v>
      </c>
      <c r="C6" s="7" t="s">
        <v>27</v>
      </c>
      <c r="D6" s="7" t="s">
        <v>28</v>
      </c>
      <c r="E6" s="8" t="s">
        <v>300</v>
      </c>
      <c r="F6" s="7" t="s">
        <v>208</v>
      </c>
      <c r="G6" s="13" t="s">
        <v>29</v>
      </c>
      <c r="H6" s="13" t="s">
        <v>29</v>
      </c>
      <c r="I6" s="13" t="s">
        <v>30</v>
      </c>
      <c r="J6" s="15"/>
      <c r="K6" s="13"/>
      <c r="L6" s="15"/>
      <c r="M6" s="15"/>
      <c r="N6" s="15"/>
      <c r="O6" s="13"/>
      <c r="P6" s="15"/>
      <c r="Q6" s="15"/>
      <c r="R6" s="15"/>
      <c r="S6" s="34">
        <v>0</v>
      </c>
      <c r="T6" s="9" t="str">
        <f>"0,0000"</f>
        <v>0,0000</v>
      </c>
      <c r="U6" s="7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5">
    <pageSetUpPr fitToPage="1"/>
  </sheetPr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7" width="5.5" style="11" customWidth="1"/>
    <col min="18" max="18" width="4.83203125" style="11" customWidth="1"/>
    <col min="19" max="19" width="7.83203125" style="6" bestFit="1" customWidth="1"/>
    <col min="20" max="20" width="8.5" style="6" bestFit="1" customWidth="1"/>
    <col min="21" max="21" width="18.83203125" style="5" customWidth="1"/>
    <col min="22" max="16384" width="9.1640625" style="3"/>
  </cols>
  <sheetData>
    <row r="1" spans="1:21" s="2" customFormat="1" ht="29" customHeight="1">
      <c r="A1" s="41" t="s">
        <v>289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7</v>
      </c>
      <c r="H3" s="53"/>
      <c r="I3" s="53"/>
      <c r="J3" s="53"/>
      <c r="K3" s="53" t="s">
        <v>8</v>
      </c>
      <c r="L3" s="53"/>
      <c r="M3" s="53"/>
      <c r="N3" s="53"/>
      <c r="O3" s="53" t="s">
        <v>9</v>
      </c>
      <c r="P3" s="53"/>
      <c r="Q3" s="53"/>
      <c r="R3" s="53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5" t="s">
        <v>24</v>
      </c>
      <c r="B6" s="7" t="s">
        <v>11</v>
      </c>
      <c r="C6" s="7" t="s">
        <v>12</v>
      </c>
      <c r="D6" s="7" t="s">
        <v>13</v>
      </c>
      <c r="E6" s="8" t="s">
        <v>301</v>
      </c>
      <c r="F6" s="7" t="s">
        <v>14</v>
      </c>
      <c r="G6" s="13" t="s">
        <v>15</v>
      </c>
      <c r="H6" s="14" t="s">
        <v>15</v>
      </c>
      <c r="I6" s="13" t="s">
        <v>16</v>
      </c>
      <c r="J6" s="15"/>
      <c r="K6" s="14" t="s">
        <v>17</v>
      </c>
      <c r="L6" s="14" t="s">
        <v>18</v>
      </c>
      <c r="M6" s="14" t="s">
        <v>19</v>
      </c>
      <c r="N6" s="15"/>
      <c r="O6" s="14" t="s">
        <v>20</v>
      </c>
      <c r="P6" s="14" t="s">
        <v>21</v>
      </c>
      <c r="Q6" s="14" t="s">
        <v>22</v>
      </c>
      <c r="R6" s="15"/>
      <c r="S6" s="9" t="str">
        <f>"550,0"</f>
        <v>550,0</v>
      </c>
      <c r="T6" s="9" t="str">
        <f>"375,4841"</f>
        <v>375,4841</v>
      </c>
      <c r="U6" s="7" t="s">
        <v>23</v>
      </c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5" style="5" bestFit="1" customWidth="1"/>
    <col min="7" max="9" width="5.5" style="11" customWidth="1"/>
    <col min="10" max="10" width="4.83203125" style="11" customWidth="1"/>
    <col min="11" max="13" width="5.5" style="11" customWidth="1"/>
    <col min="14" max="14" width="4.83203125" style="11" customWidth="1"/>
    <col min="15" max="15" width="7.83203125" style="6" bestFit="1" customWidth="1"/>
    <col min="16" max="16" width="8.5" style="6" bestFit="1" customWidth="1"/>
    <col min="17" max="17" width="19.1640625" style="5" customWidth="1"/>
    <col min="18" max="16384" width="9.1640625" style="3"/>
  </cols>
  <sheetData>
    <row r="1" spans="1:17" s="2" customFormat="1" ht="29" customHeight="1">
      <c r="A1" s="41" t="s">
        <v>275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53" t="s">
        <v>9</v>
      </c>
      <c r="L3" s="53"/>
      <c r="M3" s="53"/>
      <c r="N3" s="53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65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15" t="s">
        <v>24</v>
      </c>
      <c r="B6" s="7" t="s">
        <v>66</v>
      </c>
      <c r="C6" s="7" t="s">
        <v>67</v>
      </c>
      <c r="D6" s="7" t="s">
        <v>68</v>
      </c>
      <c r="E6" s="8" t="s">
        <v>300</v>
      </c>
      <c r="F6" s="7" t="s">
        <v>69</v>
      </c>
      <c r="G6" s="14" t="s">
        <v>41</v>
      </c>
      <c r="H6" s="14" t="s">
        <v>42</v>
      </c>
      <c r="I6" s="13" t="s">
        <v>52</v>
      </c>
      <c r="J6" s="15"/>
      <c r="K6" s="14" t="s">
        <v>46</v>
      </c>
      <c r="L6" s="14" t="s">
        <v>61</v>
      </c>
      <c r="M6" s="14" t="s">
        <v>132</v>
      </c>
      <c r="N6" s="15"/>
      <c r="O6" s="9" t="str">
        <f>"185,0"</f>
        <v>185,0</v>
      </c>
      <c r="P6" s="9" t="str">
        <f>"206,7930"</f>
        <v>206,7930</v>
      </c>
      <c r="Q6" s="7" t="s">
        <v>70</v>
      </c>
    </row>
    <row r="8" spans="1:17" ht="16">
      <c r="A8" s="54" t="s">
        <v>79</v>
      </c>
      <c r="B8" s="54"/>
      <c r="C8" s="54"/>
      <c r="D8" s="54"/>
      <c r="E8" s="55"/>
      <c r="F8" s="54"/>
      <c r="G8" s="54"/>
      <c r="H8" s="54"/>
      <c r="I8" s="54"/>
      <c r="J8" s="54"/>
      <c r="K8" s="54"/>
      <c r="L8" s="54"/>
      <c r="M8" s="54"/>
      <c r="N8" s="54"/>
    </row>
    <row r="9" spans="1:17">
      <c r="A9" s="15" t="s">
        <v>24</v>
      </c>
      <c r="B9" s="7" t="s">
        <v>247</v>
      </c>
      <c r="C9" s="7" t="s">
        <v>248</v>
      </c>
      <c r="D9" s="7" t="s">
        <v>249</v>
      </c>
      <c r="E9" s="8" t="s">
        <v>300</v>
      </c>
      <c r="F9" s="7" t="s">
        <v>208</v>
      </c>
      <c r="G9" s="14" t="s">
        <v>132</v>
      </c>
      <c r="H9" s="14" t="s">
        <v>133</v>
      </c>
      <c r="I9" s="13" t="s">
        <v>77</v>
      </c>
      <c r="J9" s="15"/>
      <c r="K9" s="14" t="s">
        <v>91</v>
      </c>
      <c r="L9" s="14" t="s">
        <v>86</v>
      </c>
      <c r="M9" s="14" t="s">
        <v>250</v>
      </c>
      <c r="N9" s="15"/>
      <c r="O9" s="9" t="str">
        <f>"367,5"</f>
        <v>367,5</v>
      </c>
      <c r="P9" s="9" t="str">
        <f>"279,1163"</f>
        <v>279,1163</v>
      </c>
      <c r="Q9" s="7"/>
    </row>
    <row r="11" spans="1:17" ht="16">
      <c r="A11" s="54" t="s">
        <v>251</v>
      </c>
      <c r="B11" s="54"/>
      <c r="C11" s="54"/>
      <c r="D11" s="54"/>
      <c r="E11" s="55"/>
      <c r="F11" s="54"/>
      <c r="G11" s="54"/>
      <c r="H11" s="54"/>
      <c r="I11" s="54"/>
      <c r="J11" s="54"/>
      <c r="K11" s="54"/>
      <c r="L11" s="54"/>
      <c r="M11" s="54"/>
      <c r="N11" s="54"/>
    </row>
    <row r="12" spans="1:17">
      <c r="A12" s="15" t="s">
        <v>24</v>
      </c>
      <c r="B12" s="7" t="s">
        <v>252</v>
      </c>
      <c r="C12" s="7" t="s">
        <v>253</v>
      </c>
      <c r="D12" s="7" t="s">
        <v>254</v>
      </c>
      <c r="E12" s="8" t="s">
        <v>304</v>
      </c>
      <c r="F12" s="7" t="s">
        <v>208</v>
      </c>
      <c r="G12" s="14" t="s">
        <v>31</v>
      </c>
      <c r="H12" s="14" t="s">
        <v>61</v>
      </c>
      <c r="I12" s="14" t="s">
        <v>17</v>
      </c>
      <c r="J12" s="15"/>
      <c r="K12" s="14" t="s">
        <v>30</v>
      </c>
      <c r="L12" s="14" t="s">
        <v>83</v>
      </c>
      <c r="M12" s="14" t="s">
        <v>15</v>
      </c>
      <c r="N12" s="15"/>
      <c r="O12" s="9" t="str">
        <f>"327,5"</f>
        <v>327,5</v>
      </c>
      <c r="P12" s="9" t="str">
        <f>"183,0070"</f>
        <v>183,0070</v>
      </c>
      <c r="Q12" s="7"/>
    </row>
  </sheetData>
  <mergeCells count="15">
    <mergeCell ref="A8:N8"/>
    <mergeCell ref="A11:N11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5.83203125" style="5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41" t="s">
        <v>282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34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140</v>
      </c>
      <c r="C6" s="7" t="s">
        <v>141</v>
      </c>
      <c r="D6" s="7" t="s">
        <v>142</v>
      </c>
      <c r="E6" s="8" t="s">
        <v>301</v>
      </c>
      <c r="F6" s="7" t="s">
        <v>294</v>
      </c>
      <c r="G6" s="14" t="s">
        <v>39</v>
      </c>
      <c r="H6" s="14" t="s">
        <v>31</v>
      </c>
      <c r="I6" s="13" t="s">
        <v>45</v>
      </c>
      <c r="J6" s="15"/>
      <c r="K6" s="9" t="str">
        <f>"100,0"</f>
        <v>100,0</v>
      </c>
      <c r="L6" s="9" t="str">
        <f>"79,9270"</f>
        <v>79,9270</v>
      </c>
      <c r="M6" s="7"/>
    </row>
    <row r="8" spans="1:13" ht="16">
      <c r="A8" s="54" t="s">
        <v>79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26" t="s">
        <v>24</v>
      </c>
      <c r="B9" s="16" t="s">
        <v>143</v>
      </c>
      <c r="C9" s="16" t="s">
        <v>144</v>
      </c>
      <c r="D9" s="16" t="s">
        <v>145</v>
      </c>
      <c r="E9" s="17" t="s">
        <v>300</v>
      </c>
      <c r="F9" s="16" t="s">
        <v>14</v>
      </c>
      <c r="G9" s="25" t="s">
        <v>146</v>
      </c>
      <c r="H9" s="25" t="s">
        <v>147</v>
      </c>
      <c r="I9" s="25" t="s">
        <v>32</v>
      </c>
      <c r="J9" s="26"/>
      <c r="K9" s="18" t="str">
        <f>"160,0"</f>
        <v>160,0</v>
      </c>
      <c r="L9" s="18" t="str">
        <f>"115,7600"</f>
        <v>115,7600</v>
      </c>
      <c r="M9" s="16"/>
    </row>
    <row r="10" spans="1:13">
      <c r="A10" s="30" t="s">
        <v>184</v>
      </c>
      <c r="B10" s="19" t="s">
        <v>148</v>
      </c>
      <c r="C10" s="19" t="s">
        <v>149</v>
      </c>
      <c r="D10" s="19" t="s">
        <v>150</v>
      </c>
      <c r="E10" s="20" t="s">
        <v>300</v>
      </c>
      <c r="F10" s="19" t="s">
        <v>294</v>
      </c>
      <c r="G10" s="28" t="s">
        <v>151</v>
      </c>
      <c r="H10" s="28" t="s">
        <v>78</v>
      </c>
      <c r="I10" s="29" t="s">
        <v>92</v>
      </c>
      <c r="J10" s="30"/>
      <c r="K10" s="21" t="str">
        <f>"145,0"</f>
        <v>145,0</v>
      </c>
      <c r="L10" s="21" t="str">
        <f>"105,3280"</f>
        <v>105,3280</v>
      </c>
      <c r="M10" s="19" t="s">
        <v>152</v>
      </c>
    </row>
    <row r="11" spans="1:13">
      <c r="A11" s="33" t="s">
        <v>185</v>
      </c>
      <c r="B11" s="22" t="s">
        <v>153</v>
      </c>
      <c r="C11" s="22" t="s">
        <v>154</v>
      </c>
      <c r="D11" s="22" t="s">
        <v>155</v>
      </c>
      <c r="E11" s="23" t="s">
        <v>300</v>
      </c>
      <c r="F11" s="22" t="s">
        <v>14</v>
      </c>
      <c r="G11" s="31" t="s">
        <v>84</v>
      </c>
      <c r="H11" s="32" t="s">
        <v>156</v>
      </c>
      <c r="I11" s="31" t="s">
        <v>156</v>
      </c>
      <c r="J11" s="33"/>
      <c r="K11" s="24" t="str">
        <f>"122,5"</f>
        <v>122,5</v>
      </c>
      <c r="L11" s="24" t="str">
        <f>"89,3393"</f>
        <v>89,3393</v>
      </c>
      <c r="M11" s="22"/>
    </row>
    <row r="13" spans="1:13" ht="16">
      <c r="A13" s="54" t="s">
        <v>25</v>
      </c>
      <c r="B13" s="54"/>
      <c r="C13" s="54"/>
      <c r="D13" s="54"/>
      <c r="E13" s="55"/>
      <c r="F13" s="54"/>
      <c r="G13" s="54"/>
      <c r="H13" s="54"/>
      <c r="I13" s="54"/>
      <c r="J13" s="54"/>
    </row>
    <row r="14" spans="1:13">
      <c r="A14" s="26" t="s">
        <v>24</v>
      </c>
      <c r="B14" s="16" t="s">
        <v>157</v>
      </c>
      <c r="C14" s="16" t="s">
        <v>158</v>
      </c>
      <c r="D14" s="16" t="s">
        <v>159</v>
      </c>
      <c r="E14" s="17" t="s">
        <v>300</v>
      </c>
      <c r="F14" s="16" t="s">
        <v>160</v>
      </c>
      <c r="G14" s="25" t="s">
        <v>78</v>
      </c>
      <c r="H14" s="25" t="s">
        <v>93</v>
      </c>
      <c r="I14" s="25" t="s">
        <v>32</v>
      </c>
      <c r="J14" s="26"/>
      <c r="K14" s="18" t="str">
        <f>"160,0"</f>
        <v>160,0</v>
      </c>
      <c r="L14" s="18" t="str">
        <f>"108,6400"</f>
        <v>108,6400</v>
      </c>
      <c r="M14" s="16"/>
    </row>
    <row r="15" spans="1:13">
      <c r="A15" s="33" t="s">
        <v>184</v>
      </c>
      <c r="B15" s="22" t="s">
        <v>161</v>
      </c>
      <c r="C15" s="22" t="s">
        <v>162</v>
      </c>
      <c r="D15" s="22" t="s">
        <v>163</v>
      </c>
      <c r="E15" s="23" t="s">
        <v>300</v>
      </c>
      <c r="F15" s="22" t="s">
        <v>208</v>
      </c>
      <c r="G15" s="31" t="s">
        <v>132</v>
      </c>
      <c r="H15" s="31" t="s">
        <v>77</v>
      </c>
      <c r="I15" s="32" t="s">
        <v>19</v>
      </c>
      <c r="J15" s="33"/>
      <c r="K15" s="24" t="str">
        <f>"135,0"</f>
        <v>135,0</v>
      </c>
      <c r="L15" s="24" t="str">
        <f>"93,2175"</f>
        <v>93,2175</v>
      </c>
      <c r="M15" s="22" t="s">
        <v>117</v>
      </c>
    </row>
    <row r="17" spans="1:13" ht="16">
      <c r="A17" s="54" t="s">
        <v>71</v>
      </c>
      <c r="B17" s="54"/>
      <c r="C17" s="54"/>
      <c r="D17" s="54"/>
      <c r="E17" s="55"/>
      <c r="F17" s="54"/>
      <c r="G17" s="54"/>
      <c r="H17" s="54"/>
      <c r="I17" s="54"/>
      <c r="J17" s="54"/>
    </row>
    <row r="18" spans="1:13">
      <c r="A18" s="26" t="s">
        <v>24</v>
      </c>
      <c r="B18" s="16" t="s">
        <v>164</v>
      </c>
      <c r="C18" s="16" t="s">
        <v>165</v>
      </c>
      <c r="D18" s="16" t="s">
        <v>166</v>
      </c>
      <c r="E18" s="17" t="s">
        <v>302</v>
      </c>
      <c r="F18" s="16" t="s">
        <v>208</v>
      </c>
      <c r="G18" s="25" t="s">
        <v>77</v>
      </c>
      <c r="H18" s="25" t="s">
        <v>167</v>
      </c>
      <c r="I18" s="27" t="s">
        <v>78</v>
      </c>
      <c r="J18" s="26"/>
      <c r="K18" s="18" t="str">
        <f>"142,5"</f>
        <v>142,5</v>
      </c>
      <c r="L18" s="18" t="str">
        <f>"92,2687"</f>
        <v>92,2687</v>
      </c>
      <c r="M18" s="16"/>
    </row>
    <row r="19" spans="1:13">
      <c r="A19" s="30" t="s">
        <v>24</v>
      </c>
      <c r="B19" s="19" t="s">
        <v>168</v>
      </c>
      <c r="C19" s="19" t="s">
        <v>169</v>
      </c>
      <c r="D19" s="19" t="s">
        <v>170</v>
      </c>
      <c r="E19" s="20" t="s">
        <v>304</v>
      </c>
      <c r="F19" s="19" t="s">
        <v>208</v>
      </c>
      <c r="G19" s="28" t="s">
        <v>151</v>
      </c>
      <c r="H19" s="28" t="s">
        <v>78</v>
      </c>
      <c r="I19" s="28" t="s">
        <v>92</v>
      </c>
      <c r="J19" s="30"/>
      <c r="K19" s="21" t="str">
        <f>"150,0"</f>
        <v>150,0</v>
      </c>
      <c r="L19" s="21" t="str">
        <f>"98,8800"</f>
        <v>98,8800</v>
      </c>
      <c r="M19" s="19" t="s">
        <v>117</v>
      </c>
    </row>
    <row r="20" spans="1:13">
      <c r="A20" s="30" t="s">
        <v>184</v>
      </c>
      <c r="B20" s="19" t="s">
        <v>171</v>
      </c>
      <c r="C20" s="19" t="s">
        <v>172</v>
      </c>
      <c r="D20" s="19" t="s">
        <v>173</v>
      </c>
      <c r="E20" s="20" t="s">
        <v>304</v>
      </c>
      <c r="F20" s="19" t="s">
        <v>208</v>
      </c>
      <c r="G20" s="28" t="s">
        <v>132</v>
      </c>
      <c r="H20" s="28" t="s">
        <v>77</v>
      </c>
      <c r="I20" s="29" t="s">
        <v>151</v>
      </c>
      <c r="J20" s="30"/>
      <c r="K20" s="21" t="str">
        <f>"135,0"</f>
        <v>135,0</v>
      </c>
      <c r="L20" s="21" t="str">
        <f>"88,5870"</f>
        <v>88,5870</v>
      </c>
      <c r="M20" s="19" t="s">
        <v>174</v>
      </c>
    </row>
    <row r="21" spans="1:13">
      <c r="A21" s="30" t="s">
        <v>24</v>
      </c>
      <c r="B21" s="19" t="s">
        <v>88</v>
      </c>
      <c r="C21" s="19" t="s">
        <v>89</v>
      </c>
      <c r="D21" s="19" t="s">
        <v>90</v>
      </c>
      <c r="E21" s="20" t="s">
        <v>300</v>
      </c>
      <c r="F21" s="19" t="s">
        <v>296</v>
      </c>
      <c r="G21" s="28" t="s">
        <v>77</v>
      </c>
      <c r="H21" s="28" t="s">
        <v>92</v>
      </c>
      <c r="I21" s="28" t="s">
        <v>93</v>
      </c>
      <c r="J21" s="30"/>
      <c r="K21" s="21" t="str">
        <f>"155,0"</f>
        <v>155,0</v>
      </c>
      <c r="L21" s="21" t="str">
        <f>"99,2930"</f>
        <v>99,2930</v>
      </c>
      <c r="M21" s="19"/>
    </row>
    <row r="22" spans="1:13">
      <c r="A22" s="30" t="s">
        <v>184</v>
      </c>
      <c r="B22" s="19" t="s">
        <v>168</v>
      </c>
      <c r="C22" s="19" t="s">
        <v>175</v>
      </c>
      <c r="D22" s="19" t="s">
        <v>170</v>
      </c>
      <c r="E22" s="20" t="s">
        <v>300</v>
      </c>
      <c r="F22" s="19" t="s">
        <v>208</v>
      </c>
      <c r="G22" s="28" t="s">
        <v>151</v>
      </c>
      <c r="H22" s="28" t="s">
        <v>78</v>
      </c>
      <c r="I22" s="28" t="s">
        <v>92</v>
      </c>
      <c r="J22" s="30"/>
      <c r="K22" s="21" t="str">
        <f>"150,0"</f>
        <v>150,0</v>
      </c>
      <c r="L22" s="21" t="str">
        <f>"98,8800"</f>
        <v>98,8800</v>
      </c>
      <c r="M22" s="19" t="s">
        <v>117</v>
      </c>
    </row>
    <row r="23" spans="1:13">
      <c r="A23" s="33" t="s">
        <v>185</v>
      </c>
      <c r="B23" s="22" t="s">
        <v>176</v>
      </c>
      <c r="C23" s="22" t="s">
        <v>177</v>
      </c>
      <c r="D23" s="22" t="s">
        <v>178</v>
      </c>
      <c r="E23" s="23" t="s">
        <v>300</v>
      </c>
      <c r="F23" s="22" t="s">
        <v>208</v>
      </c>
      <c r="G23" s="31" t="s">
        <v>151</v>
      </c>
      <c r="H23" s="32" t="s">
        <v>146</v>
      </c>
      <c r="I23" s="32" t="s">
        <v>146</v>
      </c>
      <c r="J23" s="33"/>
      <c r="K23" s="24" t="str">
        <f>"140,0"</f>
        <v>140,0</v>
      </c>
      <c r="L23" s="24" t="str">
        <f>"90,4820"</f>
        <v>90,4820</v>
      </c>
      <c r="M23" s="22"/>
    </row>
    <row r="25" spans="1:13" ht="16">
      <c r="A25" s="54" t="s">
        <v>10</v>
      </c>
      <c r="B25" s="54"/>
      <c r="C25" s="54"/>
      <c r="D25" s="54"/>
      <c r="E25" s="55"/>
      <c r="F25" s="54"/>
      <c r="G25" s="54"/>
      <c r="H25" s="54"/>
      <c r="I25" s="54"/>
      <c r="J25" s="54"/>
    </row>
    <row r="26" spans="1:13">
      <c r="A26" s="15" t="s">
        <v>24</v>
      </c>
      <c r="B26" s="7" t="s">
        <v>179</v>
      </c>
      <c r="C26" s="7" t="s">
        <v>180</v>
      </c>
      <c r="D26" s="7" t="s">
        <v>181</v>
      </c>
      <c r="E26" s="8" t="s">
        <v>300</v>
      </c>
      <c r="F26" s="7" t="s">
        <v>131</v>
      </c>
      <c r="G26" s="14" t="s">
        <v>93</v>
      </c>
      <c r="H26" s="13" t="s">
        <v>182</v>
      </c>
      <c r="I26" s="13" t="s">
        <v>182</v>
      </c>
      <c r="J26" s="15"/>
      <c r="K26" s="9" t="str">
        <f>"155,0"</f>
        <v>155,0</v>
      </c>
      <c r="L26" s="9" t="str">
        <f>"95,5730"</f>
        <v>95,5730</v>
      </c>
      <c r="M26" s="7" t="s">
        <v>183</v>
      </c>
    </row>
  </sheetData>
  <mergeCells count="16">
    <mergeCell ref="A8:J8"/>
    <mergeCell ref="A13:J13"/>
    <mergeCell ref="A17:J17"/>
    <mergeCell ref="A25:J2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2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36.332031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10" style="6" customWidth="1"/>
    <col min="13" max="13" width="19" style="5" customWidth="1"/>
    <col min="14" max="16384" width="9.1640625" style="3"/>
  </cols>
  <sheetData>
    <row r="1" spans="1:13" s="2" customFormat="1" ht="29" customHeight="1">
      <c r="A1" s="41" t="s">
        <v>283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102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103</v>
      </c>
      <c r="C6" s="7" t="s">
        <v>104</v>
      </c>
      <c r="D6" s="7" t="s">
        <v>105</v>
      </c>
      <c r="E6" s="8" t="s">
        <v>302</v>
      </c>
      <c r="F6" s="7" t="s">
        <v>106</v>
      </c>
      <c r="G6" s="13" t="s">
        <v>107</v>
      </c>
      <c r="H6" s="14" t="s">
        <v>107</v>
      </c>
      <c r="I6" s="13" t="s">
        <v>108</v>
      </c>
      <c r="J6" s="15"/>
      <c r="K6" s="9" t="str">
        <f>"40,0"</f>
        <v>40,0</v>
      </c>
      <c r="L6" s="9" t="str">
        <f>"47,8680"</f>
        <v>47,8680</v>
      </c>
      <c r="M6" s="7"/>
    </row>
    <row r="8" spans="1:13" ht="16">
      <c r="A8" s="54" t="s">
        <v>65</v>
      </c>
      <c r="B8" s="54"/>
      <c r="C8" s="54"/>
      <c r="D8" s="54"/>
      <c r="E8" s="55"/>
      <c r="F8" s="54"/>
      <c r="G8" s="54"/>
      <c r="H8" s="54"/>
      <c r="I8" s="54"/>
      <c r="J8" s="54"/>
    </row>
    <row r="9" spans="1:13">
      <c r="A9" s="15" t="s">
        <v>24</v>
      </c>
      <c r="B9" s="7" t="s">
        <v>109</v>
      </c>
      <c r="C9" s="7" t="s">
        <v>110</v>
      </c>
      <c r="D9" s="7" t="s">
        <v>111</v>
      </c>
      <c r="E9" s="8" t="s">
        <v>302</v>
      </c>
      <c r="F9" s="7" t="s">
        <v>106</v>
      </c>
      <c r="G9" s="14" t="s">
        <v>52</v>
      </c>
      <c r="H9" s="14" t="s">
        <v>75</v>
      </c>
      <c r="I9" s="14" t="s">
        <v>112</v>
      </c>
      <c r="J9" s="15"/>
      <c r="K9" s="9" t="str">
        <f>"72,5"</f>
        <v>72,5</v>
      </c>
      <c r="L9" s="9" t="str">
        <f>"63,1982"</f>
        <v>63,1982</v>
      </c>
      <c r="M9" s="7"/>
    </row>
    <row r="11" spans="1:13" ht="16">
      <c r="A11" s="54" t="s">
        <v>25</v>
      </c>
      <c r="B11" s="54"/>
      <c r="C11" s="54"/>
      <c r="D11" s="54"/>
      <c r="E11" s="55"/>
      <c r="F11" s="54"/>
      <c r="G11" s="54"/>
      <c r="H11" s="54"/>
      <c r="I11" s="54"/>
      <c r="J11" s="54"/>
    </row>
    <row r="12" spans="1:13">
      <c r="A12" s="15" t="s">
        <v>24</v>
      </c>
      <c r="B12" s="7" t="s">
        <v>113</v>
      </c>
      <c r="C12" s="7" t="s">
        <v>114</v>
      </c>
      <c r="D12" s="7" t="s">
        <v>115</v>
      </c>
      <c r="E12" s="8" t="s">
        <v>302</v>
      </c>
      <c r="F12" s="7" t="s">
        <v>208</v>
      </c>
      <c r="G12" s="14" t="s">
        <v>116</v>
      </c>
      <c r="H12" s="14" t="s">
        <v>41</v>
      </c>
      <c r="I12" s="14" t="s">
        <v>43</v>
      </c>
      <c r="J12" s="15"/>
      <c r="K12" s="9" t="str">
        <f>"62,5"</f>
        <v>62,5</v>
      </c>
      <c r="L12" s="9" t="str">
        <f>"42,0875"</f>
        <v>42,0875</v>
      </c>
      <c r="M12" s="7" t="s">
        <v>117</v>
      </c>
    </row>
    <row r="14" spans="1:13" ht="16">
      <c r="A14" s="54" t="s">
        <v>71</v>
      </c>
      <c r="B14" s="54"/>
      <c r="C14" s="54"/>
      <c r="D14" s="54"/>
      <c r="E14" s="55"/>
      <c r="F14" s="54"/>
      <c r="G14" s="54"/>
      <c r="H14" s="54"/>
      <c r="I14" s="54"/>
      <c r="J14" s="54"/>
    </row>
    <row r="15" spans="1:13">
      <c r="A15" s="15" t="s">
        <v>24</v>
      </c>
      <c r="B15" s="7" t="s">
        <v>118</v>
      </c>
      <c r="C15" s="7" t="s">
        <v>119</v>
      </c>
      <c r="D15" s="7" t="s">
        <v>120</v>
      </c>
      <c r="E15" s="8" t="s">
        <v>302</v>
      </c>
      <c r="F15" s="7" t="s">
        <v>14</v>
      </c>
      <c r="G15" s="14" t="s">
        <v>42</v>
      </c>
      <c r="H15" s="14" t="s">
        <v>52</v>
      </c>
      <c r="I15" s="13" t="s">
        <v>121</v>
      </c>
      <c r="J15" s="15"/>
      <c r="K15" s="9" t="str">
        <f>"65,0"</f>
        <v>65,0</v>
      </c>
      <c r="L15" s="9" t="str">
        <f>"41,7365"</f>
        <v>41,7365</v>
      </c>
      <c r="M15" s="7" t="s">
        <v>54</v>
      </c>
    </row>
    <row r="17" spans="1:13" ht="16">
      <c r="A17" s="54" t="s">
        <v>10</v>
      </c>
      <c r="B17" s="54"/>
      <c r="C17" s="54"/>
      <c r="D17" s="54"/>
      <c r="E17" s="55"/>
      <c r="F17" s="54"/>
      <c r="G17" s="54"/>
      <c r="H17" s="54"/>
      <c r="I17" s="54"/>
      <c r="J17" s="54"/>
    </row>
    <row r="18" spans="1:13">
      <c r="A18" s="26" t="s">
        <v>24</v>
      </c>
      <c r="B18" s="16" t="s">
        <v>122</v>
      </c>
      <c r="C18" s="16" t="s">
        <v>123</v>
      </c>
      <c r="D18" s="16" t="s">
        <v>124</v>
      </c>
      <c r="E18" s="17" t="s">
        <v>300</v>
      </c>
      <c r="F18" s="16" t="s">
        <v>125</v>
      </c>
      <c r="G18" s="25" t="s">
        <v>83</v>
      </c>
      <c r="H18" s="25" t="s">
        <v>15</v>
      </c>
      <c r="I18" s="25" t="s">
        <v>126</v>
      </c>
      <c r="J18" s="26"/>
      <c r="K18" s="18" t="str">
        <f>"202,5"</f>
        <v>202,5</v>
      </c>
      <c r="L18" s="18" t="str">
        <f>"125,3070"</f>
        <v>125,3070</v>
      </c>
      <c r="M18" s="16" t="s">
        <v>127</v>
      </c>
    </row>
    <row r="19" spans="1:13">
      <c r="A19" s="33" t="s">
        <v>24</v>
      </c>
      <c r="B19" s="22" t="s">
        <v>128</v>
      </c>
      <c r="C19" s="22" t="s">
        <v>129</v>
      </c>
      <c r="D19" s="22" t="s">
        <v>130</v>
      </c>
      <c r="E19" s="23" t="s">
        <v>301</v>
      </c>
      <c r="F19" s="22" t="s">
        <v>131</v>
      </c>
      <c r="G19" s="31" t="s">
        <v>132</v>
      </c>
      <c r="H19" s="31" t="s">
        <v>133</v>
      </c>
      <c r="I19" s="32" t="s">
        <v>77</v>
      </c>
      <c r="J19" s="33"/>
      <c r="K19" s="24" t="str">
        <f>"130,0"</f>
        <v>130,0</v>
      </c>
      <c r="L19" s="24" t="str">
        <f>"82,0015"</f>
        <v>82,0015</v>
      </c>
      <c r="M19" s="22" t="s">
        <v>134</v>
      </c>
    </row>
    <row r="21" spans="1:13" ht="16">
      <c r="A21" s="54" t="s">
        <v>135</v>
      </c>
      <c r="B21" s="54"/>
      <c r="C21" s="54"/>
      <c r="D21" s="54"/>
      <c r="E21" s="55"/>
      <c r="F21" s="54"/>
      <c r="G21" s="54"/>
      <c r="H21" s="54"/>
      <c r="I21" s="54"/>
      <c r="J21" s="54"/>
    </row>
    <row r="22" spans="1:13">
      <c r="A22" s="15" t="s">
        <v>24</v>
      </c>
      <c r="B22" s="7" t="s">
        <v>136</v>
      </c>
      <c r="C22" s="7" t="s">
        <v>137</v>
      </c>
      <c r="D22" s="7" t="s">
        <v>138</v>
      </c>
      <c r="E22" s="8" t="s">
        <v>300</v>
      </c>
      <c r="F22" s="7" t="s">
        <v>295</v>
      </c>
      <c r="G22" s="14" t="s">
        <v>15</v>
      </c>
      <c r="H22" s="13" t="s">
        <v>21</v>
      </c>
      <c r="I22" s="13" t="s">
        <v>21</v>
      </c>
      <c r="J22" s="15"/>
      <c r="K22" s="9" t="str">
        <f>"200,0"</f>
        <v>200,0</v>
      </c>
      <c r="L22" s="9" t="str">
        <f>"115,9000"</f>
        <v>115,9000</v>
      </c>
      <c r="M22" s="7" t="s">
        <v>139</v>
      </c>
    </row>
  </sheetData>
  <mergeCells count="17">
    <mergeCell ref="A21:J21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1" t="s">
        <v>281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25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186</v>
      </c>
      <c r="C6" s="7" t="s">
        <v>187</v>
      </c>
      <c r="D6" s="7" t="s">
        <v>188</v>
      </c>
      <c r="E6" s="8" t="s">
        <v>300</v>
      </c>
      <c r="F6" s="7" t="s">
        <v>14</v>
      </c>
      <c r="G6" s="14" t="s">
        <v>29</v>
      </c>
      <c r="H6" s="13" t="s">
        <v>189</v>
      </c>
      <c r="I6" s="13" t="s">
        <v>189</v>
      </c>
      <c r="J6" s="15"/>
      <c r="K6" s="9" t="str">
        <f>"170,0"</f>
        <v>170,0</v>
      </c>
      <c r="L6" s="9" t="str">
        <f>"116,1440"</f>
        <v>116,1440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4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0.1640625" style="5" bestFit="1" customWidth="1"/>
    <col min="7" max="9" width="5.5" style="11" customWidth="1"/>
    <col min="10" max="10" width="4.83203125" style="11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1" t="s">
        <v>285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297</v>
      </c>
      <c r="B3" s="56" t="s">
        <v>0</v>
      </c>
      <c r="C3" s="51" t="s">
        <v>298</v>
      </c>
      <c r="D3" s="51" t="s">
        <v>6</v>
      </c>
      <c r="E3" s="35" t="s">
        <v>299</v>
      </c>
      <c r="F3" s="53" t="s">
        <v>5</v>
      </c>
      <c r="G3" s="53" t="s">
        <v>8</v>
      </c>
      <c r="H3" s="53"/>
      <c r="I3" s="53"/>
      <c r="J3" s="53"/>
      <c r="K3" s="35" t="s">
        <v>101</v>
      </c>
      <c r="L3" s="35" t="s">
        <v>3</v>
      </c>
      <c r="M3" s="37" t="s">
        <v>2</v>
      </c>
    </row>
    <row r="4" spans="1:13" s="1" customFormat="1" ht="21" customHeight="1" thickBot="1">
      <c r="A4" s="50"/>
      <c r="B4" s="57"/>
      <c r="C4" s="52"/>
      <c r="D4" s="52"/>
      <c r="E4" s="36"/>
      <c r="F4" s="52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96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5" t="s">
        <v>24</v>
      </c>
      <c r="B6" s="7" t="s">
        <v>97</v>
      </c>
      <c r="C6" s="7" t="s">
        <v>98</v>
      </c>
      <c r="D6" s="7" t="s">
        <v>99</v>
      </c>
      <c r="E6" s="8" t="s">
        <v>300</v>
      </c>
      <c r="F6" s="7" t="s">
        <v>14</v>
      </c>
      <c r="G6" s="14" t="s">
        <v>16</v>
      </c>
      <c r="H6" s="14" t="s">
        <v>91</v>
      </c>
      <c r="I6" s="14" t="s">
        <v>100</v>
      </c>
      <c r="J6" s="15"/>
      <c r="K6" s="9" t="str">
        <f>"235,0"</f>
        <v>235,0</v>
      </c>
      <c r="L6" s="9" t="str">
        <f>"132,8455"</f>
        <v>132,8455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СПР Пауэрспорт ДК</vt:lpstr>
      <vt:lpstr>СПР Жим стоя ДК</vt:lpstr>
      <vt:lpstr>СПР Подъем на бицепс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2022-07-10T19:01:53Z</dcterms:modified>
</cp:coreProperties>
</file>