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5"/>
  </bookViews>
  <sheets>
    <sheet name="«Excalibur»" sheetId="1" state="visible" r:id="rId2"/>
    <sheet name="«Rus brick»" sheetId="2" state="visible" r:id="rId3"/>
    <sheet name="«Rus HUB»" sheetId="3" state="visible" r:id="rId4"/>
    <sheet name="«Rus Axle»" sheetId="4" state="visible" r:id="rId5"/>
    <sheet name="«Russian Roullette»" sheetId="5" state="visible" r:id="rId6"/>
    <sheet name="MR BP 1 bw. AWPC" sheetId="6" state="visible" r:id="rId7"/>
    <sheet name="MR BP 1 bw. WPC" sheetId="7" state="visible" r:id="rId8"/>
    <sheet name="WPC SC" sheetId="8" state="visible" r:id="rId9"/>
    <sheet name="AWPC SC" sheetId="9" state="visible" r:id="rId10"/>
    <sheet name="AWPC raw DL" sheetId="10" state="visible" r:id="rId11"/>
    <sheet name="WPC m.ply DL" sheetId="11" state="visible" r:id="rId12"/>
    <sheet name="WPC raw DL" sheetId="12" state="visible" r:id="rId13"/>
    <sheet name="20-24-10AWPC MP soft eq. BP" sheetId="13" state="visible" r:id="rId14"/>
    <sheet name="AWPC MP soft eq. BP" sheetId="14" state="visible" r:id="rId15"/>
    <sheet name="WPC OB" sheetId="15" state="visible" r:id="rId16"/>
    <sheet name="AWPC raw BP" sheetId="16" state="visible" r:id="rId17"/>
    <sheet name="AWPC Classic RAW PL" sheetId="17" state="visible" r:id="rId18"/>
    <sheet name="AWPC raw PL" sheetId="18" state="visible" r:id="rId19"/>
    <sheet name="WPC MP soft eq. BP" sheetId="19" state="visible" r:id="rId20"/>
    <sheet name="WPC soft eq. BP" sheetId="20" state="visible" r:id="rId21"/>
    <sheet name="WPC raw BP" sheetId="21" state="visible" r:id="rId22"/>
    <sheet name="WPC Classic RAW PL" sheetId="22" state="visible" r:id="rId23"/>
    <sheet name="WPC raw PL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<sst xmlns="http://schemas.openxmlformats.org/spreadsheetml/2006/main" count="3374" uniqueCount="955">
  <si>
    <t xml:space="preserve">OPEN EUROPE CUP WPC/AWPC/WAA-2022
«Excalibur»
Russian Federation/Moscow 4 - 5 June 2022 y.</t>
  </si>
  <si>
    <t xml:space="preserve">Name</t>
  </si>
  <si>
    <t xml:space="preserve">Age Categoty
Bith date/Age</t>
  </si>
  <si>
    <t xml:space="preserve">Body
weight</t>
  </si>
  <si>
    <t xml:space="preserve">Gloss</t>
  </si>
  <si>
    <t xml:space="preserve">Team</t>
  </si>
  <si>
    <t xml:space="preserve">Town/Country</t>
  </si>
  <si>
    <t xml:space="preserve">Armlift</t>
  </si>
  <si>
    <t xml:space="preserve">Result</t>
  </si>
  <si>
    <t xml:space="preserve">Body Weight Category  60</t>
  </si>
  <si>
    <t xml:space="preserve">1. Smagar Anna</t>
  </si>
  <si>
    <t xml:space="preserve">Open (23.07.1987)/34</t>
  </si>
  <si>
    <t xml:space="preserve">58,60</t>
  </si>
  <si>
    <t xml:space="preserve">lichno</t>
  </si>
  <si>
    <t xml:space="preserve">RUS/Bryansk</t>
  </si>
  <si>
    <t xml:space="preserve">32,5</t>
  </si>
  <si>
    <t xml:space="preserve">37,5</t>
  </si>
  <si>
    <t xml:space="preserve">42,5</t>
  </si>
  <si>
    <t xml:space="preserve">47,5</t>
  </si>
  <si>
    <t xml:space="preserve">Body Weight Category  90</t>
  </si>
  <si>
    <t xml:space="preserve">1. Umerenkov Daniil</t>
  </si>
  <si>
    <t xml:space="preserve">Junior (01.03.2004)/18</t>
  </si>
  <si>
    <t xml:space="preserve">83,30</t>
  </si>
  <si>
    <t xml:space="preserve">RUS/Kursk</t>
  </si>
  <si>
    <t xml:space="preserve">70,0</t>
  </si>
  <si>
    <t xml:space="preserve">80,0</t>
  </si>
  <si>
    <t xml:space="preserve">1. Borichev Ruslan</t>
  </si>
  <si>
    <t xml:space="preserve">Open (16.09.1985)/36</t>
  </si>
  <si>
    <t xml:space="preserve">88,90</t>
  </si>
  <si>
    <t xml:space="preserve">RUS/Zvenigorod</t>
  </si>
  <si>
    <t xml:space="preserve">82,5</t>
  </si>
  <si>
    <t xml:space="preserve">87,5</t>
  </si>
  <si>
    <t xml:space="preserve">Body Weight Category  100</t>
  </si>
  <si>
    <t xml:space="preserve">1. Efimovskiy Vladislav</t>
  </si>
  <si>
    <t xml:space="preserve">Open (06.04.1982)/40</t>
  </si>
  <si>
    <t xml:space="preserve">91,20</t>
  </si>
  <si>
    <t xml:space="preserve">RUS/Sankt-Peterburg</t>
  </si>
  <si>
    <t xml:space="preserve">75,0</t>
  </si>
  <si>
    <t xml:space="preserve">85,0</t>
  </si>
  <si>
    <t xml:space="preserve">1. Finokhin Aleksey</t>
  </si>
  <si>
    <t xml:space="preserve">Masters 45-49 (20.02.1977)/45</t>
  </si>
  <si>
    <t xml:space="preserve">92,40</t>
  </si>
  <si>
    <t xml:space="preserve">RUS/Moskva</t>
  </si>
  <si>
    <t xml:space="preserve">45,0</t>
  </si>
  <si>
    <t xml:space="preserve">50,0</t>
  </si>
  <si>
    <t xml:space="preserve">55,0</t>
  </si>
  <si>
    <t xml:space="preserve">60,0</t>
  </si>
  <si>
    <t xml:space="preserve">Body Weight Category  110</t>
  </si>
  <si>
    <t xml:space="preserve">1. Borisov Igor</t>
  </si>
  <si>
    <t xml:space="preserve">Masters 55-59 (10.04.1963)/59</t>
  </si>
  <si>
    <t xml:space="preserve">109,30</t>
  </si>
  <si>
    <t xml:space="preserve">RUS/Navashino</t>
  </si>
  <si>
    <t xml:space="preserve">72,5</t>
  </si>
  <si>
    <t xml:space="preserve">77,5</t>
  </si>
  <si>
    <t xml:space="preserve">Body Weight Category  125</t>
  </si>
  <si>
    <t xml:space="preserve">1. Lappalaynen Dmitriy</t>
  </si>
  <si>
    <t xml:space="preserve">Open (01.06.1989)/33</t>
  </si>
  <si>
    <t xml:space="preserve">113,30</t>
  </si>
  <si>
    <t xml:space="preserve">52,5</t>
  </si>
  <si>
    <t xml:space="preserve">62,5</t>
  </si>
  <si>
    <t xml:space="preserve">1. Obidin Roman</t>
  </si>
  <si>
    <t xml:space="preserve">Masters 40-44 (28.01.1982)/40</t>
  </si>
  <si>
    <t xml:space="preserve">111,10</t>
  </si>
  <si>
    <t xml:space="preserve">Meet director:</t>
  </si>
  <si>
    <t xml:space="preserve">Head secretary:</t>
  </si>
  <si>
    <t xml:space="preserve">Head Referee:</t>
  </si>
  <si>
    <t xml:space="preserve">Side Referyy Left:</t>
  </si>
  <si>
    <t xml:space="preserve">Side Referyy Right:</t>
  </si>
  <si>
    <t xml:space="preserve">Fligth secretary:</t>
  </si>
  <si>
    <t xml:space="preserve">List absolute winners</t>
  </si>
  <si>
    <t xml:space="preserve">Women</t>
  </si>
  <si>
    <t xml:space="preserve">Open</t>
  </si>
  <si>
    <t xml:space="preserve">Age class</t>
  </si>
  <si>
    <t xml:space="preserve">WC</t>
  </si>
  <si>
    <t xml:space="preserve">Best</t>
  </si>
  <si>
    <t xml:space="preserve">Smagar Anna</t>
  </si>
  <si>
    <t xml:space="preserve">Man</t>
  </si>
  <si>
    <t xml:space="preserve">Junior</t>
  </si>
  <si>
    <t xml:space="preserve">Umerenkov Daniil</t>
  </si>
  <si>
    <t xml:space="preserve">Borichev Ruslan</t>
  </si>
  <si>
    <t xml:space="preserve">Lappalaynen Dmitriy</t>
  </si>
  <si>
    <t xml:space="preserve">Efimovskiy Vladislav</t>
  </si>
  <si>
    <t xml:space="preserve">Masters</t>
  </si>
  <si>
    <t xml:space="preserve">Borisov Igor</t>
  </si>
  <si>
    <t xml:space="preserve">Masters 55-59</t>
  </si>
  <si>
    <t xml:space="preserve">Obidin Roman</t>
  </si>
  <si>
    <t xml:space="preserve">Masters 40-44</t>
  </si>
  <si>
    <t xml:space="preserve">Finokhin Aleksey</t>
  </si>
  <si>
    <t xml:space="preserve">Masters 45-49</t>
  </si>
  <si>
    <t xml:space="preserve">OPEN EUROPE CUP WPC/AWPC/WAA-2022
«Russian brick»
Russian Federation/Moscow 4 - 5 June 2022 y.</t>
  </si>
  <si>
    <t xml:space="preserve">Body Weight Category  80</t>
  </si>
  <si>
    <t xml:space="preserve">1. Schelokov Aleksey</t>
  </si>
  <si>
    <t xml:space="preserve">Masters 45-49 (23.04.1977)/45</t>
  </si>
  <si>
    <t xml:space="preserve">73,30</t>
  </si>
  <si>
    <t xml:space="preserve">34,0</t>
  </si>
  <si>
    <t xml:space="preserve">39,0</t>
  </si>
  <si>
    <t xml:space="preserve">44,0</t>
  </si>
  <si>
    <t xml:space="preserve">49,0</t>
  </si>
  <si>
    <t xml:space="preserve">54,0</t>
  </si>
  <si>
    <t xml:space="preserve">64,0</t>
  </si>
  <si>
    <t xml:space="preserve">69,0</t>
  </si>
  <si>
    <t xml:space="preserve">59,0</t>
  </si>
  <si>
    <t xml:space="preserve">1. Lukyanov Sergey</t>
  </si>
  <si>
    <t xml:space="preserve">Masters 65-69 (25.10.1955)/66</t>
  </si>
  <si>
    <t xml:space="preserve">116,50</t>
  </si>
  <si>
    <t xml:space="preserve">Lukyanov Sergey</t>
  </si>
  <si>
    <t xml:space="preserve">Masters 65-69</t>
  </si>
  <si>
    <t xml:space="preserve">Schelokov Aleksey</t>
  </si>
  <si>
    <t xml:space="preserve">OPEN EUROPE CUP WPC/AWPC/WAA-2022
«Russian HUB»
Russian Federation/Moscow 4 - 5 June 2022 y.</t>
  </si>
  <si>
    <t xml:space="preserve">1. Shemarin Anton</t>
  </si>
  <si>
    <t xml:space="preserve">Open (23.03.1991)/31</t>
  </si>
  <si>
    <t xml:space="preserve">79,40</t>
  </si>
  <si>
    <t xml:space="preserve">25,0</t>
  </si>
  <si>
    <t xml:space="preserve">27,5</t>
  </si>
  <si>
    <t xml:space="preserve">30,0</t>
  </si>
  <si>
    <t xml:space="preserve">33,8</t>
  </si>
  <si>
    <t xml:space="preserve">Body Weight Category  125+</t>
  </si>
  <si>
    <t xml:space="preserve">1. Kazantsev Konstantin</t>
  </si>
  <si>
    <t xml:space="preserve">Open (15.05.1989)/33</t>
  </si>
  <si>
    <t xml:space="preserve">144,30</t>
  </si>
  <si>
    <t xml:space="preserve">RUS/Omsk</t>
  </si>
  <si>
    <t xml:space="preserve">12,5</t>
  </si>
  <si>
    <t xml:space="preserve">17,5</t>
  </si>
  <si>
    <t xml:space="preserve">22,5</t>
  </si>
  <si>
    <t xml:space="preserve">Shemarin Anton</t>
  </si>
  <si>
    <t xml:space="preserve">Kazantsev Konstantin</t>
  </si>
  <si>
    <t xml:space="preserve">125+</t>
  </si>
  <si>
    <t xml:space="preserve">OPEN EUROPE CUP WPC/AWPC/WAA-2022
«Russian Axle»
Russian Federation/Moscow 4 - 5 June 2022 y.</t>
  </si>
  <si>
    <t xml:space="preserve">1. Enina Elena</t>
  </si>
  <si>
    <t xml:space="preserve">Open (10.05.1989)/33</t>
  </si>
  <si>
    <t xml:space="preserve">52,90</t>
  </si>
  <si>
    <t xml:space="preserve">Nosorog</t>
  </si>
  <si>
    <t xml:space="preserve">2. Baeva Elena</t>
  </si>
  <si>
    <t xml:space="preserve">Open (23.01.1988)/34</t>
  </si>
  <si>
    <t xml:space="preserve">55,40</t>
  </si>
  <si>
    <t xml:space="preserve">3. Smagar Anna</t>
  </si>
  <si>
    <t xml:space="preserve">1. Klimashin Ilya</t>
  </si>
  <si>
    <t xml:space="preserve">Junior (25.07.2006)/15</t>
  </si>
  <si>
    <t xml:space="preserve">76,10</t>
  </si>
  <si>
    <t xml:space="preserve">RUS/Penza</t>
  </si>
  <si>
    <t xml:space="preserve">120,0</t>
  </si>
  <si>
    <t xml:space="preserve">135,0</t>
  </si>
  <si>
    <t xml:space="preserve">145,0</t>
  </si>
  <si>
    <t xml:space="preserve">1. Ryazanov Kirill</t>
  </si>
  <si>
    <t xml:space="preserve">Open (22.03.1994)/28</t>
  </si>
  <si>
    <t xml:space="preserve">78,20</t>
  </si>
  <si>
    <t xml:space="preserve">RUS/Novomoskovsk</t>
  </si>
  <si>
    <t xml:space="preserve">130,0</t>
  </si>
  <si>
    <t xml:space="preserve">140,0</t>
  </si>
  <si>
    <t xml:space="preserve">100,0</t>
  </si>
  <si>
    <t xml:space="preserve">1. Sidorov Ilya</t>
  </si>
  <si>
    <t xml:space="preserve">Open (18.05.1989)/33</t>
  </si>
  <si>
    <t xml:space="preserve">90,00</t>
  </si>
  <si>
    <t xml:space="preserve">Mjolnir Myelnir</t>
  </si>
  <si>
    <t xml:space="preserve">RUS/Pushkino</t>
  </si>
  <si>
    <t xml:space="preserve">150,0</t>
  </si>
  <si>
    <t xml:space="preserve">1. Grigoriev Yuriy</t>
  </si>
  <si>
    <t xml:space="preserve">Masters 50-54 (30.12.1970)/51</t>
  </si>
  <si>
    <t xml:space="preserve">98,10</t>
  </si>
  <si>
    <t xml:space="preserve">170,0</t>
  </si>
  <si>
    <t xml:space="preserve">175,0</t>
  </si>
  <si>
    <t xml:space="preserve">2. Rudenko Oleg</t>
  </si>
  <si>
    <t xml:space="preserve">Masters 50-54 (06.01.1971)/51</t>
  </si>
  <si>
    <t xml:space="preserve">98,30</t>
  </si>
  <si>
    <t xml:space="preserve">1. Varyonov Ignatiy</t>
  </si>
  <si>
    <t xml:space="preserve">Junior (26.09.2004)/17</t>
  </si>
  <si>
    <t xml:space="preserve">106,50</t>
  </si>
  <si>
    <t xml:space="preserve">160,0</t>
  </si>
  <si>
    <t xml:space="preserve">1. Lysenko Oleg</t>
  </si>
  <si>
    <t xml:space="preserve">Open (02.09.1988)/33</t>
  </si>
  <si>
    <t xml:space="preserve">109,50</t>
  </si>
  <si>
    <t xml:space="preserve">Petrov Danil</t>
  </si>
  <si>
    <t xml:space="preserve">1. Petrov Danil</t>
  </si>
  <si>
    <t xml:space="preserve">Masters 40-44 (19.12.1980)/41</t>
  </si>
  <si>
    <t xml:space="preserve">118,30</t>
  </si>
  <si>
    <t xml:space="preserve">Antares</t>
  </si>
  <si>
    <t xml:space="preserve">2. Obidin Roman</t>
  </si>
  <si>
    <t xml:space="preserve">Enina Elena</t>
  </si>
  <si>
    <t xml:space="preserve">Baeva Elena</t>
  </si>
  <si>
    <t xml:space="preserve">Klimashin Ilya</t>
  </si>
  <si>
    <t xml:space="preserve">Varyonov Ignatiy</t>
  </si>
  <si>
    <t xml:space="preserve">Lysenko Oleg</t>
  </si>
  <si>
    <t xml:space="preserve">Sidorov Ilya</t>
  </si>
  <si>
    <t xml:space="preserve">Ryazanov Kirill</t>
  </si>
  <si>
    <t xml:space="preserve">Grigoriev Yuriy</t>
  </si>
  <si>
    <t xml:space="preserve">Masters 50-54</t>
  </si>
  <si>
    <t xml:space="preserve">Rudenko Oleg</t>
  </si>
  <si>
    <t xml:space="preserve">OPEN EUROPE CUP WPC/AWPC/WAA-2022
«Russian Roullette»
Russian Federation/Moscow 4 - 5 June 2022 y.</t>
  </si>
  <si>
    <t xml:space="preserve">65,5</t>
  </si>
  <si>
    <t xml:space="preserve">70,5</t>
  </si>
  <si>
    <t xml:space="preserve">75,5</t>
  </si>
  <si>
    <t xml:space="preserve">80,5</t>
  </si>
  <si>
    <t xml:space="preserve">85,5</t>
  </si>
  <si>
    <t xml:space="preserve">88,0</t>
  </si>
  <si>
    <t xml:space="preserve">Open (10.04.1963)/59</t>
  </si>
  <si>
    <t xml:space="preserve">68,0</t>
  </si>
  <si>
    <t xml:space="preserve">73,0</t>
  </si>
  <si>
    <t xml:space="preserve">78,0</t>
  </si>
  <si>
    <t xml:space="preserve">83,0</t>
  </si>
  <si>
    <t xml:space="preserve">2. Rabekhov Temur</t>
  </si>
  <si>
    <t xml:space="preserve">Open (06.04.1992)/30</t>
  </si>
  <si>
    <t xml:space="preserve">102,80</t>
  </si>
  <si>
    <t xml:space="preserve">53,0</t>
  </si>
  <si>
    <t xml:space="preserve">58,0</t>
  </si>
  <si>
    <t xml:space="preserve">63,0</t>
  </si>
  <si>
    <t xml:space="preserve">50,5</t>
  </si>
  <si>
    <t xml:space="preserve">60,5</t>
  </si>
  <si>
    <t xml:space="preserve">2. Vitkevich Nikolay</t>
  </si>
  <si>
    <t xml:space="preserve">Open (27.09.1965)/56</t>
  </si>
  <si>
    <t xml:space="preserve">111,00</t>
  </si>
  <si>
    <t xml:space="preserve">1. Vitkevich Nikolay</t>
  </si>
  <si>
    <t xml:space="preserve">Masters 55-59 (27.09.1965)/56</t>
  </si>
  <si>
    <t xml:space="preserve">Rabekhov Temur</t>
  </si>
  <si>
    <t xml:space="preserve">Vitkevich Nikolay</t>
  </si>
  <si>
    <t xml:space="preserve">OPEN EUROPE CUP WPC/AWPC/WAA-2022
Multy-repeat BP 1 bw. AWPC
Russian Federation/Moscow 4 - 5 June 2022 y.</t>
  </si>
  <si>
    <t xml:space="preserve">Multi.rpt. benchpress</t>
  </si>
  <si>
    <t xml:space="preserve">Pts</t>
  </si>
  <si>
    <t xml:space="preserve">Body Weight Category  67.5</t>
  </si>
  <si>
    <t xml:space="preserve">1. Komarevtsev Anton</t>
  </si>
  <si>
    <t xml:space="preserve">Open (23.01.1987)/35</t>
  </si>
  <si>
    <t xml:space="preserve">67,10</t>
  </si>
  <si>
    <t xml:space="preserve">67,5</t>
  </si>
  <si>
    <t xml:space="preserve">Body Weight Category  75</t>
  </si>
  <si>
    <t xml:space="preserve">1. Strelnikov Valeriy</t>
  </si>
  <si>
    <t xml:space="preserve">Open (25.03.1981)/41</t>
  </si>
  <si>
    <t xml:space="preserve">74,00</t>
  </si>
  <si>
    <t xml:space="preserve">2. Moiseev Sergey</t>
  </si>
  <si>
    <t xml:space="preserve">Open (14.05.1963)/59</t>
  </si>
  <si>
    <t xml:space="preserve">74,40</t>
  </si>
  <si>
    <t xml:space="preserve">26,0</t>
  </si>
  <si>
    <t xml:space="preserve">Masters 40-49 (25.03.1981)/41</t>
  </si>
  <si>
    <t xml:space="preserve">1. Poberezhets Dmitriy</t>
  </si>
  <si>
    <t xml:space="preserve">Open (15.11.1990)/31</t>
  </si>
  <si>
    <t xml:space="preserve">84,30</t>
  </si>
  <si>
    <t xml:space="preserve">RUS/Odintsovo</t>
  </si>
  <si>
    <t xml:space="preserve">29,0</t>
  </si>
  <si>
    <t xml:space="preserve">1. Shevelev Anton</t>
  </si>
  <si>
    <t xml:space="preserve">Open (01.06.1985)/37</t>
  </si>
  <si>
    <t xml:space="preserve">112,10</t>
  </si>
  <si>
    <t xml:space="preserve">RUS/Mozhaysk</t>
  </si>
  <si>
    <t xml:space="preserve">112,5</t>
  </si>
  <si>
    <t xml:space="preserve">15,0</t>
  </si>
  <si>
    <t xml:space="preserve">Strelnikov Valeriy</t>
  </si>
  <si>
    <t xml:space="preserve">Komarevtsev Anton</t>
  </si>
  <si>
    <t xml:space="preserve">Poberezhets Dmitriy</t>
  </si>
  <si>
    <t xml:space="preserve">Moiseev Sergey</t>
  </si>
  <si>
    <t xml:space="preserve">Shevelev Anton</t>
  </si>
  <si>
    <t xml:space="preserve">Masters 40-49</t>
  </si>
  <si>
    <t xml:space="preserve">OPEN EUROPE CUP WPC/AWPC/WAA-2022
Multy-repeat BP 1 bw. WPC
Russian Federation/Moscow 4 - 5 June 2022 y.</t>
  </si>
  <si>
    <t xml:space="preserve">Body Weight Category  44</t>
  </si>
  <si>
    <t xml:space="preserve">1. Speranskaya Anastasiya</t>
  </si>
  <si>
    <t xml:space="preserve">Teen 13-19 (22.12.2015)/6</t>
  </si>
  <si>
    <t xml:space="preserve">22,20</t>
  </si>
  <si>
    <t xml:space="preserve">Speranskiy S.M.</t>
  </si>
  <si>
    <t xml:space="preserve">1. Bragilevskiy Ilya</t>
  </si>
  <si>
    <t xml:space="preserve">Masters 40-49 (28.01.1973)/49</t>
  </si>
  <si>
    <t xml:space="preserve">105,60</t>
  </si>
  <si>
    <t xml:space="preserve">107,5</t>
  </si>
  <si>
    <t xml:space="preserve">21,0</t>
  </si>
  <si>
    <t xml:space="preserve">Teen</t>
  </si>
  <si>
    <t xml:space="preserve">Speranskaya Anastasiya</t>
  </si>
  <si>
    <t xml:space="preserve">Teen 13-19</t>
  </si>
  <si>
    <t xml:space="preserve">Bragilevskiy Ilya</t>
  </si>
  <si>
    <t xml:space="preserve">OPEN EUROPE CUP WPC/AWPC/WAA-2022
WPC Strict Curl
Russian Federation/Moscow 4 - 5 June 2022 y.</t>
  </si>
  <si>
    <t xml:space="preserve">1. Dolgosheev Maksim</t>
  </si>
  <si>
    <t xml:space="preserve">Open (10.05.1985)/37</t>
  </si>
  <si>
    <t xml:space="preserve">85,60</t>
  </si>
  <si>
    <t xml:space="preserve">65,0</t>
  </si>
  <si>
    <t xml:space="preserve">Dolgosheev Maksim</t>
  </si>
  <si>
    <t xml:space="preserve">OPEN EUROPE CUP WPC/AWPC/WAA-2022
AWPC Strict Curl
Russian Federation/Moscow 4 - 5 June 2022 y.</t>
  </si>
  <si>
    <t xml:space="preserve">Body Weight Category  56</t>
  </si>
  <si>
    <t xml:space="preserve">1. Kaparushkina Anna</t>
  </si>
  <si>
    <t xml:space="preserve">Open (04.01.1992)/30</t>
  </si>
  <si>
    <t xml:space="preserve">RUS/Komsomolsk-na-Amure</t>
  </si>
  <si>
    <t xml:space="preserve">1. Lymareva Elena</t>
  </si>
  <si>
    <t xml:space="preserve">Masters 55-59 (20.04.1966)/56</t>
  </si>
  <si>
    <t xml:space="preserve">72,30</t>
  </si>
  <si>
    <t xml:space="preserve">Vishnyakov Mikhail</t>
  </si>
  <si>
    <t xml:space="preserve">1. Kolesnikov Vasiliy</t>
  </si>
  <si>
    <t xml:space="preserve">Open (17.02.1994)/28</t>
  </si>
  <si>
    <t xml:space="preserve">66,90</t>
  </si>
  <si>
    <t xml:space="preserve">1. Gorlanov Aleksey</t>
  </si>
  <si>
    <t xml:space="preserve">Open (15.11.1984)/37</t>
  </si>
  <si>
    <t xml:space="preserve">74,20</t>
  </si>
  <si>
    <t xml:space="preserve">RUS/Balashikha</t>
  </si>
  <si>
    <t xml:space="preserve">Body Weight Category  82.5</t>
  </si>
  <si>
    <t xml:space="preserve">1. Grishkov Vadim</t>
  </si>
  <si>
    <t xml:space="preserve">Open (18.03.1988)/34</t>
  </si>
  <si>
    <t xml:space="preserve">80,60</t>
  </si>
  <si>
    <t xml:space="preserve">2. Berikkhanov Zelimkhan</t>
  </si>
  <si>
    <t xml:space="preserve">Open (16.02.1992)/30</t>
  </si>
  <si>
    <t xml:space="preserve">81,50</t>
  </si>
  <si>
    <t xml:space="preserve">57,5</t>
  </si>
  <si>
    <t xml:space="preserve">1. Agapov Dmitriy</t>
  </si>
  <si>
    <t xml:space="preserve">Masters 40-44 (30.04.1979)/43</t>
  </si>
  <si>
    <t xml:space="preserve">81,00</t>
  </si>
  <si>
    <t xml:space="preserve">1. Trubachev Andrey</t>
  </si>
  <si>
    <t xml:space="preserve">Open (26.02.1986)/36</t>
  </si>
  <si>
    <t xml:space="preserve">97,30</t>
  </si>
  <si>
    <t xml:space="preserve">Kaparushkina Anna</t>
  </si>
  <si>
    <t xml:space="preserve">Lymareva Elena</t>
  </si>
  <si>
    <t xml:space="preserve">Kolesnikov Vasiliy</t>
  </si>
  <si>
    <t xml:space="preserve">Trubachev Andrey</t>
  </si>
  <si>
    <t xml:space="preserve">Grishkov Vadim</t>
  </si>
  <si>
    <t xml:space="preserve">Berikkhanov Zelimkhan</t>
  </si>
  <si>
    <t xml:space="preserve">Gorlanov Aleksey</t>
  </si>
  <si>
    <t xml:space="preserve">Agapov Dmitriy</t>
  </si>
  <si>
    <t xml:space="preserve">OPEN EUROPE CUP WPC/AWPC/WAA-2022
AWPC raw deadlift
Russian Federation/Moscow 4 - 5 June 2022 y.</t>
  </si>
  <si>
    <t xml:space="preserve">Body Weight Category  52</t>
  </si>
  <si>
    <t xml:space="preserve">1. Demina Larisa</t>
  </si>
  <si>
    <t xml:space="preserve">Open (27.07.2001)/20</t>
  </si>
  <si>
    <t xml:space="preserve">52,00</t>
  </si>
  <si>
    <t xml:space="preserve">142,5</t>
  </si>
  <si>
    <t xml:space="preserve">152,5</t>
  </si>
  <si>
    <t xml:space="preserve">2. Farafonova Victoriya</t>
  </si>
  <si>
    <t xml:space="preserve">Open (28.06.1997)/24</t>
  </si>
  <si>
    <t xml:space="preserve">51,30</t>
  </si>
  <si>
    <t xml:space="preserve">Adrenalin "Engels"</t>
  </si>
  <si>
    <t xml:space="preserve">RUS/Engels</t>
  </si>
  <si>
    <t xml:space="preserve">110,0</t>
  </si>
  <si>
    <t xml:space="preserve">115,0</t>
  </si>
  <si>
    <t xml:space="preserve">Koptev M.A.</t>
  </si>
  <si>
    <t xml:space="preserve">97,5</t>
  </si>
  <si>
    <t xml:space="preserve">102,5</t>
  </si>
  <si>
    <t xml:space="preserve">105,0</t>
  </si>
  <si>
    <t xml:space="preserve">1. Rusidze Sofiya</t>
  </si>
  <si>
    <t xml:space="preserve">Juniors 20-23 (17.07.1999)/22</t>
  </si>
  <si>
    <t xml:space="preserve">60,00</t>
  </si>
  <si>
    <t xml:space="preserve">1. Voronicheva Anna</t>
  </si>
  <si>
    <t xml:space="preserve">Open (16.10.1996)/25</t>
  </si>
  <si>
    <t xml:space="preserve">95,0</t>
  </si>
  <si>
    <t xml:space="preserve">1. Dobrovolskaya Vera</t>
  </si>
  <si>
    <t xml:space="preserve">Masters 40-44 (21.10.1981)/40</t>
  </si>
  <si>
    <t xml:space="preserve">86,00</t>
  </si>
  <si>
    <t xml:space="preserve">125,0</t>
  </si>
  <si>
    <t xml:space="preserve">1. Abdulmanov Kirill</t>
  </si>
  <si>
    <t xml:space="preserve">Teen 18-19 (24.03.2003)/19</t>
  </si>
  <si>
    <t xml:space="preserve">66,60</t>
  </si>
  <si>
    <t xml:space="preserve">RTU MIREA</t>
  </si>
  <si>
    <t xml:space="preserve">165,0</t>
  </si>
  <si>
    <t xml:space="preserve">1. Ivanov Yulian</t>
  </si>
  <si>
    <t xml:space="preserve">Open (23.09.1997)/24</t>
  </si>
  <si>
    <t xml:space="preserve">66,70</t>
  </si>
  <si>
    <t xml:space="preserve">220,0</t>
  </si>
  <si>
    <t xml:space="preserve">230,0</t>
  </si>
  <si>
    <t xml:space="preserve">1. Panfilov Sergey</t>
  </si>
  <si>
    <t xml:space="preserve">Teen 16-17 (06.05.2006)/16</t>
  </si>
  <si>
    <t xml:space="preserve">155,0</t>
  </si>
  <si>
    <t xml:space="preserve">1. Trukhin Dmitriy</t>
  </si>
  <si>
    <t xml:space="preserve">Juniors 20-23 (01.10.2001)/20</t>
  </si>
  <si>
    <t xml:space="preserve">72,50</t>
  </si>
  <si>
    <t xml:space="preserve">177,5</t>
  </si>
  <si>
    <t xml:space="preserve">1. Kalachev Nikolay</t>
  </si>
  <si>
    <t xml:space="preserve">Teen 16-17 (27.11.2004)/17</t>
  </si>
  <si>
    <t xml:space="preserve">80,70</t>
  </si>
  <si>
    <t xml:space="preserve">RUS/Korolev</t>
  </si>
  <si>
    <t xml:space="preserve">180,0</t>
  </si>
  <si>
    <t xml:space="preserve">185,0</t>
  </si>
  <si>
    <t xml:space="preserve">1. Skorobogatov Egor</t>
  </si>
  <si>
    <t xml:space="preserve">Juniors 20-23 (28.12.2001)/20</t>
  </si>
  <si>
    <t xml:space="preserve">80,40</t>
  </si>
  <si>
    <t xml:space="preserve">1. Spiridonov Vladimir</t>
  </si>
  <si>
    <t xml:space="preserve">Open (08.12.1987)/34</t>
  </si>
  <si>
    <t xml:space="preserve">190,0</t>
  </si>
  <si>
    <t xml:space="preserve">2. Kormilitsin Sergey</t>
  </si>
  <si>
    <t xml:space="preserve">Open (19.09.1991)/30</t>
  </si>
  <si>
    <t xml:space="preserve">82,30</t>
  </si>
  <si>
    <t xml:space="preserve">1. Chechil Fedor</t>
  </si>
  <si>
    <t xml:space="preserve">Juniors 20-23 (12.02.2002)/20</t>
  </si>
  <si>
    <t xml:space="preserve">86,20</t>
  </si>
  <si>
    <t xml:space="preserve">195,0</t>
  </si>
  <si>
    <t xml:space="preserve">200,0</t>
  </si>
  <si>
    <t xml:space="preserve">2. Zhuravlev Vitaliy</t>
  </si>
  <si>
    <t xml:space="preserve">Juniors 20-23 (15.03.2002)/20</t>
  </si>
  <si>
    <t xml:space="preserve">82,60</t>
  </si>
  <si>
    <t xml:space="preserve">1. Ryazantsev Roman</t>
  </si>
  <si>
    <t xml:space="preserve">Open (03.03.1984)/38</t>
  </si>
  <si>
    <t xml:space="preserve">1. Koptev Mikhail</t>
  </si>
  <si>
    <t xml:space="preserve">Open (17.06.1991)/30</t>
  </si>
  <si>
    <t xml:space="preserve">267,5</t>
  </si>
  <si>
    <t xml:space="preserve">282,5</t>
  </si>
  <si>
    <t xml:space="preserve">-. Chernov Vladimir</t>
  </si>
  <si>
    <t xml:space="preserve">Open (30.01.1990)/32</t>
  </si>
  <si>
    <t xml:space="preserve">91,60</t>
  </si>
  <si>
    <t xml:space="preserve">-. Zverev Roman</t>
  </si>
  <si>
    <t xml:space="preserve">Open (15.05.1988)/34</t>
  </si>
  <si>
    <t xml:space="preserve">99,20</t>
  </si>
  <si>
    <t xml:space="preserve">302,5</t>
  </si>
  <si>
    <t xml:space="preserve">1. Kalinichenko Ivan</t>
  </si>
  <si>
    <t xml:space="preserve">Masters 40-44 (02.06.1980)/42</t>
  </si>
  <si>
    <t xml:space="preserve">97,00</t>
  </si>
  <si>
    <t xml:space="preserve">192,5</t>
  </si>
  <si>
    <t xml:space="preserve">2. Tolstikh Alexandr</t>
  </si>
  <si>
    <t xml:space="preserve">Masters 40-44 (20.02.1978)/44</t>
  </si>
  <si>
    <t xml:space="preserve">96,00</t>
  </si>
  <si>
    <t xml:space="preserve">3. Gontyurev Nikolay</t>
  </si>
  <si>
    <t xml:space="preserve">Masters 40-44 (22.10.1980)/41</t>
  </si>
  <si>
    <t xml:space="preserve">96,30</t>
  </si>
  <si>
    <t xml:space="preserve">1. Bodrov Maksim</t>
  </si>
  <si>
    <t xml:space="preserve">Masters 45-49 (05.10.1973)/48</t>
  </si>
  <si>
    <t xml:space="preserve">102,30</t>
  </si>
  <si>
    <t xml:space="preserve">210,0</t>
  </si>
  <si>
    <t xml:space="preserve">1. Parshikov Ion</t>
  </si>
  <si>
    <t xml:space="preserve">Open (14.10.1995)/26</t>
  </si>
  <si>
    <t xml:space="preserve">123,50</t>
  </si>
  <si>
    <t xml:space="preserve">250,0</t>
  </si>
  <si>
    <t xml:space="preserve">255,0</t>
  </si>
  <si>
    <t xml:space="preserve">260,0</t>
  </si>
  <si>
    <t xml:space="preserve">Balobatiko Igor</t>
  </si>
  <si>
    <t xml:space="preserve">Body Weight Category  140+</t>
  </si>
  <si>
    <t xml:space="preserve">1. Speshilov Denis</t>
  </si>
  <si>
    <t xml:space="preserve">Open (17.09.1984)/37</t>
  </si>
  <si>
    <t xml:space="preserve">149,60</t>
  </si>
  <si>
    <t xml:space="preserve">RUS/Troitsk</t>
  </si>
  <si>
    <t xml:space="preserve">Juniors</t>
  </si>
  <si>
    <t xml:space="preserve">Rusidze Sofiya</t>
  </si>
  <si>
    <t xml:space="preserve">Juniors 20-23</t>
  </si>
  <si>
    <t xml:space="preserve">Demina Larisa</t>
  </si>
  <si>
    <t xml:space="preserve">Farafonova Victoriya</t>
  </si>
  <si>
    <t xml:space="preserve">Voronicheva Anna</t>
  </si>
  <si>
    <t xml:space="preserve">Dobrovolskaya Vera</t>
  </si>
  <si>
    <t xml:space="preserve">Kalachev Nikolay</t>
  </si>
  <si>
    <t xml:space="preserve">Teen 16-17</t>
  </si>
  <si>
    <t xml:space="preserve">Panfilov Sergey</t>
  </si>
  <si>
    <t xml:space="preserve">Abdulmanov Kirill</t>
  </si>
  <si>
    <t xml:space="preserve">Teen 18-19</t>
  </si>
  <si>
    <t xml:space="preserve">Trukhin Dmitriy</t>
  </si>
  <si>
    <t xml:space="preserve">Skorobogatov Egor</t>
  </si>
  <si>
    <t xml:space="preserve">Chechil Fedor</t>
  </si>
  <si>
    <t xml:space="preserve">Zhuravlev Vitaliy</t>
  </si>
  <si>
    <t xml:space="preserve">Ivanov Yulian</t>
  </si>
  <si>
    <t xml:space="preserve">Koptev Mikhail</t>
  </si>
  <si>
    <t xml:space="preserve">Parshikov Ion</t>
  </si>
  <si>
    <t xml:space="preserve">Spiridonov Vladimir</t>
  </si>
  <si>
    <t xml:space="preserve">Kormilitsin Sergey</t>
  </si>
  <si>
    <t xml:space="preserve">Ryazantsev Roman</t>
  </si>
  <si>
    <t xml:space="preserve">Speshilov Denis</t>
  </si>
  <si>
    <t xml:space="preserve">140+</t>
  </si>
  <si>
    <t xml:space="preserve">Bodrov Maksim</t>
  </si>
  <si>
    <t xml:space="preserve">Tolstikh Alexandr</t>
  </si>
  <si>
    <t xml:space="preserve">Kalinichenko Ivan</t>
  </si>
  <si>
    <t xml:space="preserve">Gontyurev Nikolay</t>
  </si>
  <si>
    <t xml:space="preserve">OPEN EUROPE CUP WPC/AWPC/WAA-2022
WPC multy ply deadlift
Russian Federation/Moscow 4 - 5 June 2022 y.</t>
  </si>
  <si>
    <t xml:space="preserve">1. Kondrateva Kristina</t>
  </si>
  <si>
    <t xml:space="preserve">Open (15.07.1994)/27</t>
  </si>
  <si>
    <t xml:space="preserve">64,20</t>
  </si>
  <si>
    <t xml:space="preserve">Kondratyev A.V.</t>
  </si>
  <si>
    <t xml:space="preserve">Kondrateva Kristina</t>
  </si>
  <si>
    <t xml:space="preserve">OPEN EUROPE CUP WPC/AWPC/WAA-2022
WPC raw deadlift
Russian Federation/Moscow 4 - 5 June 2022 y.</t>
  </si>
  <si>
    <t xml:space="preserve">1. Torchinava Oksana</t>
  </si>
  <si>
    <t xml:space="preserve">Masters 40-44 (14.04.1981)/41</t>
  </si>
  <si>
    <t xml:space="preserve">RUS/Orsk</t>
  </si>
  <si>
    <t xml:space="preserve">1. Bondarchuk Elena</t>
  </si>
  <si>
    <t xml:space="preserve">Open (18.06.1980)/41</t>
  </si>
  <si>
    <t xml:space="preserve">63,10</t>
  </si>
  <si>
    <t xml:space="preserve">182,5</t>
  </si>
  <si>
    <t xml:space="preserve">200,5</t>
  </si>
  <si>
    <t xml:space="preserve">1. Gefter Timur</t>
  </si>
  <si>
    <t xml:space="preserve">Teen 16-17 (22.08.2004)/17</t>
  </si>
  <si>
    <t xml:space="preserve">75,70</t>
  </si>
  <si>
    <t xml:space="preserve">1. Sagitov Marat</t>
  </si>
  <si>
    <t xml:space="preserve">Masters 50-54 (05.03.1971)/51</t>
  </si>
  <si>
    <t xml:space="preserve">81,20</t>
  </si>
  <si>
    <t xml:space="preserve">205,0</t>
  </si>
  <si>
    <t xml:space="preserve">1. Parshenko Sergey</t>
  </si>
  <si>
    <t xml:space="preserve">Open (18.10.1990)/31</t>
  </si>
  <si>
    <t xml:space="preserve">88,50</t>
  </si>
  <si>
    <t xml:space="preserve">RUS/Podolsk</t>
  </si>
  <si>
    <t xml:space="preserve">270,0</t>
  </si>
  <si>
    <t xml:space="preserve">305,0</t>
  </si>
  <si>
    <t xml:space="preserve">1. Mokin Alexandr</t>
  </si>
  <si>
    <t xml:space="preserve">Masters 40-44 (07.02.1978)/44</t>
  </si>
  <si>
    <t xml:space="preserve">99,60</t>
  </si>
  <si>
    <t xml:space="preserve">240,0</t>
  </si>
  <si>
    <t xml:space="preserve">245,0</t>
  </si>
  <si>
    <t xml:space="preserve">1. Nefedov Sergey</t>
  </si>
  <si>
    <t xml:space="preserve">Open (14.06.1980)/41</t>
  </si>
  <si>
    <t xml:space="preserve">104,60</t>
  </si>
  <si>
    <t xml:space="preserve">Masters 40-44 (14.06.1980)/41</t>
  </si>
  <si>
    <t xml:space="preserve">1. Battakhov Petr</t>
  </si>
  <si>
    <t xml:space="preserve">Masters 70-74 (21.04.1952)/70</t>
  </si>
  <si>
    <t xml:space="preserve">102,50</t>
  </si>
  <si>
    <t xml:space="preserve">RUS/Yakutsk</t>
  </si>
  <si>
    <t xml:space="preserve">207,5</t>
  </si>
  <si>
    <t xml:space="preserve">203,0</t>
  </si>
  <si>
    <t xml:space="preserve">Bondarchuk Elena</t>
  </si>
  <si>
    <t xml:space="preserve">Torchinava Oksana</t>
  </si>
  <si>
    <t xml:space="preserve">Gefter Timur</t>
  </si>
  <si>
    <t xml:space="preserve">Parshenko Sergey</t>
  </si>
  <si>
    <t xml:space="preserve">Nefedov Sergey</t>
  </si>
  <si>
    <t xml:space="preserve">Battakhov Petr</t>
  </si>
  <si>
    <t xml:space="preserve">Masters 70-74</t>
  </si>
  <si>
    <t xml:space="preserve">Sagitov Marat</t>
  </si>
  <si>
    <t xml:space="preserve">Mokin Alexandr</t>
  </si>
  <si>
    <t xml:space="preserve">OPEN EUROPE CUP WPC/AWPC/WAA-2022
AWPC MP soft eq. benchpress
Russian Federation/Moscow 4 - 5 June 2022 y.</t>
  </si>
  <si>
    <t xml:space="preserve">1. Medvedeva Sofiya</t>
  </si>
  <si>
    <t xml:space="preserve">Teen 16-17 (14.08.2004)/17</t>
  </si>
  <si>
    <t xml:space="preserve">RUS/Chekhov</t>
  </si>
  <si>
    <t xml:space="preserve">90,0</t>
  </si>
  <si>
    <t xml:space="preserve">Medvedeva Sofiya</t>
  </si>
  <si>
    <t xml:space="preserve">OPEN EUROPE CUP WPC/AWPC/WAA-2022
AWPC st. soft eq. benchpress
Russian Federation/Moscow 4 - 5 June 2022 y.</t>
  </si>
  <si>
    <t xml:space="preserve">1. Zhigulin Konstantin</t>
  </si>
  <si>
    <t xml:space="preserve">Open (03.10.1987)/34</t>
  </si>
  <si>
    <t xml:space="preserve">86,30</t>
  </si>
  <si>
    <t xml:space="preserve">265,0</t>
  </si>
  <si>
    <t xml:space="preserve">280,0</t>
  </si>
  <si>
    <t xml:space="preserve">300,0</t>
  </si>
  <si>
    <t xml:space="preserve">2. Dobryanskiy Denis</t>
  </si>
  <si>
    <t xml:space="preserve">Open (06.12.1977)/44</t>
  </si>
  <si>
    <t xml:space="preserve">88,10</t>
  </si>
  <si>
    <t xml:space="preserve">197,5</t>
  </si>
  <si>
    <t xml:space="preserve">Zhigulin Konstantin</t>
  </si>
  <si>
    <t xml:space="preserve">Dobryanskiy Denis</t>
  </si>
  <si>
    <t xml:space="preserve">OPEN EUROPE CUP WPC/AWPC/WAA-2022
WPC OVERHEAD BENCH
Russian Federation/Moscow 4 - 5 June 2022 y.</t>
  </si>
  <si>
    <t xml:space="preserve">1. Zotikov Sergey</t>
  </si>
  <si>
    <t xml:space="preserve">Masters 55-59 (15.04.1964)/58</t>
  </si>
  <si>
    <t xml:space="preserve">98,60</t>
  </si>
  <si>
    <t xml:space="preserve">RUS/Dolgoprudnyy</t>
  </si>
  <si>
    <t xml:space="preserve">Zotikov Sergey</t>
  </si>
  <si>
    <t xml:space="preserve">OPEN EUROPE CUP WPC/AWPC/WAA-2022
AWPC raw benchpress
Russian Federation/Moscow 4 - 5 June 2022 y.</t>
  </si>
  <si>
    <t xml:space="preserve">-. Farafonova Victoriya</t>
  </si>
  <si>
    <t xml:space="preserve">0,00</t>
  </si>
  <si>
    <t xml:space="preserve">Body Weight Category  48</t>
  </si>
  <si>
    <t xml:space="preserve">1. Bazhina Ekaterina</t>
  </si>
  <si>
    <t xml:space="preserve">Open (04.04.1983)/39</t>
  </si>
  <si>
    <t xml:space="preserve">47,90</t>
  </si>
  <si>
    <t xml:space="preserve">1. Kandaurova Vasilisa</t>
  </si>
  <si>
    <t xml:space="preserve">Juniors 20-23 (26.11.2001)/20</t>
  </si>
  <si>
    <t xml:space="preserve">54,80</t>
  </si>
  <si>
    <t xml:space="preserve">1. Tsigankova Darya</t>
  </si>
  <si>
    <t xml:space="preserve">Open (07.01.1991)/31</t>
  </si>
  <si>
    <t xml:space="preserve">56,50</t>
  </si>
  <si>
    <t xml:space="preserve">SVR</t>
  </si>
  <si>
    <t xml:space="preserve">92,5</t>
  </si>
  <si>
    <t xml:space="preserve">2. Molitvina Liliya</t>
  </si>
  <si>
    <t xml:space="preserve">Open (09.04.1992)/30</t>
  </si>
  <si>
    <t xml:space="preserve">57,90</t>
  </si>
  <si>
    <t xml:space="preserve">RUS/Tver</t>
  </si>
  <si>
    <t xml:space="preserve">Open (20.04.1966)/56</t>
  </si>
  <si>
    <t xml:space="preserve">1. Bryanskiy Alexandr</t>
  </si>
  <si>
    <t xml:space="preserve">Teen 13-15 (24.08.2008)/13</t>
  </si>
  <si>
    <t xml:space="preserve">54,40</t>
  </si>
  <si>
    <t xml:space="preserve">1. Mironin Denis</t>
  </si>
  <si>
    <t xml:space="preserve">Open (01.11.1993)/28</t>
  </si>
  <si>
    <t xml:space="preserve">55,20</t>
  </si>
  <si>
    <t xml:space="preserve">1. Senyushkin Konstantin</t>
  </si>
  <si>
    <t xml:space="preserve">Teen 13-15 (30.07.2008)/13</t>
  </si>
  <si>
    <t xml:space="preserve">59,60</t>
  </si>
  <si>
    <t xml:space="preserve">RUS/Krasnogorsk</t>
  </si>
  <si>
    <t xml:space="preserve">1. Vorobyov Vladimir</t>
  </si>
  <si>
    <t xml:space="preserve">Teen 16-17 (08.12.2005)/16</t>
  </si>
  <si>
    <t xml:space="preserve">56,20</t>
  </si>
  <si>
    <t xml:space="preserve">RUS/Khimki</t>
  </si>
  <si>
    <t xml:space="preserve">Borzin Roman</t>
  </si>
  <si>
    <t xml:space="preserve">1. Strigin Vladislav</t>
  </si>
  <si>
    <t xml:space="preserve">Teen 16-17 (30.06.2005)/16</t>
  </si>
  <si>
    <t xml:space="preserve">68,50</t>
  </si>
  <si>
    <t xml:space="preserve">1. Tonapetyan Vagan</t>
  </si>
  <si>
    <t xml:space="preserve">Juniors 20-23 (13.12.1999)/22</t>
  </si>
  <si>
    <t xml:space="preserve">RUS/Domodedovo</t>
  </si>
  <si>
    <t xml:space="preserve">127,5</t>
  </si>
  <si>
    <t xml:space="preserve">147,5</t>
  </si>
  <si>
    <t xml:space="preserve">Mamarazykov O.M.</t>
  </si>
  <si>
    <t xml:space="preserve">2. Trukhin Dmitriy</t>
  </si>
  <si>
    <t xml:space="preserve">1. Samara Stanislav</t>
  </si>
  <si>
    <t xml:space="preserve">Open (14.03.1989)/33</t>
  </si>
  <si>
    <t xml:space="preserve">72,60</t>
  </si>
  <si>
    <t xml:space="preserve">2. Balugin Nikolay</t>
  </si>
  <si>
    <t xml:space="preserve">Open (24.07.1987)/34</t>
  </si>
  <si>
    <t xml:space="preserve">74,70</t>
  </si>
  <si>
    <t xml:space="preserve">137,5</t>
  </si>
  <si>
    <t xml:space="preserve">3. Dmitrov Vasiliy</t>
  </si>
  <si>
    <t xml:space="preserve">Open (19.11.1993)/28</t>
  </si>
  <si>
    <t xml:space="preserve">73,50</t>
  </si>
  <si>
    <t xml:space="preserve">4. Pyatkin Maksim</t>
  </si>
  <si>
    <t xml:space="preserve">Open (20.04.1996)/26</t>
  </si>
  <si>
    <t xml:space="preserve">73,80</t>
  </si>
  <si>
    <t xml:space="preserve">117,5</t>
  </si>
  <si>
    <t xml:space="preserve">5. Chernetsov Valeriy</t>
  </si>
  <si>
    <t xml:space="preserve">Open (06.02.1992)/30</t>
  </si>
  <si>
    <t xml:space="preserve">73,70</t>
  </si>
  <si>
    <t xml:space="preserve">RUS/Karpinsk</t>
  </si>
  <si>
    <t xml:space="preserve">6. Gorlanov Aleksey</t>
  </si>
  <si>
    <t xml:space="preserve">1. Zhuravlev Sergey</t>
  </si>
  <si>
    <t xml:space="preserve">Masters 40-44 (23.10.1979)/42</t>
  </si>
  <si>
    <t xml:space="preserve">73,60</t>
  </si>
  <si>
    <t xml:space="preserve">1. Goncharov Lev</t>
  </si>
  <si>
    <t xml:space="preserve">Masters 45-49 (12.06.1975)/46</t>
  </si>
  <si>
    <t xml:space="preserve">1. Finkelbaum Mark</t>
  </si>
  <si>
    <t xml:space="preserve">Teen 13-15 (25.04.2008)/14</t>
  </si>
  <si>
    <t xml:space="preserve">75,50</t>
  </si>
  <si>
    <t xml:space="preserve">Yesayan Yevgeniy</t>
  </si>
  <si>
    <t xml:space="preserve">1. Lopatko Filipp</t>
  </si>
  <si>
    <t xml:space="preserve">Open (28.12.1991)/30</t>
  </si>
  <si>
    <t xml:space="preserve">80,90</t>
  </si>
  <si>
    <t xml:space="preserve">2. Skorokhodov Egor</t>
  </si>
  <si>
    <t xml:space="preserve">Open (19.11.1997)/24</t>
  </si>
  <si>
    <t xml:space="preserve">122,5</t>
  </si>
  <si>
    <t xml:space="preserve">3. Mutasov Konstanrin</t>
  </si>
  <si>
    <t xml:space="preserve">Open (24.06.1995)/26</t>
  </si>
  <si>
    <t xml:space="preserve">77,70</t>
  </si>
  <si>
    <t xml:space="preserve">1. Andreev Dmitriy</t>
  </si>
  <si>
    <t xml:space="preserve">Masters 40-44 (16.11.1980)/41</t>
  </si>
  <si>
    <t xml:space="preserve">82,50</t>
  </si>
  <si>
    <t xml:space="preserve">1. Gundaev Demian</t>
  </si>
  <si>
    <t xml:space="preserve">Teen 18-19 (04.10.2002)/19</t>
  </si>
  <si>
    <t xml:space="preserve">89,40</t>
  </si>
  <si>
    <t xml:space="preserve">1. Zhuravlev Vitaliy</t>
  </si>
  <si>
    <t xml:space="preserve">1. Dzhulikyan Levon</t>
  </si>
  <si>
    <t xml:space="preserve">Open (01.03.1994)/28</t>
  </si>
  <si>
    <t xml:space="preserve">89,60</t>
  </si>
  <si>
    <t xml:space="preserve">2. Volkov Anton</t>
  </si>
  <si>
    <t xml:space="preserve">Open (17.10.1986)/35</t>
  </si>
  <si>
    <t xml:space="preserve">88,70</t>
  </si>
  <si>
    <t xml:space="preserve">132,5</t>
  </si>
  <si>
    <t xml:space="preserve">Tereshchenko Vladimir</t>
  </si>
  <si>
    <t xml:space="preserve">3. Tryakin Daniil</t>
  </si>
  <si>
    <t xml:space="preserve">Open (03.04.1998)/24</t>
  </si>
  <si>
    <t xml:space="preserve">Filatov Dmitriy</t>
  </si>
  <si>
    <t xml:space="preserve">-. Zhoglo Yuriy</t>
  </si>
  <si>
    <t xml:space="preserve">Open (29.04.1990)/32</t>
  </si>
  <si>
    <t xml:space="preserve">89,90</t>
  </si>
  <si>
    <t xml:space="preserve">1. Volkov Vyacheslav</t>
  </si>
  <si>
    <t xml:space="preserve">Masters 50-54 (13.11.1971)/50</t>
  </si>
  <si>
    <t xml:space="preserve">89,50</t>
  </si>
  <si>
    <t xml:space="preserve">RUS/Zelenograd</t>
  </si>
  <si>
    <t xml:space="preserve">1. Zakharov Aleksey</t>
  </si>
  <si>
    <t xml:space="preserve">Open (01.07.1986)/35</t>
  </si>
  <si>
    <t xml:space="preserve">RUS/Sergiyev Posad</t>
  </si>
  <si>
    <t xml:space="preserve">2. Kulgin Vladimir</t>
  </si>
  <si>
    <t xml:space="preserve">Open (14.08.1988)/33</t>
  </si>
  <si>
    <t xml:space="preserve">98,40</t>
  </si>
  <si>
    <t xml:space="preserve">162,5</t>
  </si>
  <si>
    <t xml:space="preserve">3. Seregin Aleksandr</t>
  </si>
  <si>
    <t xml:space="preserve">Open (15.12.1982)/39</t>
  </si>
  <si>
    <t xml:space="preserve">97,90</t>
  </si>
  <si>
    <t xml:space="preserve">Dva mladentsa g.Moskva</t>
  </si>
  <si>
    <t xml:space="preserve">4. Larionov Alexandr</t>
  </si>
  <si>
    <t xml:space="preserve">Open (03.01.1996)/26</t>
  </si>
  <si>
    <t xml:space="preserve">96,60</t>
  </si>
  <si>
    <t xml:space="preserve">1. Skoblikov Aleksandr</t>
  </si>
  <si>
    <t xml:space="preserve">Masters 45-49 (09.05.1977)/45</t>
  </si>
  <si>
    <t xml:space="preserve">98,90</t>
  </si>
  <si>
    <t xml:space="preserve">Lukyanova Marina</t>
  </si>
  <si>
    <t xml:space="preserve">1. Kulemin Andrey</t>
  </si>
  <si>
    <t xml:space="preserve">Masters 55-59 (28.08.1964)/57</t>
  </si>
  <si>
    <t xml:space="preserve">RUS/Kozmodemyansk</t>
  </si>
  <si>
    <t xml:space="preserve">1. Bocharnikov Vadim</t>
  </si>
  <si>
    <t xml:space="preserve">Open (25.11.1986)/35</t>
  </si>
  <si>
    <t xml:space="preserve">109,00</t>
  </si>
  <si>
    <t xml:space="preserve">215,0</t>
  </si>
  <si>
    <t xml:space="preserve">225,0</t>
  </si>
  <si>
    <t xml:space="preserve">232,5</t>
  </si>
  <si>
    <t xml:space="preserve">Zverev Roman</t>
  </si>
  <si>
    <t xml:space="preserve">2. Serikov Dmitriy</t>
  </si>
  <si>
    <t xml:space="preserve">Open (23.04.1990)/32</t>
  </si>
  <si>
    <t xml:space="preserve">1. Kireev Dmitriy</t>
  </si>
  <si>
    <t xml:space="preserve">Masters 50-54 (25.08.1969)/52</t>
  </si>
  <si>
    <t xml:space="preserve">107,20</t>
  </si>
  <si>
    <t xml:space="preserve">-. Bichkov Igor</t>
  </si>
  <si>
    <t xml:space="preserve">Masters 50-54 (18.06.1970)/51</t>
  </si>
  <si>
    <t xml:space="preserve">Dinamo-32</t>
  </si>
  <si>
    <t xml:space="preserve">157,5</t>
  </si>
  <si>
    <t xml:space="preserve">1. Yakovenko Vladimir</t>
  </si>
  <si>
    <t xml:space="preserve">Masters 60-64 (27.03.1959)/63</t>
  </si>
  <si>
    <t xml:space="preserve">108,40</t>
  </si>
  <si>
    <t xml:space="preserve">Kandaurova Vasilisa</t>
  </si>
  <si>
    <t xml:space="preserve">Tsigankova Darya</t>
  </si>
  <si>
    <t xml:space="preserve">Bazhina Ekaterina</t>
  </si>
  <si>
    <t xml:space="preserve">Molitvina Liliya</t>
  </si>
  <si>
    <t xml:space="preserve">Gundaev Demian</t>
  </si>
  <si>
    <t xml:space="preserve">Bryanskiy Alexandr</t>
  </si>
  <si>
    <t xml:space="preserve">Teen 13-15</t>
  </si>
  <si>
    <t xml:space="preserve">Strigin Vladislav</t>
  </si>
  <si>
    <t xml:space="preserve">Vorobyov Vladimir</t>
  </si>
  <si>
    <t xml:space="preserve">Senyushkin Konstantin</t>
  </si>
  <si>
    <t xml:space="preserve">Finkelbaum Mark</t>
  </si>
  <si>
    <t xml:space="preserve">Tonapetyan Vagan</t>
  </si>
  <si>
    <t xml:space="preserve">Bocharnikov Vadim</t>
  </si>
  <si>
    <t xml:space="preserve">Zakharov Aleksey</t>
  </si>
  <si>
    <t xml:space="preserve">Kulgin Vladimir</t>
  </si>
  <si>
    <t xml:space="preserve">Samara Stanislav</t>
  </si>
  <si>
    <t xml:space="preserve">Balugin Nikolay</t>
  </si>
  <si>
    <t xml:space="preserve">Dmitrov Vasiliy</t>
  </si>
  <si>
    <t xml:space="preserve">Serikov Dmitriy</t>
  </si>
  <si>
    <t xml:space="preserve">Seregin Aleksandr</t>
  </si>
  <si>
    <t xml:space="preserve">Lopatko Filipp</t>
  </si>
  <si>
    <t xml:space="preserve">Skorokhodov Egor</t>
  </si>
  <si>
    <t xml:space="preserve">Larionov Alexandr</t>
  </si>
  <si>
    <t xml:space="preserve">Dzhulikyan Levon</t>
  </si>
  <si>
    <t xml:space="preserve">Pyatkin Maksim</t>
  </si>
  <si>
    <t xml:space="preserve">Mutasov Konstanrin</t>
  </si>
  <si>
    <t xml:space="preserve">Volkov Anton</t>
  </si>
  <si>
    <t xml:space="preserve">Mironin Denis</t>
  </si>
  <si>
    <t xml:space="preserve">Tryakin Daniil</t>
  </si>
  <si>
    <t xml:space="preserve">Chernetsov Valeriy</t>
  </si>
  <si>
    <t xml:space="preserve">Kulemin Andrey</t>
  </si>
  <si>
    <t xml:space="preserve">Volkov Vyacheslav</t>
  </si>
  <si>
    <t xml:space="preserve">Kireev Dmitriy</t>
  </si>
  <si>
    <t xml:space="preserve">Yakovenko Vladimir</t>
  </si>
  <si>
    <t xml:space="preserve">Masters 60-64</t>
  </si>
  <si>
    <t xml:space="preserve">Skoblikov Aleksandr</t>
  </si>
  <si>
    <t xml:space="preserve">Andreev Dmitriy</t>
  </si>
  <si>
    <t xml:space="preserve">Goncharov Lev</t>
  </si>
  <si>
    <t xml:space="preserve">Zhuravlev Sergey</t>
  </si>
  <si>
    <t xml:space="preserve">OPEN EUROPE CUP WPC/AWPC/WAA-2022
AWPC Classic RAW powerliftig
Russian Federation/Moscow 4 - 5 June 2022 y.</t>
  </si>
  <si>
    <t xml:space="preserve">Squat</t>
  </si>
  <si>
    <t xml:space="preserve">1. Vedernikova Anastasiya</t>
  </si>
  <si>
    <t xml:space="preserve">Open (30.11.1996)/25</t>
  </si>
  <si>
    <t xml:space="preserve">41,40</t>
  </si>
  <si>
    <t xml:space="preserve">Kharitonenko A.A.</t>
  </si>
  <si>
    <t xml:space="preserve">1. Merenkova Kseniya</t>
  </si>
  <si>
    <t xml:space="preserve">Teen 16-17 (29.12.2004)/17</t>
  </si>
  <si>
    <t xml:space="preserve">66,10</t>
  </si>
  <si>
    <t xml:space="preserve">40,0</t>
  </si>
  <si>
    <t xml:space="preserve">1. Zhernakova Elizaveta</t>
  </si>
  <si>
    <t xml:space="preserve">Juniors 20-23 (16.10.1999)/22</t>
  </si>
  <si>
    <t xml:space="preserve">62,60</t>
  </si>
  <si>
    <t xml:space="preserve">1. Moskvicheva Liudmila</t>
  </si>
  <si>
    <t xml:space="preserve">Open (09.01.1991)/31</t>
  </si>
  <si>
    <t xml:space="preserve">64,10</t>
  </si>
  <si>
    <t xml:space="preserve">RUS/Vidnoye</t>
  </si>
  <si>
    <t xml:space="preserve">1. Lukyanova Marina</t>
  </si>
  <si>
    <t xml:space="preserve">Open (09.02.1972)/50</t>
  </si>
  <si>
    <t xml:space="preserve">Vidnye</t>
  </si>
  <si>
    <t xml:space="preserve">1. Maloletnev Vladimir</t>
  </si>
  <si>
    <t xml:space="preserve">Open (13.09.1982)/39</t>
  </si>
  <si>
    <t xml:space="preserve">88,80</t>
  </si>
  <si>
    <t xml:space="preserve">1. Avanesov Sergey</t>
  </si>
  <si>
    <t xml:space="preserve">Masters 40-44 (01.06.1979)/43</t>
  </si>
  <si>
    <t xml:space="preserve">96,70</t>
  </si>
  <si>
    <t xml:space="preserve">-. Kiselev Pavel</t>
  </si>
  <si>
    <t xml:space="preserve">Masters 50-54 (12.04.1971)/51</t>
  </si>
  <si>
    <t xml:space="preserve">99,10</t>
  </si>
  <si>
    <t xml:space="preserve">1. Kovalev Roman</t>
  </si>
  <si>
    <t xml:space="preserve">Open (13.03.1988)/34</t>
  </si>
  <si>
    <t xml:space="preserve">2. Khromchenko Mikhail</t>
  </si>
  <si>
    <t xml:space="preserve">Open (08.07.1988)/33</t>
  </si>
  <si>
    <t xml:space="preserve">103,20</t>
  </si>
  <si>
    <t xml:space="preserve">1. Morkovkin Alexandr</t>
  </si>
  <si>
    <t xml:space="preserve">Masters 40-44 (22.01.1982)/40</t>
  </si>
  <si>
    <t xml:space="preserve">Totall</t>
  </si>
  <si>
    <t xml:space="preserve">Merenkova Kseniya</t>
  </si>
  <si>
    <t xml:space="preserve">Zhernakova Elizaveta</t>
  </si>
  <si>
    <t xml:space="preserve">Vedernikova Anastasiya</t>
  </si>
  <si>
    <t xml:space="preserve">Moskvicheva Liudmila</t>
  </si>
  <si>
    <t xml:space="preserve">Kovalev Roman</t>
  </si>
  <si>
    <t xml:space="preserve">Maloletnev Vladimir</t>
  </si>
  <si>
    <t xml:space="preserve">Khromchenko Mikhail</t>
  </si>
  <si>
    <t xml:space="preserve">Avanesov Sergey</t>
  </si>
  <si>
    <t xml:space="preserve">Morkovkin Alexandr</t>
  </si>
  <si>
    <t xml:space="preserve">OPEN EUROPE CUP WPC/AWPC/WAA-2022
AWPC raw powerlifting
Russian Federation/Moscow 4 - 5 June 2022 y.</t>
  </si>
  <si>
    <t xml:space="preserve">1. Papkova Yana</t>
  </si>
  <si>
    <t xml:space="preserve">Teen 13-15 (20.06.2007)/14</t>
  </si>
  <si>
    <t xml:space="preserve">48,60</t>
  </si>
  <si>
    <t xml:space="preserve">35,0</t>
  </si>
  <si>
    <t xml:space="preserve">1. Malyshkina Svetlana</t>
  </si>
  <si>
    <t xml:space="preserve">Juniors 20-23 (28.02.1999)/23</t>
  </si>
  <si>
    <t xml:space="preserve">54,00</t>
  </si>
  <si>
    <t xml:space="preserve">1. Zorina Irina</t>
  </si>
  <si>
    <t xml:space="preserve">Open (11.05.1995)/27</t>
  </si>
  <si>
    <t xml:space="preserve">55,80</t>
  </si>
  <si>
    <t xml:space="preserve">2. Sitkina Olga</t>
  </si>
  <si>
    <t xml:space="preserve">Open (18.09.1987)/34</t>
  </si>
  <si>
    <t xml:space="preserve">3. Kaparushkina Anna</t>
  </si>
  <si>
    <t xml:space="preserve">1. Knyazeva Marina</t>
  </si>
  <si>
    <t xml:space="preserve">Masters 40-44 (16.10.1979)/42</t>
  </si>
  <si>
    <t xml:space="preserve">55,00</t>
  </si>
  <si>
    <t xml:space="preserve">1. Filippova Svetlana</t>
  </si>
  <si>
    <t xml:space="preserve">Masters 50-54 (09.11.1969)/52</t>
  </si>
  <si>
    <t xml:space="preserve">65,30</t>
  </si>
  <si>
    <t xml:space="preserve">1. Tulebaev Nikolay</t>
  </si>
  <si>
    <t xml:space="preserve">Open (26.01.1996)/26</t>
  </si>
  <si>
    <t xml:space="preserve">51,50</t>
  </si>
  <si>
    <t xml:space="preserve">-. Umnov Roman</t>
  </si>
  <si>
    <t xml:space="preserve">Open (29.03.1994)/28</t>
  </si>
  <si>
    <t xml:space="preserve">1. Kapralov Nikolay</t>
  </si>
  <si>
    <t xml:space="preserve">Teen 18-19 (04.10.2003)/18</t>
  </si>
  <si>
    <t xml:space="preserve">58,40</t>
  </si>
  <si>
    <t xml:space="preserve">-. Abdulmanov Kirill</t>
  </si>
  <si>
    <t xml:space="preserve">1. Pisarev Anton</t>
  </si>
  <si>
    <t xml:space="preserve">Juniors 20-23 (09.06.2001)/20</t>
  </si>
  <si>
    <t xml:space="preserve">66,30</t>
  </si>
  <si>
    <t xml:space="preserve">-. Panfilov Sergey</t>
  </si>
  <si>
    <t xml:space="preserve">-. Grigoriev Ivan</t>
  </si>
  <si>
    <t xml:space="preserve">Teen 18-19 (22.05.2003)/19</t>
  </si>
  <si>
    <t xml:space="preserve">79,50</t>
  </si>
  <si>
    <t xml:space="preserve">1. Donnikov Yuriy</t>
  </si>
  <si>
    <t xml:space="preserve">Open (01.12.1983)/38</t>
  </si>
  <si>
    <t xml:space="preserve">81,30</t>
  </si>
  <si>
    <t xml:space="preserve">235,0</t>
  </si>
  <si>
    <t xml:space="preserve">Pustovoy Ruslan</t>
  </si>
  <si>
    <t xml:space="preserve">2. Spiridonov Vladimir</t>
  </si>
  <si>
    <t xml:space="preserve">1. Krutitskiy Konstantin</t>
  </si>
  <si>
    <t xml:space="preserve">Juniors 20-23 (13.07.1998)/23</t>
  </si>
  <si>
    <t xml:space="preserve">RUS/Klin</t>
  </si>
  <si>
    <t xml:space="preserve">1. Martsenyuk Ivan</t>
  </si>
  <si>
    <t xml:space="preserve">Open (19.02.1988)/34</t>
  </si>
  <si>
    <t xml:space="preserve">89,20</t>
  </si>
  <si>
    <t xml:space="preserve">1. Klimov Daniil</t>
  </si>
  <si>
    <t xml:space="preserve">Teen 18-19 (25.06.2002)/19</t>
  </si>
  <si>
    <t xml:space="preserve">98,70</t>
  </si>
  <si>
    <t xml:space="preserve">1. Barash Stanislav</t>
  </si>
  <si>
    <t xml:space="preserve">Open (28.09.1992)/29</t>
  </si>
  <si>
    <t xml:space="preserve">92,80</t>
  </si>
  <si>
    <t xml:space="preserve">RUS/Pavlovskiy Posad</t>
  </si>
  <si>
    <t xml:space="preserve">1. Khasanov Stepan</t>
  </si>
  <si>
    <t xml:space="preserve">Open (19.11.1987)/34</t>
  </si>
  <si>
    <t xml:space="preserve">106,80</t>
  </si>
  <si>
    <t xml:space="preserve">RUS/Nizhniy Novgorod</t>
  </si>
  <si>
    <t xml:space="preserve">222,5</t>
  </si>
  <si>
    <t xml:space="preserve">2. Golodkov Alexandr</t>
  </si>
  <si>
    <t xml:space="preserve">Open (07.12.1989)/32</t>
  </si>
  <si>
    <t xml:space="preserve">107,80</t>
  </si>
  <si>
    <t xml:space="preserve">3. Dorin Vladimir</t>
  </si>
  <si>
    <t xml:space="preserve">Open (02.06.1990)/32</t>
  </si>
  <si>
    <t xml:space="preserve">1. Makarov Andrey</t>
  </si>
  <si>
    <t xml:space="preserve">Masters 40-44 (18.09.1979)/42</t>
  </si>
  <si>
    <t xml:space="preserve">107,60</t>
  </si>
  <si>
    <t xml:space="preserve">1. Artemenko Kirill</t>
  </si>
  <si>
    <t xml:space="preserve">Teen 18-19 (13.08.2002)/19</t>
  </si>
  <si>
    <t xml:space="preserve">119,80</t>
  </si>
  <si>
    <t xml:space="preserve">Papkova Yana</t>
  </si>
  <si>
    <t xml:space="preserve">Malyshkina Svetlana</t>
  </si>
  <si>
    <t xml:space="preserve">Zorina Irina</t>
  </si>
  <si>
    <t xml:space="preserve">Sitkina Olga</t>
  </si>
  <si>
    <t xml:space="preserve">Filippova Svetlana</t>
  </si>
  <si>
    <t xml:space="preserve">Knyazeva Marina</t>
  </si>
  <si>
    <t xml:space="preserve">Artemenko Kirill</t>
  </si>
  <si>
    <t xml:space="preserve">Klimov Daniil</t>
  </si>
  <si>
    <t xml:space="preserve">Kapralov Nikolay</t>
  </si>
  <si>
    <t xml:space="preserve">Krutitskiy Konstantin</t>
  </si>
  <si>
    <t xml:space="preserve">Pisarev Anton</t>
  </si>
  <si>
    <t xml:space="preserve">Donnikov Yuriy</t>
  </si>
  <si>
    <t xml:space="preserve">Khasanov Stepan</t>
  </si>
  <si>
    <t xml:space="preserve">Golodkov Alexandr</t>
  </si>
  <si>
    <t xml:space="preserve">Tulebaev Nikolay</t>
  </si>
  <si>
    <t xml:space="preserve">Dorin Vladimir</t>
  </si>
  <si>
    <t xml:space="preserve">Martsenyuk Ivan</t>
  </si>
  <si>
    <t xml:space="preserve">Barash Stanislav</t>
  </si>
  <si>
    <t xml:space="preserve">Makarov Andrey</t>
  </si>
  <si>
    <t xml:space="preserve">OPEN EUROPE CUP WPC/AWPC/WAA-2022
WPC MP soft eq. benchpress
Russian Federation/Moscow 4 - 5 June 2022 y.</t>
  </si>
  <si>
    <t xml:space="preserve">1. Scheslavskiy Stanislav</t>
  </si>
  <si>
    <t xml:space="preserve">Masters 40-44 (15.04.1981)/41</t>
  </si>
  <si>
    <t xml:space="preserve">290,0</t>
  </si>
  <si>
    <t xml:space="preserve">Scheslavskiy Stanislav</t>
  </si>
  <si>
    <t xml:space="preserve">OPEN EUROPE CUP WPC/AWPC/WAA-2022
WPC st. soft eq. benchpress
Russian Federation/Moscow 4 - 5 June 2022 y.</t>
  </si>
  <si>
    <t xml:space="preserve">1. Mukhin Vladislav</t>
  </si>
  <si>
    <t xml:space="preserve">Open (01.03.1983)/39</t>
  </si>
  <si>
    <t xml:space="preserve">88,00</t>
  </si>
  <si>
    <t xml:space="preserve">1. Nikandrov Artyom</t>
  </si>
  <si>
    <t xml:space="preserve">Open (10.07.1983)/38</t>
  </si>
  <si>
    <t xml:space="preserve">108,30</t>
  </si>
  <si>
    <t xml:space="preserve">RUS/Velikiye Luki</t>
  </si>
  <si>
    <t xml:space="preserve">317,5</t>
  </si>
  <si>
    <t xml:space="preserve">332,5</t>
  </si>
  <si>
    <t xml:space="preserve">1. Smirnov Arkadiy</t>
  </si>
  <si>
    <t xml:space="preserve">Open (01.11.1965)/56</t>
  </si>
  <si>
    <t xml:space="preserve">115,30</t>
  </si>
  <si>
    <t xml:space="preserve">Masters 55-59 (01.11.1965)/56</t>
  </si>
  <si>
    <t xml:space="preserve">Nikandrov Artyom</t>
  </si>
  <si>
    <t xml:space="preserve">Smirnov Arkadiy</t>
  </si>
  <si>
    <t xml:space="preserve">Mukhin Vladislav</t>
  </si>
  <si>
    <t xml:space="preserve">OPEN EUROPE CUP WPC/AWPC/WAA-2022
WPC raw benchpress
Russian Federation/Moscow 4 - 5 June 2022 y.</t>
  </si>
  <si>
    <t xml:space="preserve">1. Zhiltsova Kira</t>
  </si>
  <si>
    <t xml:space="preserve">Masters 75-79 (24.04.1944)/78</t>
  </si>
  <si>
    <t xml:space="preserve">66,50</t>
  </si>
  <si>
    <t xml:space="preserve">Petrov Aleksandr</t>
  </si>
  <si>
    <t xml:space="preserve">1. Vlasova Nadezhda</t>
  </si>
  <si>
    <t xml:space="preserve">Open (24.01.1982)/40</t>
  </si>
  <si>
    <t xml:space="preserve">75,00</t>
  </si>
  <si>
    <t xml:space="preserve">1. Antonov Sergey</t>
  </si>
  <si>
    <t xml:space="preserve">Open (27.07.1989)/32</t>
  </si>
  <si>
    <t xml:space="preserve">RUS/Ruzayevka</t>
  </si>
  <si>
    <t xml:space="preserve">1. Arkhipov Artyom</t>
  </si>
  <si>
    <t xml:space="preserve">Masters 40-44 (24.03.1982)/40</t>
  </si>
  <si>
    <t xml:space="preserve">80,80</t>
  </si>
  <si>
    <t xml:space="preserve">1. Katorov Sergey</t>
  </si>
  <si>
    <t xml:space="preserve">Masters 40-44 (29.03.1980)/42</t>
  </si>
  <si>
    <t xml:space="preserve">83,20</t>
  </si>
  <si>
    <t xml:space="preserve">1. Vetrov Vladimir</t>
  </si>
  <si>
    <t xml:space="preserve">Masters 55-59 (02.09.1964)/57</t>
  </si>
  <si>
    <t xml:space="preserve">87,30</t>
  </si>
  <si>
    <t xml:space="preserve">Petrov A.I.</t>
  </si>
  <si>
    <t xml:space="preserve">1. Artyakov Mikhail</t>
  </si>
  <si>
    <t xml:space="preserve">Open (30.03.1989)/33</t>
  </si>
  <si>
    <t xml:space="preserve">93,70</t>
  </si>
  <si>
    <t xml:space="preserve">2. Sharapov Vladislav</t>
  </si>
  <si>
    <t xml:space="preserve">Open (20.10.1994)/27</t>
  </si>
  <si>
    <t xml:space="preserve">RUS/Shchelkovo</t>
  </si>
  <si>
    <t xml:space="preserve">1. Makarkin Andrey</t>
  </si>
  <si>
    <t xml:space="preserve">Masters 40-44 (20.02.1980)/42</t>
  </si>
  <si>
    <t xml:space="preserve">99,00</t>
  </si>
  <si>
    <t xml:space="preserve">RUS/Moskovskiy</t>
  </si>
  <si>
    <t xml:space="preserve">1. Petrov Aleksandr</t>
  </si>
  <si>
    <t xml:space="preserve">Masters 60-64 (17.07.1960)/61</t>
  </si>
  <si>
    <t xml:space="preserve">-. Bragilevskiy Ilya</t>
  </si>
  <si>
    <t xml:space="preserve">Masters 45-49 (28.01.1973)/49</t>
  </si>
  <si>
    <t xml:space="preserve">1. Filin Vyacheslav</t>
  </si>
  <si>
    <t xml:space="preserve">Masters 60-64 (12.11.1961)/60</t>
  </si>
  <si>
    <t xml:space="preserve">103,10</t>
  </si>
  <si>
    <t xml:space="preserve">RUS/Tula</t>
  </si>
  <si>
    <t xml:space="preserve">1. Rudko Alexey</t>
  </si>
  <si>
    <t xml:space="preserve">Masters 45-49 (27.10.1973)/48</t>
  </si>
  <si>
    <t xml:space="preserve">118,60</t>
  </si>
  <si>
    <t xml:space="preserve">2. Shishov Aleksey</t>
  </si>
  <si>
    <t xml:space="preserve">Masters 45-49 (21.03.1973)/49</t>
  </si>
  <si>
    <t xml:space="preserve">117,50</t>
  </si>
  <si>
    <t xml:space="preserve">1. Mishta Yuriy</t>
  </si>
  <si>
    <t xml:space="preserve">Masters 60-64 (24.11.1958)/63</t>
  </si>
  <si>
    <t xml:space="preserve">117,80</t>
  </si>
  <si>
    <t xml:space="preserve">Body Weight Category  140</t>
  </si>
  <si>
    <t xml:space="preserve">1. Zhiltsov Igor</t>
  </si>
  <si>
    <t xml:space="preserve">Masters 50-54 (14.08.1970)/51</t>
  </si>
  <si>
    <t xml:space="preserve">125,90</t>
  </si>
  <si>
    <t xml:space="preserve">Vlasova Nadezhda</t>
  </si>
  <si>
    <t xml:space="preserve">Zhiltsova Kira</t>
  </si>
  <si>
    <t xml:space="preserve">Masters 75-79</t>
  </si>
  <si>
    <t xml:space="preserve">Antonov Sergey</t>
  </si>
  <si>
    <t xml:space="preserve">Artyakov Mikhail</t>
  </si>
  <si>
    <t xml:space="preserve">Sharapov Vladislav</t>
  </si>
  <si>
    <t xml:space="preserve">Filin Vyacheslav</t>
  </si>
  <si>
    <t xml:space="preserve">Zhiltsov Igor</t>
  </si>
  <si>
    <t xml:space="preserve">Rudko Alexey</t>
  </si>
  <si>
    <t xml:space="preserve">Makarkin Andrey</t>
  </si>
  <si>
    <t xml:space="preserve">Vetrov Vladimir</t>
  </si>
  <si>
    <t xml:space="preserve">Mishta Yuriy</t>
  </si>
  <si>
    <t xml:space="preserve">Shishov Aleksey</t>
  </si>
  <si>
    <t xml:space="preserve">Arkhipov Artyom</t>
  </si>
  <si>
    <t xml:space="preserve">Katorov Sergey</t>
  </si>
  <si>
    <t xml:space="preserve">OPEN EUROPE CUP WPC/AWPC/WAA-2022
WPC Classic RAW powerliftig
Russian Federation/Moscow 4 - 5 June 2022 y.</t>
  </si>
  <si>
    <t xml:space="preserve">1. Karpovich Maksim</t>
  </si>
  <si>
    <t xml:space="preserve">Open (13.07.1993)/28</t>
  </si>
  <si>
    <t xml:space="preserve">167,5</t>
  </si>
  <si>
    <t xml:space="preserve">172,5</t>
  </si>
  <si>
    <t xml:space="preserve">315,0</t>
  </si>
  <si>
    <t xml:space="preserve">322,5</t>
  </si>
  <si>
    <t xml:space="preserve">1. Antipin Andrey</t>
  </si>
  <si>
    <t xml:space="preserve">Open (20.12.1990)/31</t>
  </si>
  <si>
    <t xml:space="preserve">104,80</t>
  </si>
  <si>
    <t xml:space="preserve">RUS/Dubna</t>
  </si>
  <si>
    <t xml:space="preserve">285,0</t>
  </si>
  <si>
    <t xml:space="preserve">Karpovich Maksim</t>
  </si>
  <si>
    <t xml:space="preserve">Antipin Andrey</t>
  </si>
  <si>
    <t xml:space="preserve">OPEN EUROPE CUP WPC/AWPC/WAA-2022
WPC raw powerlifting
Russian Federation/Moscow 4 - 5 June 2022 y.</t>
  </si>
  <si>
    <t xml:space="preserve">1. Zhuk Yuliya</t>
  </si>
  <si>
    <t xml:space="preserve">Open (01.04.1986)/36</t>
  </si>
  <si>
    <t xml:space="preserve">51,00</t>
  </si>
  <si>
    <t xml:space="preserve">112,0</t>
  </si>
  <si>
    <t xml:space="preserve">135,5</t>
  </si>
  <si>
    <t xml:space="preserve">1. Talagaev Maksim</t>
  </si>
  <si>
    <t xml:space="preserve">Open (06.05.1997)/25</t>
  </si>
  <si>
    <t xml:space="preserve">80,00</t>
  </si>
  <si>
    <t xml:space="preserve">Zhuk Yuliya</t>
  </si>
  <si>
    <t xml:space="preserve">Talagaev Maksim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</si>
</sst>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"/>
    <numFmt numFmtId="167" formatCode="0.0000"/>
  </numFmts>
  <fonts count="13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4"/>
      <name val="Arial Cyr"/>
      <family val="2"/>
      <charset val="204"/>
    </font>
    <font>
      <b val="true"/>
      <sz val="11"/>
      <name val="Arial Cyr"/>
      <family val="0"/>
      <charset val="204"/>
    </font>
    <font>
      <sz val="11"/>
      <name val="Arial Cyr"/>
      <family val="0"/>
      <charset val="204"/>
    </font>
    <font>
      <i val="true"/>
      <sz val="12"/>
      <name val="Arial Cyr"/>
      <family val="0"/>
      <charset val="204"/>
    </font>
    <font>
      <strike val="true"/>
      <sz val="10"/>
      <name val="Arial Cyr"/>
      <family val="0"/>
      <charset val="204"/>
    </font>
    <font>
      <sz val="12"/>
      <name val="Arial Cyr"/>
      <family val="0"/>
      <charset val="204"/>
    </font>
    <font>
      <sz val="14"/>
      <name val="Arial Cyr"/>
      <family val="0"/>
      <charset val="204"/>
    </font>
    <font>
      <i val="true"/>
      <sz val="11"/>
      <name val="Arial Cyr"/>
      <family val="0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11" min="7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/>
      <c r="I3" s="8"/>
      <c r="J3" s="8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</row>
    <row r="5" s="12" customFormat="true" ht="15" hidden="false" customHeight="false" outlineLevel="0" collapsed="false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10</v>
      </c>
      <c r="B6" s="13" t="s">
        <v>11</v>
      </c>
      <c r="C6" s="13" t="s">
        <v>12</v>
      </c>
      <c r="D6" s="13" t="str">
        <f aca="false">"1,0065"</f>
        <v>1,0065</v>
      </c>
      <c r="E6" s="13" t="s">
        <v>13</v>
      </c>
      <c r="F6" s="13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13" t="str">
        <f aca="false">"57,5"</f>
        <v>57,5</v>
      </c>
      <c r="L6" s="13" t="str">
        <f aca="false">"57,8738"</f>
        <v>57,8738</v>
      </c>
      <c r="M6" s="13"/>
    </row>
    <row r="8" customFormat="false" ht="15" hidden="false" customHeight="false" outlineLevel="0" collapsed="false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5" t="s">
        <v>20</v>
      </c>
      <c r="B9" s="15" t="s">
        <v>21</v>
      </c>
      <c r="C9" s="15" t="s">
        <v>22</v>
      </c>
      <c r="D9" s="15" t="str">
        <f aca="false">"0,6406"</f>
        <v>0,6406</v>
      </c>
      <c r="E9" s="15" t="s">
        <v>13</v>
      </c>
      <c r="F9" s="15" t="s">
        <v>23</v>
      </c>
      <c r="G9" s="15" t="s">
        <v>24</v>
      </c>
      <c r="H9" s="15" t="s">
        <v>25</v>
      </c>
      <c r="I9" s="16"/>
      <c r="J9" s="16"/>
      <c r="K9" s="15" t="str">
        <f aca="false">"80,0"</f>
        <v>80,0</v>
      </c>
      <c r="L9" s="15" t="str">
        <f aca="false">"51,2520"</f>
        <v>51,2520</v>
      </c>
      <c r="M9" s="15"/>
    </row>
    <row r="10" customFormat="false" ht="12.75" hidden="false" customHeight="false" outlineLevel="0" collapsed="false">
      <c r="A10" s="17" t="s">
        <v>26</v>
      </c>
      <c r="B10" s="17" t="s">
        <v>27</v>
      </c>
      <c r="C10" s="17" t="s">
        <v>28</v>
      </c>
      <c r="D10" s="17" t="str">
        <f aca="false">"0,6161"</f>
        <v>0,6161</v>
      </c>
      <c r="E10" s="17" t="s">
        <v>13</v>
      </c>
      <c r="F10" s="17" t="s">
        <v>29</v>
      </c>
      <c r="G10" s="17" t="s">
        <v>30</v>
      </c>
      <c r="H10" s="18" t="s">
        <v>31</v>
      </c>
      <c r="I10" s="18"/>
      <c r="J10" s="18"/>
      <c r="K10" s="17" t="str">
        <f aca="false">"82,5"</f>
        <v>82,5</v>
      </c>
      <c r="L10" s="17" t="str">
        <f aca="false">"50,8241"</f>
        <v>50,8241</v>
      </c>
      <c r="M10" s="17"/>
    </row>
    <row r="12" customFormat="false" ht="15" hidden="false" customHeight="false" outlineLevel="0" collapsed="false">
      <c r="A12" s="14" t="s">
        <v>32</v>
      </c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2.75" hidden="false" customHeight="false" outlineLevel="0" collapsed="false">
      <c r="A13" s="15" t="s">
        <v>33</v>
      </c>
      <c r="B13" s="15" t="s">
        <v>34</v>
      </c>
      <c r="C13" s="15" t="s">
        <v>35</v>
      </c>
      <c r="D13" s="15" t="str">
        <f aca="false">"0,6075"</f>
        <v>0,6075</v>
      </c>
      <c r="E13" s="15" t="s">
        <v>13</v>
      </c>
      <c r="F13" s="15" t="s">
        <v>36</v>
      </c>
      <c r="G13" s="15" t="s">
        <v>24</v>
      </c>
      <c r="H13" s="15" t="s">
        <v>37</v>
      </c>
      <c r="I13" s="15" t="s">
        <v>25</v>
      </c>
      <c r="J13" s="16" t="s">
        <v>38</v>
      </c>
      <c r="K13" s="15" t="str">
        <f aca="false">"80,0"</f>
        <v>80,0</v>
      </c>
      <c r="L13" s="15" t="str">
        <f aca="false">"48,6000"</f>
        <v>48,6000</v>
      </c>
      <c r="M13" s="15"/>
    </row>
    <row r="14" customFormat="false" ht="12.75" hidden="false" customHeight="false" outlineLevel="0" collapsed="false">
      <c r="A14" s="17" t="s">
        <v>39</v>
      </c>
      <c r="B14" s="17" t="s">
        <v>40</v>
      </c>
      <c r="C14" s="17" t="s">
        <v>41</v>
      </c>
      <c r="D14" s="17" t="str">
        <f aca="false">"0,6033"</f>
        <v>0,6033</v>
      </c>
      <c r="E14" s="17" t="s">
        <v>13</v>
      </c>
      <c r="F14" s="17" t="s">
        <v>42</v>
      </c>
      <c r="G14" s="17" t="s">
        <v>43</v>
      </c>
      <c r="H14" s="17" t="s">
        <v>44</v>
      </c>
      <c r="I14" s="17" t="s">
        <v>45</v>
      </c>
      <c r="J14" s="17" t="s">
        <v>46</v>
      </c>
      <c r="K14" s="17" t="str">
        <f aca="false">"60,0"</f>
        <v>60,0</v>
      </c>
      <c r="L14" s="17" t="str">
        <f aca="false">"38,1889"</f>
        <v>38,1889</v>
      </c>
      <c r="M14" s="17"/>
    </row>
    <row r="16" customFormat="false" ht="15" hidden="false" customHeight="false" outlineLevel="0" collapsed="false">
      <c r="A16" s="14" t="s">
        <v>47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false" ht="12.75" hidden="false" customHeight="false" outlineLevel="0" collapsed="false">
      <c r="A17" s="13" t="s">
        <v>48</v>
      </c>
      <c r="B17" s="13" t="s">
        <v>49</v>
      </c>
      <c r="C17" s="13" t="s">
        <v>50</v>
      </c>
      <c r="D17" s="13" t="str">
        <f aca="false">"0,5635"</f>
        <v>0,5635</v>
      </c>
      <c r="E17" s="13" t="s">
        <v>13</v>
      </c>
      <c r="F17" s="13" t="s">
        <v>51</v>
      </c>
      <c r="G17" s="13" t="s">
        <v>52</v>
      </c>
      <c r="H17" s="13" t="s">
        <v>53</v>
      </c>
      <c r="I17" s="13" t="s">
        <v>30</v>
      </c>
      <c r="J17" s="19" t="s">
        <v>31</v>
      </c>
      <c r="K17" s="13" t="str">
        <f aca="false">"82,5"</f>
        <v>82,5</v>
      </c>
      <c r="L17" s="13" t="str">
        <f aca="false">"61,1327"</f>
        <v>61,1327</v>
      </c>
      <c r="M17" s="13"/>
    </row>
    <row r="19" customFormat="false" ht="15" hidden="false" customHeight="false" outlineLevel="0" collapsed="false">
      <c r="A19" s="14" t="s">
        <v>54</v>
      </c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15" t="s">
        <v>55</v>
      </c>
      <c r="B20" s="15" t="s">
        <v>56</v>
      </c>
      <c r="C20" s="15" t="s">
        <v>57</v>
      </c>
      <c r="D20" s="15" t="str">
        <f aca="false">"0,5581"</f>
        <v>0,5581</v>
      </c>
      <c r="E20" s="15" t="s">
        <v>13</v>
      </c>
      <c r="F20" s="15" t="s">
        <v>36</v>
      </c>
      <c r="G20" s="15" t="s">
        <v>58</v>
      </c>
      <c r="H20" s="15" t="s">
        <v>59</v>
      </c>
      <c r="I20" s="15" t="s">
        <v>52</v>
      </c>
      <c r="J20" s="15" t="s">
        <v>30</v>
      </c>
      <c r="K20" s="15" t="str">
        <f aca="false">"87,5"</f>
        <v>87,5</v>
      </c>
      <c r="L20" s="15" t="str">
        <f aca="false">"48,8381"</f>
        <v>48,8381</v>
      </c>
      <c r="M20" s="15"/>
    </row>
    <row r="21" customFormat="false" ht="12.75" hidden="false" customHeight="false" outlineLevel="0" collapsed="false">
      <c r="A21" s="17" t="s">
        <v>60</v>
      </c>
      <c r="B21" s="17" t="s">
        <v>61</v>
      </c>
      <c r="C21" s="17" t="s">
        <v>62</v>
      </c>
      <c r="D21" s="17" t="str">
        <f aca="false">"0,5609"</f>
        <v>0,5609</v>
      </c>
      <c r="E21" s="17" t="s">
        <v>13</v>
      </c>
      <c r="F21" s="17" t="s">
        <v>42</v>
      </c>
      <c r="G21" s="17" t="s">
        <v>37</v>
      </c>
      <c r="H21" s="17" t="s">
        <v>25</v>
      </c>
      <c r="I21" s="18" t="s">
        <v>38</v>
      </c>
      <c r="J21" s="18"/>
      <c r="K21" s="17" t="str">
        <f aca="false">"80,0"</f>
        <v>80,0</v>
      </c>
      <c r="L21" s="17" t="str">
        <f aca="false">"44,8760"</f>
        <v>44,8760</v>
      </c>
      <c r="M21" s="17"/>
    </row>
    <row r="23" customFormat="false" ht="15" hidden="false" customHeight="false" outlineLevel="0" collapsed="false">
      <c r="E23" s="20" t="s">
        <v>63</v>
      </c>
    </row>
    <row r="24" customFormat="false" ht="15" hidden="false" customHeight="false" outlineLevel="0" collapsed="false">
      <c r="E24" s="20" t="s">
        <v>64</v>
      </c>
    </row>
    <row r="25" customFormat="false" ht="15" hidden="false" customHeight="false" outlineLevel="0" collapsed="false">
      <c r="E25" s="20" t="s">
        <v>65</v>
      </c>
    </row>
    <row r="26" customFormat="false" ht="12.75" hidden="false" customHeight="false" outlineLevel="0" collapsed="false">
      <c r="E26" s="0" t="s">
        <v>66</v>
      </c>
    </row>
    <row r="27" customFormat="false" ht="12.75" hidden="false" customHeight="false" outlineLevel="0" collapsed="false">
      <c r="E27" s="0" t="s">
        <v>67</v>
      </c>
    </row>
    <row r="28" customFormat="false" ht="12.75" hidden="false" customHeight="false" outlineLevel="0" collapsed="false">
      <c r="E28" s="0" t="s">
        <v>68</v>
      </c>
    </row>
    <row r="31" customFormat="false" ht="17.25" hidden="false" customHeight="false" outlineLevel="0" collapsed="false">
      <c r="A31" s="21" t="s">
        <v>69</v>
      </c>
      <c r="B31" s="21"/>
    </row>
    <row r="32" customFormat="false" ht="15" hidden="false" customHeight="false" outlineLevel="0" collapsed="false">
      <c r="A32" s="22" t="s">
        <v>70</v>
      </c>
      <c r="B32" s="22"/>
    </row>
    <row r="33" customFormat="false" ht="14.25" hidden="false" customHeight="false" outlineLevel="0" collapsed="false">
      <c r="A33" s="23"/>
      <c r="B33" s="24" t="s">
        <v>71</v>
      </c>
    </row>
    <row r="34" customFormat="false" ht="13.5" hidden="false" customHeight="false" outlineLevel="0" collapsed="false">
      <c r="A34" s="25" t="s">
        <v>1</v>
      </c>
      <c r="B34" s="25" t="s">
        <v>72</v>
      </c>
      <c r="C34" s="25" t="s">
        <v>73</v>
      </c>
      <c r="D34" s="25" t="s">
        <v>74</v>
      </c>
      <c r="E34" s="25" t="s">
        <v>4</v>
      </c>
    </row>
    <row r="35" customFormat="false" ht="12.75" hidden="false" customHeight="false" outlineLevel="0" collapsed="false">
      <c r="A35" s="26" t="s">
        <v>75</v>
      </c>
      <c r="B35" s="0" t="s">
        <v>71</v>
      </c>
      <c r="C35" s="0" t="n">
        <v>60</v>
      </c>
      <c r="D35" s="27" t="n">
        <v>57.5</v>
      </c>
      <c r="E35" s="28" t="n">
        <v>57.8737503290176</v>
      </c>
    </row>
    <row r="38" customFormat="false" ht="15" hidden="false" customHeight="false" outlineLevel="0" collapsed="false">
      <c r="A38" s="22" t="s">
        <v>76</v>
      </c>
      <c r="B38" s="22"/>
    </row>
    <row r="39" customFormat="false" ht="14.25" hidden="false" customHeight="false" outlineLevel="0" collapsed="false">
      <c r="A39" s="23"/>
      <c r="B39" s="24" t="s">
        <v>77</v>
      </c>
    </row>
    <row r="40" customFormat="false" ht="13.5" hidden="false" customHeight="false" outlineLevel="0" collapsed="false">
      <c r="A40" s="25" t="s">
        <v>1</v>
      </c>
      <c r="B40" s="25" t="s">
        <v>72</v>
      </c>
      <c r="C40" s="25" t="s">
        <v>73</v>
      </c>
      <c r="D40" s="25" t="s">
        <v>74</v>
      </c>
      <c r="E40" s="25" t="s">
        <v>4</v>
      </c>
    </row>
    <row r="41" customFormat="false" ht="12.75" hidden="false" customHeight="false" outlineLevel="0" collapsed="false">
      <c r="A41" s="26" t="s">
        <v>78</v>
      </c>
      <c r="B41" s="0" t="s">
        <v>77</v>
      </c>
      <c r="C41" s="0" t="n">
        <v>90</v>
      </c>
      <c r="D41" s="27" t="n">
        <v>80</v>
      </c>
      <c r="E41" s="28" t="n">
        <v>51.2519979476929</v>
      </c>
    </row>
    <row r="43" customFormat="false" ht="14.25" hidden="false" customHeight="false" outlineLevel="0" collapsed="false">
      <c r="A43" s="23"/>
      <c r="B43" s="24" t="s">
        <v>71</v>
      </c>
    </row>
    <row r="44" customFormat="false" ht="13.5" hidden="false" customHeight="false" outlineLevel="0" collapsed="false">
      <c r="A44" s="25" t="s">
        <v>1</v>
      </c>
      <c r="B44" s="25" t="s">
        <v>72</v>
      </c>
      <c r="C44" s="25" t="s">
        <v>73</v>
      </c>
      <c r="D44" s="25" t="s">
        <v>74</v>
      </c>
      <c r="E44" s="25" t="s">
        <v>4</v>
      </c>
    </row>
    <row r="45" customFormat="false" ht="12.75" hidden="false" customHeight="false" outlineLevel="0" collapsed="false">
      <c r="A45" s="26" t="s">
        <v>79</v>
      </c>
      <c r="B45" s="0" t="s">
        <v>71</v>
      </c>
      <c r="C45" s="0" t="n">
        <v>90</v>
      </c>
      <c r="D45" s="27" t="n">
        <v>82.5</v>
      </c>
      <c r="E45" s="28" t="n">
        <v>50.8241254091263</v>
      </c>
    </row>
    <row r="46" customFormat="false" ht="12.75" hidden="false" customHeight="false" outlineLevel="0" collapsed="false">
      <c r="A46" s="26" t="s">
        <v>80</v>
      </c>
      <c r="B46" s="0" t="s">
        <v>71</v>
      </c>
      <c r="C46" s="0" t="n">
        <v>125</v>
      </c>
      <c r="D46" s="27" t="n">
        <v>87.5</v>
      </c>
      <c r="E46" s="28" t="n">
        <v>48.8381244242191</v>
      </c>
    </row>
    <row r="47" customFormat="false" ht="12.75" hidden="false" customHeight="false" outlineLevel="0" collapsed="false">
      <c r="A47" s="26" t="s">
        <v>81</v>
      </c>
      <c r="B47" s="0" t="s">
        <v>71</v>
      </c>
      <c r="C47" s="0" t="n">
        <v>100</v>
      </c>
      <c r="D47" s="27" t="n">
        <v>80</v>
      </c>
      <c r="E47" s="28" t="n">
        <v>48.600001335144</v>
      </c>
    </row>
    <row r="49" customFormat="false" ht="14.25" hidden="false" customHeight="false" outlineLevel="0" collapsed="false">
      <c r="A49" s="23"/>
      <c r="B49" s="24" t="s">
        <v>82</v>
      </c>
    </row>
    <row r="50" customFormat="false" ht="13.5" hidden="false" customHeight="false" outlineLevel="0" collapsed="false">
      <c r="A50" s="25" t="s">
        <v>1</v>
      </c>
      <c r="B50" s="25" t="s">
        <v>72</v>
      </c>
      <c r="C50" s="25" t="s">
        <v>73</v>
      </c>
      <c r="D50" s="25" t="s">
        <v>74</v>
      </c>
      <c r="E50" s="25" t="s">
        <v>4</v>
      </c>
    </row>
    <row r="51" customFormat="false" ht="12.75" hidden="false" customHeight="false" outlineLevel="0" collapsed="false">
      <c r="A51" s="26" t="s">
        <v>83</v>
      </c>
      <c r="B51" s="0" t="s">
        <v>84</v>
      </c>
      <c r="C51" s="0" t="n">
        <v>110</v>
      </c>
      <c r="D51" s="27" t="n">
        <v>82.5</v>
      </c>
      <c r="E51" s="28" t="n">
        <v>61.1327048532665</v>
      </c>
    </row>
    <row r="52" customFormat="false" ht="12.75" hidden="false" customHeight="false" outlineLevel="0" collapsed="false">
      <c r="A52" s="26" t="s">
        <v>85</v>
      </c>
      <c r="B52" s="0" t="s">
        <v>86</v>
      </c>
      <c r="C52" s="0" t="n">
        <v>125</v>
      </c>
      <c r="D52" s="27" t="n">
        <v>80</v>
      </c>
      <c r="E52" s="28" t="n">
        <v>44.8759984970093</v>
      </c>
    </row>
    <row r="53" customFormat="false" ht="12.75" hidden="false" customHeight="false" outlineLevel="0" collapsed="false">
      <c r="A53" s="26" t="s">
        <v>87</v>
      </c>
      <c r="B53" s="0" t="s">
        <v>88</v>
      </c>
      <c r="C53" s="0" t="n">
        <v>100</v>
      </c>
      <c r="D53" s="27" t="n">
        <v>60</v>
      </c>
      <c r="E53" s="28" t="n">
        <v>38.1888884425163</v>
      </c>
    </row>
  </sheetData>
  <mergeCells count="13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2:J12"/>
    <mergeCell ref="A16:J16"/>
    <mergeCell ref="A19:J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24.34"/>
    <col collapsed="false" customWidth="true" hidden="false" outlineLevel="0" max="9" min="7" style="0" width="5.55"/>
    <col collapsed="false" customWidth="true" hidden="false" outlineLevel="0" max="10" min="10" style="0" width="3.22"/>
    <col collapsed="false" customWidth="true" hidden="false" outlineLevel="0" max="11" min="11" style="0" width="5.55"/>
    <col collapsed="false" customWidth="true" hidden="false" outlineLevel="0" max="12" min="12" style="0" width="8.56"/>
    <col collapsed="false" customWidth="true" hidden="false" outlineLevel="0" max="13" min="13" style="0" width="13.22"/>
  </cols>
  <sheetData>
    <row r="1" s="2" customFormat="true" ht="28.5" hidden="false" customHeight="true" outlineLevel="0" collapsed="false">
      <c r="A1" s="1" t="s">
        <v>307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2"/>
      <c r="H3" s="32"/>
      <c r="I3" s="32"/>
      <c r="J3" s="32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9</v>
      </c>
      <c r="H4" s="10" t="n">
        <v>10</v>
      </c>
      <c r="I4" s="10" t="n">
        <v>11</v>
      </c>
      <c r="J4" s="10" t="n">
        <v>12</v>
      </c>
    </row>
    <row r="5" s="12" customFormat="true" ht="15" hidden="false" customHeight="false" outlineLevel="0" collapsed="false">
      <c r="A5" s="11" t="s">
        <v>308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5" t="s">
        <v>309</v>
      </c>
      <c r="B6" s="15" t="s">
        <v>310</v>
      </c>
      <c r="C6" s="15" t="s">
        <v>311</v>
      </c>
      <c r="D6" s="15" t="str">
        <f aca="false">"1,1076"</f>
        <v>1,1076</v>
      </c>
      <c r="E6" s="15" t="s">
        <v>13</v>
      </c>
      <c r="F6" s="15" t="s">
        <v>42</v>
      </c>
      <c r="G6" s="15" t="s">
        <v>312</v>
      </c>
      <c r="H6" s="15" t="s">
        <v>155</v>
      </c>
      <c r="I6" s="15" t="s">
        <v>313</v>
      </c>
      <c r="J6" s="16"/>
      <c r="K6" s="15" t="str">
        <f aca="false">"152,5"</f>
        <v>152,5</v>
      </c>
      <c r="L6" s="15" t="str">
        <f aca="false">"168,9090"</f>
        <v>168,9090</v>
      </c>
      <c r="M6" s="15"/>
    </row>
    <row r="7" customFormat="false" ht="12.75" hidden="false" customHeight="false" outlineLevel="0" collapsed="false">
      <c r="A7" s="17" t="s">
        <v>314</v>
      </c>
      <c r="B7" s="17" t="s">
        <v>315</v>
      </c>
      <c r="C7" s="17" t="s">
        <v>316</v>
      </c>
      <c r="D7" s="17" t="str">
        <f aca="false">"1,1195"</f>
        <v>1,1195</v>
      </c>
      <c r="E7" s="17" t="s">
        <v>317</v>
      </c>
      <c r="F7" s="17" t="s">
        <v>318</v>
      </c>
      <c r="G7" s="17" t="s">
        <v>149</v>
      </c>
      <c r="H7" s="17" t="s">
        <v>319</v>
      </c>
      <c r="I7" s="17" t="s">
        <v>320</v>
      </c>
      <c r="J7" s="18"/>
      <c r="K7" s="17" t="str">
        <f aca="false">"115,0"</f>
        <v>115,0</v>
      </c>
      <c r="L7" s="17" t="str">
        <f aca="false">"128,7425"</f>
        <v>128,7425</v>
      </c>
      <c r="M7" s="17" t="s">
        <v>321</v>
      </c>
    </row>
    <row r="9" customFormat="false" ht="15" hidden="false" customHeight="false" outlineLevel="0" collapsed="false">
      <c r="A9" s="14" t="s">
        <v>270</v>
      </c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13" t="s">
        <v>271</v>
      </c>
      <c r="B10" s="13" t="s">
        <v>272</v>
      </c>
      <c r="C10" s="13" t="s">
        <v>134</v>
      </c>
      <c r="D10" s="13" t="str">
        <f aca="false">"1,0530"</f>
        <v>1,0530</v>
      </c>
      <c r="E10" s="13" t="s">
        <v>13</v>
      </c>
      <c r="F10" s="13" t="s">
        <v>273</v>
      </c>
      <c r="G10" s="13" t="s">
        <v>322</v>
      </c>
      <c r="H10" s="13" t="s">
        <v>323</v>
      </c>
      <c r="I10" s="19" t="s">
        <v>324</v>
      </c>
      <c r="J10" s="19"/>
      <c r="K10" s="13" t="str">
        <f aca="false">"102,5"</f>
        <v>102,5</v>
      </c>
      <c r="L10" s="13" t="str">
        <f aca="false">"107,9325"</f>
        <v>107,9325</v>
      </c>
      <c r="M10" s="13"/>
    </row>
    <row r="12" customFormat="false" ht="15" hidden="false" customHeight="false" outlineLevel="0" collapsed="false">
      <c r="A12" s="14" t="s">
        <v>9</v>
      </c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12.75" hidden="false" customHeight="false" outlineLevel="0" collapsed="false">
      <c r="A13" s="15" t="s">
        <v>325</v>
      </c>
      <c r="B13" s="15" t="s">
        <v>326</v>
      </c>
      <c r="C13" s="15" t="s">
        <v>327</v>
      </c>
      <c r="D13" s="15" t="str">
        <f aca="false">"0,9876"</f>
        <v>0,9876</v>
      </c>
      <c r="E13" s="15" t="s">
        <v>13</v>
      </c>
      <c r="F13" s="15" t="s">
        <v>42</v>
      </c>
      <c r="G13" s="16" t="s">
        <v>149</v>
      </c>
      <c r="H13" s="15" t="s">
        <v>149</v>
      </c>
      <c r="I13" s="16" t="s">
        <v>319</v>
      </c>
      <c r="J13" s="16"/>
      <c r="K13" s="15" t="str">
        <f aca="false">"100,0"</f>
        <v>100,0</v>
      </c>
      <c r="L13" s="15" t="str">
        <f aca="false">"98,7600"</f>
        <v>98,7600</v>
      </c>
      <c r="M13" s="15"/>
    </row>
    <row r="14" customFormat="false" ht="12.75" hidden="false" customHeight="false" outlineLevel="0" collapsed="false">
      <c r="A14" s="17" t="s">
        <v>328</v>
      </c>
      <c r="B14" s="17" t="s">
        <v>329</v>
      </c>
      <c r="C14" s="17" t="s">
        <v>327</v>
      </c>
      <c r="D14" s="17" t="str">
        <f aca="false">"0,9876"</f>
        <v>0,9876</v>
      </c>
      <c r="E14" s="17" t="s">
        <v>13</v>
      </c>
      <c r="F14" s="17" t="s">
        <v>42</v>
      </c>
      <c r="G14" s="17" t="s">
        <v>330</v>
      </c>
      <c r="H14" s="17" t="s">
        <v>149</v>
      </c>
      <c r="I14" s="18" t="s">
        <v>319</v>
      </c>
      <c r="J14" s="18"/>
      <c r="K14" s="17" t="str">
        <f aca="false">"100,0"</f>
        <v>100,0</v>
      </c>
      <c r="L14" s="17" t="str">
        <f aca="false">"98,7600"</f>
        <v>98,7600</v>
      </c>
      <c r="M14" s="17"/>
    </row>
    <row r="16" customFormat="false" ht="15" hidden="false" customHeight="false" outlineLevel="0" collapsed="false">
      <c r="A16" s="14" t="s">
        <v>19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false" ht="12.75" hidden="false" customHeight="false" outlineLevel="0" collapsed="false">
      <c r="A17" s="13" t="s">
        <v>331</v>
      </c>
      <c r="B17" s="13" t="s">
        <v>332</v>
      </c>
      <c r="C17" s="13" t="s">
        <v>333</v>
      </c>
      <c r="D17" s="13" t="str">
        <f aca="false">"0,7671"</f>
        <v>0,7671</v>
      </c>
      <c r="E17" s="13" t="s">
        <v>13</v>
      </c>
      <c r="F17" s="13" t="s">
        <v>42</v>
      </c>
      <c r="G17" s="13" t="s">
        <v>319</v>
      </c>
      <c r="H17" s="13" t="s">
        <v>140</v>
      </c>
      <c r="I17" s="13" t="s">
        <v>334</v>
      </c>
      <c r="J17" s="19"/>
      <c r="K17" s="13" t="str">
        <f aca="false">"125,0"</f>
        <v>125,0</v>
      </c>
      <c r="L17" s="13" t="str">
        <f aca="false">"95,8875"</f>
        <v>95,8875</v>
      </c>
      <c r="M17" s="13"/>
    </row>
    <row r="19" customFormat="false" ht="15" hidden="false" customHeight="false" outlineLevel="0" collapsed="false">
      <c r="A19" s="14" t="s">
        <v>217</v>
      </c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15" t="s">
        <v>335</v>
      </c>
      <c r="B20" s="15" t="s">
        <v>336</v>
      </c>
      <c r="C20" s="15" t="s">
        <v>337</v>
      </c>
      <c r="D20" s="15" t="str">
        <f aca="false">"0,7570"</f>
        <v>0,7570</v>
      </c>
      <c r="E20" s="15" t="s">
        <v>338</v>
      </c>
      <c r="F20" s="15" t="s">
        <v>42</v>
      </c>
      <c r="G20" s="16" t="s">
        <v>148</v>
      </c>
      <c r="H20" s="15" t="s">
        <v>148</v>
      </c>
      <c r="I20" s="16" t="s">
        <v>339</v>
      </c>
      <c r="J20" s="16"/>
      <c r="K20" s="15" t="str">
        <f aca="false">"140,0"</f>
        <v>140,0</v>
      </c>
      <c r="L20" s="15" t="str">
        <f aca="false">"105,9870"</f>
        <v>105,9870</v>
      </c>
      <c r="M20" s="15"/>
    </row>
    <row r="21" customFormat="false" ht="12.75" hidden="false" customHeight="false" outlineLevel="0" collapsed="false">
      <c r="A21" s="17" t="s">
        <v>340</v>
      </c>
      <c r="B21" s="17" t="s">
        <v>341</v>
      </c>
      <c r="C21" s="17" t="s">
        <v>342</v>
      </c>
      <c r="D21" s="17" t="str">
        <f aca="false">"0,7561"</f>
        <v>0,7561</v>
      </c>
      <c r="E21" s="17" t="s">
        <v>13</v>
      </c>
      <c r="F21" s="17" t="s">
        <v>42</v>
      </c>
      <c r="G21" s="18" t="s">
        <v>343</v>
      </c>
      <c r="H21" s="17" t="s">
        <v>343</v>
      </c>
      <c r="I21" s="18" t="s">
        <v>344</v>
      </c>
      <c r="J21" s="18"/>
      <c r="K21" s="17" t="str">
        <f aca="false">"220,0"</f>
        <v>220,0</v>
      </c>
      <c r="L21" s="17" t="str">
        <f aca="false">"166,3420"</f>
        <v>166,3420</v>
      </c>
      <c r="M21" s="17"/>
    </row>
    <row r="23" customFormat="false" ht="15" hidden="false" customHeight="false" outlineLevel="0" collapsed="false">
      <c r="A23" s="14" t="s">
        <v>222</v>
      </c>
      <c r="B23" s="14"/>
      <c r="C23" s="14"/>
      <c r="D23" s="14"/>
      <c r="E23" s="14"/>
      <c r="F23" s="14"/>
      <c r="G23" s="14"/>
      <c r="H23" s="14"/>
      <c r="I23" s="14"/>
      <c r="J23" s="14"/>
    </row>
    <row r="24" customFormat="false" ht="12.75" hidden="false" customHeight="false" outlineLevel="0" collapsed="false">
      <c r="A24" s="15" t="s">
        <v>345</v>
      </c>
      <c r="B24" s="15" t="s">
        <v>346</v>
      </c>
      <c r="C24" s="15" t="s">
        <v>276</v>
      </c>
      <c r="D24" s="15" t="str">
        <f aca="false">"0,7079"</f>
        <v>0,7079</v>
      </c>
      <c r="E24" s="15" t="s">
        <v>317</v>
      </c>
      <c r="F24" s="15" t="s">
        <v>318</v>
      </c>
      <c r="G24" s="15" t="s">
        <v>148</v>
      </c>
      <c r="H24" s="15" t="s">
        <v>347</v>
      </c>
      <c r="I24" s="16" t="s">
        <v>167</v>
      </c>
      <c r="J24" s="16"/>
      <c r="K24" s="15" t="str">
        <f aca="false">"155,0"</f>
        <v>155,0</v>
      </c>
      <c r="L24" s="15" t="str">
        <f aca="false">"109,7245"</f>
        <v>109,7245</v>
      </c>
      <c r="M24" s="15" t="s">
        <v>321</v>
      </c>
    </row>
    <row r="25" customFormat="false" ht="12.75" hidden="false" customHeight="false" outlineLevel="0" collapsed="false">
      <c r="A25" s="17" t="s">
        <v>348</v>
      </c>
      <c r="B25" s="17" t="s">
        <v>349</v>
      </c>
      <c r="C25" s="17" t="s">
        <v>350</v>
      </c>
      <c r="D25" s="17" t="str">
        <f aca="false">"0,7064"</f>
        <v>0,7064</v>
      </c>
      <c r="E25" s="17" t="s">
        <v>338</v>
      </c>
      <c r="F25" s="17" t="s">
        <v>42</v>
      </c>
      <c r="G25" s="17" t="s">
        <v>167</v>
      </c>
      <c r="H25" s="17" t="s">
        <v>159</v>
      </c>
      <c r="I25" s="17" t="s">
        <v>351</v>
      </c>
      <c r="J25" s="18"/>
      <c r="K25" s="17" t="str">
        <f aca="false">"177,5"</f>
        <v>177,5</v>
      </c>
      <c r="L25" s="17" t="str">
        <f aca="false">"125,3860"</f>
        <v>125,3860</v>
      </c>
      <c r="M25" s="17"/>
    </row>
    <row r="27" customFormat="false" ht="15" hidden="false" customHeight="false" outlineLevel="0" collapsed="false">
      <c r="A27" s="14" t="s">
        <v>285</v>
      </c>
      <c r="B27" s="14"/>
      <c r="C27" s="14"/>
      <c r="D27" s="14"/>
      <c r="E27" s="14"/>
      <c r="F27" s="14"/>
      <c r="G27" s="14"/>
      <c r="H27" s="14"/>
      <c r="I27" s="14"/>
      <c r="J27" s="14"/>
    </row>
    <row r="28" customFormat="false" ht="12.75" hidden="false" customHeight="false" outlineLevel="0" collapsed="false">
      <c r="A28" s="15" t="s">
        <v>352</v>
      </c>
      <c r="B28" s="15" t="s">
        <v>353</v>
      </c>
      <c r="C28" s="15" t="s">
        <v>354</v>
      </c>
      <c r="D28" s="15" t="str">
        <f aca="false">"0,6540"</f>
        <v>0,6540</v>
      </c>
      <c r="E28" s="15" t="s">
        <v>153</v>
      </c>
      <c r="F28" s="15" t="s">
        <v>355</v>
      </c>
      <c r="G28" s="15" t="s">
        <v>159</v>
      </c>
      <c r="H28" s="15" t="s">
        <v>356</v>
      </c>
      <c r="I28" s="15" t="s">
        <v>357</v>
      </c>
      <c r="J28" s="16"/>
      <c r="K28" s="15" t="str">
        <f aca="false">"185,0"</f>
        <v>185,0</v>
      </c>
      <c r="L28" s="15" t="str">
        <f aca="false">"120,9900"</f>
        <v>120,9900</v>
      </c>
      <c r="M28" s="15"/>
    </row>
    <row r="29" customFormat="false" ht="12.75" hidden="false" customHeight="false" outlineLevel="0" collapsed="false">
      <c r="A29" s="29" t="s">
        <v>358</v>
      </c>
      <c r="B29" s="29" t="s">
        <v>359</v>
      </c>
      <c r="C29" s="29" t="s">
        <v>360</v>
      </c>
      <c r="D29" s="29" t="str">
        <f aca="false">"0,6557"</f>
        <v>0,6557</v>
      </c>
      <c r="E29" s="29" t="s">
        <v>338</v>
      </c>
      <c r="F29" s="29" t="s">
        <v>42</v>
      </c>
      <c r="G29" s="30" t="s">
        <v>159</v>
      </c>
      <c r="H29" s="29" t="s">
        <v>159</v>
      </c>
      <c r="I29" s="29" t="s">
        <v>357</v>
      </c>
      <c r="J29" s="30"/>
      <c r="K29" s="29" t="str">
        <f aca="false">"185,0"</f>
        <v>185,0</v>
      </c>
      <c r="L29" s="29" t="str">
        <f aca="false">"121,2953"</f>
        <v>121,2953</v>
      </c>
      <c r="M29" s="29"/>
    </row>
    <row r="30" customFormat="false" ht="12.75" hidden="false" customHeight="false" outlineLevel="0" collapsed="false">
      <c r="A30" s="29" t="s">
        <v>361</v>
      </c>
      <c r="B30" s="29" t="s">
        <v>362</v>
      </c>
      <c r="C30" s="29" t="s">
        <v>295</v>
      </c>
      <c r="D30" s="29" t="str">
        <f aca="false">"0,6524"</f>
        <v>0,6524</v>
      </c>
      <c r="E30" s="29" t="s">
        <v>317</v>
      </c>
      <c r="F30" s="29" t="s">
        <v>318</v>
      </c>
      <c r="G30" s="29" t="s">
        <v>167</v>
      </c>
      <c r="H30" s="29" t="s">
        <v>357</v>
      </c>
      <c r="I30" s="29" t="s">
        <v>363</v>
      </c>
      <c r="J30" s="30"/>
      <c r="K30" s="29" t="str">
        <f aca="false">"190,0"</f>
        <v>190,0</v>
      </c>
      <c r="L30" s="29" t="str">
        <f aca="false">"123,9465"</f>
        <v>123,9465</v>
      </c>
      <c r="M30" s="29" t="s">
        <v>321</v>
      </c>
    </row>
    <row r="31" customFormat="false" ht="12.75" hidden="false" customHeight="false" outlineLevel="0" collapsed="false">
      <c r="A31" s="17" t="s">
        <v>364</v>
      </c>
      <c r="B31" s="17" t="s">
        <v>365</v>
      </c>
      <c r="C31" s="17" t="s">
        <v>366</v>
      </c>
      <c r="D31" s="17" t="str">
        <f aca="false">"0,6456"</f>
        <v>0,6456</v>
      </c>
      <c r="E31" s="17" t="s">
        <v>13</v>
      </c>
      <c r="F31" s="17" t="s">
        <v>42</v>
      </c>
      <c r="G31" s="17" t="s">
        <v>159</v>
      </c>
      <c r="H31" s="17" t="s">
        <v>357</v>
      </c>
      <c r="I31" s="18" t="s">
        <v>363</v>
      </c>
      <c r="J31" s="18"/>
      <c r="K31" s="17" t="str">
        <f aca="false">"185,0"</f>
        <v>185,0</v>
      </c>
      <c r="L31" s="17" t="str">
        <f aca="false">"119,4360"</f>
        <v>119,4360</v>
      </c>
      <c r="M31" s="17"/>
    </row>
    <row r="33" customFormat="false" ht="15" hidden="false" customHeight="false" outlineLevel="0" collapsed="false">
      <c r="A33" s="14" t="s">
        <v>19</v>
      </c>
      <c r="B33" s="14"/>
      <c r="C33" s="14"/>
      <c r="D33" s="14"/>
      <c r="E33" s="14"/>
      <c r="F33" s="14"/>
      <c r="G33" s="14"/>
      <c r="H33" s="14"/>
      <c r="I33" s="14"/>
      <c r="J33" s="14"/>
    </row>
    <row r="34" customFormat="false" ht="12.75" hidden="false" customHeight="false" outlineLevel="0" collapsed="false">
      <c r="A34" s="15" t="s">
        <v>367</v>
      </c>
      <c r="B34" s="15" t="s">
        <v>368</v>
      </c>
      <c r="C34" s="15" t="s">
        <v>369</v>
      </c>
      <c r="D34" s="15" t="str">
        <f aca="false">"0,6273"</f>
        <v>0,6273</v>
      </c>
      <c r="E34" s="15" t="s">
        <v>153</v>
      </c>
      <c r="F34" s="15" t="s">
        <v>154</v>
      </c>
      <c r="G34" s="15" t="s">
        <v>357</v>
      </c>
      <c r="H34" s="16" t="s">
        <v>370</v>
      </c>
      <c r="I34" s="16" t="s">
        <v>371</v>
      </c>
      <c r="J34" s="16"/>
      <c r="K34" s="15" t="str">
        <f aca="false">"185,0"</f>
        <v>185,0</v>
      </c>
      <c r="L34" s="15" t="str">
        <f aca="false">"116,0413"</f>
        <v>116,0413</v>
      </c>
      <c r="M34" s="15"/>
    </row>
    <row r="35" customFormat="false" ht="12.75" hidden="false" customHeight="false" outlineLevel="0" collapsed="false">
      <c r="A35" s="29" t="s">
        <v>372</v>
      </c>
      <c r="B35" s="29" t="s">
        <v>373</v>
      </c>
      <c r="C35" s="29" t="s">
        <v>374</v>
      </c>
      <c r="D35" s="29" t="str">
        <f aca="false">"0,6441"</f>
        <v>0,6441</v>
      </c>
      <c r="E35" s="29" t="s">
        <v>338</v>
      </c>
      <c r="F35" s="29" t="s">
        <v>42</v>
      </c>
      <c r="G35" s="29" t="s">
        <v>167</v>
      </c>
      <c r="H35" s="30" t="s">
        <v>160</v>
      </c>
      <c r="I35" s="29" t="s">
        <v>160</v>
      </c>
      <c r="J35" s="30"/>
      <c r="K35" s="29" t="str">
        <f aca="false">"175,0"</f>
        <v>175,0</v>
      </c>
      <c r="L35" s="29" t="str">
        <f aca="false">"112,7175"</f>
        <v>112,7175</v>
      </c>
      <c r="M35" s="29"/>
    </row>
    <row r="36" customFormat="false" ht="12.75" hidden="false" customHeight="false" outlineLevel="0" collapsed="false">
      <c r="A36" s="17" t="s">
        <v>375</v>
      </c>
      <c r="B36" s="17" t="s">
        <v>376</v>
      </c>
      <c r="C36" s="17" t="s">
        <v>28</v>
      </c>
      <c r="D36" s="17" t="str">
        <f aca="false">"0,6161"</f>
        <v>0,6161</v>
      </c>
      <c r="E36" s="17" t="s">
        <v>13</v>
      </c>
      <c r="F36" s="17" t="s">
        <v>42</v>
      </c>
      <c r="G36" s="17" t="s">
        <v>167</v>
      </c>
      <c r="H36" s="17" t="s">
        <v>159</v>
      </c>
      <c r="I36" s="17" t="s">
        <v>356</v>
      </c>
      <c r="J36" s="18"/>
      <c r="K36" s="17" t="str">
        <f aca="false">"180,0"</f>
        <v>180,0</v>
      </c>
      <c r="L36" s="17" t="str">
        <f aca="false">"110,8890"</f>
        <v>110,8890</v>
      </c>
      <c r="M36" s="17"/>
    </row>
    <row r="38" customFormat="false" ht="15" hidden="false" customHeight="false" outlineLevel="0" collapsed="false">
      <c r="A38" s="14" t="s">
        <v>32</v>
      </c>
      <c r="B38" s="14"/>
      <c r="C38" s="14"/>
      <c r="D38" s="14"/>
      <c r="E38" s="14"/>
      <c r="F38" s="14"/>
      <c r="G38" s="14"/>
      <c r="H38" s="14"/>
      <c r="I38" s="14"/>
      <c r="J38" s="14"/>
    </row>
    <row r="39" customFormat="false" ht="12.75" hidden="false" customHeight="false" outlineLevel="0" collapsed="false">
      <c r="A39" s="15" t="s">
        <v>377</v>
      </c>
      <c r="B39" s="15" t="s">
        <v>378</v>
      </c>
      <c r="C39" s="15" t="s">
        <v>298</v>
      </c>
      <c r="D39" s="15" t="str">
        <f aca="false">"0,5882"</f>
        <v>0,5882</v>
      </c>
      <c r="E39" s="15" t="s">
        <v>317</v>
      </c>
      <c r="F39" s="15" t="s">
        <v>318</v>
      </c>
      <c r="G39" s="15" t="s">
        <v>379</v>
      </c>
      <c r="H39" s="16" t="s">
        <v>380</v>
      </c>
      <c r="I39" s="15" t="s">
        <v>380</v>
      </c>
      <c r="J39" s="16"/>
      <c r="K39" s="15" t="str">
        <f aca="false">"282,5"</f>
        <v>282,5</v>
      </c>
      <c r="L39" s="15" t="str">
        <f aca="false">"166,1806"</f>
        <v>166,1806</v>
      </c>
      <c r="M39" s="15"/>
    </row>
    <row r="40" customFormat="false" ht="12.75" hidden="false" customHeight="false" outlineLevel="0" collapsed="false">
      <c r="A40" s="29" t="s">
        <v>381</v>
      </c>
      <c r="B40" s="29" t="s">
        <v>382</v>
      </c>
      <c r="C40" s="29" t="s">
        <v>383</v>
      </c>
      <c r="D40" s="29" t="str">
        <f aca="false">"0,6061"</f>
        <v>0,6061</v>
      </c>
      <c r="E40" s="29" t="s">
        <v>13</v>
      </c>
      <c r="F40" s="29" t="s">
        <v>234</v>
      </c>
      <c r="G40" s="30" t="s">
        <v>363</v>
      </c>
      <c r="H40" s="30"/>
      <c r="I40" s="30"/>
      <c r="J40" s="30"/>
      <c r="K40" s="29" t="str">
        <f aca="false">"0.00"</f>
        <v>0.00</v>
      </c>
      <c r="L40" s="29" t="str">
        <f aca="false">"0,0000"</f>
        <v>0,0000</v>
      </c>
      <c r="M40" s="29"/>
    </row>
    <row r="41" customFormat="false" ht="12.75" hidden="false" customHeight="false" outlineLevel="0" collapsed="false">
      <c r="A41" s="29" t="s">
        <v>384</v>
      </c>
      <c r="B41" s="29" t="s">
        <v>385</v>
      </c>
      <c r="C41" s="29" t="s">
        <v>386</v>
      </c>
      <c r="D41" s="29" t="str">
        <f aca="false">"0,5833"</f>
        <v>0,5833</v>
      </c>
      <c r="E41" s="29" t="s">
        <v>13</v>
      </c>
      <c r="F41" s="29" t="s">
        <v>42</v>
      </c>
      <c r="G41" s="30" t="s">
        <v>387</v>
      </c>
      <c r="H41" s="30"/>
      <c r="I41" s="30"/>
      <c r="J41" s="30"/>
      <c r="K41" s="29" t="str">
        <f aca="false">"0.00"</f>
        <v>0.00</v>
      </c>
      <c r="L41" s="29" t="str">
        <f aca="false">"0,0000"</f>
        <v>0,0000</v>
      </c>
      <c r="M41" s="29"/>
    </row>
    <row r="42" customFormat="false" ht="12.75" hidden="false" customHeight="false" outlineLevel="0" collapsed="false">
      <c r="A42" s="29" t="s">
        <v>388</v>
      </c>
      <c r="B42" s="29" t="s">
        <v>389</v>
      </c>
      <c r="C42" s="29" t="s">
        <v>390</v>
      </c>
      <c r="D42" s="29" t="str">
        <f aca="false">"0,5891"</f>
        <v>0,5891</v>
      </c>
      <c r="E42" s="29" t="s">
        <v>13</v>
      </c>
      <c r="F42" s="29" t="s">
        <v>42</v>
      </c>
      <c r="G42" s="29" t="s">
        <v>159</v>
      </c>
      <c r="H42" s="29" t="s">
        <v>357</v>
      </c>
      <c r="I42" s="29" t="s">
        <v>391</v>
      </c>
      <c r="J42" s="30"/>
      <c r="K42" s="29" t="str">
        <f aca="false">"192,5"</f>
        <v>192,5</v>
      </c>
      <c r="L42" s="29" t="str">
        <f aca="false">"115,6698"</f>
        <v>115,6698</v>
      </c>
      <c r="M42" s="29"/>
    </row>
    <row r="43" customFormat="false" ht="12.75" hidden="false" customHeight="false" outlineLevel="0" collapsed="false">
      <c r="A43" s="29" t="s">
        <v>392</v>
      </c>
      <c r="B43" s="29" t="s">
        <v>393</v>
      </c>
      <c r="C43" s="29" t="s">
        <v>394</v>
      </c>
      <c r="D43" s="29" t="str">
        <f aca="false">"0,5919"</f>
        <v>0,5919</v>
      </c>
      <c r="E43" s="29" t="s">
        <v>13</v>
      </c>
      <c r="F43" s="29" t="s">
        <v>42</v>
      </c>
      <c r="G43" s="29" t="s">
        <v>351</v>
      </c>
      <c r="H43" s="29" t="s">
        <v>357</v>
      </c>
      <c r="I43" s="29" t="s">
        <v>363</v>
      </c>
      <c r="J43" s="30"/>
      <c r="K43" s="29" t="str">
        <f aca="false">"190,0"</f>
        <v>190,0</v>
      </c>
      <c r="L43" s="29" t="str">
        <f aca="false">"117,3067"</f>
        <v>117,3067</v>
      </c>
      <c r="M43" s="29"/>
    </row>
    <row r="44" customFormat="false" ht="12.75" hidden="false" customHeight="false" outlineLevel="0" collapsed="false">
      <c r="A44" s="17" t="s">
        <v>395</v>
      </c>
      <c r="B44" s="17" t="s">
        <v>396</v>
      </c>
      <c r="C44" s="17" t="s">
        <v>397</v>
      </c>
      <c r="D44" s="17" t="str">
        <f aca="false">"0,5911"</f>
        <v>0,5911</v>
      </c>
      <c r="E44" s="17" t="s">
        <v>13</v>
      </c>
      <c r="F44" s="17" t="s">
        <v>42</v>
      </c>
      <c r="G44" s="17" t="s">
        <v>351</v>
      </c>
      <c r="H44" s="17" t="s">
        <v>357</v>
      </c>
      <c r="I44" s="18" t="s">
        <v>363</v>
      </c>
      <c r="J44" s="18"/>
      <c r="K44" s="17" t="str">
        <f aca="false">"185,0"</f>
        <v>185,0</v>
      </c>
      <c r="L44" s="17" t="str">
        <f aca="false">"110,4470"</f>
        <v>110,4470</v>
      </c>
      <c r="M44" s="17"/>
    </row>
    <row r="46" customFormat="false" ht="15" hidden="false" customHeight="false" outlineLevel="0" collapsed="false">
      <c r="A46" s="14" t="s">
        <v>47</v>
      </c>
      <c r="B46" s="14"/>
      <c r="C46" s="14"/>
      <c r="D46" s="14"/>
      <c r="E46" s="14"/>
      <c r="F46" s="14"/>
      <c r="G46" s="14"/>
      <c r="H46" s="14"/>
      <c r="I46" s="14"/>
      <c r="J46" s="14"/>
    </row>
    <row r="47" customFormat="false" ht="12.75" hidden="false" customHeight="false" outlineLevel="0" collapsed="false">
      <c r="A47" s="13" t="s">
        <v>398</v>
      </c>
      <c r="B47" s="13" t="s">
        <v>399</v>
      </c>
      <c r="C47" s="13" t="s">
        <v>400</v>
      </c>
      <c r="D47" s="13" t="str">
        <f aca="false">"0,5760"</f>
        <v>0,5760</v>
      </c>
      <c r="E47" s="13" t="s">
        <v>13</v>
      </c>
      <c r="F47" s="13" t="s">
        <v>42</v>
      </c>
      <c r="G47" s="13" t="s">
        <v>370</v>
      </c>
      <c r="H47" s="13" t="s">
        <v>401</v>
      </c>
      <c r="I47" s="19"/>
      <c r="J47" s="19"/>
      <c r="K47" s="13" t="str">
        <f aca="false">"210,0"</f>
        <v>210,0</v>
      </c>
      <c r="L47" s="13" t="str">
        <f aca="false">"132,7046"</f>
        <v>132,7046</v>
      </c>
      <c r="M47" s="13"/>
    </row>
    <row r="49" customFormat="false" ht="15" hidden="false" customHeight="false" outlineLevel="0" collapsed="false">
      <c r="A49" s="14" t="s">
        <v>54</v>
      </c>
      <c r="B49" s="14"/>
      <c r="C49" s="14"/>
      <c r="D49" s="14"/>
      <c r="E49" s="14"/>
      <c r="F49" s="14"/>
      <c r="G49" s="14"/>
      <c r="H49" s="14"/>
      <c r="I49" s="14"/>
      <c r="J49" s="14"/>
    </row>
    <row r="50" customFormat="false" ht="12.75" hidden="false" customHeight="false" outlineLevel="0" collapsed="false">
      <c r="A50" s="13" t="s">
        <v>402</v>
      </c>
      <c r="B50" s="13" t="s">
        <v>403</v>
      </c>
      <c r="C50" s="13" t="s">
        <v>404</v>
      </c>
      <c r="D50" s="13" t="str">
        <f aca="false">"0,5472"</f>
        <v>0,5472</v>
      </c>
      <c r="E50" s="13" t="s">
        <v>13</v>
      </c>
      <c r="F50" s="13" t="s">
        <v>36</v>
      </c>
      <c r="G50" s="13" t="s">
        <v>405</v>
      </c>
      <c r="H50" s="13" t="s">
        <v>406</v>
      </c>
      <c r="I50" s="19" t="s">
        <v>407</v>
      </c>
      <c r="J50" s="19"/>
      <c r="K50" s="13" t="str">
        <f aca="false">"255,0"</f>
        <v>255,0</v>
      </c>
      <c r="L50" s="13" t="str">
        <f aca="false">"139,5360"</f>
        <v>139,5360</v>
      </c>
      <c r="M50" s="13" t="s">
        <v>408</v>
      </c>
    </row>
    <row r="52" customFormat="false" ht="15" hidden="false" customHeight="false" outlineLevel="0" collapsed="false">
      <c r="A52" s="14" t="s">
        <v>409</v>
      </c>
      <c r="B52" s="14"/>
      <c r="C52" s="14"/>
      <c r="D52" s="14"/>
      <c r="E52" s="14"/>
      <c r="F52" s="14"/>
      <c r="G52" s="14"/>
      <c r="H52" s="14"/>
      <c r="I52" s="14"/>
      <c r="J52" s="14"/>
    </row>
    <row r="53" customFormat="false" ht="12.75" hidden="false" customHeight="false" outlineLevel="0" collapsed="false">
      <c r="A53" s="13" t="s">
        <v>410</v>
      </c>
      <c r="B53" s="13" t="s">
        <v>411</v>
      </c>
      <c r="C53" s="13" t="s">
        <v>412</v>
      </c>
      <c r="D53" s="13" t="str">
        <f aca="false">"0,5235"</f>
        <v>0,5235</v>
      </c>
      <c r="E53" s="13" t="s">
        <v>13</v>
      </c>
      <c r="F53" s="13" t="s">
        <v>413</v>
      </c>
      <c r="G53" s="13" t="s">
        <v>167</v>
      </c>
      <c r="H53" s="13" t="s">
        <v>159</v>
      </c>
      <c r="I53" s="13" t="s">
        <v>356</v>
      </c>
      <c r="J53" s="19"/>
      <c r="K53" s="13" t="str">
        <f aca="false">"180,0"</f>
        <v>180,0</v>
      </c>
      <c r="L53" s="13" t="str">
        <f aca="false">"94,2255"</f>
        <v>94,2255</v>
      </c>
      <c r="M53" s="13"/>
    </row>
    <row r="55" customFormat="false" ht="15" hidden="false" customHeight="false" outlineLevel="0" collapsed="false">
      <c r="E55" s="20" t="s">
        <v>63</v>
      </c>
    </row>
    <row r="56" customFormat="false" ht="15" hidden="false" customHeight="false" outlineLevel="0" collapsed="false">
      <c r="E56" s="20" t="s">
        <v>64</v>
      </c>
    </row>
    <row r="57" customFormat="false" ht="15" hidden="false" customHeight="false" outlineLevel="0" collapsed="false">
      <c r="E57" s="20" t="s">
        <v>65</v>
      </c>
    </row>
    <row r="58" customFormat="false" ht="12.75" hidden="false" customHeight="false" outlineLevel="0" collapsed="false">
      <c r="E58" s="0" t="s">
        <v>66</v>
      </c>
    </row>
    <row r="59" customFormat="false" ht="12.75" hidden="false" customHeight="false" outlineLevel="0" collapsed="false">
      <c r="E59" s="0" t="s">
        <v>67</v>
      </c>
    </row>
    <row r="60" customFormat="false" ht="12.75" hidden="false" customHeight="false" outlineLevel="0" collapsed="false">
      <c r="E60" s="0" t="s">
        <v>68</v>
      </c>
    </row>
    <row r="63" customFormat="false" ht="17.25" hidden="false" customHeight="false" outlineLevel="0" collapsed="false">
      <c r="A63" s="21" t="s">
        <v>69</v>
      </c>
      <c r="B63" s="21"/>
    </row>
    <row r="64" customFormat="false" ht="15" hidden="false" customHeight="false" outlineLevel="0" collapsed="false">
      <c r="A64" s="22" t="s">
        <v>70</v>
      </c>
      <c r="B64" s="22"/>
    </row>
    <row r="65" customFormat="false" ht="14.25" hidden="false" customHeight="false" outlineLevel="0" collapsed="false">
      <c r="A65" s="23"/>
      <c r="B65" s="24" t="s">
        <v>414</v>
      </c>
    </row>
    <row r="66" customFormat="false" ht="13.5" hidden="false" customHeight="false" outlineLevel="0" collapsed="false">
      <c r="A66" s="25" t="s">
        <v>1</v>
      </c>
      <c r="B66" s="25" t="s">
        <v>72</v>
      </c>
      <c r="C66" s="25" t="s">
        <v>73</v>
      </c>
      <c r="D66" s="25" t="s">
        <v>74</v>
      </c>
      <c r="E66" s="25" t="s">
        <v>4</v>
      </c>
    </row>
    <row r="67" customFormat="false" ht="12.75" hidden="false" customHeight="false" outlineLevel="0" collapsed="false">
      <c r="A67" s="26" t="s">
        <v>415</v>
      </c>
      <c r="B67" s="0" t="s">
        <v>416</v>
      </c>
      <c r="C67" s="0" t="n">
        <v>60</v>
      </c>
      <c r="D67" s="27" t="n">
        <v>100</v>
      </c>
      <c r="E67" s="28" t="n">
        <v>98.7600028514862</v>
      </c>
    </row>
    <row r="69" customFormat="false" ht="14.25" hidden="false" customHeight="false" outlineLevel="0" collapsed="false">
      <c r="A69" s="23"/>
      <c r="B69" s="24" t="s">
        <v>71</v>
      </c>
    </row>
    <row r="70" customFormat="false" ht="13.5" hidden="false" customHeight="false" outlineLevel="0" collapsed="false">
      <c r="A70" s="25" t="s">
        <v>1</v>
      </c>
      <c r="B70" s="25" t="s">
        <v>72</v>
      </c>
      <c r="C70" s="25" t="s">
        <v>73</v>
      </c>
      <c r="D70" s="25" t="s">
        <v>74</v>
      </c>
      <c r="E70" s="25" t="s">
        <v>4</v>
      </c>
    </row>
    <row r="71" customFormat="false" ht="12.75" hidden="false" customHeight="false" outlineLevel="0" collapsed="false">
      <c r="A71" s="26" t="s">
        <v>417</v>
      </c>
      <c r="B71" s="0" t="s">
        <v>71</v>
      </c>
      <c r="C71" s="0" t="n">
        <v>52</v>
      </c>
      <c r="D71" s="27" t="n">
        <v>152.5</v>
      </c>
      <c r="E71" s="28" t="n">
        <v>168.908995985985</v>
      </c>
    </row>
    <row r="72" customFormat="false" ht="12.75" hidden="false" customHeight="false" outlineLevel="0" collapsed="false">
      <c r="A72" s="26" t="s">
        <v>418</v>
      </c>
      <c r="B72" s="0" t="s">
        <v>71</v>
      </c>
      <c r="C72" s="0" t="n">
        <v>52</v>
      </c>
      <c r="D72" s="27" t="n">
        <v>115</v>
      </c>
      <c r="E72" s="28" t="n">
        <v>128.742504715919</v>
      </c>
    </row>
    <row r="73" customFormat="false" ht="12.75" hidden="false" customHeight="false" outlineLevel="0" collapsed="false">
      <c r="A73" s="26" t="s">
        <v>299</v>
      </c>
      <c r="B73" s="0" t="s">
        <v>71</v>
      </c>
      <c r="C73" s="0" t="n">
        <v>56</v>
      </c>
      <c r="D73" s="27" t="n">
        <v>102.5</v>
      </c>
      <c r="E73" s="28" t="n">
        <v>107.932497262955</v>
      </c>
    </row>
    <row r="74" customFormat="false" ht="12.75" hidden="false" customHeight="false" outlineLevel="0" collapsed="false">
      <c r="A74" s="26" t="s">
        <v>419</v>
      </c>
      <c r="B74" s="0" t="s">
        <v>71</v>
      </c>
      <c r="C74" s="0" t="n">
        <v>60</v>
      </c>
      <c r="D74" s="27" t="n">
        <v>100</v>
      </c>
      <c r="E74" s="28" t="n">
        <v>98.7600028514862</v>
      </c>
    </row>
    <row r="76" customFormat="false" ht="14.25" hidden="false" customHeight="false" outlineLevel="0" collapsed="false">
      <c r="A76" s="23"/>
      <c r="B76" s="24" t="s">
        <v>82</v>
      </c>
    </row>
    <row r="77" customFormat="false" ht="13.5" hidden="false" customHeight="false" outlineLevel="0" collapsed="false">
      <c r="A77" s="25" t="s">
        <v>1</v>
      </c>
      <c r="B77" s="25" t="s">
        <v>72</v>
      </c>
      <c r="C77" s="25" t="s">
        <v>73</v>
      </c>
      <c r="D77" s="25" t="s">
        <v>74</v>
      </c>
      <c r="E77" s="25" t="s">
        <v>4</v>
      </c>
    </row>
    <row r="78" customFormat="false" ht="12.75" hidden="false" customHeight="false" outlineLevel="0" collapsed="false">
      <c r="A78" s="26" t="s">
        <v>420</v>
      </c>
      <c r="B78" s="0" t="s">
        <v>86</v>
      </c>
      <c r="C78" s="0" t="n">
        <v>90</v>
      </c>
      <c r="D78" s="27" t="n">
        <v>125</v>
      </c>
      <c r="E78" s="28" t="n">
        <v>95.8874970674515</v>
      </c>
    </row>
    <row r="81" customFormat="false" ht="15" hidden="false" customHeight="false" outlineLevel="0" collapsed="false">
      <c r="A81" s="22" t="s">
        <v>76</v>
      </c>
      <c r="B81" s="22"/>
    </row>
    <row r="82" customFormat="false" ht="14.25" hidden="false" customHeight="false" outlineLevel="0" collapsed="false">
      <c r="A82" s="23"/>
      <c r="B82" s="24" t="s">
        <v>259</v>
      </c>
    </row>
    <row r="83" customFormat="false" ht="13.5" hidden="false" customHeight="false" outlineLevel="0" collapsed="false">
      <c r="A83" s="25" t="s">
        <v>1</v>
      </c>
      <c r="B83" s="25" t="s">
        <v>72</v>
      </c>
      <c r="C83" s="25" t="s">
        <v>73</v>
      </c>
      <c r="D83" s="25" t="s">
        <v>74</v>
      </c>
      <c r="E83" s="25" t="s">
        <v>4</v>
      </c>
    </row>
    <row r="84" customFormat="false" ht="12.75" hidden="false" customHeight="false" outlineLevel="0" collapsed="false">
      <c r="A84" s="26" t="s">
        <v>421</v>
      </c>
      <c r="B84" s="0" t="s">
        <v>422</v>
      </c>
      <c r="C84" s="0" t="n">
        <v>82.5</v>
      </c>
      <c r="D84" s="27" t="n">
        <v>185</v>
      </c>
      <c r="E84" s="28" t="n">
        <v>120.989997088909</v>
      </c>
    </row>
    <row r="85" customFormat="false" ht="12.75" hidden="false" customHeight="false" outlineLevel="0" collapsed="false">
      <c r="A85" s="26" t="s">
        <v>423</v>
      </c>
      <c r="B85" s="0" t="s">
        <v>422</v>
      </c>
      <c r="C85" s="0" t="n">
        <v>75</v>
      </c>
      <c r="D85" s="27" t="n">
        <v>155</v>
      </c>
      <c r="E85" s="28" t="n">
        <v>109.724498093128</v>
      </c>
    </row>
    <row r="86" customFormat="false" ht="12.75" hidden="false" customHeight="false" outlineLevel="0" collapsed="false">
      <c r="A86" s="26" t="s">
        <v>424</v>
      </c>
      <c r="B86" s="0" t="s">
        <v>425</v>
      </c>
      <c r="C86" s="0" t="n">
        <v>67.5</v>
      </c>
      <c r="D86" s="27" t="n">
        <v>140</v>
      </c>
      <c r="E86" s="28" t="n">
        <v>105.986996889114</v>
      </c>
    </row>
    <row r="88" customFormat="false" ht="14.25" hidden="false" customHeight="false" outlineLevel="0" collapsed="false">
      <c r="A88" s="23"/>
      <c r="B88" s="24" t="s">
        <v>414</v>
      </c>
    </row>
    <row r="89" customFormat="false" ht="13.5" hidden="false" customHeight="false" outlineLevel="0" collapsed="false">
      <c r="A89" s="25" t="s">
        <v>1</v>
      </c>
      <c r="B89" s="25" t="s">
        <v>72</v>
      </c>
      <c r="C89" s="25" t="s">
        <v>73</v>
      </c>
      <c r="D89" s="25" t="s">
        <v>74</v>
      </c>
      <c r="E89" s="25" t="s">
        <v>4</v>
      </c>
    </row>
    <row r="90" customFormat="false" ht="12.75" hidden="false" customHeight="false" outlineLevel="0" collapsed="false">
      <c r="A90" s="26" t="s">
        <v>426</v>
      </c>
      <c r="B90" s="0" t="s">
        <v>416</v>
      </c>
      <c r="C90" s="0" t="n">
        <v>75</v>
      </c>
      <c r="D90" s="27" t="n">
        <v>177.5</v>
      </c>
      <c r="E90" s="28" t="n">
        <v>125.385995954275</v>
      </c>
    </row>
    <row r="91" customFormat="false" ht="12.75" hidden="false" customHeight="false" outlineLevel="0" collapsed="false">
      <c r="A91" s="26" t="s">
        <v>427</v>
      </c>
      <c r="B91" s="0" t="s">
        <v>416</v>
      </c>
      <c r="C91" s="0" t="n">
        <v>82.5</v>
      </c>
      <c r="D91" s="27" t="n">
        <v>185</v>
      </c>
      <c r="E91" s="28" t="n">
        <v>121.295253634453</v>
      </c>
    </row>
    <row r="92" customFormat="false" ht="12.75" hidden="false" customHeight="false" outlineLevel="0" collapsed="false">
      <c r="A92" s="26" t="s">
        <v>428</v>
      </c>
      <c r="B92" s="0" t="s">
        <v>416</v>
      </c>
      <c r="C92" s="0" t="n">
        <v>90</v>
      </c>
      <c r="D92" s="27" t="n">
        <v>185</v>
      </c>
      <c r="E92" s="28" t="n">
        <v>116.041252911091</v>
      </c>
    </row>
    <row r="93" customFormat="false" ht="12.75" hidden="false" customHeight="false" outlineLevel="0" collapsed="false">
      <c r="A93" s="26" t="s">
        <v>429</v>
      </c>
      <c r="B93" s="0" t="s">
        <v>416</v>
      </c>
      <c r="C93" s="0" t="n">
        <v>90</v>
      </c>
      <c r="D93" s="27" t="n">
        <v>175</v>
      </c>
      <c r="E93" s="28" t="n">
        <v>112.717501819134</v>
      </c>
    </row>
    <row r="95" customFormat="false" ht="14.25" hidden="false" customHeight="false" outlineLevel="0" collapsed="false">
      <c r="A95" s="23"/>
      <c r="B95" s="24" t="s">
        <v>71</v>
      </c>
    </row>
    <row r="96" customFormat="false" ht="13.5" hidden="false" customHeight="false" outlineLevel="0" collapsed="false">
      <c r="A96" s="25" t="s">
        <v>1</v>
      </c>
      <c r="B96" s="25" t="s">
        <v>72</v>
      </c>
      <c r="C96" s="25" t="s">
        <v>73</v>
      </c>
      <c r="D96" s="25" t="s">
        <v>74</v>
      </c>
      <c r="E96" s="25" t="s">
        <v>4</v>
      </c>
    </row>
    <row r="97" customFormat="false" ht="12.75" hidden="false" customHeight="false" outlineLevel="0" collapsed="false">
      <c r="A97" s="26" t="s">
        <v>430</v>
      </c>
      <c r="B97" s="0" t="s">
        <v>71</v>
      </c>
      <c r="C97" s="0" t="n">
        <v>67.5</v>
      </c>
      <c r="D97" s="27" t="n">
        <v>220</v>
      </c>
      <c r="E97" s="28" t="n">
        <v>166.341999769211</v>
      </c>
    </row>
    <row r="98" customFormat="false" ht="12.75" hidden="false" customHeight="false" outlineLevel="0" collapsed="false">
      <c r="A98" s="26" t="s">
        <v>431</v>
      </c>
      <c r="B98" s="0" t="s">
        <v>71</v>
      </c>
      <c r="C98" s="0" t="n">
        <v>100</v>
      </c>
      <c r="D98" s="27" t="n">
        <v>282.5</v>
      </c>
      <c r="E98" s="28" t="n">
        <v>166.180619746447</v>
      </c>
    </row>
    <row r="99" customFormat="false" ht="12.75" hidden="false" customHeight="false" outlineLevel="0" collapsed="false">
      <c r="A99" s="26" t="s">
        <v>432</v>
      </c>
      <c r="B99" s="0" t="s">
        <v>71</v>
      </c>
      <c r="C99" s="0" t="n">
        <v>125</v>
      </c>
      <c r="D99" s="27" t="n">
        <v>255</v>
      </c>
      <c r="E99" s="28" t="n">
        <v>139.53600615263</v>
      </c>
    </row>
    <row r="100" customFormat="false" ht="12.75" hidden="false" customHeight="false" outlineLevel="0" collapsed="false">
      <c r="A100" s="26" t="s">
        <v>433</v>
      </c>
      <c r="B100" s="0" t="s">
        <v>71</v>
      </c>
      <c r="C100" s="0" t="n">
        <v>82.5</v>
      </c>
      <c r="D100" s="27" t="n">
        <v>190</v>
      </c>
      <c r="E100" s="28" t="n">
        <v>123.946501612663</v>
      </c>
    </row>
    <row r="101" customFormat="false" ht="12.75" hidden="false" customHeight="false" outlineLevel="0" collapsed="false">
      <c r="A101" s="26" t="s">
        <v>434</v>
      </c>
      <c r="B101" s="0" t="s">
        <v>71</v>
      </c>
      <c r="C101" s="0" t="n">
        <v>82.5</v>
      </c>
      <c r="D101" s="27" t="n">
        <v>185</v>
      </c>
      <c r="E101" s="28" t="n">
        <v>119.436003863811</v>
      </c>
    </row>
    <row r="102" customFormat="false" ht="12.75" hidden="false" customHeight="false" outlineLevel="0" collapsed="false">
      <c r="A102" s="26" t="s">
        <v>435</v>
      </c>
      <c r="B102" s="0" t="s">
        <v>71</v>
      </c>
      <c r="C102" s="0" t="n">
        <v>90</v>
      </c>
      <c r="D102" s="27" t="n">
        <v>180</v>
      </c>
      <c r="E102" s="28" t="n">
        <v>110.889000892639</v>
      </c>
    </row>
    <row r="103" customFormat="false" ht="12.75" hidden="false" customHeight="false" outlineLevel="0" collapsed="false">
      <c r="A103" s="26" t="s">
        <v>436</v>
      </c>
      <c r="B103" s="0" t="s">
        <v>71</v>
      </c>
      <c r="C103" s="0" t="s">
        <v>437</v>
      </c>
      <c r="D103" s="27" t="n">
        <v>180</v>
      </c>
      <c r="E103" s="28" t="n">
        <v>94.2254984378815</v>
      </c>
    </row>
    <row r="105" customFormat="false" ht="14.25" hidden="false" customHeight="false" outlineLevel="0" collapsed="false">
      <c r="A105" s="23"/>
      <c r="B105" s="24" t="s">
        <v>82</v>
      </c>
    </row>
    <row r="106" customFormat="false" ht="13.5" hidden="false" customHeight="false" outlineLevel="0" collapsed="false">
      <c r="A106" s="25" t="s">
        <v>1</v>
      </c>
      <c r="B106" s="25" t="s">
        <v>72</v>
      </c>
      <c r="C106" s="25" t="s">
        <v>73</v>
      </c>
      <c r="D106" s="25" t="s">
        <v>74</v>
      </c>
      <c r="E106" s="25" t="s">
        <v>4</v>
      </c>
    </row>
    <row r="107" customFormat="false" ht="12.75" hidden="false" customHeight="false" outlineLevel="0" collapsed="false">
      <c r="A107" s="26" t="s">
        <v>438</v>
      </c>
      <c r="B107" s="0" t="s">
        <v>88</v>
      </c>
      <c r="C107" s="0" t="n">
        <v>110</v>
      </c>
      <c r="D107" s="27" t="n">
        <v>210</v>
      </c>
      <c r="E107" s="28" t="n">
        <v>132.704634699225</v>
      </c>
    </row>
    <row r="108" customFormat="false" ht="12.75" hidden="false" customHeight="false" outlineLevel="0" collapsed="false">
      <c r="A108" s="26" t="s">
        <v>439</v>
      </c>
      <c r="B108" s="0" t="s">
        <v>86</v>
      </c>
      <c r="C108" s="0" t="n">
        <v>100</v>
      </c>
      <c r="D108" s="27" t="n">
        <v>190</v>
      </c>
      <c r="E108" s="28" t="n">
        <v>117.306731367707</v>
      </c>
    </row>
    <row r="109" customFormat="false" ht="12.75" hidden="false" customHeight="false" outlineLevel="0" collapsed="false">
      <c r="A109" s="26" t="s">
        <v>440</v>
      </c>
      <c r="B109" s="0" t="s">
        <v>86</v>
      </c>
      <c r="C109" s="0" t="n">
        <v>100</v>
      </c>
      <c r="D109" s="27" t="n">
        <v>192.5</v>
      </c>
      <c r="E109" s="28" t="n">
        <v>115.669785636663</v>
      </c>
    </row>
    <row r="110" customFormat="false" ht="12.75" hidden="false" customHeight="false" outlineLevel="0" collapsed="false">
      <c r="A110" s="26" t="s">
        <v>441</v>
      </c>
      <c r="B110" s="0" t="s">
        <v>86</v>
      </c>
      <c r="C110" s="0" t="n">
        <v>100</v>
      </c>
      <c r="D110" s="27" t="n">
        <v>185</v>
      </c>
      <c r="E110" s="28" t="n">
        <v>110.447030794621</v>
      </c>
    </row>
  </sheetData>
  <mergeCells count="20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9:J9"/>
    <mergeCell ref="A12:J12"/>
    <mergeCell ref="A16:J16"/>
    <mergeCell ref="A19:J19"/>
    <mergeCell ref="A23:J23"/>
    <mergeCell ref="A27:J27"/>
    <mergeCell ref="A33:J33"/>
    <mergeCell ref="A38:J38"/>
    <mergeCell ref="A46:J46"/>
    <mergeCell ref="A49:J49"/>
    <mergeCell ref="A52:J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9.12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5.55"/>
    <col collapsed="false" customWidth="true" hidden="false" outlineLevel="0" max="10" min="10" style="0" width="3.22"/>
    <col collapsed="false" customWidth="true" hidden="false" outlineLevel="0" max="11" min="11" style="0" width="5.55"/>
    <col collapsed="false" customWidth="true" hidden="false" outlineLevel="0" max="12" min="12" style="0" width="8.56"/>
    <col collapsed="false" customWidth="true" hidden="false" outlineLevel="0" max="13" min="13" style="0" width="14.35"/>
  </cols>
  <sheetData>
    <row r="1" s="2" customFormat="true" ht="28.5" hidden="false" customHeight="true" outlineLevel="0" collapsed="false">
      <c r="A1" s="1" t="s">
        <v>442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2"/>
      <c r="H3" s="32"/>
      <c r="I3" s="32"/>
      <c r="J3" s="32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9</v>
      </c>
      <c r="H4" s="10" t="n">
        <v>10</v>
      </c>
      <c r="I4" s="10" t="n">
        <v>11</v>
      </c>
      <c r="J4" s="10" t="n">
        <v>12</v>
      </c>
    </row>
    <row r="5" s="12" customFormat="true" ht="15" hidden="false" customHeight="false" outlineLevel="0" collapsed="false">
      <c r="A5" s="11" t="s">
        <v>217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443</v>
      </c>
      <c r="B6" s="13" t="s">
        <v>444</v>
      </c>
      <c r="C6" s="13" t="s">
        <v>445</v>
      </c>
      <c r="D6" s="13" t="str">
        <f aca="false">"0,9358"</f>
        <v>0,9358</v>
      </c>
      <c r="E6" s="13" t="s">
        <v>13</v>
      </c>
      <c r="F6" s="13" t="s">
        <v>42</v>
      </c>
      <c r="G6" s="13" t="s">
        <v>167</v>
      </c>
      <c r="H6" s="13" t="s">
        <v>159</v>
      </c>
      <c r="I6" s="13" t="s">
        <v>356</v>
      </c>
      <c r="J6" s="19"/>
      <c r="K6" s="13" t="str">
        <f aca="false">"180,0"</f>
        <v>180,0</v>
      </c>
      <c r="L6" s="13" t="str">
        <f aca="false">"168,4350"</f>
        <v>168,4350</v>
      </c>
      <c r="M6" s="13" t="s">
        <v>446</v>
      </c>
    </row>
    <row r="8" customFormat="false" ht="15" hidden="false" customHeight="false" outlineLevel="0" collapsed="false">
      <c r="E8" s="20" t="s">
        <v>63</v>
      </c>
    </row>
    <row r="9" customFormat="false" ht="15" hidden="false" customHeight="false" outlineLevel="0" collapsed="false">
      <c r="E9" s="20" t="s">
        <v>64</v>
      </c>
    </row>
    <row r="10" customFormat="false" ht="15" hidden="false" customHeight="false" outlineLevel="0" collapsed="false">
      <c r="E10" s="20" t="s">
        <v>65</v>
      </c>
    </row>
    <row r="11" customFormat="false" ht="12.75" hidden="false" customHeight="false" outlineLevel="0" collapsed="false">
      <c r="E11" s="0" t="s">
        <v>66</v>
      </c>
    </row>
    <row r="12" customFormat="false" ht="12.75" hidden="false" customHeight="false" outlineLevel="0" collapsed="false">
      <c r="E12" s="0" t="s">
        <v>67</v>
      </c>
    </row>
    <row r="13" customFormat="false" ht="12.75" hidden="false" customHeight="false" outlineLevel="0" collapsed="false">
      <c r="E13" s="0" t="s">
        <v>68</v>
      </c>
    </row>
    <row r="16" customFormat="false" ht="17.25" hidden="false" customHeight="false" outlineLevel="0" collapsed="false">
      <c r="A16" s="21" t="s">
        <v>69</v>
      </c>
      <c r="B16" s="21"/>
    </row>
    <row r="17" customFormat="false" ht="15" hidden="false" customHeight="false" outlineLevel="0" collapsed="false">
      <c r="A17" s="22" t="s">
        <v>70</v>
      </c>
      <c r="B17" s="22"/>
    </row>
    <row r="18" customFormat="false" ht="14.25" hidden="false" customHeight="false" outlineLevel="0" collapsed="false">
      <c r="A18" s="23"/>
      <c r="B18" s="24" t="s">
        <v>71</v>
      </c>
    </row>
    <row r="19" customFormat="false" ht="13.5" hidden="false" customHeight="false" outlineLevel="0" collapsed="false">
      <c r="A19" s="25" t="s">
        <v>1</v>
      </c>
      <c r="B19" s="25" t="s">
        <v>72</v>
      </c>
      <c r="C19" s="25" t="s">
        <v>73</v>
      </c>
      <c r="D19" s="25" t="s">
        <v>74</v>
      </c>
      <c r="E19" s="25" t="s">
        <v>4</v>
      </c>
    </row>
    <row r="20" customFormat="false" ht="12.75" hidden="false" customHeight="false" outlineLevel="0" collapsed="false">
      <c r="A20" s="26" t="s">
        <v>447</v>
      </c>
      <c r="B20" s="0" t="s">
        <v>71</v>
      </c>
      <c r="C20" s="0" t="n">
        <v>67.5</v>
      </c>
      <c r="D20" s="27" t="n">
        <v>180</v>
      </c>
      <c r="E20" s="28" t="n">
        <v>168.435001373291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9" min="7" style="0" width="5.55"/>
    <col collapsed="false" customWidth="true" hidden="false" outlineLevel="0" max="10" min="10" style="0" width="3.22"/>
    <col collapsed="false" customWidth="true" hidden="false" outlineLevel="0" max="11" min="11" style="0" width="5.55"/>
    <col collapsed="false" customWidth="true" hidden="false" outlineLevel="0" max="12" min="12" style="0" width="8.56"/>
  </cols>
  <sheetData>
    <row r="1" s="2" customFormat="true" ht="28.5" hidden="false" customHeight="true" outlineLevel="0" collapsed="false">
      <c r="A1" s="1" t="s">
        <v>448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2"/>
      <c r="H3" s="32"/>
      <c r="I3" s="32"/>
      <c r="J3" s="32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9</v>
      </c>
      <c r="H4" s="10" t="n">
        <v>10</v>
      </c>
      <c r="I4" s="10" t="n">
        <v>11</v>
      </c>
      <c r="J4" s="10" t="n">
        <v>12</v>
      </c>
    </row>
    <row r="5" s="12" customFormat="true" ht="15" hidden="false" customHeight="false" outlineLevel="0" collapsed="false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449</v>
      </c>
      <c r="B6" s="13" t="s">
        <v>450</v>
      </c>
      <c r="C6" s="13" t="s">
        <v>327</v>
      </c>
      <c r="D6" s="13" t="str">
        <f aca="false">"0,9876"</f>
        <v>0,9876</v>
      </c>
      <c r="E6" s="13" t="s">
        <v>13</v>
      </c>
      <c r="F6" s="13" t="s">
        <v>451</v>
      </c>
      <c r="G6" s="19" t="s">
        <v>147</v>
      </c>
      <c r="H6" s="13" t="s">
        <v>141</v>
      </c>
      <c r="I6" s="19" t="s">
        <v>148</v>
      </c>
      <c r="J6" s="19"/>
      <c r="K6" s="13" t="str">
        <f aca="false">"135,0"</f>
        <v>135,0</v>
      </c>
      <c r="L6" s="13" t="str">
        <f aca="false">"134,6593"</f>
        <v>134,6593</v>
      </c>
      <c r="M6" s="13"/>
    </row>
    <row r="8" customFormat="false" ht="15" hidden="false" customHeight="false" outlineLevel="0" collapsed="false">
      <c r="A8" s="14" t="s">
        <v>217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452</v>
      </c>
      <c r="B9" s="13" t="s">
        <v>453</v>
      </c>
      <c r="C9" s="13" t="s">
        <v>454</v>
      </c>
      <c r="D9" s="13" t="str">
        <f aca="false">"0,9487"</f>
        <v>0,9487</v>
      </c>
      <c r="E9" s="13" t="s">
        <v>13</v>
      </c>
      <c r="F9" s="13" t="s">
        <v>36</v>
      </c>
      <c r="G9" s="13" t="s">
        <v>455</v>
      </c>
      <c r="H9" s="13" t="s">
        <v>391</v>
      </c>
      <c r="I9" s="13" t="s">
        <v>456</v>
      </c>
      <c r="J9" s="19"/>
      <c r="K9" s="13" t="str">
        <f aca="false">"200,0"</f>
        <v>200,0</v>
      </c>
      <c r="L9" s="13" t="str">
        <f aca="false">"189,7300"</f>
        <v>189,7300</v>
      </c>
      <c r="M9" s="13"/>
    </row>
    <row r="11" customFormat="false" ht="15" hidden="false" customHeight="false" outlineLevel="0" collapsed="false">
      <c r="A11" s="14" t="s">
        <v>285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5" t="s">
        <v>457</v>
      </c>
      <c r="B12" s="15" t="s">
        <v>458</v>
      </c>
      <c r="C12" s="15" t="s">
        <v>459</v>
      </c>
      <c r="D12" s="15" t="str">
        <f aca="false">"0,6838"</f>
        <v>0,6838</v>
      </c>
      <c r="E12" s="15" t="s">
        <v>13</v>
      </c>
      <c r="F12" s="15" t="s">
        <v>42</v>
      </c>
      <c r="G12" s="15" t="s">
        <v>147</v>
      </c>
      <c r="H12" s="15" t="s">
        <v>148</v>
      </c>
      <c r="I12" s="15" t="s">
        <v>155</v>
      </c>
      <c r="J12" s="16"/>
      <c r="K12" s="15" t="str">
        <f aca="false">"150,0"</f>
        <v>150,0</v>
      </c>
      <c r="L12" s="15" t="str">
        <f aca="false">"102,5775"</f>
        <v>102,5775</v>
      </c>
      <c r="M12" s="15"/>
    </row>
    <row r="13" customFormat="false" ht="12.75" hidden="false" customHeight="false" outlineLevel="0" collapsed="false">
      <c r="A13" s="17" t="s">
        <v>460</v>
      </c>
      <c r="B13" s="17" t="s">
        <v>461</v>
      </c>
      <c r="C13" s="17" t="s">
        <v>462</v>
      </c>
      <c r="D13" s="17" t="str">
        <f aca="false">"0,6513"</f>
        <v>0,6513</v>
      </c>
      <c r="E13" s="17" t="s">
        <v>13</v>
      </c>
      <c r="F13" s="17" t="s">
        <v>284</v>
      </c>
      <c r="G13" s="17" t="s">
        <v>357</v>
      </c>
      <c r="H13" s="17" t="s">
        <v>370</v>
      </c>
      <c r="I13" s="17" t="s">
        <v>463</v>
      </c>
      <c r="J13" s="18"/>
      <c r="K13" s="17" t="str">
        <f aca="false">"205,0"</f>
        <v>205,0</v>
      </c>
      <c r="L13" s="17" t="str">
        <f aca="false">"153,1434"</f>
        <v>153,1434</v>
      </c>
      <c r="M13" s="17"/>
    </row>
    <row r="15" customFormat="false" ht="15" hidden="false" customHeight="false" outlineLevel="0" collapsed="false">
      <c r="A15" s="14" t="s">
        <v>19</v>
      </c>
      <c r="B15" s="14"/>
      <c r="C15" s="14"/>
      <c r="D15" s="14"/>
      <c r="E15" s="14"/>
      <c r="F15" s="14"/>
      <c r="G15" s="14"/>
      <c r="H15" s="14"/>
      <c r="I15" s="14"/>
      <c r="J15" s="14"/>
    </row>
    <row r="16" customFormat="false" ht="12.75" hidden="false" customHeight="false" outlineLevel="0" collapsed="false">
      <c r="A16" s="13" t="s">
        <v>464</v>
      </c>
      <c r="B16" s="13" t="s">
        <v>465</v>
      </c>
      <c r="C16" s="13" t="s">
        <v>466</v>
      </c>
      <c r="D16" s="13" t="str">
        <f aca="false">"0,6177"</f>
        <v>0,6177</v>
      </c>
      <c r="E16" s="13" t="s">
        <v>13</v>
      </c>
      <c r="F16" s="13" t="s">
        <v>467</v>
      </c>
      <c r="G16" s="13" t="s">
        <v>407</v>
      </c>
      <c r="H16" s="13" t="s">
        <v>468</v>
      </c>
      <c r="I16" s="19" t="s">
        <v>469</v>
      </c>
      <c r="J16" s="19"/>
      <c r="K16" s="13" t="str">
        <f aca="false">"270,0"</f>
        <v>270,0</v>
      </c>
      <c r="L16" s="13" t="str">
        <f aca="false">"166,7790"</f>
        <v>166,7790</v>
      </c>
      <c r="M16" s="13"/>
    </row>
    <row r="18" customFormat="false" ht="15" hidden="false" customHeight="false" outlineLevel="0" collapsed="false">
      <c r="A18" s="14" t="s">
        <v>32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13" t="s">
        <v>470</v>
      </c>
      <c r="B19" s="13" t="s">
        <v>471</v>
      </c>
      <c r="C19" s="13" t="s">
        <v>472</v>
      </c>
      <c r="D19" s="13" t="str">
        <f aca="false">"0,5823"</f>
        <v>0,5823</v>
      </c>
      <c r="E19" s="13" t="s">
        <v>13</v>
      </c>
      <c r="F19" s="13" t="s">
        <v>42</v>
      </c>
      <c r="G19" s="13" t="s">
        <v>473</v>
      </c>
      <c r="H19" s="13" t="s">
        <v>474</v>
      </c>
      <c r="I19" s="19" t="s">
        <v>405</v>
      </c>
      <c r="J19" s="19"/>
      <c r="K19" s="13" t="str">
        <f aca="false">"245,0"</f>
        <v>245,0</v>
      </c>
      <c r="L19" s="13" t="str">
        <f aca="false">"148,7980"</f>
        <v>148,7980</v>
      </c>
      <c r="M19" s="13"/>
    </row>
    <row r="21" customFormat="false" ht="15" hidden="false" customHeight="false" outlineLevel="0" collapsed="false">
      <c r="A21" s="14" t="s">
        <v>47</v>
      </c>
      <c r="B21" s="14"/>
      <c r="C21" s="14"/>
      <c r="D21" s="14"/>
      <c r="E21" s="14"/>
      <c r="F21" s="14"/>
      <c r="G21" s="14"/>
      <c r="H21" s="14"/>
      <c r="I21" s="14"/>
      <c r="J21" s="14"/>
    </row>
    <row r="22" customFormat="false" ht="12.75" hidden="false" customHeight="false" outlineLevel="0" collapsed="false">
      <c r="A22" s="15" t="s">
        <v>475</v>
      </c>
      <c r="B22" s="15" t="s">
        <v>476</v>
      </c>
      <c r="C22" s="15" t="s">
        <v>477</v>
      </c>
      <c r="D22" s="15" t="str">
        <f aca="false">"0,5714"</f>
        <v>0,5714</v>
      </c>
      <c r="E22" s="15" t="s">
        <v>13</v>
      </c>
      <c r="F22" s="15" t="s">
        <v>284</v>
      </c>
      <c r="G22" s="15" t="s">
        <v>371</v>
      </c>
      <c r="H22" s="15" t="s">
        <v>343</v>
      </c>
      <c r="I22" s="16" t="s">
        <v>473</v>
      </c>
      <c r="J22" s="16"/>
      <c r="K22" s="15" t="str">
        <f aca="false">"220,0"</f>
        <v>220,0</v>
      </c>
      <c r="L22" s="15" t="str">
        <f aca="false">"125,7080"</f>
        <v>125,7080</v>
      </c>
      <c r="M22" s="15"/>
    </row>
    <row r="23" customFormat="false" ht="12.75" hidden="false" customHeight="false" outlineLevel="0" collapsed="false">
      <c r="A23" s="29" t="s">
        <v>475</v>
      </c>
      <c r="B23" s="29" t="s">
        <v>478</v>
      </c>
      <c r="C23" s="29" t="s">
        <v>477</v>
      </c>
      <c r="D23" s="29" t="str">
        <f aca="false">"0,5714"</f>
        <v>0,5714</v>
      </c>
      <c r="E23" s="29" t="s">
        <v>13</v>
      </c>
      <c r="F23" s="29" t="s">
        <v>284</v>
      </c>
      <c r="G23" s="29" t="s">
        <v>371</v>
      </c>
      <c r="H23" s="29" t="s">
        <v>343</v>
      </c>
      <c r="I23" s="30" t="s">
        <v>473</v>
      </c>
      <c r="J23" s="30"/>
      <c r="K23" s="29" t="str">
        <f aca="false">"220,0"</f>
        <v>220,0</v>
      </c>
      <c r="L23" s="29" t="str">
        <f aca="false">"126,9651"</f>
        <v>126,9651</v>
      </c>
      <c r="M23" s="29"/>
    </row>
    <row r="24" customFormat="false" ht="12.75" hidden="false" customHeight="false" outlineLevel="0" collapsed="false">
      <c r="A24" s="17" t="s">
        <v>479</v>
      </c>
      <c r="B24" s="17" t="s">
        <v>480</v>
      </c>
      <c r="C24" s="17" t="s">
        <v>481</v>
      </c>
      <c r="D24" s="17" t="str">
        <f aca="false">"0,5756"</f>
        <v>0,5756</v>
      </c>
      <c r="E24" s="17" t="s">
        <v>13</v>
      </c>
      <c r="F24" s="17" t="s">
        <v>482</v>
      </c>
      <c r="G24" s="17" t="s">
        <v>363</v>
      </c>
      <c r="H24" s="17" t="s">
        <v>371</v>
      </c>
      <c r="I24" s="17" t="s">
        <v>483</v>
      </c>
      <c r="J24" s="18"/>
      <c r="K24" s="17" t="str">
        <f aca="false">"207,5"</f>
        <v>207,5</v>
      </c>
      <c r="L24" s="17" t="str">
        <f aca="false">"196,4909"</f>
        <v>196,4909</v>
      </c>
      <c r="M24" s="17"/>
    </row>
    <row r="26" customFormat="false" ht="15" hidden="false" customHeight="false" outlineLevel="0" collapsed="false">
      <c r="A26" s="14" t="s">
        <v>54</v>
      </c>
      <c r="B26" s="14"/>
      <c r="C26" s="14"/>
      <c r="D26" s="14"/>
      <c r="E26" s="14"/>
      <c r="F26" s="14"/>
      <c r="G26" s="14"/>
      <c r="H26" s="14"/>
      <c r="I26" s="14"/>
      <c r="J26" s="14"/>
    </row>
    <row r="27" customFormat="false" ht="12.75" hidden="false" customHeight="false" outlineLevel="0" collapsed="false">
      <c r="A27" s="13" t="s">
        <v>102</v>
      </c>
      <c r="B27" s="13" t="s">
        <v>103</v>
      </c>
      <c r="C27" s="13" t="s">
        <v>104</v>
      </c>
      <c r="D27" s="13" t="str">
        <f aca="false">"0,5546"</f>
        <v>0,5546</v>
      </c>
      <c r="E27" s="13" t="s">
        <v>13</v>
      </c>
      <c r="F27" s="13" t="s">
        <v>42</v>
      </c>
      <c r="G27" s="13" t="s">
        <v>356</v>
      </c>
      <c r="H27" s="13" t="s">
        <v>363</v>
      </c>
      <c r="I27" s="19" t="s">
        <v>484</v>
      </c>
      <c r="J27" s="19"/>
      <c r="K27" s="13" t="str">
        <f aca="false">"190,0"</f>
        <v>190,0</v>
      </c>
      <c r="L27" s="13" t="str">
        <f aca="false">"159,2201"</f>
        <v>159,2201</v>
      </c>
      <c r="M27" s="13"/>
    </row>
    <row r="29" customFormat="false" ht="15" hidden="false" customHeight="false" outlineLevel="0" collapsed="false">
      <c r="E29" s="20" t="s">
        <v>63</v>
      </c>
    </row>
    <row r="30" customFormat="false" ht="15" hidden="false" customHeight="false" outlineLevel="0" collapsed="false">
      <c r="E30" s="20" t="s">
        <v>64</v>
      </c>
    </row>
    <row r="31" customFormat="false" ht="15" hidden="false" customHeight="false" outlineLevel="0" collapsed="false">
      <c r="E31" s="20" t="s">
        <v>65</v>
      </c>
    </row>
    <row r="32" customFormat="false" ht="12.75" hidden="false" customHeight="false" outlineLevel="0" collapsed="false">
      <c r="E32" s="0" t="s">
        <v>66</v>
      </c>
    </row>
    <row r="33" customFormat="false" ht="12.75" hidden="false" customHeight="false" outlineLevel="0" collapsed="false">
      <c r="E33" s="0" t="s">
        <v>67</v>
      </c>
    </row>
    <row r="34" customFormat="false" ht="12.75" hidden="false" customHeight="false" outlineLevel="0" collapsed="false">
      <c r="E34" s="0" t="s">
        <v>68</v>
      </c>
    </row>
    <row r="37" customFormat="false" ht="17.25" hidden="false" customHeight="false" outlineLevel="0" collapsed="false">
      <c r="A37" s="21" t="s">
        <v>69</v>
      </c>
      <c r="B37" s="21"/>
    </row>
    <row r="38" customFormat="false" ht="15" hidden="false" customHeight="false" outlineLevel="0" collapsed="false">
      <c r="A38" s="22" t="s">
        <v>70</v>
      </c>
      <c r="B38" s="22"/>
    </row>
    <row r="39" customFormat="false" ht="14.25" hidden="false" customHeight="false" outlineLevel="0" collapsed="false">
      <c r="A39" s="23"/>
      <c r="B39" s="24" t="s">
        <v>71</v>
      </c>
    </row>
    <row r="40" customFormat="false" ht="13.5" hidden="false" customHeight="false" outlineLevel="0" collapsed="false">
      <c r="A40" s="25" t="s">
        <v>1</v>
      </c>
      <c r="B40" s="25" t="s">
        <v>72</v>
      </c>
      <c r="C40" s="25" t="s">
        <v>73</v>
      </c>
      <c r="D40" s="25" t="s">
        <v>74</v>
      </c>
      <c r="E40" s="25" t="s">
        <v>4</v>
      </c>
    </row>
    <row r="41" customFormat="false" ht="12.75" hidden="false" customHeight="false" outlineLevel="0" collapsed="false">
      <c r="A41" s="26" t="s">
        <v>485</v>
      </c>
      <c r="B41" s="0" t="s">
        <v>71</v>
      </c>
      <c r="C41" s="0" t="n">
        <v>67.5</v>
      </c>
      <c r="D41" s="27" t="n">
        <v>200</v>
      </c>
      <c r="E41" s="28" t="n">
        <v>189.730000495911</v>
      </c>
    </row>
    <row r="43" customFormat="false" ht="14.25" hidden="false" customHeight="false" outlineLevel="0" collapsed="false">
      <c r="A43" s="23"/>
      <c r="B43" s="24" t="s">
        <v>82</v>
      </c>
    </row>
    <row r="44" customFormat="false" ht="13.5" hidden="false" customHeight="false" outlineLevel="0" collapsed="false">
      <c r="A44" s="25" t="s">
        <v>1</v>
      </c>
      <c r="B44" s="25" t="s">
        <v>72</v>
      </c>
      <c r="C44" s="25" t="s">
        <v>73</v>
      </c>
      <c r="D44" s="25" t="s">
        <v>74</v>
      </c>
      <c r="E44" s="25" t="s">
        <v>4</v>
      </c>
    </row>
    <row r="45" customFormat="false" ht="12.75" hidden="false" customHeight="false" outlineLevel="0" collapsed="false">
      <c r="A45" s="26" t="s">
        <v>486</v>
      </c>
      <c r="B45" s="0" t="s">
        <v>86</v>
      </c>
      <c r="C45" s="0" t="n">
        <v>60</v>
      </c>
      <c r="D45" s="27" t="n">
        <v>135</v>
      </c>
      <c r="E45" s="28" t="n">
        <v>134.659263888001</v>
      </c>
    </row>
    <row r="48" customFormat="false" ht="15" hidden="false" customHeight="false" outlineLevel="0" collapsed="false">
      <c r="A48" s="22" t="s">
        <v>76</v>
      </c>
      <c r="B48" s="22"/>
    </row>
    <row r="49" customFormat="false" ht="14.25" hidden="false" customHeight="false" outlineLevel="0" collapsed="false">
      <c r="A49" s="23"/>
      <c r="B49" s="24" t="s">
        <v>259</v>
      </c>
    </row>
    <row r="50" customFormat="false" ht="13.5" hidden="false" customHeight="false" outlineLevel="0" collapsed="false">
      <c r="A50" s="25" t="s">
        <v>1</v>
      </c>
      <c r="B50" s="25" t="s">
        <v>72</v>
      </c>
      <c r="C50" s="25" t="s">
        <v>73</v>
      </c>
      <c r="D50" s="25" t="s">
        <v>74</v>
      </c>
      <c r="E50" s="25" t="s">
        <v>4</v>
      </c>
    </row>
    <row r="51" customFormat="false" ht="12.75" hidden="false" customHeight="false" outlineLevel="0" collapsed="false">
      <c r="A51" s="26" t="s">
        <v>487</v>
      </c>
      <c r="B51" s="0" t="s">
        <v>422</v>
      </c>
      <c r="C51" s="0" t="n">
        <v>82.5</v>
      </c>
      <c r="D51" s="27" t="n">
        <v>150</v>
      </c>
      <c r="E51" s="28" t="n">
        <v>102.577498555183</v>
      </c>
    </row>
    <row r="53" customFormat="false" ht="14.25" hidden="false" customHeight="false" outlineLevel="0" collapsed="false">
      <c r="A53" s="23"/>
      <c r="B53" s="24" t="s">
        <v>71</v>
      </c>
    </row>
    <row r="54" customFormat="false" ht="13.5" hidden="false" customHeight="false" outlineLevel="0" collapsed="false">
      <c r="A54" s="25" t="s">
        <v>1</v>
      </c>
      <c r="B54" s="25" t="s">
        <v>72</v>
      </c>
      <c r="C54" s="25" t="s">
        <v>73</v>
      </c>
      <c r="D54" s="25" t="s">
        <v>74</v>
      </c>
      <c r="E54" s="25" t="s">
        <v>4</v>
      </c>
    </row>
    <row r="55" customFormat="false" ht="12.75" hidden="false" customHeight="false" outlineLevel="0" collapsed="false">
      <c r="A55" s="26" t="s">
        <v>488</v>
      </c>
      <c r="B55" s="0" t="s">
        <v>71</v>
      </c>
      <c r="C55" s="0" t="n">
        <v>90</v>
      </c>
      <c r="D55" s="27" t="n">
        <v>270</v>
      </c>
      <c r="E55" s="28" t="n">
        <v>166.77899479866</v>
      </c>
    </row>
    <row r="56" customFormat="false" ht="12.75" hidden="false" customHeight="false" outlineLevel="0" collapsed="false">
      <c r="A56" s="26" t="s">
        <v>489</v>
      </c>
      <c r="B56" s="0" t="s">
        <v>71</v>
      </c>
      <c r="C56" s="0" t="n">
        <v>110</v>
      </c>
      <c r="D56" s="27" t="n">
        <v>220</v>
      </c>
      <c r="E56" s="28" t="n">
        <v>125.707997083664</v>
      </c>
    </row>
    <row r="58" customFormat="false" ht="14.25" hidden="false" customHeight="false" outlineLevel="0" collapsed="false">
      <c r="A58" s="23"/>
      <c r="B58" s="24" t="s">
        <v>82</v>
      </c>
    </row>
    <row r="59" customFormat="false" ht="13.5" hidden="false" customHeight="false" outlineLevel="0" collapsed="false">
      <c r="A59" s="25" t="s">
        <v>1</v>
      </c>
      <c r="B59" s="25" t="s">
        <v>72</v>
      </c>
      <c r="C59" s="25" t="s">
        <v>73</v>
      </c>
      <c r="D59" s="25" t="s">
        <v>74</v>
      </c>
      <c r="E59" s="25" t="s">
        <v>4</v>
      </c>
    </row>
    <row r="60" customFormat="false" ht="12.75" hidden="false" customHeight="false" outlineLevel="0" collapsed="false">
      <c r="A60" s="26" t="s">
        <v>490</v>
      </c>
      <c r="B60" s="0" t="s">
        <v>491</v>
      </c>
      <c r="C60" s="0" t="n">
        <v>110</v>
      </c>
      <c r="D60" s="27" t="n">
        <v>207.5</v>
      </c>
      <c r="E60" s="28" t="n">
        <v>196.490923932195</v>
      </c>
    </row>
    <row r="61" customFormat="false" ht="12.75" hidden="false" customHeight="false" outlineLevel="0" collapsed="false">
      <c r="A61" s="26" t="s">
        <v>105</v>
      </c>
      <c r="B61" s="0" t="s">
        <v>106</v>
      </c>
      <c r="C61" s="0" t="n">
        <v>125</v>
      </c>
      <c r="D61" s="27" t="n">
        <v>190</v>
      </c>
      <c r="E61" s="28" t="n">
        <v>159.220114109516</v>
      </c>
    </row>
    <row r="62" customFormat="false" ht="12.75" hidden="false" customHeight="false" outlineLevel="0" collapsed="false">
      <c r="A62" s="26" t="s">
        <v>492</v>
      </c>
      <c r="B62" s="0" t="s">
        <v>185</v>
      </c>
      <c r="C62" s="0" t="n">
        <v>82.5</v>
      </c>
      <c r="D62" s="27" t="n">
        <v>205</v>
      </c>
      <c r="E62" s="28" t="n">
        <v>153.143428572118</v>
      </c>
    </row>
    <row r="63" customFormat="false" ht="12.75" hidden="false" customHeight="false" outlineLevel="0" collapsed="false">
      <c r="A63" s="26" t="s">
        <v>493</v>
      </c>
      <c r="B63" s="0" t="s">
        <v>86</v>
      </c>
      <c r="C63" s="0" t="n">
        <v>100</v>
      </c>
      <c r="D63" s="27" t="n">
        <v>245</v>
      </c>
      <c r="E63" s="28" t="n">
        <v>148.798032376468</v>
      </c>
    </row>
    <row r="64" customFormat="false" ht="12.75" hidden="false" customHeight="false" outlineLevel="0" collapsed="false">
      <c r="A64" s="26" t="s">
        <v>489</v>
      </c>
      <c r="B64" s="0" t="s">
        <v>86</v>
      </c>
      <c r="C64" s="0" t="n">
        <v>110</v>
      </c>
      <c r="D64" s="27" t="n">
        <v>220</v>
      </c>
      <c r="E64" s="28" t="n">
        <v>126.965077054501</v>
      </c>
    </row>
  </sheetData>
  <mergeCells count="15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5:J15"/>
    <mergeCell ref="A18:J18"/>
    <mergeCell ref="A21:J21"/>
    <mergeCell ref="A26:J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4.11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4.56"/>
    <col collapsed="false" customWidth="true" hidden="false" outlineLevel="0" max="10" min="10" style="0" width="2.12"/>
    <col collapsed="false" customWidth="true" hidden="false" outlineLevel="0" max="11" min="11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494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495</v>
      </c>
      <c r="B6" s="13" t="s">
        <v>496</v>
      </c>
      <c r="C6" s="13" t="s">
        <v>152</v>
      </c>
      <c r="D6" s="13" t="str">
        <f aca="false">"0,7476"</f>
        <v>0,7476</v>
      </c>
      <c r="E6" s="13" t="s">
        <v>13</v>
      </c>
      <c r="F6" s="13" t="s">
        <v>497</v>
      </c>
      <c r="G6" s="13" t="s">
        <v>25</v>
      </c>
      <c r="H6" s="19" t="s">
        <v>498</v>
      </c>
      <c r="I6" s="19" t="s">
        <v>498</v>
      </c>
      <c r="J6" s="19"/>
      <c r="K6" s="13" t="str">
        <f aca="false">"80,0"</f>
        <v>80,0</v>
      </c>
      <c r="L6" s="13" t="str">
        <f aca="false">"59,8040"</f>
        <v>59,8040</v>
      </c>
      <c r="M6" s="13"/>
    </row>
    <row r="8" customFormat="false" ht="15" hidden="false" customHeight="false" outlineLevel="0" collapsed="false">
      <c r="E8" s="20" t="s">
        <v>63</v>
      </c>
    </row>
    <row r="9" customFormat="false" ht="15" hidden="false" customHeight="false" outlineLevel="0" collapsed="false">
      <c r="E9" s="20" t="s">
        <v>64</v>
      </c>
    </row>
    <row r="10" customFormat="false" ht="15" hidden="false" customHeight="false" outlineLevel="0" collapsed="false">
      <c r="E10" s="20" t="s">
        <v>65</v>
      </c>
    </row>
    <row r="11" customFormat="false" ht="12.75" hidden="false" customHeight="false" outlineLevel="0" collapsed="false">
      <c r="E11" s="0" t="s">
        <v>66</v>
      </c>
    </row>
    <row r="12" customFormat="false" ht="12.75" hidden="false" customHeight="false" outlineLevel="0" collapsed="false">
      <c r="E12" s="0" t="s">
        <v>67</v>
      </c>
    </row>
    <row r="13" customFormat="false" ht="12.75" hidden="false" customHeight="false" outlineLevel="0" collapsed="false">
      <c r="E13" s="0" t="s">
        <v>68</v>
      </c>
    </row>
    <row r="16" customFormat="false" ht="17.25" hidden="false" customHeight="false" outlineLevel="0" collapsed="false">
      <c r="A16" s="21" t="s">
        <v>69</v>
      </c>
      <c r="B16" s="21"/>
    </row>
    <row r="17" customFormat="false" ht="15" hidden="false" customHeight="false" outlineLevel="0" collapsed="false">
      <c r="A17" s="22" t="s">
        <v>70</v>
      </c>
      <c r="B17" s="22"/>
    </row>
    <row r="18" customFormat="false" ht="14.25" hidden="false" customHeight="false" outlineLevel="0" collapsed="false">
      <c r="A18" s="23"/>
      <c r="B18" s="24" t="s">
        <v>259</v>
      </c>
    </row>
    <row r="19" customFormat="false" ht="13.5" hidden="false" customHeight="false" outlineLevel="0" collapsed="false">
      <c r="A19" s="25" t="s">
        <v>1</v>
      </c>
      <c r="B19" s="25" t="s">
        <v>72</v>
      </c>
      <c r="C19" s="25" t="s">
        <v>73</v>
      </c>
      <c r="D19" s="25" t="s">
        <v>74</v>
      </c>
      <c r="E19" s="25" t="s">
        <v>4</v>
      </c>
    </row>
    <row r="20" customFormat="false" ht="12.75" hidden="false" customHeight="false" outlineLevel="0" collapsed="false">
      <c r="A20" s="26" t="s">
        <v>499</v>
      </c>
      <c r="B20" s="0" t="s">
        <v>422</v>
      </c>
      <c r="C20" s="0" t="n">
        <v>90</v>
      </c>
      <c r="D20" s="27" t="n">
        <v>80</v>
      </c>
      <c r="E20" s="28" t="n">
        <v>59.8040008544922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9.12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1" min="11" style="0" width="5.55"/>
    <col collapsed="false" customWidth="true" hidden="false" outlineLevel="0" max="12" min="12" style="0" width="8.56"/>
    <col collapsed="false" customWidth="true" hidden="false" outlineLevel="0" max="13" min="13" style="0" width="5.78"/>
  </cols>
  <sheetData>
    <row r="1" s="2" customFormat="true" ht="28.5" hidden="false" customHeight="true" outlineLevel="0" collapsed="false">
      <c r="A1" s="1" t="s">
        <v>500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5" t="s">
        <v>501</v>
      </c>
      <c r="B6" s="15" t="s">
        <v>502</v>
      </c>
      <c r="C6" s="15" t="s">
        <v>503</v>
      </c>
      <c r="D6" s="15" t="str">
        <f aca="false">"0,6269"</f>
        <v>0,6269</v>
      </c>
      <c r="E6" s="15" t="s">
        <v>13</v>
      </c>
      <c r="F6" s="15" t="s">
        <v>42</v>
      </c>
      <c r="G6" s="15" t="s">
        <v>504</v>
      </c>
      <c r="H6" s="15" t="s">
        <v>505</v>
      </c>
      <c r="I6" s="16" t="s">
        <v>506</v>
      </c>
      <c r="J6" s="16"/>
      <c r="K6" s="15" t="str">
        <f aca="false">"280,0"</f>
        <v>280,0</v>
      </c>
      <c r="L6" s="15" t="str">
        <f aca="false">"175,5180"</f>
        <v>175,5180</v>
      </c>
      <c r="M6" s="15" t="s">
        <v>13</v>
      </c>
    </row>
    <row r="7" customFormat="false" ht="12.75" hidden="false" customHeight="false" outlineLevel="0" collapsed="false">
      <c r="A7" s="17" t="s">
        <v>507</v>
      </c>
      <c r="B7" s="17" t="s">
        <v>508</v>
      </c>
      <c r="C7" s="17" t="s">
        <v>509</v>
      </c>
      <c r="D7" s="17" t="str">
        <f aca="false">"0,6192"</f>
        <v>0,6192</v>
      </c>
      <c r="E7" s="17" t="s">
        <v>13</v>
      </c>
      <c r="F7" s="17" t="s">
        <v>42</v>
      </c>
      <c r="G7" s="17" t="s">
        <v>510</v>
      </c>
      <c r="H7" s="18" t="s">
        <v>483</v>
      </c>
      <c r="I7" s="17" t="s">
        <v>401</v>
      </c>
      <c r="J7" s="18"/>
      <c r="K7" s="17" t="str">
        <f aca="false">"210,0"</f>
        <v>210,0</v>
      </c>
      <c r="L7" s="17" t="str">
        <f aca="false">"130,0425"</f>
        <v>130,0425</v>
      </c>
      <c r="M7" s="17"/>
    </row>
    <row r="9" customFormat="false" ht="15" hidden="false" customHeight="false" outlineLevel="0" collapsed="false">
      <c r="E9" s="20" t="s">
        <v>63</v>
      </c>
    </row>
    <row r="10" customFormat="false" ht="15" hidden="false" customHeight="false" outlineLevel="0" collapsed="false">
      <c r="E10" s="20" t="s">
        <v>64</v>
      </c>
    </row>
    <row r="11" customFormat="false" ht="15" hidden="false" customHeight="false" outlineLevel="0" collapsed="false">
      <c r="E11" s="20" t="s">
        <v>65</v>
      </c>
    </row>
    <row r="12" customFormat="false" ht="12.75" hidden="false" customHeight="false" outlineLevel="0" collapsed="false">
      <c r="E12" s="0" t="s">
        <v>66</v>
      </c>
    </row>
    <row r="13" customFormat="false" ht="12.75" hidden="false" customHeight="false" outlineLevel="0" collapsed="false">
      <c r="E13" s="0" t="s">
        <v>67</v>
      </c>
    </row>
    <row r="14" customFormat="false" ht="12.75" hidden="false" customHeight="false" outlineLevel="0" collapsed="false">
      <c r="E14" s="0" t="s">
        <v>68</v>
      </c>
    </row>
    <row r="17" customFormat="false" ht="17.25" hidden="false" customHeight="false" outlineLevel="0" collapsed="false">
      <c r="A17" s="21" t="s">
        <v>69</v>
      </c>
      <c r="B17" s="21"/>
    </row>
    <row r="18" customFormat="false" ht="15" hidden="false" customHeight="false" outlineLevel="0" collapsed="false">
      <c r="A18" s="22" t="s">
        <v>76</v>
      </c>
      <c r="B18" s="22"/>
    </row>
    <row r="19" customFormat="false" ht="14.25" hidden="false" customHeight="false" outlineLevel="0" collapsed="false">
      <c r="A19" s="23"/>
      <c r="B19" s="24" t="s">
        <v>71</v>
      </c>
    </row>
    <row r="20" customFormat="false" ht="13.5" hidden="false" customHeight="false" outlineLevel="0" collapsed="false">
      <c r="A20" s="25" t="s">
        <v>1</v>
      </c>
      <c r="B20" s="25" t="s">
        <v>72</v>
      </c>
      <c r="C20" s="25" t="s">
        <v>73</v>
      </c>
      <c r="D20" s="25" t="s">
        <v>74</v>
      </c>
      <c r="E20" s="25" t="s">
        <v>4</v>
      </c>
    </row>
    <row r="21" customFormat="false" ht="12.75" hidden="false" customHeight="false" outlineLevel="0" collapsed="false">
      <c r="A21" s="26" t="s">
        <v>511</v>
      </c>
      <c r="B21" s="0" t="s">
        <v>71</v>
      </c>
      <c r="C21" s="0" t="n">
        <v>90</v>
      </c>
      <c r="D21" s="27" t="n">
        <v>280</v>
      </c>
      <c r="E21" s="28" t="n">
        <v>175.518002510071</v>
      </c>
    </row>
    <row r="22" customFormat="false" ht="12.75" hidden="false" customHeight="false" outlineLevel="0" collapsed="false">
      <c r="A22" s="26" t="s">
        <v>512</v>
      </c>
      <c r="B22" s="0" t="s">
        <v>71</v>
      </c>
      <c r="C22" s="0" t="n">
        <v>90</v>
      </c>
      <c r="D22" s="27" t="n">
        <v>210</v>
      </c>
      <c r="E22" s="28" t="n">
        <v>130.042499899864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6.67"/>
    <col collapsed="false" customWidth="true" hidden="false" outlineLevel="0" max="9" min="7" style="0" width="4.56"/>
    <col collapsed="false" customWidth="true" hidden="false" outlineLevel="0" max="10" min="10" style="0" width="2.12"/>
    <col collapsed="false" customWidth="true" hidden="false" outlineLevel="0" max="11" min="11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513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32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514</v>
      </c>
      <c r="B6" s="13" t="s">
        <v>515</v>
      </c>
      <c r="C6" s="13" t="s">
        <v>516</v>
      </c>
      <c r="D6" s="13" t="str">
        <f aca="false">"0,5848"</f>
        <v>0,5848</v>
      </c>
      <c r="E6" s="13" t="s">
        <v>13</v>
      </c>
      <c r="F6" s="13" t="s">
        <v>517</v>
      </c>
      <c r="G6" s="13" t="s">
        <v>37</v>
      </c>
      <c r="H6" s="13" t="s">
        <v>38</v>
      </c>
      <c r="I6" s="13" t="s">
        <v>498</v>
      </c>
      <c r="J6" s="19"/>
      <c r="K6" s="13" t="str">
        <f aca="false">"90,0"</f>
        <v>90,0</v>
      </c>
      <c r="L6" s="13" t="str">
        <f aca="false">"67,9479"</f>
        <v>67,9479</v>
      </c>
      <c r="M6" s="13"/>
    </row>
    <row r="8" customFormat="false" ht="15" hidden="false" customHeight="false" outlineLevel="0" collapsed="false">
      <c r="E8" s="20" t="s">
        <v>63</v>
      </c>
    </row>
    <row r="9" customFormat="false" ht="15" hidden="false" customHeight="false" outlineLevel="0" collapsed="false">
      <c r="E9" s="20" t="s">
        <v>64</v>
      </c>
    </row>
    <row r="10" customFormat="false" ht="15" hidden="false" customHeight="false" outlineLevel="0" collapsed="false">
      <c r="E10" s="20" t="s">
        <v>65</v>
      </c>
    </row>
    <row r="11" customFormat="false" ht="12.75" hidden="false" customHeight="false" outlineLevel="0" collapsed="false">
      <c r="E11" s="0" t="s">
        <v>66</v>
      </c>
    </row>
    <row r="12" customFormat="false" ht="12.75" hidden="false" customHeight="false" outlineLevel="0" collapsed="false">
      <c r="E12" s="0" t="s">
        <v>67</v>
      </c>
    </row>
    <row r="13" customFormat="false" ht="12.75" hidden="false" customHeight="false" outlineLevel="0" collapsed="false">
      <c r="E13" s="0" t="s">
        <v>68</v>
      </c>
    </row>
    <row r="16" customFormat="false" ht="17.25" hidden="false" customHeight="false" outlineLevel="0" collapsed="false">
      <c r="A16" s="21" t="s">
        <v>69</v>
      </c>
      <c r="B16" s="21"/>
    </row>
    <row r="17" customFormat="false" ht="15" hidden="false" customHeight="false" outlineLevel="0" collapsed="false">
      <c r="A17" s="22" t="s">
        <v>76</v>
      </c>
      <c r="B17" s="22"/>
    </row>
    <row r="18" customFormat="false" ht="14.25" hidden="false" customHeight="false" outlineLevel="0" collapsed="false">
      <c r="A18" s="23"/>
      <c r="B18" s="24" t="s">
        <v>82</v>
      </c>
    </row>
    <row r="19" customFormat="false" ht="13.5" hidden="false" customHeight="false" outlineLevel="0" collapsed="false">
      <c r="A19" s="25" t="s">
        <v>1</v>
      </c>
      <c r="B19" s="25" t="s">
        <v>72</v>
      </c>
      <c r="C19" s="25" t="s">
        <v>73</v>
      </c>
      <c r="D19" s="25" t="s">
        <v>74</v>
      </c>
      <c r="E19" s="25" t="s">
        <v>4</v>
      </c>
    </row>
    <row r="20" customFormat="false" ht="12.75" hidden="false" customHeight="false" outlineLevel="0" collapsed="false">
      <c r="A20" s="26" t="s">
        <v>518</v>
      </c>
      <c r="B20" s="0" t="s">
        <v>84</v>
      </c>
      <c r="C20" s="0" t="n">
        <v>100</v>
      </c>
      <c r="D20" s="27" t="n">
        <v>90</v>
      </c>
      <c r="E20" s="28" t="n">
        <v>67.9479125761986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21.1"/>
    <col collapsed="false" customWidth="true" hidden="false" outlineLevel="0" max="6" min="6" style="0" width="19.22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1" min="11" style="0" width="5.55"/>
    <col collapsed="false" customWidth="true" hidden="false" outlineLevel="0" max="12" min="12" style="0" width="8.56"/>
    <col collapsed="false" customWidth="true" hidden="false" outlineLevel="0" max="13" min="13" style="0" width="19.77"/>
  </cols>
  <sheetData>
    <row r="1" s="2" customFormat="true" ht="28.5" hidden="false" customHeight="true" outlineLevel="0" collapsed="false">
      <c r="A1" s="1" t="s">
        <v>519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249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520</v>
      </c>
      <c r="B6" s="13" t="s">
        <v>315</v>
      </c>
      <c r="C6" s="13" t="s">
        <v>521</v>
      </c>
      <c r="D6" s="13" t="str">
        <f aca="false">"0,0000"</f>
        <v>0,0000</v>
      </c>
      <c r="E6" s="13" t="s">
        <v>317</v>
      </c>
      <c r="F6" s="13" t="s">
        <v>318</v>
      </c>
      <c r="G6" s="19" t="s">
        <v>45</v>
      </c>
      <c r="H6" s="19" t="s">
        <v>292</v>
      </c>
      <c r="I6" s="19" t="s">
        <v>46</v>
      </c>
      <c r="J6" s="19"/>
      <c r="K6" s="13" t="str">
        <f aca="false">"0.00"</f>
        <v>0.00</v>
      </c>
      <c r="L6" s="13" t="str">
        <f aca="false">"0,0000"</f>
        <v>0,0000</v>
      </c>
      <c r="M6" s="13" t="s">
        <v>321</v>
      </c>
    </row>
    <row r="8" customFormat="false" ht="15" hidden="false" customHeight="false" outlineLevel="0" collapsed="false">
      <c r="A8" s="14" t="s">
        <v>522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523</v>
      </c>
      <c r="B9" s="13" t="s">
        <v>524</v>
      </c>
      <c r="C9" s="13" t="s">
        <v>525</v>
      </c>
      <c r="D9" s="13" t="str">
        <f aca="false">"1,1809"</f>
        <v>1,1809</v>
      </c>
      <c r="E9" s="13" t="s">
        <v>13</v>
      </c>
      <c r="F9" s="13" t="s">
        <v>42</v>
      </c>
      <c r="G9" s="13" t="s">
        <v>46</v>
      </c>
      <c r="H9" s="19" t="s">
        <v>59</v>
      </c>
      <c r="I9" s="19" t="s">
        <v>59</v>
      </c>
      <c r="J9" s="19"/>
      <c r="K9" s="13" t="str">
        <f aca="false">"60,0"</f>
        <v>60,0</v>
      </c>
      <c r="L9" s="13" t="str">
        <f aca="false">"70,8540"</f>
        <v>70,8540</v>
      </c>
      <c r="M9" s="13"/>
    </row>
    <row r="11" customFormat="false" ht="15" hidden="false" customHeight="false" outlineLevel="0" collapsed="false">
      <c r="A11" s="14" t="s">
        <v>270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3" t="s">
        <v>526</v>
      </c>
      <c r="B12" s="13" t="s">
        <v>527</v>
      </c>
      <c r="C12" s="13" t="s">
        <v>528</v>
      </c>
      <c r="D12" s="13" t="str">
        <f aca="false">"1,0622"</f>
        <v>1,0622</v>
      </c>
      <c r="E12" s="13" t="s">
        <v>13</v>
      </c>
      <c r="F12" s="13" t="s">
        <v>42</v>
      </c>
      <c r="G12" s="19" t="s">
        <v>292</v>
      </c>
      <c r="H12" s="13" t="s">
        <v>59</v>
      </c>
      <c r="I12" s="19" t="s">
        <v>267</v>
      </c>
      <c r="J12" s="19"/>
      <c r="K12" s="13" t="str">
        <f aca="false">"62,5"</f>
        <v>62,5</v>
      </c>
      <c r="L12" s="13" t="str">
        <f aca="false">"66,3875"</f>
        <v>66,3875</v>
      </c>
      <c r="M12" s="13"/>
    </row>
    <row r="14" customFormat="false" ht="15" hidden="false" customHeight="false" outlineLevel="0" collapsed="false">
      <c r="A14" s="14" t="s">
        <v>9</v>
      </c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2.75" hidden="false" customHeight="false" outlineLevel="0" collapsed="false">
      <c r="A15" s="15" t="s">
        <v>529</v>
      </c>
      <c r="B15" s="15" t="s">
        <v>530</v>
      </c>
      <c r="C15" s="15" t="s">
        <v>531</v>
      </c>
      <c r="D15" s="15" t="str">
        <f aca="false">"1,0365"</f>
        <v>1,0365</v>
      </c>
      <c r="E15" s="15" t="s">
        <v>532</v>
      </c>
      <c r="F15" s="15" t="s">
        <v>42</v>
      </c>
      <c r="G15" s="15" t="s">
        <v>31</v>
      </c>
      <c r="H15" s="15" t="s">
        <v>533</v>
      </c>
      <c r="I15" s="15" t="s">
        <v>330</v>
      </c>
      <c r="J15" s="16"/>
      <c r="K15" s="15" t="str">
        <f aca="false">"95,0"</f>
        <v>95,0</v>
      </c>
      <c r="L15" s="15" t="str">
        <f aca="false">"98,4675"</f>
        <v>98,4675</v>
      </c>
      <c r="M15" s="15"/>
    </row>
    <row r="16" customFormat="false" ht="12.75" hidden="false" customHeight="false" outlineLevel="0" collapsed="false">
      <c r="A16" s="17" t="s">
        <v>534</v>
      </c>
      <c r="B16" s="17" t="s">
        <v>535</v>
      </c>
      <c r="C16" s="17" t="s">
        <v>536</v>
      </c>
      <c r="D16" s="17" t="str">
        <f aca="false">"1,0163"</f>
        <v>1,0163</v>
      </c>
      <c r="E16" s="17" t="s">
        <v>13</v>
      </c>
      <c r="F16" s="17" t="s">
        <v>537</v>
      </c>
      <c r="G16" s="18" t="s">
        <v>221</v>
      </c>
      <c r="H16" s="17" t="s">
        <v>221</v>
      </c>
      <c r="I16" s="18" t="s">
        <v>52</v>
      </c>
      <c r="J16" s="18"/>
      <c r="K16" s="17" t="str">
        <f aca="false">"67,5"</f>
        <v>67,5</v>
      </c>
      <c r="L16" s="17" t="str">
        <f aca="false">"68,6002"</f>
        <v>68,6002</v>
      </c>
      <c r="M16" s="17"/>
    </row>
    <row r="18" customFormat="false" ht="15" hidden="false" customHeight="false" outlineLevel="0" collapsed="false">
      <c r="A18" s="14" t="s">
        <v>222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15" t="s">
        <v>274</v>
      </c>
      <c r="B19" s="15" t="s">
        <v>538</v>
      </c>
      <c r="C19" s="15" t="s">
        <v>276</v>
      </c>
      <c r="D19" s="15" t="str">
        <f aca="false">"0,8572"</f>
        <v>0,8572</v>
      </c>
      <c r="E19" s="15" t="s">
        <v>13</v>
      </c>
      <c r="F19" s="15" t="s">
        <v>42</v>
      </c>
      <c r="G19" s="15" t="s">
        <v>330</v>
      </c>
      <c r="H19" s="15" t="s">
        <v>322</v>
      </c>
      <c r="I19" s="16" t="s">
        <v>323</v>
      </c>
      <c r="J19" s="16"/>
      <c r="K19" s="15" t="str">
        <f aca="false">"97,5"</f>
        <v>97,5</v>
      </c>
      <c r="L19" s="15" t="str">
        <f aca="false">"83,5721"</f>
        <v>83,5721</v>
      </c>
      <c r="M19" s="15" t="s">
        <v>277</v>
      </c>
    </row>
    <row r="20" customFormat="false" ht="12.75" hidden="false" customHeight="false" outlineLevel="0" collapsed="false">
      <c r="A20" s="17" t="s">
        <v>274</v>
      </c>
      <c r="B20" s="17" t="s">
        <v>275</v>
      </c>
      <c r="C20" s="17" t="s">
        <v>276</v>
      </c>
      <c r="D20" s="17" t="str">
        <f aca="false">"0,8572"</f>
        <v>0,8572</v>
      </c>
      <c r="E20" s="17" t="s">
        <v>13</v>
      </c>
      <c r="F20" s="17" t="s">
        <v>42</v>
      </c>
      <c r="G20" s="17" t="s">
        <v>330</v>
      </c>
      <c r="H20" s="17" t="s">
        <v>322</v>
      </c>
      <c r="I20" s="18" t="s">
        <v>323</v>
      </c>
      <c r="J20" s="18"/>
      <c r="K20" s="17" t="str">
        <f aca="false">"97,5"</f>
        <v>97,5</v>
      </c>
      <c r="L20" s="17" t="str">
        <f aca="false">"104,1309"</f>
        <v>104,1309</v>
      </c>
      <c r="M20" s="17" t="s">
        <v>277</v>
      </c>
    </row>
    <row r="22" customFormat="false" ht="15" hidden="false" customHeight="false" outlineLevel="0" collapsed="false">
      <c r="A22" s="14" t="s">
        <v>270</v>
      </c>
      <c r="B22" s="14"/>
      <c r="C22" s="14"/>
      <c r="D22" s="14"/>
      <c r="E22" s="14"/>
      <c r="F22" s="14"/>
      <c r="G22" s="14"/>
      <c r="H22" s="14"/>
      <c r="I22" s="14"/>
      <c r="J22" s="14"/>
    </row>
    <row r="23" customFormat="false" ht="12.75" hidden="false" customHeight="false" outlineLevel="0" collapsed="false">
      <c r="A23" s="15" t="s">
        <v>539</v>
      </c>
      <c r="B23" s="15" t="s">
        <v>540</v>
      </c>
      <c r="C23" s="15" t="s">
        <v>541</v>
      </c>
      <c r="D23" s="15" t="str">
        <f aca="false">"0,9202"</f>
        <v>0,9202</v>
      </c>
      <c r="E23" s="15" t="s">
        <v>13</v>
      </c>
      <c r="F23" s="15" t="s">
        <v>42</v>
      </c>
      <c r="G23" s="15" t="s">
        <v>292</v>
      </c>
      <c r="H23" s="15" t="s">
        <v>59</v>
      </c>
      <c r="I23" s="15" t="s">
        <v>267</v>
      </c>
      <c r="J23" s="16"/>
      <c r="K23" s="15" t="str">
        <f aca="false">"65,0"</f>
        <v>65,0</v>
      </c>
      <c r="L23" s="15" t="str">
        <f aca="false">"59,8130"</f>
        <v>59,8130</v>
      </c>
      <c r="M23" s="15"/>
    </row>
    <row r="24" customFormat="false" ht="12.75" hidden="false" customHeight="false" outlineLevel="0" collapsed="false">
      <c r="A24" s="17" t="s">
        <v>542</v>
      </c>
      <c r="B24" s="17" t="s">
        <v>543</v>
      </c>
      <c r="C24" s="17" t="s">
        <v>544</v>
      </c>
      <c r="D24" s="17" t="str">
        <f aca="false">"0,9061"</f>
        <v>0,9061</v>
      </c>
      <c r="E24" s="17" t="s">
        <v>13</v>
      </c>
      <c r="F24" s="17" t="s">
        <v>42</v>
      </c>
      <c r="G24" s="17" t="s">
        <v>37</v>
      </c>
      <c r="H24" s="17" t="s">
        <v>25</v>
      </c>
      <c r="I24" s="17" t="s">
        <v>30</v>
      </c>
      <c r="J24" s="18"/>
      <c r="K24" s="17" t="str">
        <f aca="false">"82,5"</f>
        <v>82,5</v>
      </c>
      <c r="L24" s="17" t="str">
        <f aca="false">"74,7491"</f>
        <v>74,7491</v>
      </c>
      <c r="M24" s="17"/>
    </row>
    <row r="26" customFormat="false" ht="15" hidden="false" customHeight="false" outlineLevel="0" collapsed="false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customFormat="false" ht="12.75" hidden="false" customHeight="false" outlineLevel="0" collapsed="false">
      <c r="A27" s="15" t="s">
        <v>545</v>
      </c>
      <c r="B27" s="15" t="s">
        <v>546</v>
      </c>
      <c r="C27" s="15" t="s">
        <v>547</v>
      </c>
      <c r="D27" s="15" t="str">
        <f aca="false">"0,8383"</f>
        <v>0,8383</v>
      </c>
      <c r="E27" s="15" t="s">
        <v>13</v>
      </c>
      <c r="F27" s="15" t="s">
        <v>548</v>
      </c>
      <c r="G27" s="15" t="s">
        <v>44</v>
      </c>
      <c r="H27" s="15" t="s">
        <v>45</v>
      </c>
      <c r="I27" s="16" t="s">
        <v>46</v>
      </c>
      <c r="J27" s="16"/>
      <c r="K27" s="15" t="str">
        <f aca="false">"55,0"</f>
        <v>55,0</v>
      </c>
      <c r="L27" s="15" t="str">
        <f aca="false">"46,1065"</f>
        <v>46,1065</v>
      </c>
      <c r="M27" s="15"/>
    </row>
    <row r="28" customFormat="false" ht="12.75" hidden="false" customHeight="false" outlineLevel="0" collapsed="false">
      <c r="A28" s="17" t="s">
        <v>549</v>
      </c>
      <c r="B28" s="17" t="s">
        <v>550</v>
      </c>
      <c r="C28" s="17" t="s">
        <v>551</v>
      </c>
      <c r="D28" s="17" t="str">
        <f aca="false">"0,8893"</f>
        <v>0,8893</v>
      </c>
      <c r="E28" s="17" t="s">
        <v>13</v>
      </c>
      <c r="F28" s="17" t="s">
        <v>552</v>
      </c>
      <c r="G28" s="17" t="s">
        <v>44</v>
      </c>
      <c r="H28" s="17" t="s">
        <v>45</v>
      </c>
      <c r="I28" s="18" t="s">
        <v>46</v>
      </c>
      <c r="J28" s="18"/>
      <c r="K28" s="17" t="str">
        <f aca="false">"55,0"</f>
        <v>55,0</v>
      </c>
      <c r="L28" s="17" t="str">
        <f aca="false">"48,9115"</f>
        <v>48,9115</v>
      </c>
      <c r="M28" s="17" t="s">
        <v>553</v>
      </c>
    </row>
    <row r="30" customFormat="false" ht="15" hidden="false" customHeight="false" outlineLevel="0" collapsed="false">
      <c r="A30" s="14" t="s">
        <v>217</v>
      </c>
      <c r="B30" s="14"/>
      <c r="C30" s="14"/>
      <c r="D30" s="14"/>
      <c r="E30" s="14"/>
      <c r="F30" s="14"/>
      <c r="G30" s="14"/>
      <c r="H30" s="14"/>
      <c r="I30" s="14"/>
      <c r="J30" s="14"/>
    </row>
    <row r="31" customFormat="false" ht="12.75" hidden="false" customHeight="false" outlineLevel="0" collapsed="false">
      <c r="A31" s="13" t="s">
        <v>335</v>
      </c>
      <c r="B31" s="13" t="s">
        <v>336</v>
      </c>
      <c r="C31" s="13" t="s">
        <v>337</v>
      </c>
      <c r="D31" s="13" t="str">
        <f aca="false">"0,7570"</f>
        <v>0,7570</v>
      </c>
      <c r="E31" s="13" t="s">
        <v>338</v>
      </c>
      <c r="F31" s="13" t="s">
        <v>42</v>
      </c>
      <c r="G31" s="13" t="s">
        <v>498</v>
      </c>
      <c r="H31" s="19" t="s">
        <v>149</v>
      </c>
      <c r="I31" s="19"/>
      <c r="J31" s="19"/>
      <c r="K31" s="13" t="str">
        <f aca="false">"90,0"</f>
        <v>90,0</v>
      </c>
      <c r="L31" s="13" t="str">
        <f aca="false">"68,1345"</f>
        <v>68,1345</v>
      </c>
      <c r="M31" s="13"/>
    </row>
    <row r="33" customFormat="false" ht="15" hidden="false" customHeight="false" outlineLevel="0" collapsed="false">
      <c r="A33" s="14" t="s">
        <v>222</v>
      </c>
      <c r="B33" s="14"/>
      <c r="C33" s="14"/>
      <c r="D33" s="14"/>
      <c r="E33" s="14"/>
      <c r="F33" s="14"/>
      <c r="G33" s="14"/>
      <c r="H33" s="14"/>
      <c r="I33" s="14"/>
      <c r="J33" s="14"/>
    </row>
    <row r="34" customFormat="false" ht="12.75" hidden="false" customHeight="false" outlineLevel="0" collapsed="false">
      <c r="A34" s="15" t="s">
        <v>554</v>
      </c>
      <c r="B34" s="15" t="s">
        <v>555</v>
      </c>
      <c r="C34" s="15" t="s">
        <v>556</v>
      </c>
      <c r="D34" s="15" t="str">
        <f aca="false">"0,7393"</f>
        <v>0,7393</v>
      </c>
      <c r="E34" s="15" t="s">
        <v>13</v>
      </c>
      <c r="F34" s="15" t="s">
        <v>42</v>
      </c>
      <c r="G34" s="15" t="s">
        <v>221</v>
      </c>
      <c r="H34" s="15" t="s">
        <v>24</v>
      </c>
      <c r="I34" s="15" t="s">
        <v>52</v>
      </c>
      <c r="J34" s="16"/>
      <c r="K34" s="15" t="str">
        <f aca="false">"72,5"</f>
        <v>72,5</v>
      </c>
      <c r="L34" s="15" t="str">
        <f aca="false">"53,5956"</f>
        <v>53,5956</v>
      </c>
      <c r="M34" s="15"/>
    </row>
    <row r="35" customFormat="false" ht="12.75" hidden="false" customHeight="false" outlineLevel="0" collapsed="false">
      <c r="A35" s="29" t="s">
        <v>557</v>
      </c>
      <c r="B35" s="29" t="s">
        <v>558</v>
      </c>
      <c r="C35" s="29" t="s">
        <v>225</v>
      </c>
      <c r="D35" s="29" t="str">
        <f aca="false">"0,6955"</f>
        <v>0,6955</v>
      </c>
      <c r="E35" s="29" t="s">
        <v>13</v>
      </c>
      <c r="F35" s="29" t="s">
        <v>559</v>
      </c>
      <c r="G35" s="29" t="s">
        <v>560</v>
      </c>
      <c r="H35" s="29" t="s">
        <v>141</v>
      </c>
      <c r="I35" s="30" t="s">
        <v>561</v>
      </c>
      <c r="J35" s="30"/>
      <c r="K35" s="29" t="str">
        <f aca="false">"135,0"</f>
        <v>135,0</v>
      </c>
      <c r="L35" s="29" t="str">
        <f aca="false">"93,8858"</f>
        <v>93,8858</v>
      </c>
      <c r="M35" s="29" t="s">
        <v>562</v>
      </c>
    </row>
    <row r="36" customFormat="false" ht="12.75" hidden="false" customHeight="false" outlineLevel="0" collapsed="false">
      <c r="A36" s="29" t="s">
        <v>563</v>
      </c>
      <c r="B36" s="29" t="s">
        <v>349</v>
      </c>
      <c r="C36" s="29" t="s">
        <v>350</v>
      </c>
      <c r="D36" s="29" t="str">
        <f aca="false">"0,7064"</f>
        <v>0,7064</v>
      </c>
      <c r="E36" s="29" t="s">
        <v>338</v>
      </c>
      <c r="F36" s="29" t="s">
        <v>42</v>
      </c>
      <c r="G36" s="29" t="s">
        <v>498</v>
      </c>
      <c r="H36" s="30"/>
      <c r="I36" s="30"/>
      <c r="J36" s="30"/>
      <c r="K36" s="29" t="str">
        <f aca="false">"90,0"</f>
        <v>90,0</v>
      </c>
      <c r="L36" s="29" t="str">
        <f aca="false">"63,5760"</f>
        <v>63,5760</v>
      </c>
      <c r="M36" s="29"/>
    </row>
    <row r="37" customFormat="false" ht="12.75" hidden="false" customHeight="false" outlineLevel="0" collapsed="false">
      <c r="A37" s="29" t="s">
        <v>564</v>
      </c>
      <c r="B37" s="29" t="s">
        <v>565</v>
      </c>
      <c r="C37" s="29" t="s">
        <v>566</v>
      </c>
      <c r="D37" s="29" t="str">
        <f aca="false">"0,7056"</f>
        <v>0,7056</v>
      </c>
      <c r="E37" s="29" t="s">
        <v>13</v>
      </c>
      <c r="F37" s="29" t="s">
        <v>42</v>
      </c>
      <c r="G37" s="29" t="s">
        <v>334</v>
      </c>
      <c r="H37" s="29" t="s">
        <v>147</v>
      </c>
      <c r="I37" s="29" t="s">
        <v>141</v>
      </c>
      <c r="J37" s="30"/>
      <c r="K37" s="29" t="str">
        <f aca="false">"135,0"</f>
        <v>135,0</v>
      </c>
      <c r="L37" s="29" t="str">
        <f aca="false">"95,2627"</f>
        <v>95,2627</v>
      </c>
      <c r="M37" s="29"/>
    </row>
    <row r="38" customFormat="false" ht="12.75" hidden="false" customHeight="false" outlineLevel="0" collapsed="false">
      <c r="A38" s="29" t="s">
        <v>567</v>
      </c>
      <c r="B38" s="29" t="s">
        <v>568</v>
      </c>
      <c r="C38" s="29" t="s">
        <v>569</v>
      </c>
      <c r="D38" s="29" t="str">
        <f aca="false">"0,6906"</f>
        <v>0,6906</v>
      </c>
      <c r="E38" s="29" t="s">
        <v>13</v>
      </c>
      <c r="F38" s="29" t="s">
        <v>42</v>
      </c>
      <c r="G38" s="29" t="s">
        <v>147</v>
      </c>
      <c r="H38" s="29" t="s">
        <v>141</v>
      </c>
      <c r="I38" s="30" t="s">
        <v>570</v>
      </c>
      <c r="J38" s="30"/>
      <c r="K38" s="29" t="str">
        <f aca="false">"135,0"</f>
        <v>135,0</v>
      </c>
      <c r="L38" s="29" t="str">
        <f aca="false">"93,2310"</f>
        <v>93,2310</v>
      </c>
      <c r="M38" s="29"/>
    </row>
    <row r="39" customFormat="false" ht="12.75" hidden="false" customHeight="false" outlineLevel="0" collapsed="false">
      <c r="A39" s="29" t="s">
        <v>571</v>
      </c>
      <c r="B39" s="29" t="s">
        <v>572</v>
      </c>
      <c r="C39" s="29" t="s">
        <v>573</v>
      </c>
      <c r="D39" s="29" t="str">
        <f aca="false">"0,6990"</f>
        <v>0,6990</v>
      </c>
      <c r="E39" s="29" t="s">
        <v>13</v>
      </c>
      <c r="F39" s="29" t="s">
        <v>42</v>
      </c>
      <c r="G39" s="30" t="s">
        <v>320</v>
      </c>
      <c r="H39" s="29" t="s">
        <v>140</v>
      </c>
      <c r="I39" s="29" t="s">
        <v>334</v>
      </c>
      <c r="J39" s="30"/>
      <c r="K39" s="29" t="str">
        <f aca="false">"125,0"</f>
        <v>125,0</v>
      </c>
      <c r="L39" s="29" t="str">
        <f aca="false">"87,3750"</f>
        <v>87,3750</v>
      </c>
      <c r="M39" s="29"/>
    </row>
    <row r="40" customFormat="false" ht="12.75" hidden="false" customHeight="false" outlineLevel="0" collapsed="false">
      <c r="A40" s="29" t="s">
        <v>574</v>
      </c>
      <c r="B40" s="29" t="s">
        <v>575</v>
      </c>
      <c r="C40" s="29" t="s">
        <v>576</v>
      </c>
      <c r="D40" s="29" t="str">
        <f aca="false">"0,6969"</f>
        <v>0,6969</v>
      </c>
      <c r="E40" s="29" t="s">
        <v>13</v>
      </c>
      <c r="F40" s="29" t="s">
        <v>42</v>
      </c>
      <c r="G40" s="29" t="s">
        <v>323</v>
      </c>
      <c r="H40" s="29" t="s">
        <v>240</v>
      </c>
      <c r="I40" s="29" t="s">
        <v>577</v>
      </c>
      <c r="J40" s="30"/>
      <c r="K40" s="29" t="str">
        <f aca="false">"117,5"</f>
        <v>117,5</v>
      </c>
      <c r="L40" s="29" t="str">
        <f aca="false">"81,8799"</f>
        <v>81,8799</v>
      </c>
      <c r="M40" s="29"/>
    </row>
    <row r="41" customFormat="false" ht="12.75" hidden="false" customHeight="false" outlineLevel="0" collapsed="false">
      <c r="A41" s="29" t="s">
        <v>578</v>
      </c>
      <c r="B41" s="29" t="s">
        <v>579</v>
      </c>
      <c r="C41" s="29" t="s">
        <v>580</v>
      </c>
      <c r="D41" s="29" t="str">
        <f aca="false">"0,6975"</f>
        <v>0,6975</v>
      </c>
      <c r="E41" s="29" t="s">
        <v>13</v>
      </c>
      <c r="F41" s="29" t="s">
        <v>581</v>
      </c>
      <c r="G41" s="29" t="s">
        <v>324</v>
      </c>
      <c r="H41" s="30" t="s">
        <v>577</v>
      </c>
      <c r="I41" s="30" t="s">
        <v>577</v>
      </c>
      <c r="J41" s="30"/>
      <c r="K41" s="29" t="str">
        <f aca="false">"105,0"</f>
        <v>105,0</v>
      </c>
      <c r="L41" s="29" t="str">
        <f aca="false">"73,2427"</f>
        <v>73,2427</v>
      </c>
      <c r="M41" s="29"/>
    </row>
    <row r="42" customFormat="false" ht="12.75" hidden="false" customHeight="false" outlineLevel="0" collapsed="false">
      <c r="A42" s="29" t="s">
        <v>582</v>
      </c>
      <c r="B42" s="29" t="s">
        <v>282</v>
      </c>
      <c r="C42" s="29" t="s">
        <v>283</v>
      </c>
      <c r="D42" s="29" t="str">
        <f aca="false">"0,6940"</f>
        <v>0,6940</v>
      </c>
      <c r="E42" s="29" t="s">
        <v>13</v>
      </c>
      <c r="F42" s="29" t="s">
        <v>284</v>
      </c>
      <c r="G42" s="29" t="s">
        <v>324</v>
      </c>
      <c r="H42" s="30" t="s">
        <v>319</v>
      </c>
      <c r="I42" s="30" t="s">
        <v>319</v>
      </c>
      <c r="J42" s="30"/>
      <c r="K42" s="29" t="str">
        <f aca="false">"105,0"</f>
        <v>105,0</v>
      </c>
      <c r="L42" s="29" t="str">
        <f aca="false">"72,8700"</f>
        <v>72,8700</v>
      </c>
      <c r="M42" s="29"/>
    </row>
    <row r="43" customFormat="false" ht="12.75" hidden="false" customHeight="false" outlineLevel="0" collapsed="false">
      <c r="A43" s="29" t="s">
        <v>583</v>
      </c>
      <c r="B43" s="29" t="s">
        <v>584</v>
      </c>
      <c r="C43" s="29" t="s">
        <v>585</v>
      </c>
      <c r="D43" s="29" t="str">
        <f aca="false">"0,6983"</f>
        <v>0,6983</v>
      </c>
      <c r="E43" s="29" t="s">
        <v>13</v>
      </c>
      <c r="F43" s="29" t="s">
        <v>42</v>
      </c>
      <c r="G43" s="29" t="s">
        <v>324</v>
      </c>
      <c r="H43" s="30" t="s">
        <v>577</v>
      </c>
      <c r="I43" s="30" t="s">
        <v>577</v>
      </c>
      <c r="J43" s="30"/>
      <c r="K43" s="29" t="str">
        <f aca="false">"105,0"</f>
        <v>105,0</v>
      </c>
      <c r="L43" s="29" t="str">
        <f aca="false">"74,7879"</f>
        <v>74,7879</v>
      </c>
      <c r="M43" s="29"/>
    </row>
    <row r="44" customFormat="false" ht="12.75" hidden="false" customHeight="false" outlineLevel="0" collapsed="false">
      <c r="A44" s="17" t="s">
        <v>586</v>
      </c>
      <c r="B44" s="17" t="s">
        <v>587</v>
      </c>
      <c r="C44" s="17" t="s">
        <v>350</v>
      </c>
      <c r="D44" s="17" t="str">
        <f aca="false">"0,7064"</f>
        <v>0,7064</v>
      </c>
      <c r="E44" s="17" t="s">
        <v>13</v>
      </c>
      <c r="F44" s="17" t="s">
        <v>154</v>
      </c>
      <c r="G44" s="17" t="s">
        <v>319</v>
      </c>
      <c r="H44" s="18" t="s">
        <v>577</v>
      </c>
      <c r="I44" s="18" t="s">
        <v>577</v>
      </c>
      <c r="J44" s="18"/>
      <c r="K44" s="17" t="str">
        <f aca="false">"110,0"</f>
        <v>110,0</v>
      </c>
      <c r="L44" s="17" t="str">
        <f aca="false">"82,9879"</f>
        <v>82,9879</v>
      </c>
      <c r="M44" s="17"/>
    </row>
    <row r="46" customFormat="false" ht="15" hidden="false" customHeight="false" outlineLevel="0" collapsed="false">
      <c r="A46" s="14" t="s">
        <v>285</v>
      </c>
      <c r="B46" s="14"/>
      <c r="C46" s="14"/>
      <c r="D46" s="14"/>
      <c r="E46" s="14"/>
      <c r="F46" s="14"/>
      <c r="G46" s="14"/>
      <c r="H46" s="14"/>
      <c r="I46" s="14"/>
      <c r="J46" s="14"/>
    </row>
    <row r="47" customFormat="false" ht="12.75" hidden="false" customHeight="false" outlineLevel="0" collapsed="false">
      <c r="A47" s="15" t="s">
        <v>588</v>
      </c>
      <c r="B47" s="15" t="s">
        <v>589</v>
      </c>
      <c r="C47" s="15" t="s">
        <v>590</v>
      </c>
      <c r="D47" s="15" t="str">
        <f aca="false">"0,6852"</f>
        <v>0,6852</v>
      </c>
      <c r="E47" s="15" t="s">
        <v>13</v>
      </c>
      <c r="F47" s="15" t="s">
        <v>42</v>
      </c>
      <c r="G47" s="15" t="s">
        <v>58</v>
      </c>
      <c r="H47" s="16" t="s">
        <v>45</v>
      </c>
      <c r="I47" s="16" t="s">
        <v>45</v>
      </c>
      <c r="J47" s="16"/>
      <c r="K47" s="15" t="str">
        <f aca="false">"52,5"</f>
        <v>52,5</v>
      </c>
      <c r="L47" s="15" t="str">
        <f aca="false">"35,9704"</f>
        <v>35,9704</v>
      </c>
      <c r="M47" s="15" t="s">
        <v>591</v>
      </c>
    </row>
    <row r="48" customFormat="false" ht="12.75" hidden="false" customHeight="false" outlineLevel="0" collapsed="false">
      <c r="A48" s="29" t="s">
        <v>358</v>
      </c>
      <c r="B48" s="29" t="s">
        <v>359</v>
      </c>
      <c r="C48" s="29" t="s">
        <v>360</v>
      </c>
      <c r="D48" s="29" t="str">
        <f aca="false">"0,6557"</f>
        <v>0,6557</v>
      </c>
      <c r="E48" s="29" t="s">
        <v>338</v>
      </c>
      <c r="F48" s="29" t="s">
        <v>42</v>
      </c>
      <c r="G48" s="29" t="s">
        <v>560</v>
      </c>
      <c r="H48" s="30" t="s">
        <v>570</v>
      </c>
      <c r="I48" s="30" t="s">
        <v>570</v>
      </c>
      <c r="J48" s="30"/>
      <c r="K48" s="29" t="str">
        <f aca="false">"127,5"</f>
        <v>127,5</v>
      </c>
      <c r="L48" s="29" t="str">
        <f aca="false">"83,5954"</f>
        <v>83,5954</v>
      </c>
      <c r="M48" s="29"/>
    </row>
    <row r="49" customFormat="false" ht="12.75" hidden="false" customHeight="false" outlineLevel="0" collapsed="false">
      <c r="A49" s="29" t="s">
        <v>592</v>
      </c>
      <c r="B49" s="29" t="s">
        <v>593</v>
      </c>
      <c r="C49" s="29" t="s">
        <v>594</v>
      </c>
      <c r="D49" s="29" t="str">
        <f aca="false">"0,6529"</f>
        <v>0,6529</v>
      </c>
      <c r="E49" s="29" t="s">
        <v>13</v>
      </c>
      <c r="F49" s="29" t="s">
        <v>42</v>
      </c>
      <c r="G49" s="29" t="s">
        <v>147</v>
      </c>
      <c r="H49" s="30" t="s">
        <v>148</v>
      </c>
      <c r="I49" s="30" t="s">
        <v>142</v>
      </c>
      <c r="J49" s="30"/>
      <c r="K49" s="29" t="str">
        <f aca="false">"130,0"</f>
        <v>130,0</v>
      </c>
      <c r="L49" s="29" t="str">
        <f aca="false">"84,8770"</f>
        <v>84,8770</v>
      </c>
      <c r="M49" s="29"/>
    </row>
    <row r="50" customFormat="false" ht="12.75" hidden="false" customHeight="false" outlineLevel="0" collapsed="false">
      <c r="A50" s="29" t="s">
        <v>595</v>
      </c>
      <c r="B50" s="29" t="s">
        <v>596</v>
      </c>
      <c r="C50" s="29" t="s">
        <v>462</v>
      </c>
      <c r="D50" s="29" t="str">
        <f aca="false">"0,6513"</f>
        <v>0,6513</v>
      </c>
      <c r="E50" s="29" t="s">
        <v>13</v>
      </c>
      <c r="F50" s="29" t="s">
        <v>42</v>
      </c>
      <c r="G50" s="30" t="s">
        <v>597</v>
      </c>
      <c r="H50" s="30" t="s">
        <v>147</v>
      </c>
      <c r="I50" s="29" t="s">
        <v>147</v>
      </c>
      <c r="J50" s="30"/>
      <c r="K50" s="29" t="str">
        <f aca="false">"130,0"</f>
        <v>130,0</v>
      </c>
      <c r="L50" s="29" t="str">
        <f aca="false">"84,6690"</f>
        <v>84,6690</v>
      </c>
      <c r="M50" s="29"/>
    </row>
    <row r="51" customFormat="false" ht="12.75" hidden="false" customHeight="false" outlineLevel="0" collapsed="false">
      <c r="A51" s="29" t="s">
        <v>598</v>
      </c>
      <c r="B51" s="29" t="s">
        <v>599</v>
      </c>
      <c r="C51" s="29" t="s">
        <v>600</v>
      </c>
      <c r="D51" s="29" t="str">
        <f aca="false">"0,6712"</f>
        <v>0,6712</v>
      </c>
      <c r="E51" s="29" t="s">
        <v>13</v>
      </c>
      <c r="F51" s="29" t="s">
        <v>42</v>
      </c>
      <c r="G51" s="29" t="s">
        <v>324</v>
      </c>
      <c r="H51" s="29" t="s">
        <v>319</v>
      </c>
      <c r="I51" s="29" t="s">
        <v>320</v>
      </c>
      <c r="J51" s="30"/>
      <c r="K51" s="29" t="str">
        <f aca="false">"115,0"</f>
        <v>115,0</v>
      </c>
      <c r="L51" s="29" t="str">
        <f aca="false">"77,1880"</f>
        <v>77,1880</v>
      </c>
      <c r="M51" s="29"/>
    </row>
    <row r="52" customFormat="false" ht="12.75" hidden="false" customHeight="false" outlineLevel="0" collapsed="false">
      <c r="A52" s="17" t="s">
        <v>601</v>
      </c>
      <c r="B52" s="17" t="s">
        <v>602</v>
      </c>
      <c r="C52" s="17" t="s">
        <v>603</v>
      </c>
      <c r="D52" s="17" t="str">
        <f aca="false">"0,6446"</f>
        <v>0,6446</v>
      </c>
      <c r="E52" s="17" t="s">
        <v>13</v>
      </c>
      <c r="F52" s="17" t="s">
        <v>467</v>
      </c>
      <c r="G52" s="17" t="s">
        <v>148</v>
      </c>
      <c r="H52" s="17" t="s">
        <v>142</v>
      </c>
      <c r="I52" s="17" t="s">
        <v>155</v>
      </c>
      <c r="J52" s="18"/>
      <c r="K52" s="17" t="str">
        <f aca="false">"150,0"</f>
        <v>150,0</v>
      </c>
      <c r="L52" s="17" t="str">
        <f aca="false">"97,6569"</f>
        <v>97,6569</v>
      </c>
      <c r="M52" s="17"/>
    </row>
    <row r="54" customFormat="false" ht="15" hidden="false" customHeight="false" outlineLevel="0" collapsed="false">
      <c r="A54" s="14" t="s">
        <v>19</v>
      </c>
      <c r="B54" s="14"/>
      <c r="C54" s="14"/>
      <c r="D54" s="14"/>
      <c r="E54" s="14"/>
      <c r="F54" s="14"/>
      <c r="G54" s="14"/>
      <c r="H54" s="14"/>
      <c r="I54" s="14"/>
      <c r="J54" s="14"/>
    </row>
    <row r="55" customFormat="false" ht="12.75" hidden="false" customHeight="false" outlineLevel="0" collapsed="false">
      <c r="A55" s="15" t="s">
        <v>604</v>
      </c>
      <c r="B55" s="15" t="s">
        <v>605</v>
      </c>
      <c r="C55" s="15" t="s">
        <v>606</v>
      </c>
      <c r="D55" s="15" t="str">
        <f aca="false">"0,6141"</f>
        <v>0,6141</v>
      </c>
      <c r="E55" s="15" t="s">
        <v>13</v>
      </c>
      <c r="F55" s="15" t="s">
        <v>42</v>
      </c>
      <c r="G55" s="16" t="s">
        <v>334</v>
      </c>
      <c r="H55" s="16" t="s">
        <v>334</v>
      </c>
      <c r="I55" s="15" t="s">
        <v>334</v>
      </c>
      <c r="J55" s="16"/>
      <c r="K55" s="15" t="str">
        <f aca="false">"125,0"</f>
        <v>125,0</v>
      </c>
      <c r="L55" s="15" t="str">
        <f aca="false">"76,7687"</f>
        <v>76,7687</v>
      </c>
      <c r="M55" s="15"/>
    </row>
    <row r="56" customFormat="false" ht="12.75" hidden="false" customHeight="false" outlineLevel="0" collapsed="false">
      <c r="A56" s="29" t="s">
        <v>607</v>
      </c>
      <c r="B56" s="29" t="s">
        <v>373</v>
      </c>
      <c r="C56" s="29" t="s">
        <v>374</v>
      </c>
      <c r="D56" s="29" t="str">
        <f aca="false">"0,6441"</f>
        <v>0,6441</v>
      </c>
      <c r="E56" s="29" t="s">
        <v>338</v>
      </c>
      <c r="F56" s="29" t="s">
        <v>42</v>
      </c>
      <c r="G56" s="29" t="s">
        <v>324</v>
      </c>
      <c r="H56" s="30" t="s">
        <v>319</v>
      </c>
      <c r="I56" s="29" t="s">
        <v>320</v>
      </c>
      <c r="J56" s="30"/>
      <c r="K56" s="29" t="str">
        <f aca="false">"115,0"</f>
        <v>115,0</v>
      </c>
      <c r="L56" s="29" t="str">
        <f aca="false">"74,0715"</f>
        <v>74,0715</v>
      </c>
      <c r="M56" s="29"/>
    </row>
    <row r="57" customFormat="false" ht="12.75" hidden="false" customHeight="false" outlineLevel="0" collapsed="false">
      <c r="A57" s="29" t="s">
        <v>608</v>
      </c>
      <c r="B57" s="29" t="s">
        <v>609</v>
      </c>
      <c r="C57" s="29" t="s">
        <v>610</v>
      </c>
      <c r="D57" s="29" t="str">
        <f aca="false">"0,6133"</f>
        <v>0,6133</v>
      </c>
      <c r="E57" s="29" t="s">
        <v>317</v>
      </c>
      <c r="F57" s="29" t="s">
        <v>318</v>
      </c>
      <c r="G57" s="29" t="s">
        <v>334</v>
      </c>
      <c r="H57" s="29" t="s">
        <v>141</v>
      </c>
      <c r="I57" s="30" t="s">
        <v>148</v>
      </c>
      <c r="J57" s="30"/>
      <c r="K57" s="29" t="str">
        <f aca="false">"135,0"</f>
        <v>135,0</v>
      </c>
      <c r="L57" s="29" t="str">
        <f aca="false">"82,8022"</f>
        <v>82,8022</v>
      </c>
      <c r="M57" s="29" t="s">
        <v>321</v>
      </c>
    </row>
    <row r="58" customFormat="false" ht="12.75" hidden="false" customHeight="false" outlineLevel="0" collapsed="false">
      <c r="A58" s="29" t="s">
        <v>611</v>
      </c>
      <c r="B58" s="29" t="s">
        <v>612</v>
      </c>
      <c r="C58" s="29" t="s">
        <v>613</v>
      </c>
      <c r="D58" s="29" t="str">
        <f aca="false">"0,6169"</f>
        <v>0,6169</v>
      </c>
      <c r="E58" s="29" t="s">
        <v>13</v>
      </c>
      <c r="F58" s="29" t="s">
        <v>42</v>
      </c>
      <c r="G58" s="30" t="s">
        <v>140</v>
      </c>
      <c r="H58" s="29" t="s">
        <v>334</v>
      </c>
      <c r="I58" s="30" t="s">
        <v>614</v>
      </c>
      <c r="J58" s="30"/>
      <c r="K58" s="29" t="str">
        <f aca="false">"125,0"</f>
        <v>125,0</v>
      </c>
      <c r="L58" s="29" t="str">
        <f aca="false">"77,1063"</f>
        <v>77,1063</v>
      </c>
      <c r="M58" s="29" t="s">
        <v>615</v>
      </c>
    </row>
    <row r="59" customFormat="false" ht="12.75" hidden="false" customHeight="false" outlineLevel="0" collapsed="false">
      <c r="A59" s="29" t="s">
        <v>616</v>
      </c>
      <c r="B59" s="29" t="s">
        <v>617</v>
      </c>
      <c r="C59" s="29" t="s">
        <v>503</v>
      </c>
      <c r="D59" s="29" t="str">
        <f aca="false">"0,6269"</f>
        <v>0,6269</v>
      </c>
      <c r="E59" s="29" t="s">
        <v>13</v>
      </c>
      <c r="F59" s="29" t="s">
        <v>42</v>
      </c>
      <c r="G59" s="29" t="s">
        <v>320</v>
      </c>
      <c r="H59" s="29" t="s">
        <v>577</v>
      </c>
      <c r="I59" s="30" t="s">
        <v>140</v>
      </c>
      <c r="J59" s="30"/>
      <c r="K59" s="29" t="str">
        <f aca="false">"117,5"</f>
        <v>117,5</v>
      </c>
      <c r="L59" s="29" t="str">
        <f aca="false">"73,6549"</f>
        <v>73,6549</v>
      </c>
      <c r="M59" s="29" t="s">
        <v>618</v>
      </c>
    </row>
    <row r="60" customFormat="false" ht="12.75" hidden="false" customHeight="false" outlineLevel="0" collapsed="false">
      <c r="A60" s="29" t="s">
        <v>619</v>
      </c>
      <c r="B60" s="29" t="s">
        <v>620</v>
      </c>
      <c r="C60" s="29" t="s">
        <v>621</v>
      </c>
      <c r="D60" s="29" t="str">
        <f aca="false">"0,6122"</f>
        <v>0,6122</v>
      </c>
      <c r="E60" s="29" t="s">
        <v>317</v>
      </c>
      <c r="F60" s="29" t="s">
        <v>318</v>
      </c>
      <c r="G60" s="30" t="s">
        <v>167</v>
      </c>
      <c r="H60" s="30" t="s">
        <v>160</v>
      </c>
      <c r="I60" s="30" t="s">
        <v>160</v>
      </c>
      <c r="J60" s="30"/>
      <c r="K60" s="29" t="str">
        <f aca="false">"0.00"</f>
        <v>0.00</v>
      </c>
      <c r="L60" s="29" t="str">
        <f aca="false">"0,0000"</f>
        <v>0,0000</v>
      </c>
      <c r="M60" s="29" t="s">
        <v>321</v>
      </c>
    </row>
    <row r="61" customFormat="false" ht="12.75" hidden="false" customHeight="false" outlineLevel="0" collapsed="false">
      <c r="A61" s="17" t="s">
        <v>622</v>
      </c>
      <c r="B61" s="17" t="s">
        <v>623</v>
      </c>
      <c r="C61" s="17" t="s">
        <v>624</v>
      </c>
      <c r="D61" s="17" t="str">
        <f aca="false">"0,6137"</f>
        <v>0,6137</v>
      </c>
      <c r="E61" s="17" t="s">
        <v>13</v>
      </c>
      <c r="F61" s="17" t="s">
        <v>625</v>
      </c>
      <c r="G61" s="17" t="s">
        <v>147</v>
      </c>
      <c r="H61" s="17" t="s">
        <v>142</v>
      </c>
      <c r="I61" s="17" t="s">
        <v>347</v>
      </c>
      <c r="J61" s="18"/>
      <c r="K61" s="17" t="str">
        <f aca="false">"155,0"</f>
        <v>155,0</v>
      </c>
      <c r="L61" s="17" t="str">
        <f aca="false">"107,4983"</f>
        <v>107,4983</v>
      </c>
      <c r="M61" s="17"/>
    </row>
    <row r="63" customFormat="false" ht="15" hidden="false" customHeight="false" outlineLevel="0" collapsed="false">
      <c r="A63" s="14" t="s">
        <v>32</v>
      </c>
      <c r="B63" s="14"/>
      <c r="C63" s="14"/>
      <c r="D63" s="14"/>
      <c r="E63" s="14"/>
      <c r="F63" s="14"/>
      <c r="G63" s="14"/>
      <c r="H63" s="14"/>
      <c r="I63" s="14"/>
      <c r="J63" s="14"/>
    </row>
    <row r="64" customFormat="false" ht="12.75" hidden="false" customHeight="false" outlineLevel="0" collapsed="false">
      <c r="A64" s="15" t="s">
        <v>626</v>
      </c>
      <c r="B64" s="15" t="s">
        <v>627</v>
      </c>
      <c r="C64" s="15" t="s">
        <v>298</v>
      </c>
      <c r="D64" s="15" t="str">
        <f aca="false">"0,5882"</f>
        <v>0,5882</v>
      </c>
      <c r="E64" s="15" t="s">
        <v>13</v>
      </c>
      <c r="F64" s="15" t="s">
        <v>628</v>
      </c>
      <c r="G64" s="15" t="s">
        <v>339</v>
      </c>
      <c r="H64" s="15" t="s">
        <v>160</v>
      </c>
      <c r="I64" s="16" t="s">
        <v>356</v>
      </c>
      <c r="J64" s="16"/>
      <c r="K64" s="15" t="str">
        <f aca="false">"175,0"</f>
        <v>175,0</v>
      </c>
      <c r="L64" s="15" t="str">
        <f aca="false">"102,9437"</f>
        <v>102,9437</v>
      </c>
      <c r="M64" s="15"/>
    </row>
    <row r="65" customFormat="false" ht="12.75" hidden="false" customHeight="false" outlineLevel="0" collapsed="false">
      <c r="A65" s="29" t="s">
        <v>629</v>
      </c>
      <c r="B65" s="29" t="s">
        <v>630</v>
      </c>
      <c r="C65" s="29" t="s">
        <v>631</v>
      </c>
      <c r="D65" s="29" t="str">
        <f aca="false">"0,5853"</f>
        <v>0,5853</v>
      </c>
      <c r="E65" s="29" t="s">
        <v>13</v>
      </c>
      <c r="F65" s="29" t="s">
        <v>42</v>
      </c>
      <c r="G65" s="29" t="s">
        <v>155</v>
      </c>
      <c r="H65" s="29" t="s">
        <v>632</v>
      </c>
      <c r="I65" s="29" t="s">
        <v>339</v>
      </c>
      <c r="J65" s="30"/>
      <c r="K65" s="29" t="str">
        <f aca="false">"165,0"</f>
        <v>165,0</v>
      </c>
      <c r="L65" s="29" t="str">
        <f aca="false">"96,5827"</f>
        <v>96,5827</v>
      </c>
      <c r="M65" s="29"/>
    </row>
    <row r="66" customFormat="false" ht="12.75" hidden="false" customHeight="false" outlineLevel="0" collapsed="false">
      <c r="A66" s="29" t="s">
        <v>633</v>
      </c>
      <c r="B66" s="29" t="s">
        <v>634</v>
      </c>
      <c r="C66" s="29" t="s">
        <v>635</v>
      </c>
      <c r="D66" s="29" t="str">
        <f aca="false">"0,5867"</f>
        <v>0,5867</v>
      </c>
      <c r="E66" s="29" t="s">
        <v>636</v>
      </c>
      <c r="F66" s="29" t="s">
        <v>355</v>
      </c>
      <c r="G66" s="29" t="s">
        <v>142</v>
      </c>
      <c r="H66" s="30" t="s">
        <v>155</v>
      </c>
      <c r="I66" s="30" t="s">
        <v>155</v>
      </c>
      <c r="J66" s="30"/>
      <c r="K66" s="29" t="str">
        <f aca="false">"145,0"</f>
        <v>145,0</v>
      </c>
      <c r="L66" s="29" t="str">
        <f aca="false">"85,0643"</f>
        <v>85,0643</v>
      </c>
      <c r="M66" s="29"/>
    </row>
    <row r="67" customFormat="false" ht="12.75" hidden="false" customHeight="false" outlineLevel="0" collapsed="false">
      <c r="A67" s="29" t="s">
        <v>637</v>
      </c>
      <c r="B67" s="29" t="s">
        <v>638</v>
      </c>
      <c r="C67" s="29" t="s">
        <v>639</v>
      </c>
      <c r="D67" s="29" t="str">
        <f aca="false">"0,5902"</f>
        <v>0,5902</v>
      </c>
      <c r="E67" s="29" t="s">
        <v>13</v>
      </c>
      <c r="F67" s="29" t="s">
        <v>355</v>
      </c>
      <c r="G67" s="29" t="s">
        <v>312</v>
      </c>
      <c r="H67" s="30" t="s">
        <v>561</v>
      </c>
      <c r="I67" s="30" t="s">
        <v>155</v>
      </c>
      <c r="J67" s="30"/>
      <c r="K67" s="29" t="str">
        <f aca="false">"142,5"</f>
        <v>142,5</v>
      </c>
      <c r="L67" s="29" t="str">
        <f aca="false">"84,1035"</f>
        <v>84,1035</v>
      </c>
      <c r="M67" s="29"/>
    </row>
    <row r="68" customFormat="false" ht="12.75" hidden="false" customHeight="false" outlineLevel="0" collapsed="false">
      <c r="A68" s="29" t="s">
        <v>640</v>
      </c>
      <c r="B68" s="29" t="s">
        <v>641</v>
      </c>
      <c r="C68" s="29" t="s">
        <v>642</v>
      </c>
      <c r="D68" s="29" t="str">
        <f aca="false">"0,5840"</f>
        <v>0,5840</v>
      </c>
      <c r="E68" s="29" t="s">
        <v>13</v>
      </c>
      <c r="F68" s="29" t="s">
        <v>234</v>
      </c>
      <c r="G68" s="29" t="s">
        <v>347</v>
      </c>
      <c r="H68" s="29" t="s">
        <v>167</v>
      </c>
      <c r="I68" s="29" t="s">
        <v>632</v>
      </c>
      <c r="J68" s="30"/>
      <c r="K68" s="29" t="str">
        <f aca="false">"162,5"</f>
        <v>162,5</v>
      </c>
      <c r="L68" s="29" t="str">
        <f aca="false">"100,1281"</f>
        <v>100,1281</v>
      </c>
      <c r="M68" s="29" t="s">
        <v>643</v>
      </c>
    </row>
    <row r="69" customFormat="false" ht="12.75" hidden="false" customHeight="false" outlineLevel="0" collapsed="false">
      <c r="A69" s="17" t="s">
        <v>644</v>
      </c>
      <c r="B69" s="17" t="s">
        <v>645</v>
      </c>
      <c r="C69" s="17" t="s">
        <v>516</v>
      </c>
      <c r="D69" s="17" t="str">
        <f aca="false">"0,5848"</f>
        <v>0,5848</v>
      </c>
      <c r="E69" s="17" t="s">
        <v>13</v>
      </c>
      <c r="F69" s="17" t="s">
        <v>646</v>
      </c>
      <c r="G69" s="17" t="s">
        <v>159</v>
      </c>
      <c r="H69" s="18" t="s">
        <v>160</v>
      </c>
      <c r="I69" s="18" t="s">
        <v>160</v>
      </c>
      <c r="J69" s="18"/>
      <c r="K69" s="17" t="str">
        <f aca="false">"170,0"</f>
        <v>170,0</v>
      </c>
      <c r="L69" s="17" t="str">
        <f aca="false">"126,0595"</f>
        <v>126,0595</v>
      </c>
      <c r="M69" s="17"/>
    </row>
    <row r="71" customFormat="false" ht="15" hidden="false" customHeight="false" outlineLevel="0" collapsed="false">
      <c r="A71" s="14" t="s">
        <v>47</v>
      </c>
      <c r="B71" s="14"/>
      <c r="C71" s="14"/>
      <c r="D71" s="14"/>
      <c r="E71" s="14"/>
      <c r="F71" s="14"/>
      <c r="G71" s="14"/>
      <c r="H71" s="14"/>
      <c r="I71" s="14"/>
      <c r="J71" s="14"/>
    </row>
    <row r="72" customFormat="false" ht="12.75" hidden="false" customHeight="false" outlineLevel="0" collapsed="false">
      <c r="A72" s="15" t="s">
        <v>647</v>
      </c>
      <c r="B72" s="15" t="s">
        <v>648</v>
      </c>
      <c r="C72" s="15" t="s">
        <v>649</v>
      </c>
      <c r="D72" s="15" t="str">
        <f aca="false">"0,5640"</f>
        <v>0,5640</v>
      </c>
      <c r="E72" s="15" t="s">
        <v>13</v>
      </c>
      <c r="F72" s="15" t="s">
        <v>42</v>
      </c>
      <c r="G72" s="16" t="s">
        <v>650</v>
      </c>
      <c r="H72" s="15" t="s">
        <v>651</v>
      </c>
      <c r="I72" s="16" t="s">
        <v>652</v>
      </c>
      <c r="J72" s="16"/>
      <c r="K72" s="15" t="str">
        <f aca="false">"225,0"</f>
        <v>225,0</v>
      </c>
      <c r="L72" s="15" t="str">
        <f aca="false">"126,8888"</f>
        <v>126,8888</v>
      </c>
      <c r="M72" s="15" t="s">
        <v>653</v>
      </c>
    </row>
    <row r="73" customFormat="false" ht="12.75" hidden="false" customHeight="false" outlineLevel="0" collapsed="false">
      <c r="A73" s="29" t="s">
        <v>654</v>
      </c>
      <c r="B73" s="29" t="s">
        <v>655</v>
      </c>
      <c r="C73" s="29" t="s">
        <v>166</v>
      </c>
      <c r="D73" s="29" t="str">
        <f aca="false">"0,5680"</f>
        <v>0,5680</v>
      </c>
      <c r="E73" s="29" t="s">
        <v>317</v>
      </c>
      <c r="F73" s="29" t="s">
        <v>318</v>
      </c>
      <c r="G73" s="29" t="s">
        <v>155</v>
      </c>
      <c r="H73" s="30" t="s">
        <v>167</v>
      </c>
      <c r="I73" s="30" t="s">
        <v>167</v>
      </c>
      <c r="J73" s="30"/>
      <c r="K73" s="29" t="str">
        <f aca="false">"150,0"</f>
        <v>150,0</v>
      </c>
      <c r="L73" s="29" t="str">
        <f aca="false">"85,1925"</f>
        <v>85,1925</v>
      </c>
      <c r="M73" s="29" t="s">
        <v>321</v>
      </c>
    </row>
    <row r="74" customFormat="false" ht="12.75" hidden="false" customHeight="false" outlineLevel="0" collapsed="false">
      <c r="A74" s="29" t="s">
        <v>656</v>
      </c>
      <c r="B74" s="29" t="s">
        <v>657</v>
      </c>
      <c r="C74" s="29" t="s">
        <v>658</v>
      </c>
      <c r="D74" s="29" t="str">
        <f aca="false">"0,5667"</f>
        <v>0,5667</v>
      </c>
      <c r="E74" s="29" t="s">
        <v>13</v>
      </c>
      <c r="F74" s="29" t="s">
        <v>42</v>
      </c>
      <c r="G74" s="29" t="s">
        <v>347</v>
      </c>
      <c r="H74" s="29" t="s">
        <v>167</v>
      </c>
      <c r="I74" s="29" t="s">
        <v>632</v>
      </c>
      <c r="J74" s="30"/>
      <c r="K74" s="29" t="str">
        <f aca="false">"162,5"</f>
        <v>162,5</v>
      </c>
      <c r="L74" s="29" t="str">
        <f aca="false">"107,2929"</f>
        <v>107,2929</v>
      </c>
      <c r="M74" s="29"/>
    </row>
    <row r="75" customFormat="false" ht="12.75" hidden="false" customHeight="false" outlineLevel="0" collapsed="false">
      <c r="A75" s="29" t="s">
        <v>659</v>
      </c>
      <c r="B75" s="29" t="s">
        <v>660</v>
      </c>
      <c r="C75" s="29" t="s">
        <v>256</v>
      </c>
      <c r="D75" s="29" t="str">
        <f aca="false">"0,5695"</f>
        <v>0,5695</v>
      </c>
      <c r="E75" s="29" t="s">
        <v>661</v>
      </c>
      <c r="F75" s="29" t="s">
        <v>42</v>
      </c>
      <c r="G75" s="30" t="s">
        <v>662</v>
      </c>
      <c r="H75" s="30" t="s">
        <v>662</v>
      </c>
      <c r="I75" s="30" t="s">
        <v>662</v>
      </c>
      <c r="J75" s="30"/>
      <c r="K75" s="29" t="str">
        <f aca="false">"0.00"</f>
        <v>0.00</v>
      </c>
      <c r="L75" s="29" t="str">
        <f aca="false">"0,0000"</f>
        <v>0,0000</v>
      </c>
      <c r="M75" s="29"/>
    </row>
    <row r="76" customFormat="false" ht="12.75" hidden="false" customHeight="false" outlineLevel="0" collapsed="false">
      <c r="A76" s="17" t="s">
        <v>663</v>
      </c>
      <c r="B76" s="17" t="s">
        <v>664</v>
      </c>
      <c r="C76" s="17" t="s">
        <v>665</v>
      </c>
      <c r="D76" s="17" t="str">
        <f aca="false">"0,5648"</f>
        <v>0,5648</v>
      </c>
      <c r="E76" s="17" t="s">
        <v>13</v>
      </c>
      <c r="F76" s="17" t="s">
        <v>239</v>
      </c>
      <c r="G76" s="17" t="s">
        <v>140</v>
      </c>
      <c r="H76" s="17" t="s">
        <v>334</v>
      </c>
      <c r="I76" s="17" t="s">
        <v>147</v>
      </c>
      <c r="J76" s="18"/>
      <c r="K76" s="17" t="str">
        <f aca="false">"130,0"</f>
        <v>130,0</v>
      </c>
      <c r="L76" s="17" t="str">
        <f aca="false">"104,3447"</f>
        <v>104,3447</v>
      </c>
      <c r="M76" s="17"/>
    </row>
    <row r="78" customFormat="false" ht="15" hidden="false" customHeight="false" outlineLevel="0" collapsed="false">
      <c r="E78" s="20" t="s">
        <v>63</v>
      </c>
    </row>
    <row r="79" customFormat="false" ht="15" hidden="false" customHeight="false" outlineLevel="0" collapsed="false">
      <c r="E79" s="20" t="s">
        <v>64</v>
      </c>
    </row>
    <row r="80" customFormat="false" ht="15" hidden="false" customHeight="false" outlineLevel="0" collapsed="false">
      <c r="E80" s="20" t="s">
        <v>65</v>
      </c>
    </row>
    <row r="81" customFormat="false" ht="12.75" hidden="false" customHeight="false" outlineLevel="0" collapsed="false">
      <c r="E81" s="0" t="s">
        <v>66</v>
      </c>
    </row>
    <row r="82" customFormat="false" ht="12.75" hidden="false" customHeight="false" outlineLevel="0" collapsed="false">
      <c r="E82" s="0" t="s">
        <v>67</v>
      </c>
    </row>
    <row r="83" customFormat="false" ht="12.75" hidden="false" customHeight="false" outlineLevel="0" collapsed="false">
      <c r="E83" s="0" t="s">
        <v>68</v>
      </c>
    </row>
    <row r="86" customFormat="false" ht="17.25" hidden="false" customHeight="false" outlineLevel="0" collapsed="false">
      <c r="A86" s="21" t="s">
        <v>69</v>
      </c>
      <c r="B86" s="21"/>
    </row>
    <row r="87" customFormat="false" ht="15" hidden="false" customHeight="false" outlineLevel="0" collapsed="false">
      <c r="A87" s="22" t="s">
        <v>70</v>
      </c>
      <c r="B87" s="22"/>
    </row>
    <row r="88" customFormat="false" ht="14.25" hidden="false" customHeight="false" outlineLevel="0" collapsed="false">
      <c r="A88" s="23"/>
      <c r="B88" s="24" t="s">
        <v>414</v>
      </c>
    </row>
    <row r="89" customFormat="false" ht="13.5" hidden="false" customHeight="false" outlineLevel="0" collapsed="false">
      <c r="A89" s="25" t="s">
        <v>1</v>
      </c>
      <c r="B89" s="25" t="s">
        <v>72</v>
      </c>
      <c r="C89" s="25" t="s">
        <v>73</v>
      </c>
      <c r="D89" s="25" t="s">
        <v>74</v>
      </c>
      <c r="E89" s="25" t="s">
        <v>4</v>
      </c>
    </row>
    <row r="90" customFormat="false" ht="12.75" hidden="false" customHeight="false" outlineLevel="0" collapsed="false">
      <c r="A90" s="26" t="s">
        <v>666</v>
      </c>
      <c r="B90" s="0" t="s">
        <v>416</v>
      </c>
      <c r="C90" s="0" t="n">
        <v>56</v>
      </c>
      <c r="D90" s="27" t="n">
        <v>62.5</v>
      </c>
      <c r="E90" s="28" t="n">
        <v>66.3874968886375</v>
      </c>
    </row>
    <row r="92" customFormat="false" ht="14.25" hidden="false" customHeight="false" outlineLevel="0" collapsed="false">
      <c r="A92" s="23"/>
      <c r="B92" s="24" t="s">
        <v>71</v>
      </c>
    </row>
    <row r="93" customFormat="false" ht="13.5" hidden="false" customHeight="false" outlineLevel="0" collapsed="false">
      <c r="A93" s="25" t="s">
        <v>1</v>
      </c>
      <c r="B93" s="25" t="s">
        <v>72</v>
      </c>
      <c r="C93" s="25" t="s">
        <v>73</v>
      </c>
      <c r="D93" s="25" t="s">
        <v>74</v>
      </c>
      <c r="E93" s="25" t="s">
        <v>4</v>
      </c>
    </row>
    <row r="94" customFormat="false" ht="12.75" hidden="false" customHeight="false" outlineLevel="0" collapsed="false">
      <c r="A94" s="26" t="s">
        <v>667</v>
      </c>
      <c r="B94" s="0" t="s">
        <v>71</v>
      </c>
      <c r="C94" s="0" t="n">
        <v>60</v>
      </c>
      <c r="D94" s="27" t="n">
        <v>95</v>
      </c>
      <c r="E94" s="28" t="n">
        <v>98.4674978256226</v>
      </c>
    </row>
    <row r="95" customFormat="false" ht="12.75" hidden="false" customHeight="false" outlineLevel="0" collapsed="false">
      <c r="A95" s="26" t="s">
        <v>300</v>
      </c>
      <c r="B95" s="0" t="s">
        <v>71</v>
      </c>
      <c r="C95" s="0" t="n">
        <v>75</v>
      </c>
      <c r="D95" s="27" t="n">
        <v>97.5</v>
      </c>
      <c r="E95" s="28" t="n">
        <v>83.57212677598</v>
      </c>
    </row>
    <row r="96" customFormat="false" ht="12.75" hidden="false" customHeight="false" outlineLevel="0" collapsed="false">
      <c r="A96" s="26" t="s">
        <v>668</v>
      </c>
      <c r="B96" s="0" t="s">
        <v>71</v>
      </c>
      <c r="C96" s="0" t="n">
        <v>48</v>
      </c>
      <c r="D96" s="27" t="n">
        <v>60</v>
      </c>
      <c r="E96" s="28" t="n">
        <v>70.8539986610413</v>
      </c>
    </row>
    <row r="97" customFormat="false" ht="12.75" hidden="false" customHeight="false" outlineLevel="0" collapsed="false">
      <c r="A97" s="26" t="s">
        <v>669</v>
      </c>
      <c r="B97" s="0" t="s">
        <v>71</v>
      </c>
      <c r="C97" s="0" t="n">
        <v>60</v>
      </c>
      <c r="D97" s="27" t="n">
        <v>67.5</v>
      </c>
      <c r="E97" s="28" t="n">
        <v>68.600247502327</v>
      </c>
    </row>
    <row r="99" customFormat="false" ht="14.25" hidden="false" customHeight="false" outlineLevel="0" collapsed="false">
      <c r="A99" s="23"/>
      <c r="B99" s="24" t="s">
        <v>82</v>
      </c>
    </row>
    <row r="100" customFormat="false" ht="13.5" hidden="false" customHeight="false" outlineLevel="0" collapsed="false">
      <c r="A100" s="25" t="s">
        <v>1</v>
      </c>
      <c r="B100" s="25" t="s">
        <v>72</v>
      </c>
      <c r="C100" s="25" t="s">
        <v>73</v>
      </c>
      <c r="D100" s="25" t="s">
        <v>74</v>
      </c>
      <c r="E100" s="25" t="s">
        <v>4</v>
      </c>
    </row>
    <row r="101" customFormat="false" ht="12.75" hidden="false" customHeight="false" outlineLevel="0" collapsed="false">
      <c r="A101" s="26" t="s">
        <v>300</v>
      </c>
      <c r="B101" s="0" t="s">
        <v>84</v>
      </c>
      <c r="C101" s="0" t="n">
        <v>75</v>
      </c>
      <c r="D101" s="27" t="n">
        <v>97.5</v>
      </c>
      <c r="E101" s="28" t="n">
        <v>104.130869962871</v>
      </c>
    </row>
    <row r="104" customFormat="false" ht="15" hidden="false" customHeight="false" outlineLevel="0" collapsed="false">
      <c r="A104" s="22" t="s">
        <v>76</v>
      </c>
      <c r="B104" s="22"/>
    </row>
    <row r="105" customFormat="false" ht="14.25" hidden="false" customHeight="false" outlineLevel="0" collapsed="false">
      <c r="A105" s="23"/>
      <c r="B105" s="24" t="s">
        <v>259</v>
      </c>
    </row>
    <row r="106" customFormat="false" ht="13.5" hidden="false" customHeight="false" outlineLevel="0" collapsed="false">
      <c r="A106" s="25" t="s">
        <v>1</v>
      </c>
      <c r="B106" s="25" t="s">
        <v>72</v>
      </c>
      <c r="C106" s="25" t="s">
        <v>73</v>
      </c>
      <c r="D106" s="25" t="s">
        <v>74</v>
      </c>
      <c r="E106" s="25" t="s">
        <v>4</v>
      </c>
    </row>
    <row r="107" customFormat="false" ht="12.75" hidden="false" customHeight="false" outlineLevel="0" collapsed="false">
      <c r="A107" s="26" t="s">
        <v>670</v>
      </c>
      <c r="B107" s="0" t="s">
        <v>425</v>
      </c>
      <c r="C107" s="0" t="n">
        <v>90</v>
      </c>
      <c r="D107" s="27" t="n">
        <v>125</v>
      </c>
      <c r="E107" s="28" t="n">
        <v>76.7687484622002</v>
      </c>
    </row>
    <row r="108" customFormat="false" ht="12.75" hidden="false" customHeight="false" outlineLevel="0" collapsed="false">
      <c r="A108" s="26" t="s">
        <v>424</v>
      </c>
      <c r="B108" s="0" t="s">
        <v>425</v>
      </c>
      <c r="C108" s="0" t="n">
        <v>67.5</v>
      </c>
      <c r="D108" s="27" t="n">
        <v>90</v>
      </c>
      <c r="E108" s="28" t="n">
        <v>68.134498000145</v>
      </c>
    </row>
    <row r="109" customFormat="false" ht="12.75" hidden="false" customHeight="false" outlineLevel="0" collapsed="false">
      <c r="A109" s="26" t="s">
        <v>671</v>
      </c>
      <c r="B109" s="0" t="s">
        <v>672</v>
      </c>
      <c r="C109" s="0" t="n">
        <v>56</v>
      </c>
      <c r="D109" s="27" t="n">
        <v>65</v>
      </c>
      <c r="E109" s="28" t="n">
        <v>59.8129993677139</v>
      </c>
    </row>
    <row r="110" customFormat="false" ht="12.75" hidden="false" customHeight="false" outlineLevel="0" collapsed="false">
      <c r="A110" s="26" t="s">
        <v>673</v>
      </c>
      <c r="B110" s="0" t="s">
        <v>422</v>
      </c>
      <c r="C110" s="0" t="n">
        <v>75</v>
      </c>
      <c r="D110" s="27" t="n">
        <v>72.5</v>
      </c>
      <c r="E110" s="28" t="n">
        <v>53.5956253111362</v>
      </c>
    </row>
    <row r="111" customFormat="false" ht="12.75" hidden="false" customHeight="false" outlineLevel="0" collapsed="false">
      <c r="A111" s="26" t="s">
        <v>674</v>
      </c>
      <c r="B111" s="0" t="s">
        <v>422</v>
      </c>
      <c r="C111" s="0" t="n">
        <v>60</v>
      </c>
      <c r="D111" s="27" t="n">
        <v>55</v>
      </c>
      <c r="E111" s="28" t="n">
        <v>48.9114993810654</v>
      </c>
    </row>
    <row r="112" customFormat="false" ht="12.75" hidden="false" customHeight="false" outlineLevel="0" collapsed="false">
      <c r="A112" s="26" t="s">
        <v>675</v>
      </c>
      <c r="B112" s="0" t="s">
        <v>672</v>
      </c>
      <c r="C112" s="0" t="n">
        <v>60</v>
      </c>
      <c r="D112" s="27" t="n">
        <v>55</v>
      </c>
      <c r="E112" s="28" t="n">
        <v>46.1064994335175</v>
      </c>
    </row>
    <row r="113" customFormat="false" ht="12.75" hidden="false" customHeight="false" outlineLevel="0" collapsed="false">
      <c r="A113" s="26" t="s">
        <v>676</v>
      </c>
      <c r="B113" s="0" t="s">
        <v>672</v>
      </c>
      <c r="C113" s="0" t="n">
        <v>82.5</v>
      </c>
      <c r="D113" s="27" t="n">
        <v>52.5</v>
      </c>
      <c r="E113" s="28" t="n">
        <v>35.970376431942</v>
      </c>
    </row>
    <row r="115" customFormat="false" ht="14.25" hidden="false" customHeight="false" outlineLevel="0" collapsed="false">
      <c r="A115" s="23"/>
      <c r="B115" s="24" t="s">
        <v>414</v>
      </c>
    </row>
    <row r="116" customFormat="false" ht="13.5" hidden="false" customHeight="false" outlineLevel="0" collapsed="false">
      <c r="A116" s="25" t="s">
        <v>1</v>
      </c>
      <c r="B116" s="25" t="s">
        <v>72</v>
      </c>
      <c r="C116" s="25" t="s">
        <v>73</v>
      </c>
      <c r="D116" s="25" t="s">
        <v>74</v>
      </c>
      <c r="E116" s="25" t="s">
        <v>4</v>
      </c>
    </row>
    <row r="117" customFormat="false" ht="12.75" hidden="false" customHeight="false" outlineLevel="0" collapsed="false">
      <c r="A117" s="26" t="s">
        <v>677</v>
      </c>
      <c r="B117" s="0" t="s">
        <v>416</v>
      </c>
      <c r="C117" s="0" t="n">
        <v>75</v>
      </c>
      <c r="D117" s="27" t="n">
        <v>135</v>
      </c>
      <c r="E117" s="28" t="n">
        <v>93.8857510685921</v>
      </c>
    </row>
    <row r="118" customFormat="false" ht="12.75" hidden="false" customHeight="false" outlineLevel="0" collapsed="false">
      <c r="A118" s="26" t="s">
        <v>427</v>
      </c>
      <c r="B118" s="0" t="s">
        <v>416</v>
      </c>
      <c r="C118" s="0" t="n">
        <v>82.5</v>
      </c>
      <c r="D118" s="27" t="n">
        <v>127.5</v>
      </c>
      <c r="E118" s="28" t="n">
        <v>83.5953775048256</v>
      </c>
    </row>
    <row r="119" customFormat="false" ht="12.75" hidden="false" customHeight="false" outlineLevel="0" collapsed="false">
      <c r="A119" s="26" t="s">
        <v>429</v>
      </c>
      <c r="B119" s="0" t="s">
        <v>416</v>
      </c>
      <c r="C119" s="0" t="n">
        <v>90</v>
      </c>
      <c r="D119" s="27" t="n">
        <v>115</v>
      </c>
      <c r="E119" s="28" t="n">
        <v>74.0715011954308</v>
      </c>
    </row>
    <row r="120" customFormat="false" ht="12.75" hidden="false" customHeight="false" outlineLevel="0" collapsed="false">
      <c r="A120" s="26" t="s">
        <v>426</v>
      </c>
      <c r="B120" s="0" t="s">
        <v>416</v>
      </c>
      <c r="C120" s="0" t="n">
        <v>75</v>
      </c>
      <c r="D120" s="27" t="n">
        <v>90</v>
      </c>
      <c r="E120" s="28" t="n">
        <v>63.5759979486465</v>
      </c>
    </row>
    <row r="122" customFormat="false" ht="14.25" hidden="false" customHeight="false" outlineLevel="0" collapsed="false">
      <c r="A122" s="23"/>
      <c r="B122" s="24" t="s">
        <v>71</v>
      </c>
    </row>
    <row r="123" customFormat="false" ht="13.5" hidden="false" customHeight="false" outlineLevel="0" collapsed="false">
      <c r="A123" s="25" t="s">
        <v>1</v>
      </c>
      <c r="B123" s="25" t="s">
        <v>72</v>
      </c>
      <c r="C123" s="25" t="s">
        <v>73</v>
      </c>
      <c r="D123" s="25" t="s">
        <v>74</v>
      </c>
      <c r="E123" s="25" t="s">
        <v>4</v>
      </c>
    </row>
    <row r="124" customFormat="false" ht="12.75" hidden="false" customHeight="false" outlineLevel="0" collapsed="false">
      <c r="A124" s="26" t="s">
        <v>678</v>
      </c>
      <c r="B124" s="0" t="s">
        <v>71</v>
      </c>
      <c r="C124" s="0" t="n">
        <v>110</v>
      </c>
      <c r="D124" s="27" t="n">
        <v>225</v>
      </c>
      <c r="E124" s="28" t="n">
        <v>126.888750493526</v>
      </c>
    </row>
    <row r="125" customFormat="false" ht="12.75" hidden="false" customHeight="false" outlineLevel="0" collapsed="false">
      <c r="A125" s="26" t="s">
        <v>679</v>
      </c>
      <c r="B125" s="0" t="s">
        <v>71</v>
      </c>
      <c r="C125" s="0" t="n">
        <v>100</v>
      </c>
      <c r="D125" s="27" t="n">
        <v>175</v>
      </c>
      <c r="E125" s="28" t="n">
        <v>102.943746745586</v>
      </c>
    </row>
    <row r="126" customFormat="false" ht="12.75" hidden="false" customHeight="false" outlineLevel="0" collapsed="false">
      <c r="A126" s="26" t="s">
        <v>680</v>
      </c>
      <c r="B126" s="0" t="s">
        <v>71</v>
      </c>
      <c r="C126" s="0" t="n">
        <v>100</v>
      </c>
      <c r="D126" s="27" t="n">
        <v>165</v>
      </c>
      <c r="E126" s="28" t="n">
        <v>96.5827462077141</v>
      </c>
    </row>
    <row r="127" customFormat="false" ht="12.75" hidden="false" customHeight="false" outlineLevel="0" collapsed="false">
      <c r="A127" s="26" t="s">
        <v>681</v>
      </c>
      <c r="B127" s="0" t="s">
        <v>71</v>
      </c>
      <c r="C127" s="0" t="n">
        <v>75</v>
      </c>
      <c r="D127" s="27" t="n">
        <v>135</v>
      </c>
      <c r="E127" s="28" t="n">
        <v>95.2627462148666</v>
      </c>
    </row>
    <row r="128" customFormat="false" ht="12.75" hidden="false" customHeight="false" outlineLevel="0" collapsed="false">
      <c r="A128" s="26" t="s">
        <v>682</v>
      </c>
      <c r="B128" s="0" t="s">
        <v>71</v>
      </c>
      <c r="C128" s="0" t="n">
        <v>75</v>
      </c>
      <c r="D128" s="27" t="n">
        <v>135</v>
      </c>
      <c r="E128" s="28" t="n">
        <v>93.2309970259666</v>
      </c>
    </row>
    <row r="129" customFormat="false" ht="12.75" hidden="false" customHeight="false" outlineLevel="0" collapsed="false">
      <c r="A129" s="26" t="s">
        <v>683</v>
      </c>
      <c r="B129" s="0" t="s">
        <v>71</v>
      </c>
      <c r="C129" s="0" t="n">
        <v>75</v>
      </c>
      <c r="D129" s="27" t="n">
        <v>125</v>
      </c>
      <c r="E129" s="28" t="n">
        <v>87.3750001192093</v>
      </c>
    </row>
    <row r="130" customFormat="false" ht="12.75" hidden="false" customHeight="false" outlineLevel="0" collapsed="false">
      <c r="A130" s="26" t="s">
        <v>684</v>
      </c>
      <c r="B130" s="0" t="s">
        <v>71</v>
      </c>
      <c r="C130" s="0" t="n">
        <v>110</v>
      </c>
      <c r="D130" s="27" t="n">
        <v>150</v>
      </c>
      <c r="E130" s="28" t="n">
        <v>85.1925015449524</v>
      </c>
    </row>
    <row r="131" customFormat="false" ht="12.75" hidden="false" customHeight="false" outlineLevel="0" collapsed="false">
      <c r="A131" s="26" t="s">
        <v>685</v>
      </c>
      <c r="B131" s="0" t="s">
        <v>71</v>
      </c>
      <c r="C131" s="0" t="n">
        <v>100</v>
      </c>
      <c r="D131" s="27" t="n">
        <v>145</v>
      </c>
      <c r="E131" s="28" t="n">
        <v>85.0642520189285</v>
      </c>
    </row>
    <row r="132" customFormat="false" ht="12.75" hidden="false" customHeight="false" outlineLevel="0" collapsed="false">
      <c r="A132" s="26" t="s">
        <v>686</v>
      </c>
      <c r="B132" s="0" t="s">
        <v>71</v>
      </c>
      <c r="C132" s="0" t="n">
        <v>82.5</v>
      </c>
      <c r="D132" s="27" t="n">
        <v>130</v>
      </c>
      <c r="E132" s="28" t="n">
        <v>84.8769974708557</v>
      </c>
    </row>
    <row r="133" customFormat="false" ht="12.75" hidden="false" customHeight="false" outlineLevel="0" collapsed="false">
      <c r="A133" s="26" t="s">
        <v>687</v>
      </c>
      <c r="B133" s="0" t="s">
        <v>71</v>
      </c>
      <c r="C133" s="0" t="n">
        <v>82.5</v>
      </c>
      <c r="D133" s="27" t="n">
        <v>130</v>
      </c>
      <c r="E133" s="28" t="n">
        <v>84.669001698494</v>
      </c>
    </row>
    <row r="134" customFormat="false" ht="12.75" hidden="false" customHeight="false" outlineLevel="0" collapsed="false">
      <c r="A134" s="26" t="s">
        <v>688</v>
      </c>
      <c r="B134" s="0" t="s">
        <v>71</v>
      </c>
      <c r="C134" s="0" t="n">
        <v>100</v>
      </c>
      <c r="D134" s="27" t="n">
        <v>142.5</v>
      </c>
      <c r="E134" s="28" t="n">
        <v>84.1035009920597</v>
      </c>
    </row>
    <row r="135" customFormat="false" ht="12.75" hidden="false" customHeight="false" outlineLevel="0" collapsed="false">
      <c r="A135" s="26" t="s">
        <v>689</v>
      </c>
      <c r="B135" s="0" t="s">
        <v>71</v>
      </c>
      <c r="C135" s="0" t="n">
        <v>90</v>
      </c>
      <c r="D135" s="27" t="n">
        <v>135</v>
      </c>
      <c r="E135" s="28" t="n">
        <v>82.8022465109825</v>
      </c>
    </row>
    <row r="136" customFormat="false" ht="12.75" hidden="false" customHeight="false" outlineLevel="0" collapsed="false">
      <c r="A136" s="26" t="s">
        <v>690</v>
      </c>
      <c r="B136" s="0" t="s">
        <v>71</v>
      </c>
      <c r="C136" s="0" t="n">
        <v>75</v>
      </c>
      <c r="D136" s="27" t="n">
        <v>117.5</v>
      </c>
      <c r="E136" s="28" t="n">
        <v>81.8798752129078</v>
      </c>
    </row>
    <row r="137" customFormat="false" ht="12.75" hidden="false" customHeight="false" outlineLevel="0" collapsed="false">
      <c r="A137" s="26" t="s">
        <v>691</v>
      </c>
      <c r="B137" s="0" t="s">
        <v>71</v>
      </c>
      <c r="C137" s="0" t="n">
        <v>82.5</v>
      </c>
      <c r="D137" s="27" t="n">
        <v>115</v>
      </c>
      <c r="E137" s="28" t="n">
        <v>77.1879974007607</v>
      </c>
    </row>
    <row r="138" customFormat="false" ht="12.75" hidden="false" customHeight="false" outlineLevel="0" collapsed="false">
      <c r="A138" s="26" t="s">
        <v>692</v>
      </c>
      <c r="B138" s="0" t="s">
        <v>71</v>
      </c>
      <c r="C138" s="0" t="n">
        <v>90</v>
      </c>
      <c r="D138" s="27" t="n">
        <v>125</v>
      </c>
      <c r="E138" s="28" t="n">
        <v>77.1062523126602</v>
      </c>
    </row>
    <row r="139" customFormat="false" ht="12.75" hidden="false" customHeight="false" outlineLevel="0" collapsed="false">
      <c r="A139" s="26" t="s">
        <v>693</v>
      </c>
      <c r="B139" s="0" t="s">
        <v>71</v>
      </c>
      <c r="C139" s="0" t="n">
        <v>56</v>
      </c>
      <c r="D139" s="27" t="n">
        <v>82.5</v>
      </c>
      <c r="E139" s="28" t="n">
        <v>74.7491271793842</v>
      </c>
    </row>
    <row r="140" customFormat="false" ht="12.75" hidden="false" customHeight="false" outlineLevel="0" collapsed="false">
      <c r="A140" s="26" t="s">
        <v>694</v>
      </c>
      <c r="B140" s="0" t="s">
        <v>71</v>
      </c>
      <c r="C140" s="0" t="n">
        <v>90</v>
      </c>
      <c r="D140" s="27" t="n">
        <v>117.5</v>
      </c>
      <c r="E140" s="28" t="n">
        <v>73.6548760533333</v>
      </c>
    </row>
    <row r="141" customFormat="false" ht="12.75" hidden="false" customHeight="false" outlineLevel="0" collapsed="false">
      <c r="A141" s="26" t="s">
        <v>695</v>
      </c>
      <c r="B141" s="0" t="s">
        <v>71</v>
      </c>
      <c r="C141" s="0" t="n">
        <v>75</v>
      </c>
      <c r="D141" s="27" t="n">
        <v>105</v>
      </c>
      <c r="E141" s="28" t="n">
        <v>73.2427498698235</v>
      </c>
    </row>
    <row r="142" customFormat="false" ht="12.75" hidden="false" customHeight="false" outlineLevel="0" collapsed="false">
      <c r="A142" s="26" t="s">
        <v>305</v>
      </c>
      <c r="B142" s="0" t="s">
        <v>71</v>
      </c>
      <c r="C142" s="0" t="n">
        <v>75</v>
      </c>
      <c r="D142" s="27" t="n">
        <v>105</v>
      </c>
      <c r="E142" s="28" t="n">
        <v>72.8700006008148</v>
      </c>
    </row>
    <row r="144" customFormat="false" ht="14.25" hidden="false" customHeight="false" outlineLevel="0" collapsed="false">
      <c r="A144" s="23"/>
      <c r="B144" s="24" t="s">
        <v>82</v>
      </c>
    </row>
    <row r="145" customFormat="false" ht="13.5" hidden="false" customHeight="false" outlineLevel="0" collapsed="false">
      <c r="A145" s="25" t="s">
        <v>1</v>
      </c>
      <c r="B145" s="25" t="s">
        <v>72</v>
      </c>
      <c r="C145" s="25" t="s">
        <v>73</v>
      </c>
      <c r="D145" s="25" t="s">
        <v>74</v>
      </c>
      <c r="E145" s="25" t="s">
        <v>4</v>
      </c>
    </row>
    <row r="146" customFormat="false" ht="12.75" hidden="false" customHeight="false" outlineLevel="0" collapsed="false">
      <c r="A146" s="26" t="s">
        <v>696</v>
      </c>
      <c r="B146" s="0" t="s">
        <v>84</v>
      </c>
      <c r="C146" s="0" t="n">
        <v>100</v>
      </c>
      <c r="D146" s="27" t="n">
        <v>170</v>
      </c>
      <c r="E146" s="28" t="n">
        <v>126.059489068985</v>
      </c>
    </row>
    <row r="147" customFormat="false" ht="12.75" hidden="false" customHeight="false" outlineLevel="0" collapsed="false">
      <c r="A147" s="26" t="s">
        <v>697</v>
      </c>
      <c r="B147" s="0" t="s">
        <v>185</v>
      </c>
      <c r="C147" s="0" t="n">
        <v>90</v>
      </c>
      <c r="D147" s="27" t="n">
        <v>155</v>
      </c>
      <c r="E147" s="28" t="n">
        <v>107.498309159279</v>
      </c>
    </row>
    <row r="148" customFormat="false" ht="12.75" hidden="false" customHeight="false" outlineLevel="0" collapsed="false">
      <c r="A148" s="26" t="s">
        <v>698</v>
      </c>
      <c r="B148" s="0" t="s">
        <v>185</v>
      </c>
      <c r="C148" s="0" t="n">
        <v>110</v>
      </c>
      <c r="D148" s="27" t="n">
        <v>162.5</v>
      </c>
      <c r="E148" s="28" t="n">
        <v>107.292857479304</v>
      </c>
    </row>
    <row r="149" customFormat="false" ht="12.75" hidden="false" customHeight="false" outlineLevel="0" collapsed="false">
      <c r="A149" s="26" t="s">
        <v>699</v>
      </c>
      <c r="B149" s="0" t="s">
        <v>700</v>
      </c>
      <c r="C149" s="0" t="n">
        <v>110</v>
      </c>
      <c r="D149" s="27" t="n">
        <v>130</v>
      </c>
      <c r="E149" s="28" t="n">
        <v>104.344735461473</v>
      </c>
    </row>
    <row r="150" customFormat="false" ht="12.75" hidden="false" customHeight="false" outlineLevel="0" collapsed="false">
      <c r="A150" s="26" t="s">
        <v>701</v>
      </c>
      <c r="B150" s="0" t="s">
        <v>88</v>
      </c>
      <c r="C150" s="0" t="n">
        <v>100</v>
      </c>
      <c r="D150" s="27" t="n">
        <v>162.5</v>
      </c>
      <c r="E150" s="28" t="n">
        <v>100.128071825951</v>
      </c>
    </row>
    <row r="151" customFormat="false" ht="12.75" hidden="false" customHeight="false" outlineLevel="0" collapsed="false">
      <c r="A151" s="26" t="s">
        <v>702</v>
      </c>
      <c r="B151" s="0" t="s">
        <v>86</v>
      </c>
      <c r="C151" s="0" t="n">
        <v>82.5</v>
      </c>
      <c r="D151" s="27" t="n">
        <v>150</v>
      </c>
      <c r="E151" s="28" t="n">
        <v>97.656896084547</v>
      </c>
    </row>
    <row r="152" customFormat="false" ht="12.75" hidden="false" customHeight="false" outlineLevel="0" collapsed="false">
      <c r="A152" s="26" t="s">
        <v>703</v>
      </c>
      <c r="B152" s="0" t="s">
        <v>88</v>
      </c>
      <c r="C152" s="0" t="n">
        <v>75</v>
      </c>
      <c r="D152" s="27" t="n">
        <v>110</v>
      </c>
      <c r="E152" s="28" t="n">
        <v>82.9878693223</v>
      </c>
    </row>
    <row r="153" customFormat="false" ht="12.75" hidden="false" customHeight="false" outlineLevel="0" collapsed="false">
      <c r="A153" s="26" t="s">
        <v>704</v>
      </c>
      <c r="B153" s="0" t="s">
        <v>86</v>
      </c>
      <c r="C153" s="0" t="n">
        <v>75</v>
      </c>
      <c r="D153" s="27" t="n">
        <v>105</v>
      </c>
      <c r="E153" s="28" t="n">
        <v>74.7879304289818</v>
      </c>
    </row>
  </sheetData>
  <mergeCells count="21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4:J14"/>
    <mergeCell ref="A18:J18"/>
    <mergeCell ref="A22:J22"/>
    <mergeCell ref="A26:J26"/>
    <mergeCell ref="A30:J30"/>
    <mergeCell ref="A33:J33"/>
    <mergeCell ref="A46:J46"/>
    <mergeCell ref="A54:J54"/>
    <mergeCell ref="A63:J63"/>
    <mergeCell ref="A71:J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" activeCellId="0" sqref="S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3" min="11" style="0" width="5.55"/>
    <col collapsed="false" customWidth="true" hidden="false" outlineLevel="0" max="14" min="14" style="0" width="2.12"/>
    <col collapsed="false" customWidth="true" hidden="false" outlineLevel="0" max="17" min="15" style="0" width="5.55"/>
    <col collapsed="false" customWidth="true" hidden="false" outlineLevel="0" max="18" min="18" style="0" width="3.22"/>
    <col collapsed="false" customWidth="true" hidden="false" outlineLevel="0" max="19" min="19" style="0" width="5.55"/>
    <col collapsed="false" customWidth="true" hidden="false" outlineLevel="0" max="20" min="20" style="0" width="8.56"/>
    <col collapsed="false" customWidth="true" hidden="false" outlineLevel="0" max="21" min="21" style="0" width="15.88"/>
  </cols>
  <sheetData>
    <row r="1" s="2" customFormat="true" ht="28.5" hidden="false" customHeight="true" outlineLevel="0" collapsed="false">
      <c r="A1" s="1" t="s">
        <v>705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4" t="s">
        <v>706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  <c r="K4" s="10" t="n">
        <v>5</v>
      </c>
      <c r="L4" s="10" t="n">
        <v>6</v>
      </c>
      <c r="M4" s="10" t="n">
        <v>7</v>
      </c>
      <c r="N4" s="10" t="n">
        <v>8</v>
      </c>
      <c r="O4" s="10" t="n">
        <v>9</v>
      </c>
      <c r="P4" s="10" t="n">
        <v>10</v>
      </c>
      <c r="Q4" s="10" t="n">
        <v>11</v>
      </c>
      <c r="R4" s="10" t="n">
        <v>12</v>
      </c>
    </row>
    <row r="5" s="12" customFormat="true" ht="15" hidden="false" customHeight="false" outlineLevel="0" collapsed="false">
      <c r="A5" s="11" t="s">
        <v>249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false" ht="12.75" hidden="false" customHeight="false" outlineLevel="0" collapsed="false">
      <c r="A6" s="13" t="s">
        <v>707</v>
      </c>
      <c r="B6" s="13" t="s">
        <v>708</v>
      </c>
      <c r="C6" s="13" t="s">
        <v>709</v>
      </c>
      <c r="D6" s="13" t="str">
        <f aca="false">"1,3130"</f>
        <v>1,3130</v>
      </c>
      <c r="E6" s="13" t="s">
        <v>13</v>
      </c>
      <c r="F6" s="13" t="s">
        <v>42</v>
      </c>
      <c r="G6" s="13" t="s">
        <v>498</v>
      </c>
      <c r="H6" s="13" t="s">
        <v>330</v>
      </c>
      <c r="I6" s="19" t="s">
        <v>149</v>
      </c>
      <c r="J6" s="19"/>
      <c r="K6" s="13" t="s">
        <v>44</v>
      </c>
      <c r="L6" s="19" t="s">
        <v>58</v>
      </c>
      <c r="M6" s="19" t="s">
        <v>58</v>
      </c>
      <c r="N6" s="19"/>
      <c r="O6" s="13" t="s">
        <v>240</v>
      </c>
      <c r="P6" s="13" t="s">
        <v>577</v>
      </c>
      <c r="Q6" s="13" t="s">
        <v>140</v>
      </c>
      <c r="R6" s="19"/>
      <c r="S6" s="13" t="str">
        <f aca="false">"265,0"</f>
        <v>265,0</v>
      </c>
      <c r="T6" s="13" t="str">
        <f aca="false">"347,9450"</f>
        <v>347,9450</v>
      </c>
      <c r="U6" s="13" t="s">
        <v>710</v>
      </c>
    </row>
    <row r="8" customFormat="false" ht="15" hidden="false" customHeight="false" outlineLevel="0" collapsed="false">
      <c r="A8" s="14" t="s">
        <v>217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customFormat="false" ht="12.75" hidden="false" customHeight="false" outlineLevel="0" collapsed="false">
      <c r="A9" s="15" t="s">
        <v>711</v>
      </c>
      <c r="B9" s="15" t="s">
        <v>712</v>
      </c>
      <c r="C9" s="15" t="s">
        <v>713</v>
      </c>
      <c r="D9" s="15" t="str">
        <f aca="false">"0,9145"</f>
        <v>0,9145</v>
      </c>
      <c r="E9" s="15" t="s">
        <v>532</v>
      </c>
      <c r="F9" s="15" t="s">
        <v>42</v>
      </c>
      <c r="G9" s="15" t="s">
        <v>498</v>
      </c>
      <c r="H9" s="15" t="s">
        <v>330</v>
      </c>
      <c r="I9" s="16" t="s">
        <v>149</v>
      </c>
      <c r="J9" s="16"/>
      <c r="K9" s="15" t="s">
        <v>16</v>
      </c>
      <c r="L9" s="15" t="s">
        <v>714</v>
      </c>
      <c r="M9" s="16" t="s">
        <v>17</v>
      </c>
      <c r="N9" s="16"/>
      <c r="O9" s="15" t="s">
        <v>149</v>
      </c>
      <c r="P9" s="15" t="s">
        <v>319</v>
      </c>
      <c r="Q9" s="15" t="s">
        <v>577</v>
      </c>
      <c r="R9" s="16"/>
      <c r="S9" s="15" t="str">
        <f aca="false">"252,5"</f>
        <v>252,5</v>
      </c>
      <c r="T9" s="15" t="str">
        <f aca="false">"230,9112"</f>
        <v>230,9112</v>
      </c>
      <c r="U9" s="15"/>
    </row>
    <row r="10" customFormat="false" ht="12.75" hidden="false" customHeight="false" outlineLevel="0" collapsed="false">
      <c r="A10" s="29" t="s">
        <v>715</v>
      </c>
      <c r="B10" s="29" t="s">
        <v>716</v>
      </c>
      <c r="C10" s="29" t="s">
        <v>717</v>
      </c>
      <c r="D10" s="29" t="str">
        <f aca="false">"0,9547"</f>
        <v>0,9547</v>
      </c>
      <c r="E10" s="29" t="s">
        <v>317</v>
      </c>
      <c r="F10" s="29" t="s">
        <v>318</v>
      </c>
      <c r="G10" s="29" t="s">
        <v>148</v>
      </c>
      <c r="H10" s="29" t="s">
        <v>155</v>
      </c>
      <c r="I10" s="29" t="s">
        <v>167</v>
      </c>
      <c r="J10" s="30"/>
      <c r="K10" s="29" t="s">
        <v>46</v>
      </c>
      <c r="L10" s="30" t="s">
        <v>221</v>
      </c>
      <c r="M10" s="30" t="s">
        <v>221</v>
      </c>
      <c r="N10" s="30"/>
      <c r="O10" s="29" t="s">
        <v>147</v>
      </c>
      <c r="P10" s="29" t="s">
        <v>148</v>
      </c>
      <c r="Q10" s="29" t="s">
        <v>155</v>
      </c>
      <c r="R10" s="30"/>
      <c r="S10" s="29" t="str">
        <f aca="false">"370,0"</f>
        <v>370,0</v>
      </c>
      <c r="T10" s="29" t="str">
        <f aca="false">"353,2390"</f>
        <v>353,2390</v>
      </c>
      <c r="U10" s="29" t="s">
        <v>321</v>
      </c>
    </row>
    <row r="11" customFormat="false" ht="12.75" hidden="false" customHeight="false" outlineLevel="0" collapsed="false">
      <c r="A11" s="17" t="s">
        <v>718</v>
      </c>
      <c r="B11" s="17" t="s">
        <v>719</v>
      </c>
      <c r="C11" s="17" t="s">
        <v>720</v>
      </c>
      <c r="D11" s="17" t="str">
        <f aca="false">"0,9373"</f>
        <v>0,9373</v>
      </c>
      <c r="E11" s="17" t="s">
        <v>13</v>
      </c>
      <c r="F11" s="17" t="s">
        <v>721</v>
      </c>
      <c r="G11" s="17" t="s">
        <v>25</v>
      </c>
      <c r="H11" s="18" t="s">
        <v>498</v>
      </c>
      <c r="I11" s="17" t="s">
        <v>498</v>
      </c>
      <c r="J11" s="18"/>
      <c r="K11" s="17" t="s">
        <v>292</v>
      </c>
      <c r="L11" s="17" t="s">
        <v>59</v>
      </c>
      <c r="M11" s="18" t="s">
        <v>267</v>
      </c>
      <c r="N11" s="18"/>
      <c r="O11" s="17" t="s">
        <v>498</v>
      </c>
      <c r="P11" s="17" t="s">
        <v>149</v>
      </c>
      <c r="Q11" s="17" t="s">
        <v>324</v>
      </c>
      <c r="R11" s="18"/>
      <c r="S11" s="17" t="str">
        <f aca="false">"257,5"</f>
        <v>257,5</v>
      </c>
      <c r="T11" s="17" t="str">
        <f aca="false">"241,3676"</f>
        <v>241,3676</v>
      </c>
      <c r="U11" s="17"/>
    </row>
    <row r="13" customFormat="false" ht="15" hidden="false" customHeight="false" outlineLevel="0" collapsed="false">
      <c r="A13" s="14" t="s">
        <v>222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customFormat="false" ht="12.75" hidden="false" customHeight="false" outlineLevel="0" collapsed="false">
      <c r="A14" s="13" t="s">
        <v>722</v>
      </c>
      <c r="B14" s="13" t="s">
        <v>723</v>
      </c>
      <c r="C14" s="13" t="s">
        <v>585</v>
      </c>
      <c r="D14" s="13" t="str">
        <f aca="false">"0,8468"</f>
        <v>0,8468</v>
      </c>
      <c r="E14" s="13" t="s">
        <v>724</v>
      </c>
      <c r="F14" s="13" t="s">
        <v>721</v>
      </c>
      <c r="G14" s="13" t="s">
        <v>148</v>
      </c>
      <c r="H14" s="13" t="s">
        <v>155</v>
      </c>
      <c r="I14" s="13" t="s">
        <v>167</v>
      </c>
      <c r="J14" s="19"/>
      <c r="K14" s="13" t="s">
        <v>149</v>
      </c>
      <c r="L14" s="13" t="s">
        <v>319</v>
      </c>
      <c r="M14" s="13" t="s">
        <v>320</v>
      </c>
      <c r="N14" s="19"/>
      <c r="O14" s="13" t="s">
        <v>148</v>
      </c>
      <c r="P14" s="13" t="s">
        <v>155</v>
      </c>
      <c r="Q14" s="13" t="s">
        <v>347</v>
      </c>
      <c r="R14" s="19"/>
      <c r="S14" s="13" t="str">
        <f aca="false">"430,0"</f>
        <v>430,0</v>
      </c>
      <c r="T14" s="13" t="str">
        <f aca="false">"364,1240"</f>
        <v>364,1240</v>
      </c>
      <c r="U14" s="13"/>
    </row>
    <row r="16" customFormat="false" ht="15" hidden="false" customHeight="false" outlineLevel="0" collapsed="false">
      <c r="A16" s="14" t="s">
        <v>19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customFormat="false" ht="12.75" hidden="false" customHeight="false" outlineLevel="0" collapsed="false">
      <c r="A17" s="13" t="s">
        <v>725</v>
      </c>
      <c r="B17" s="13" t="s">
        <v>726</v>
      </c>
      <c r="C17" s="13" t="s">
        <v>727</v>
      </c>
      <c r="D17" s="13" t="str">
        <f aca="false">"0,6165"</f>
        <v>0,6165</v>
      </c>
      <c r="E17" s="13" t="s">
        <v>13</v>
      </c>
      <c r="F17" s="13" t="s">
        <v>42</v>
      </c>
      <c r="G17" s="13" t="s">
        <v>148</v>
      </c>
      <c r="H17" s="13" t="s">
        <v>155</v>
      </c>
      <c r="I17" s="19" t="s">
        <v>167</v>
      </c>
      <c r="J17" s="19"/>
      <c r="K17" s="13" t="s">
        <v>330</v>
      </c>
      <c r="L17" s="13" t="s">
        <v>324</v>
      </c>
      <c r="M17" s="13" t="s">
        <v>320</v>
      </c>
      <c r="N17" s="19"/>
      <c r="O17" s="13" t="s">
        <v>155</v>
      </c>
      <c r="P17" s="13" t="s">
        <v>339</v>
      </c>
      <c r="Q17" s="13" t="s">
        <v>356</v>
      </c>
      <c r="R17" s="19"/>
      <c r="S17" s="13" t="str">
        <f aca="false">"445,0"</f>
        <v>445,0</v>
      </c>
      <c r="T17" s="13" t="str">
        <f aca="false">"274,3203"</f>
        <v>274,3203</v>
      </c>
      <c r="U17" s="13"/>
    </row>
    <row r="19" customFormat="false" ht="15" hidden="false" customHeight="false" outlineLevel="0" collapsed="false">
      <c r="A19" s="14" t="s">
        <v>32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customFormat="false" ht="12.75" hidden="false" customHeight="false" outlineLevel="0" collapsed="false">
      <c r="A20" s="15" t="s">
        <v>728</v>
      </c>
      <c r="B20" s="15" t="s">
        <v>729</v>
      </c>
      <c r="C20" s="15" t="s">
        <v>730</v>
      </c>
      <c r="D20" s="15" t="str">
        <f aca="false">"0,5900"</f>
        <v>0,5900</v>
      </c>
      <c r="E20" s="15" t="s">
        <v>13</v>
      </c>
      <c r="F20" s="15" t="s">
        <v>42</v>
      </c>
      <c r="G20" s="15" t="s">
        <v>159</v>
      </c>
      <c r="H20" s="16" t="s">
        <v>370</v>
      </c>
      <c r="I20" s="15" t="s">
        <v>371</v>
      </c>
      <c r="J20" s="16"/>
      <c r="K20" s="15" t="s">
        <v>324</v>
      </c>
      <c r="L20" s="15" t="s">
        <v>320</v>
      </c>
      <c r="M20" s="15" t="s">
        <v>577</v>
      </c>
      <c r="N20" s="16"/>
      <c r="O20" s="15" t="s">
        <v>401</v>
      </c>
      <c r="P20" s="15" t="s">
        <v>343</v>
      </c>
      <c r="Q20" s="15" t="s">
        <v>344</v>
      </c>
      <c r="R20" s="16"/>
      <c r="S20" s="15" t="str">
        <f aca="false">"547,5"</f>
        <v>547,5</v>
      </c>
      <c r="T20" s="15" t="str">
        <f aca="false">"333,0106"</f>
        <v>333,0106</v>
      </c>
      <c r="U20" s="15"/>
    </row>
    <row r="21" customFormat="false" ht="12.75" hidden="false" customHeight="false" outlineLevel="0" collapsed="false">
      <c r="A21" s="17" t="s">
        <v>731</v>
      </c>
      <c r="B21" s="17" t="s">
        <v>732</v>
      </c>
      <c r="C21" s="17" t="s">
        <v>733</v>
      </c>
      <c r="D21" s="17" t="str">
        <f aca="false">"0,5835"</f>
        <v>0,5835</v>
      </c>
      <c r="E21" s="17" t="s">
        <v>13</v>
      </c>
      <c r="F21" s="17" t="s">
        <v>318</v>
      </c>
      <c r="G21" s="17" t="s">
        <v>356</v>
      </c>
      <c r="H21" s="17" t="s">
        <v>357</v>
      </c>
      <c r="I21" s="17" t="s">
        <v>363</v>
      </c>
      <c r="J21" s="18"/>
      <c r="K21" s="17" t="s">
        <v>147</v>
      </c>
      <c r="L21" s="18" t="s">
        <v>141</v>
      </c>
      <c r="M21" s="17" t="s">
        <v>141</v>
      </c>
      <c r="N21" s="18"/>
      <c r="O21" s="18" t="s">
        <v>357</v>
      </c>
      <c r="P21" s="18" t="s">
        <v>363</v>
      </c>
      <c r="Q21" s="18" t="s">
        <v>363</v>
      </c>
      <c r="R21" s="18"/>
      <c r="S21" s="17" t="str">
        <f aca="false">"0.00"</f>
        <v>0.00</v>
      </c>
      <c r="T21" s="17" t="str">
        <f aca="false">"0,0000"</f>
        <v>0,0000</v>
      </c>
      <c r="U21" s="17"/>
    </row>
    <row r="23" customFormat="false" ht="15" hidden="false" customHeight="false" outlineLevel="0" collapsed="false">
      <c r="A23" s="14" t="s">
        <v>47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customFormat="false" ht="12.75" hidden="false" customHeight="false" outlineLevel="0" collapsed="false">
      <c r="A24" s="15" t="s">
        <v>734</v>
      </c>
      <c r="B24" s="15" t="s">
        <v>735</v>
      </c>
      <c r="C24" s="15" t="s">
        <v>256</v>
      </c>
      <c r="D24" s="15" t="str">
        <f aca="false">"0,5695"</f>
        <v>0,5695</v>
      </c>
      <c r="E24" s="15" t="s">
        <v>13</v>
      </c>
      <c r="F24" s="15" t="s">
        <v>42</v>
      </c>
      <c r="G24" s="15" t="s">
        <v>159</v>
      </c>
      <c r="H24" s="15" t="s">
        <v>160</v>
      </c>
      <c r="I24" s="16" t="s">
        <v>357</v>
      </c>
      <c r="J24" s="16"/>
      <c r="K24" s="15" t="s">
        <v>149</v>
      </c>
      <c r="L24" s="15" t="s">
        <v>319</v>
      </c>
      <c r="M24" s="15" t="s">
        <v>140</v>
      </c>
      <c r="N24" s="16"/>
      <c r="O24" s="15" t="s">
        <v>356</v>
      </c>
      <c r="P24" s="15" t="s">
        <v>363</v>
      </c>
      <c r="Q24" s="15" t="s">
        <v>371</v>
      </c>
      <c r="R24" s="16"/>
      <c r="S24" s="15" t="str">
        <f aca="false">"495,0"</f>
        <v>495,0</v>
      </c>
      <c r="T24" s="15" t="str">
        <f aca="false">"281,9272"</f>
        <v>281,9272</v>
      </c>
      <c r="U24" s="15"/>
    </row>
    <row r="25" customFormat="false" ht="12.75" hidden="false" customHeight="false" outlineLevel="0" collapsed="false">
      <c r="A25" s="29" t="s">
        <v>736</v>
      </c>
      <c r="B25" s="29" t="s">
        <v>737</v>
      </c>
      <c r="C25" s="29" t="s">
        <v>738</v>
      </c>
      <c r="D25" s="29" t="str">
        <f aca="false">"0,5742"</f>
        <v>0,5742</v>
      </c>
      <c r="E25" s="29" t="s">
        <v>13</v>
      </c>
      <c r="F25" s="29" t="s">
        <v>120</v>
      </c>
      <c r="G25" s="30" t="s">
        <v>140</v>
      </c>
      <c r="H25" s="30" t="s">
        <v>140</v>
      </c>
      <c r="I25" s="29" t="s">
        <v>140</v>
      </c>
      <c r="J25" s="30"/>
      <c r="K25" s="29" t="s">
        <v>324</v>
      </c>
      <c r="L25" s="29" t="s">
        <v>319</v>
      </c>
      <c r="M25" s="30" t="s">
        <v>240</v>
      </c>
      <c r="N25" s="30"/>
      <c r="O25" s="29" t="s">
        <v>155</v>
      </c>
      <c r="P25" s="29" t="s">
        <v>167</v>
      </c>
      <c r="Q25" s="30" t="s">
        <v>159</v>
      </c>
      <c r="R25" s="30"/>
      <c r="S25" s="29" t="str">
        <f aca="false">"390,0"</f>
        <v>390,0</v>
      </c>
      <c r="T25" s="29" t="str">
        <f aca="false">"223,9380"</f>
        <v>223,9380</v>
      </c>
      <c r="U25" s="29"/>
    </row>
    <row r="26" customFormat="false" ht="12.75" hidden="false" customHeight="false" outlineLevel="0" collapsed="false">
      <c r="A26" s="29" t="s">
        <v>739</v>
      </c>
      <c r="B26" s="29" t="s">
        <v>740</v>
      </c>
      <c r="C26" s="29" t="s">
        <v>658</v>
      </c>
      <c r="D26" s="29" t="str">
        <f aca="false">"0,5667"</f>
        <v>0,5667</v>
      </c>
      <c r="E26" s="29" t="s">
        <v>13</v>
      </c>
      <c r="F26" s="29" t="s">
        <v>42</v>
      </c>
      <c r="G26" s="29" t="s">
        <v>343</v>
      </c>
      <c r="H26" s="29" t="s">
        <v>344</v>
      </c>
      <c r="I26" s="30" t="s">
        <v>473</v>
      </c>
      <c r="J26" s="30"/>
      <c r="K26" s="29" t="s">
        <v>347</v>
      </c>
      <c r="L26" s="30" t="s">
        <v>159</v>
      </c>
      <c r="M26" s="30"/>
      <c r="N26" s="30"/>
      <c r="O26" s="29" t="s">
        <v>356</v>
      </c>
      <c r="P26" s="29" t="s">
        <v>371</v>
      </c>
      <c r="Q26" s="30"/>
      <c r="R26" s="30"/>
      <c r="S26" s="29" t="str">
        <f aca="false">"585,0"</f>
        <v>585,0</v>
      </c>
      <c r="T26" s="29" t="str">
        <f aca="false">"331,5487"</f>
        <v>331,5487</v>
      </c>
      <c r="U26" s="29"/>
    </row>
    <row r="27" customFormat="false" ht="12.75" hidden="false" customHeight="false" outlineLevel="0" collapsed="false">
      <c r="A27" s="17" t="s">
        <v>398</v>
      </c>
      <c r="B27" s="17" t="s">
        <v>399</v>
      </c>
      <c r="C27" s="17" t="s">
        <v>400</v>
      </c>
      <c r="D27" s="17" t="str">
        <f aca="false">"0,5760"</f>
        <v>0,5760</v>
      </c>
      <c r="E27" s="17" t="s">
        <v>13</v>
      </c>
      <c r="F27" s="17" t="s">
        <v>42</v>
      </c>
      <c r="G27" s="17" t="s">
        <v>371</v>
      </c>
      <c r="H27" s="17" t="s">
        <v>401</v>
      </c>
      <c r="I27" s="17" t="s">
        <v>343</v>
      </c>
      <c r="J27" s="18"/>
      <c r="K27" s="17" t="s">
        <v>334</v>
      </c>
      <c r="L27" s="17" t="s">
        <v>141</v>
      </c>
      <c r="M27" s="18"/>
      <c r="N27" s="18"/>
      <c r="O27" s="17" t="s">
        <v>401</v>
      </c>
      <c r="P27" s="17" t="s">
        <v>343</v>
      </c>
      <c r="Q27" s="17" t="s">
        <v>344</v>
      </c>
      <c r="R27" s="18"/>
      <c r="S27" s="17" t="str">
        <f aca="false">"585,0"</f>
        <v>585,0</v>
      </c>
      <c r="T27" s="17" t="str">
        <f aca="false">"369,6772"</f>
        <v>369,6772</v>
      </c>
      <c r="U27" s="17"/>
    </row>
    <row r="29" customFormat="false" ht="15" hidden="false" customHeight="false" outlineLevel="0" collapsed="false">
      <c r="E29" s="20" t="s">
        <v>63</v>
      </c>
    </row>
    <row r="30" customFormat="false" ht="15" hidden="false" customHeight="false" outlineLevel="0" collapsed="false">
      <c r="E30" s="20" t="s">
        <v>64</v>
      </c>
    </row>
    <row r="31" customFormat="false" ht="15" hidden="false" customHeight="false" outlineLevel="0" collapsed="false">
      <c r="E31" s="20" t="s">
        <v>65</v>
      </c>
    </row>
    <row r="32" customFormat="false" ht="12.75" hidden="false" customHeight="false" outlineLevel="0" collapsed="false">
      <c r="E32" s="0" t="s">
        <v>66</v>
      </c>
    </row>
    <row r="33" customFormat="false" ht="12.75" hidden="false" customHeight="false" outlineLevel="0" collapsed="false">
      <c r="E33" s="0" t="s">
        <v>67</v>
      </c>
    </row>
    <row r="34" customFormat="false" ht="12.75" hidden="false" customHeight="false" outlineLevel="0" collapsed="false">
      <c r="E34" s="0" t="s">
        <v>68</v>
      </c>
    </row>
    <row r="37" customFormat="false" ht="17.25" hidden="false" customHeight="false" outlineLevel="0" collapsed="false">
      <c r="A37" s="21" t="s">
        <v>69</v>
      </c>
      <c r="B37" s="21"/>
    </row>
    <row r="38" customFormat="false" ht="15" hidden="false" customHeight="false" outlineLevel="0" collapsed="false">
      <c r="A38" s="22" t="s">
        <v>70</v>
      </c>
      <c r="B38" s="22"/>
    </row>
    <row r="39" customFormat="false" ht="14.25" hidden="false" customHeight="false" outlineLevel="0" collapsed="false">
      <c r="A39" s="23"/>
      <c r="B39" s="24" t="s">
        <v>259</v>
      </c>
    </row>
    <row r="40" customFormat="false" ht="13.5" hidden="false" customHeight="false" outlineLevel="0" collapsed="false">
      <c r="A40" s="25" t="s">
        <v>1</v>
      </c>
      <c r="B40" s="25" t="s">
        <v>72</v>
      </c>
      <c r="C40" s="25" t="s">
        <v>73</v>
      </c>
      <c r="D40" s="25" t="s">
        <v>741</v>
      </c>
      <c r="E40" s="25" t="s">
        <v>4</v>
      </c>
    </row>
    <row r="41" customFormat="false" ht="12.75" hidden="false" customHeight="false" outlineLevel="0" collapsed="false">
      <c r="A41" s="26" t="s">
        <v>742</v>
      </c>
      <c r="B41" s="0" t="s">
        <v>422</v>
      </c>
      <c r="C41" s="0" t="n">
        <v>67.5</v>
      </c>
      <c r="D41" s="27" t="n">
        <v>252.5</v>
      </c>
      <c r="E41" s="28" t="n">
        <v>230.911249518394</v>
      </c>
    </row>
    <row r="43" customFormat="false" ht="14.25" hidden="false" customHeight="false" outlineLevel="0" collapsed="false">
      <c r="A43" s="23"/>
      <c r="B43" s="24" t="s">
        <v>414</v>
      </c>
    </row>
    <row r="44" customFormat="false" ht="13.5" hidden="false" customHeight="false" outlineLevel="0" collapsed="false">
      <c r="A44" s="25" t="s">
        <v>1</v>
      </c>
      <c r="B44" s="25" t="s">
        <v>72</v>
      </c>
      <c r="C44" s="25" t="s">
        <v>73</v>
      </c>
      <c r="D44" s="25" t="s">
        <v>741</v>
      </c>
      <c r="E44" s="25" t="s">
        <v>4</v>
      </c>
    </row>
    <row r="45" customFormat="false" ht="12.75" hidden="false" customHeight="false" outlineLevel="0" collapsed="false">
      <c r="A45" s="26" t="s">
        <v>743</v>
      </c>
      <c r="B45" s="0" t="s">
        <v>416</v>
      </c>
      <c r="C45" s="0" t="n">
        <v>67.5</v>
      </c>
      <c r="D45" s="27" t="n">
        <v>370</v>
      </c>
      <c r="E45" s="28" t="n">
        <v>353.238997459412</v>
      </c>
    </row>
    <row r="47" customFormat="false" ht="14.25" hidden="false" customHeight="false" outlineLevel="0" collapsed="false">
      <c r="A47" s="23"/>
      <c r="B47" s="24" t="s">
        <v>71</v>
      </c>
    </row>
    <row r="48" customFormat="false" ht="13.5" hidden="false" customHeight="false" outlineLevel="0" collapsed="false">
      <c r="A48" s="25" t="s">
        <v>1</v>
      </c>
      <c r="B48" s="25" t="s">
        <v>72</v>
      </c>
      <c r="C48" s="25" t="s">
        <v>73</v>
      </c>
      <c r="D48" s="25" t="s">
        <v>741</v>
      </c>
      <c r="E48" s="25" t="s">
        <v>4</v>
      </c>
    </row>
    <row r="49" customFormat="false" ht="12.75" hidden="false" customHeight="false" outlineLevel="0" collapsed="false">
      <c r="A49" s="26" t="s">
        <v>643</v>
      </c>
      <c r="B49" s="0" t="s">
        <v>71</v>
      </c>
      <c r="C49" s="0" t="n">
        <v>75</v>
      </c>
      <c r="D49" s="27" t="n">
        <v>430</v>
      </c>
      <c r="E49" s="28" t="n">
        <v>364.124012589455</v>
      </c>
    </row>
    <row r="50" customFormat="false" ht="12.75" hidden="false" customHeight="false" outlineLevel="0" collapsed="false">
      <c r="A50" s="26" t="s">
        <v>744</v>
      </c>
      <c r="B50" s="0" t="s">
        <v>71</v>
      </c>
      <c r="C50" s="0" t="n">
        <v>44</v>
      </c>
      <c r="D50" s="27" t="n">
        <v>265</v>
      </c>
      <c r="E50" s="28" t="n">
        <v>347.9449903965</v>
      </c>
    </row>
    <row r="51" customFormat="false" ht="12.75" hidden="false" customHeight="false" outlineLevel="0" collapsed="false">
      <c r="A51" s="26" t="s">
        <v>745</v>
      </c>
      <c r="B51" s="0" t="s">
        <v>71</v>
      </c>
      <c r="C51" s="0" t="n">
        <v>67.5</v>
      </c>
      <c r="D51" s="27" t="n">
        <v>257.5</v>
      </c>
      <c r="E51" s="28" t="n">
        <v>241.367618590593</v>
      </c>
    </row>
    <row r="54" customFormat="false" ht="15" hidden="false" customHeight="false" outlineLevel="0" collapsed="false">
      <c r="A54" s="22" t="s">
        <v>76</v>
      </c>
      <c r="B54" s="22"/>
    </row>
    <row r="55" customFormat="false" ht="14.25" hidden="false" customHeight="false" outlineLevel="0" collapsed="false">
      <c r="A55" s="23"/>
      <c r="B55" s="24" t="s">
        <v>71</v>
      </c>
    </row>
    <row r="56" customFormat="false" ht="13.5" hidden="false" customHeight="false" outlineLevel="0" collapsed="false">
      <c r="A56" s="25" t="s">
        <v>1</v>
      </c>
      <c r="B56" s="25" t="s">
        <v>72</v>
      </c>
      <c r="C56" s="25" t="s">
        <v>73</v>
      </c>
      <c r="D56" s="25" t="s">
        <v>741</v>
      </c>
      <c r="E56" s="25" t="s">
        <v>4</v>
      </c>
    </row>
    <row r="57" customFormat="false" ht="12.75" hidden="false" customHeight="false" outlineLevel="0" collapsed="false">
      <c r="A57" s="26" t="s">
        <v>746</v>
      </c>
      <c r="B57" s="0" t="s">
        <v>71</v>
      </c>
      <c r="C57" s="0" t="n">
        <v>110</v>
      </c>
      <c r="D57" s="27" t="n">
        <v>495</v>
      </c>
      <c r="E57" s="28" t="n">
        <v>281.927239000797</v>
      </c>
    </row>
    <row r="58" customFormat="false" ht="12.75" hidden="false" customHeight="false" outlineLevel="0" collapsed="false">
      <c r="A58" s="26" t="s">
        <v>747</v>
      </c>
      <c r="B58" s="0" t="s">
        <v>71</v>
      </c>
      <c r="C58" s="0" t="n">
        <v>90</v>
      </c>
      <c r="D58" s="27" t="n">
        <v>445</v>
      </c>
      <c r="E58" s="28" t="n">
        <v>274.320255219936</v>
      </c>
    </row>
    <row r="59" customFormat="false" ht="12.75" hidden="false" customHeight="false" outlineLevel="0" collapsed="false">
      <c r="A59" s="26" t="s">
        <v>748</v>
      </c>
      <c r="B59" s="0" t="s">
        <v>71</v>
      </c>
      <c r="C59" s="0" t="n">
        <v>110</v>
      </c>
      <c r="D59" s="27" t="n">
        <v>390</v>
      </c>
      <c r="E59" s="28" t="n">
        <v>223.937990069389</v>
      </c>
    </row>
    <row r="61" customFormat="false" ht="14.25" hidden="false" customHeight="false" outlineLevel="0" collapsed="false">
      <c r="A61" s="23"/>
      <c r="B61" s="24" t="s">
        <v>82</v>
      </c>
    </row>
    <row r="62" customFormat="false" ht="13.5" hidden="false" customHeight="false" outlineLevel="0" collapsed="false">
      <c r="A62" s="25" t="s">
        <v>1</v>
      </c>
      <c r="B62" s="25" t="s">
        <v>72</v>
      </c>
      <c r="C62" s="25" t="s">
        <v>73</v>
      </c>
      <c r="D62" s="25" t="s">
        <v>741</v>
      </c>
      <c r="E62" s="25" t="s">
        <v>4</v>
      </c>
    </row>
    <row r="63" customFormat="false" ht="12.75" hidden="false" customHeight="false" outlineLevel="0" collapsed="false">
      <c r="A63" s="26" t="s">
        <v>438</v>
      </c>
      <c r="B63" s="0" t="s">
        <v>88</v>
      </c>
      <c r="C63" s="0" t="n">
        <v>110</v>
      </c>
      <c r="D63" s="27" t="n">
        <v>585</v>
      </c>
      <c r="E63" s="28" t="n">
        <v>369.677196662128</v>
      </c>
    </row>
    <row r="64" customFormat="false" ht="12.75" hidden="false" customHeight="false" outlineLevel="0" collapsed="false">
      <c r="A64" s="26" t="s">
        <v>749</v>
      </c>
      <c r="B64" s="0" t="s">
        <v>86</v>
      </c>
      <c r="C64" s="0" t="n">
        <v>100</v>
      </c>
      <c r="D64" s="27" t="n">
        <v>547.5</v>
      </c>
      <c r="E64" s="28" t="n">
        <v>333.010565532893</v>
      </c>
    </row>
    <row r="65" customFormat="false" ht="12.75" hidden="false" customHeight="false" outlineLevel="0" collapsed="false">
      <c r="A65" s="26" t="s">
        <v>750</v>
      </c>
      <c r="B65" s="0" t="s">
        <v>86</v>
      </c>
      <c r="C65" s="0" t="n">
        <v>110</v>
      </c>
      <c r="D65" s="27" t="n">
        <v>585</v>
      </c>
      <c r="E65" s="28" t="n">
        <v>331.548744142056</v>
      </c>
    </row>
  </sheetData>
  <mergeCells count="14">
    <mergeCell ref="A1:R2"/>
    <mergeCell ref="A3:A4"/>
    <mergeCell ref="B3:B4"/>
    <mergeCell ref="C3:C4"/>
    <mergeCell ref="D3:D4"/>
    <mergeCell ref="E3:E4"/>
    <mergeCell ref="F3:F4"/>
    <mergeCell ref="G3:R3"/>
    <mergeCell ref="A5:R5"/>
    <mergeCell ref="A8:R8"/>
    <mergeCell ref="A13:R13"/>
    <mergeCell ref="A16:R16"/>
    <mergeCell ref="A19:R19"/>
    <mergeCell ref="A23:R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24.34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3" min="11" style="0" width="5.55"/>
    <col collapsed="false" customWidth="true" hidden="false" outlineLevel="0" max="14" min="14" style="0" width="2.12"/>
    <col collapsed="false" customWidth="true" hidden="false" outlineLevel="0" max="17" min="15" style="0" width="5.55"/>
    <col collapsed="false" customWidth="true" hidden="false" outlineLevel="0" max="18" min="18" style="0" width="3.22"/>
    <col collapsed="false" customWidth="true" hidden="false" outlineLevel="0" max="19" min="19" style="0" width="5.55"/>
    <col collapsed="false" customWidth="true" hidden="false" outlineLevel="0" max="20" min="20" style="0" width="8.56"/>
    <col collapsed="false" customWidth="true" hidden="false" outlineLevel="0" max="21" min="21" style="0" width="14.43"/>
  </cols>
  <sheetData>
    <row r="1" s="2" customFormat="true" ht="28.5" hidden="false" customHeight="true" outlineLevel="0" collapsed="false">
      <c r="A1" s="1" t="s">
        <v>751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4" t="s">
        <v>706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  <c r="K4" s="10" t="n">
        <v>5</v>
      </c>
      <c r="L4" s="10" t="n">
        <v>6</v>
      </c>
      <c r="M4" s="10" t="n">
        <v>7</v>
      </c>
      <c r="N4" s="10" t="n">
        <v>8</v>
      </c>
      <c r="O4" s="10" t="n">
        <v>9</v>
      </c>
      <c r="P4" s="10" t="n">
        <v>10</v>
      </c>
      <c r="Q4" s="10" t="n">
        <v>11</v>
      </c>
      <c r="R4" s="10" t="n">
        <v>12</v>
      </c>
    </row>
    <row r="5" s="12" customFormat="true" ht="15" hidden="false" customHeight="false" outlineLevel="0" collapsed="false">
      <c r="A5" s="11" t="s">
        <v>308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false" ht="12.75" hidden="false" customHeight="false" outlineLevel="0" collapsed="false">
      <c r="A6" s="13" t="s">
        <v>752</v>
      </c>
      <c r="B6" s="13" t="s">
        <v>753</v>
      </c>
      <c r="C6" s="13" t="s">
        <v>754</v>
      </c>
      <c r="D6" s="13" t="str">
        <f aca="false">"1,1678"</f>
        <v>1,1678</v>
      </c>
      <c r="E6" s="13" t="s">
        <v>13</v>
      </c>
      <c r="F6" s="13" t="s">
        <v>721</v>
      </c>
      <c r="G6" s="19" t="s">
        <v>58</v>
      </c>
      <c r="H6" s="19" t="s">
        <v>45</v>
      </c>
      <c r="I6" s="13" t="s">
        <v>46</v>
      </c>
      <c r="J6" s="19"/>
      <c r="K6" s="13" t="s">
        <v>114</v>
      </c>
      <c r="L6" s="13" t="s">
        <v>755</v>
      </c>
      <c r="M6" s="13" t="s">
        <v>714</v>
      </c>
      <c r="N6" s="19"/>
      <c r="O6" s="13" t="s">
        <v>45</v>
      </c>
      <c r="P6" s="13" t="s">
        <v>46</v>
      </c>
      <c r="Q6" s="13" t="s">
        <v>267</v>
      </c>
      <c r="R6" s="19"/>
      <c r="S6" s="13" t="str">
        <f aca="false">"165,0"</f>
        <v>165,0</v>
      </c>
      <c r="T6" s="13" t="str">
        <f aca="false">"192,6870"</f>
        <v>192,6870</v>
      </c>
      <c r="U6" s="13"/>
    </row>
    <row r="8" customFormat="false" ht="15" hidden="false" customHeight="false" outlineLevel="0" collapsed="false">
      <c r="A8" s="14" t="s">
        <v>270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customFormat="false" ht="12.75" hidden="false" customHeight="false" outlineLevel="0" collapsed="false">
      <c r="A9" s="15" t="s">
        <v>756</v>
      </c>
      <c r="B9" s="15" t="s">
        <v>757</v>
      </c>
      <c r="C9" s="15" t="s">
        <v>758</v>
      </c>
      <c r="D9" s="15" t="str">
        <f aca="false">"1,0748"</f>
        <v>1,0748</v>
      </c>
      <c r="E9" s="15" t="s">
        <v>13</v>
      </c>
      <c r="F9" s="15" t="s">
        <v>154</v>
      </c>
      <c r="G9" s="15" t="s">
        <v>44</v>
      </c>
      <c r="H9" s="15" t="s">
        <v>45</v>
      </c>
      <c r="I9" s="15" t="s">
        <v>46</v>
      </c>
      <c r="J9" s="16"/>
      <c r="K9" s="15" t="s">
        <v>114</v>
      </c>
      <c r="L9" s="15" t="s">
        <v>15</v>
      </c>
      <c r="M9" s="16" t="s">
        <v>755</v>
      </c>
      <c r="N9" s="16"/>
      <c r="O9" s="15" t="s">
        <v>46</v>
      </c>
      <c r="P9" s="15" t="s">
        <v>221</v>
      </c>
      <c r="Q9" s="15" t="s">
        <v>52</v>
      </c>
      <c r="R9" s="16"/>
      <c r="S9" s="15" t="str">
        <f aca="false">"165,0"</f>
        <v>165,0</v>
      </c>
      <c r="T9" s="15" t="str">
        <f aca="false">"177,3420"</f>
        <v>177,3420</v>
      </c>
      <c r="U9" s="15"/>
    </row>
    <row r="10" customFormat="false" ht="12.75" hidden="false" customHeight="false" outlineLevel="0" collapsed="false">
      <c r="A10" s="29" t="s">
        <v>759</v>
      </c>
      <c r="B10" s="29" t="s">
        <v>760</v>
      </c>
      <c r="C10" s="29" t="s">
        <v>761</v>
      </c>
      <c r="D10" s="29" t="str">
        <f aca="false">"1,0469"</f>
        <v>1,0469</v>
      </c>
      <c r="E10" s="29" t="s">
        <v>317</v>
      </c>
      <c r="F10" s="29" t="s">
        <v>318</v>
      </c>
      <c r="G10" s="29" t="s">
        <v>149</v>
      </c>
      <c r="H10" s="30" t="s">
        <v>320</v>
      </c>
      <c r="I10" s="30" t="s">
        <v>320</v>
      </c>
      <c r="J10" s="30"/>
      <c r="K10" s="29" t="s">
        <v>45</v>
      </c>
      <c r="L10" s="29" t="s">
        <v>46</v>
      </c>
      <c r="M10" s="30" t="s">
        <v>267</v>
      </c>
      <c r="N10" s="30"/>
      <c r="O10" s="29" t="s">
        <v>149</v>
      </c>
      <c r="P10" s="29" t="s">
        <v>320</v>
      </c>
      <c r="Q10" s="29" t="s">
        <v>140</v>
      </c>
      <c r="R10" s="30"/>
      <c r="S10" s="29" t="str">
        <f aca="false">"280,0"</f>
        <v>280,0</v>
      </c>
      <c r="T10" s="29" t="str">
        <f aca="false">"293,1320"</f>
        <v>293,1320</v>
      </c>
      <c r="U10" s="29" t="s">
        <v>321</v>
      </c>
    </row>
    <row r="11" customFormat="false" ht="12.75" hidden="false" customHeight="false" outlineLevel="0" collapsed="false">
      <c r="A11" s="29" t="s">
        <v>762</v>
      </c>
      <c r="B11" s="29" t="s">
        <v>763</v>
      </c>
      <c r="C11" s="29" t="s">
        <v>130</v>
      </c>
      <c r="D11" s="29" t="str">
        <f aca="false">"1,0926"</f>
        <v>1,0926</v>
      </c>
      <c r="E11" s="29" t="s">
        <v>13</v>
      </c>
      <c r="F11" s="29" t="s">
        <v>42</v>
      </c>
      <c r="G11" s="29" t="s">
        <v>25</v>
      </c>
      <c r="H11" s="29" t="s">
        <v>38</v>
      </c>
      <c r="I11" s="29" t="s">
        <v>498</v>
      </c>
      <c r="J11" s="30"/>
      <c r="K11" s="29" t="s">
        <v>58</v>
      </c>
      <c r="L11" s="29" t="s">
        <v>45</v>
      </c>
      <c r="M11" s="30" t="s">
        <v>292</v>
      </c>
      <c r="N11" s="30"/>
      <c r="O11" s="29" t="s">
        <v>324</v>
      </c>
      <c r="P11" s="29" t="s">
        <v>240</v>
      </c>
      <c r="Q11" s="30" t="s">
        <v>320</v>
      </c>
      <c r="R11" s="30"/>
      <c r="S11" s="29" t="str">
        <f aca="false">"257,5"</f>
        <v>257,5</v>
      </c>
      <c r="T11" s="29" t="str">
        <f aca="false">"281,3445"</f>
        <v>281,3445</v>
      </c>
      <c r="U11" s="29"/>
    </row>
    <row r="12" customFormat="false" ht="12.75" hidden="false" customHeight="false" outlineLevel="0" collapsed="false">
      <c r="A12" s="29" t="s">
        <v>764</v>
      </c>
      <c r="B12" s="29" t="s">
        <v>272</v>
      </c>
      <c r="C12" s="29" t="s">
        <v>134</v>
      </c>
      <c r="D12" s="29" t="str">
        <f aca="false">"1,0530"</f>
        <v>1,0530</v>
      </c>
      <c r="E12" s="29" t="s">
        <v>13</v>
      </c>
      <c r="F12" s="29" t="s">
        <v>273</v>
      </c>
      <c r="G12" s="29" t="s">
        <v>37</v>
      </c>
      <c r="H12" s="29" t="s">
        <v>25</v>
      </c>
      <c r="I12" s="29" t="s">
        <v>38</v>
      </c>
      <c r="J12" s="30"/>
      <c r="K12" s="29" t="s">
        <v>43</v>
      </c>
      <c r="L12" s="29" t="s">
        <v>44</v>
      </c>
      <c r="M12" s="30" t="s">
        <v>58</v>
      </c>
      <c r="N12" s="30"/>
      <c r="O12" s="29" t="s">
        <v>322</v>
      </c>
      <c r="P12" s="29" t="s">
        <v>323</v>
      </c>
      <c r="Q12" s="30" t="s">
        <v>324</v>
      </c>
      <c r="R12" s="30"/>
      <c r="S12" s="29" t="str">
        <f aca="false">"237,5"</f>
        <v>237,5</v>
      </c>
      <c r="T12" s="29" t="str">
        <f aca="false">"250,0875"</f>
        <v>250,0875</v>
      </c>
      <c r="U12" s="29"/>
    </row>
    <row r="13" customFormat="false" ht="12.75" hidden="false" customHeight="false" outlineLevel="0" collapsed="false">
      <c r="A13" s="17" t="s">
        <v>765</v>
      </c>
      <c r="B13" s="17" t="s">
        <v>766</v>
      </c>
      <c r="C13" s="17" t="s">
        <v>767</v>
      </c>
      <c r="D13" s="17" t="str">
        <f aca="false">"1,0591"</f>
        <v>1,0591</v>
      </c>
      <c r="E13" s="17" t="s">
        <v>13</v>
      </c>
      <c r="F13" s="17" t="s">
        <v>154</v>
      </c>
      <c r="G13" s="17" t="s">
        <v>46</v>
      </c>
      <c r="H13" s="17" t="s">
        <v>267</v>
      </c>
      <c r="I13" s="18" t="s">
        <v>221</v>
      </c>
      <c r="J13" s="18"/>
      <c r="K13" s="18" t="s">
        <v>16</v>
      </c>
      <c r="L13" s="18" t="s">
        <v>714</v>
      </c>
      <c r="M13" s="17" t="s">
        <v>714</v>
      </c>
      <c r="N13" s="18"/>
      <c r="O13" s="17" t="s">
        <v>24</v>
      </c>
      <c r="P13" s="17" t="s">
        <v>53</v>
      </c>
      <c r="Q13" s="17" t="s">
        <v>38</v>
      </c>
      <c r="R13" s="18"/>
      <c r="S13" s="17" t="str">
        <f aca="false">"190,0"</f>
        <v>190,0</v>
      </c>
      <c r="T13" s="17" t="str">
        <f aca="false">"205,2536"</f>
        <v>205,2536</v>
      </c>
      <c r="U13" s="17"/>
    </row>
    <row r="15" customFormat="false" ht="15" hidden="false" customHeight="false" outlineLevel="0" collapsed="false">
      <c r="A15" s="14" t="s">
        <v>217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customFormat="false" ht="12.75" hidden="false" customHeight="false" outlineLevel="0" collapsed="false">
      <c r="A16" s="13" t="s">
        <v>768</v>
      </c>
      <c r="B16" s="13" t="s">
        <v>769</v>
      </c>
      <c r="C16" s="13" t="s">
        <v>770</v>
      </c>
      <c r="D16" s="13" t="str">
        <f aca="false">"0,9233"</f>
        <v>0,9233</v>
      </c>
      <c r="E16" s="13" t="s">
        <v>317</v>
      </c>
      <c r="F16" s="13" t="s">
        <v>318</v>
      </c>
      <c r="G16" s="13" t="s">
        <v>24</v>
      </c>
      <c r="H16" s="19" t="s">
        <v>25</v>
      </c>
      <c r="I16" s="13" t="s">
        <v>25</v>
      </c>
      <c r="J16" s="19"/>
      <c r="K16" s="13" t="s">
        <v>44</v>
      </c>
      <c r="L16" s="13" t="s">
        <v>45</v>
      </c>
      <c r="M16" s="19" t="s">
        <v>292</v>
      </c>
      <c r="N16" s="19"/>
      <c r="O16" s="19" t="s">
        <v>324</v>
      </c>
      <c r="P16" s="13" t="s">
        <v>319</v>
      </c>
      <c r="Q16" s="13" t="s">
        <v>334</v>
      </c>
      <c r="R16" s="19"/>
      <c r="S16" s="13" t="str">
        <f aca="false">"260,0"</f>
        <v>260,0</v>
      </c>
      <c r="T16" s="13" t="str">
        <f aca="false">"279,6524"</f>
        <v>279,6524</v>
      </c>
      <c r="U16" s="13" t="s">
        <v>321</v>
      </c>
    </row>
    <row r="18" customFormat="false" ht="15" hidden="false" customHeight="false" outlineLevel="0" collapsed="false">
      <c r="A18" s="14" t="s">
        <v>308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customFormat="false" ht="12.75" hidden="false" customHeight="false" outlineLevel="0" collapsed="false">
      <c r="A19" s="15" t="s">
        <v>771</v>
      </c>
      <c r="B19" s="15" t="s">
        <v>772</v>
      </c>
      <c r="C19" s="15" t="s">
        <v>773</v>
      </c>
      <c r="D19" s="15" t="str">
        <f aca="false">"0,9768"</f>
        <v>0,9768</v>
      </c>
      <c r="E19" s="15" t="s">
        <v>317</v>
      </c>
      <c r="F19" s="15" t="s">
        <v>318</v>
      </c>
      <c r="G19" s="15" t="s">
        <v>149</v>
      </c>
      <c r="H19" s="16" t="s">
        <v>320</v>
      </c>
      <c r="I19" s="15" t="s">
        <v>320</v>
      </c>
      <c r="J19" s="16"/>
      <c r="K19" s="15" t="s">
        <v>24</v>
      </c>
      <c r="L19" s="15" t="s">
        <v>37</v>
      </c>
      <c r="M19" s="16" t="s">
        <v>25</v>
      </c>
      <c r="N19" s="16"/>
      <c r="O19" s="16" t="s">
        <v>140</v>
      </c>
      <c r="P19" s="15" t="s">
        <v>140</v>
      </c>
      <c r="Q19" s="16" t="s">
        <v>141</v>
      </c>
      <c r="R19" s="16"/>
      <c r="S19" s="15" t="str">
        <f aca="false">"310,0"</f>
        <v>310,0</v>
      </c>
      <c r="T19" s="15" t="str">
        <f aca="false">"302,8080"</f>
        <v>302,8080</v>
      </c>
      <c r="U19" s="15" t="s">
        <v>321</v>
      </c>
    </row>
    <row r="20" customFormat="false" ht="12.75" hidden="false" customHeight="false" outlineLevel="0" collapsed="false">
      <c r="A20" s="17" t="s">
        <v>774</v>
      </c>
      <c r="B20" s="17" t="s">
        <v>775</v>
      </c>
      <c r="C20" s="17" t="s">
        <v>521</v>
      </c>
      <c r="D20" s="17" t="str">
        <f aca="false">"0,0000"</f>
        <v>0,0000</v>
      </c>
      <c r="E20" s="17" t="s">
        <v>13</v>
      </c>
      <c r="F20" s="17" t="s">
        <v>42</v>
      </c>
      <c r="G20" s="18" t="s">
        <v>167</v>
      </c>
      <c r="H20" s="18"/>
      <c r="I20" s="18"/>
      <c r="J20" s="18"/>
      <c r="K20" s="18" t="s">
        <v>334</v>
      </c>
      <c r="L20" s="18"/>
      <c r="M20" s="18"/>
      <c r="N20" s="18"/>
      <c r="O20" s="18" t="s">
        <v>356</v>
      </c>
      <c r="P20" s="18"/>
      <c r="Q20" s="18"/>
      <c r="R20" s="18"/>
      <c r="S20" s="17" t="str">
        <f aca="false">"0.00"</f>
        <v>0.00</v>
      </c>
      <c r="T20" s="17" t="str">
        <f aca="false">"0,0000"</f>
        <v>0,0000</v>
      </c>
      <c r="U20" s="17"/>
    </row>
    <row r="22" customFormat="false" ht="15" hidden="false" customHeight="false" outlineLevel="0" collapsed="false">
      <c r="A22" s="14" t="s">
        <v>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customFormat="false" ht="12.75" hidden="false" customHeight="false" outlineLevel="0" collapsed="false">
      <c r="A23" s="13" t="s">
        <v>776</v>
      </c>
      <c r="B23" s="13" t="s">
        <v>777</v>
      </c>
      <c r="C23" s="13" t="s">
        <v>778</v>
      </c>
      <c r="D23" s="13" t="str">
        <f aca="false">"0,8553"</f>
        <v>0,8553</v>
      </c>
      <c r="E23" s="13" t="s">
        <v>338</v>
      </c>
      <c r="F23" s="13" t="s">
        <v>42</v>
      </c>
      <c r="G23" s="13" t="s">
        <v>498</v>
      </c>
      <c r="H23" s="13" t="s">
        <v>149</v>
      </c>
      <c r="I23" s="13" t="s">
        <v>319</v>
      </c>
      <c r="J23" s="19"/>
      <c r="K23" s="19" t="s">
        <v>267</v>
      </c>
      <c r="L23" s="19" t="s">
        <v>267</v>
      </c>
      <c r="M23" s="13" t="s">
        <v>267</v>
      </c>
      <c r="N23" s="19"/>
      <c r="O23" s="13" t="s">
        <v>320</v>
      </c>
      <c r="P23" s="13" t="s">
        <v>334</v>
      </c>
      <c r="Q23" s="19" t="s">
        <v>141</v>
      </c>
      <c r="R23" s="19"/>
      <c r="S23" s="13" t="str">
        <f aca="false">"300,0"</f>
        <v>300,0</v>
      </c>
      <c r="T23" s="13" t="str">
        <f aca="false">"256,5900"</f>
        <v>256,5900</v>
      </c>
      <c r="U23" s="13"/>
    </row>
    <row r="25" customFormat="false" ht="15" hidden="false" customHeight="false" outlineLevel="0" collapsed="false">
      <c r="A25" s="14" t="s">
        <v>217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customFormat="false" ht="12.75" hidden="false" customHeight="false" outlineLevel="0" collapsed="false">
      <c r="A26" s="15" t="s">
        <v>779</v>
      </c>
      <c r="B26" s="15" t="s">
        <v>336</v>
      </c>
      <c r="C26" s="15" t="s">
        <v>337</v>
      </c>
      <c r="D26" s="15" t="str">
        <f aca="false">"0,7570"</f>
        <v>0,7570</v>
      </c>
      <c r="E26" s="15" t="s">
        <v>338</v>
      </c>
      <c r="F26" s="15" t="s">
        <v>42</v>
      </c>
      <c r="G26" s="16" t="s">
        <v>148</v>
      </c>
      <c r="H26" s="16" t="s">
        <v>148</v>
      </c>
      <c r="I26" s="16" t="s">
        <v>148</v>
      </c>
      <c r="J26" s="16"/>
      <c r="K26" s="16" t="s">
        <v>498</v>
      </c>
      <c r="L26" s="16"/>
      <c r="M26" s="16"/>
      <c r="N26" s="16"/>
      <c r="O26" s="16" t="s">
        <v>155</v>
      </c>
      <c r="P26" s="16"/>
      <c r="Q26" s="16"/>
      <c r="R26" s="16"/>
      <c r="S26" s="15" t="str">
        <f aca="false">"0.00"</f>
        <v>0.00</v>
      </c>
      <c r="T26" s="15" t="str">
        <f aca="false">"0,0000"</f>
        <v>0,0000</v>
      </c>
      <c r="U26" s="15"/>
    </row>
    <row r="27" customFormat="false" ht="12.75" hidden="false" customHeight="false" outlineLevel="0" collapsed="false">
      <c r="A27" s="17" t="s">
        <v>780</v>
      </c>
      <c r="B27" s="17" t="s">
        <v>781</v>
      </c>
      <c r="C27" s="17" t="s">
        <v>782</v>
      </c>
      <c r="D27" s="17" t="str">
        <f aca="false">"0,7600"</f>
        <v>0,7600</v>
      </c>
      <c r="E27" s="17" t="s">
        <v>317</v>
      </c>
      <c r="F27" s="17" t="s">
        <v>318</v>
      </c>
      <c r="G27" s="18" t="s">
        <v>319</v>
      </c>
      <c r="H27" s="17" t="s">
        <v>320</v>
      </c>
      <c r="I27" s="17" t="s">
        <v>334</v>
      </c>
      <c r="J27" s="18"/>
      <c r="K27" s="17" t="s">
        <v>38</v>
      </c>
      <c r="L27" s="18" t="s">
        <v>533</v>
      </c>
      <c r="M27" s="17" t="s">
        <v>533</v>
      </c>
      <c r="N27" s="18"/>
      <c r="O27" s="17" t="s">
        <v>155</v>
      </c>
      <c r="P27" s="17" t="s">
        <v>339</v>
      </c>
      <c r="Q27" s="17" t="s">
        <v>160</v>
      </c>
      <c r="R27" s="18"/>
      <c r="S27" s="17" t="str">
        <f aca="false">"392,5"</f>
        <v>392,5</v>
      </c>
      <c r="T27" s="17" t="str">
        <f aca="false">"298,3000"</f>
        <v>298,3000</v>
      </c>
      <c r="U27" s="17" t="s">
        <v>321</v>
      </c>
    </row>
    <row r="29" customFormat="false" ht="15" hidden="false" customHeight="false" outlineLevel="0" collapsed="false">
      <c r="A29" s="14" t="s">
        <v>222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customFormat="false" ht="12.75" hidden="false" customHeight="false" outlineLevel="0" collapsed="false">
      <c r="A30" s="15" t="s">
        <v>783</v>
      </c>
      <c r="B30" s="15" t="s">
        <v>346</v>
      </c>
      <c r="C30" s="15" t="s">
        <v>276</v>
      </c>
      <c r="D30" s="15" t="str">
        <f aca="false">"0,7079"</f>
        <v>0,7079</v>
      </c>
      <c r="E30" s="15" t="s">
        <v>317</v>
      </c>
      <c r="F30" s="15" t="s">
        <v>318</v>
      </c>
      <c r="G30" s="15" t="s">
        <v>319</v>
      </c>
      <c r="H30" s="15" t="s">
        <v>140</v>
      </c>
      <c r="I30" s="16" t="s">
        <v>147</v>
      </c>
      <c r="J30" s="16"/>
      <c r="K30" s="16" t="s">
        <v>25</v>
      </c>
      <c r="L30" s="16" t="s">
        <v>25</v>
      </c>
      <c r="M30" s="16" t="s">
        <v>25</v>
      </c>
      <c r="N30" s="16"/>
      <c r="O30" s="16" t="s">
        <v>155</v>
      </c>
      <c r="P30" s="16"/>
      <c r="Q30" s="16"/>
      <c r="R30" s="16"/>
      <c r="S30" s="15" t="str">
        <f aca="false">"0.00"</f>
        <v>0.00</v>
      </c>
      <c r="T30" s="15" t="str">
        <f aca="false">"0,0000"</f>
        <v>0,0000</v>
      </c>
      <c r="U30" s="15" t="s">
        <v>321</v>
      </c>
    </row>
    <row r="31" customFormat="false" ht="12.75" hidden="false" customHeight="false" outlineLevel="0" collapsed="false">
      <c r="A31" s="29" t="s">
        <v>348</v>
      </c>
      <c r="B31" s="29" t="s">
        <v>349</v>
      </c>
      <c r="C31" s="29" t="s">
        <v>350</v>
      </c>
      <c r="D31" s="29" t="str">
        <f aca="false">"0,7064"</f>
        <v>0,7064</v>
      </c>
      <c r="E31" s="29" t="s">
        <v>338</v>
      </c>
      <c r="F31" s="29" t="s">
        <v>42</v>
      </c>
      <c r="G31" s="29" t="s">
        <v>147</v>
      </c>
      <c r="H31" s="29" t="s">
        <v>148</v>
      </c>
      <c r="I31" s="29" t="s">
        <v>142</v>
      </c>
      <c r="J31" s="30"/>
      <c r="K31" s="29" t="s">
        <v>498</v>
      </c>
      <c r="L31" s="29" t="s">
        <v>330</v>
      </c>
      <c r="M31" s="29" t="s">
        <v>149</v>
      </c>
      <c r="N31" s="30"/>
      <c r="O31" s="29" t="s">
        <v>167</v>
      </c>
      <c r="P31" s="29" t="s">
        <v>159</v>
      </c>
      <c r="Q31" s="29" t="s">
        <v>351</v>
      </c>
      <c r="R31" s="30"/>
      <c r="S31" s="29" t="str">
        <f aca="false">"422,5"</f>
        <v>422,5</v>
      </c>
      <c r="T31" s="29" t="str">
        <f aca="false">"298,4540"</f>
        <v>298,4540</v>
      </c>
      <c r="U31" s="29"/>
    </row>
    <row r="32" customFormat="false" ht="12.75" hidden="false" customHeight="false" outlineLevel="0" collapsed="false">
      <c r="A32" s="17" t="s">
        <v>586</v>
      </c>
      <c r="B32" s="17" t="s">
        <v>587</v>
      </c>
      <c r="C32" s="17" t="s">
        <v>350</v>
      </c>
      <c r="D32" s="17" t="str">
        <f aca="false">"0,7064"</f>
        <v>0,7064</v>
      </c>
      <c r="E32" s="17" t="s">
        <v>13</v>
      </c>
      <c r="F32" s="17" t="s">
        <v>154</v>
      </c>
      <c r="G32" s="17" t="s">
        <v>147</v>
      </c>
      <c r="H32" s="18" t="s">
        <v>148</v>
      </c>
      <c r="I32" s="17" t="s">
        <v>312</v>
      </c>
      <c r="J32" s="18"/>
      <c r="K32" s="17" t="s">
        <v>319</v>
      </c>
      <c r="L32" s="18" t="s">
        <v>577</v>
      </c>
      <c r="M32" s="18" t="s">
        <v>577</v>
      </c>
      <c r="N32" s="18"/>
      <c r="O32" s="17" t="s">
        <v>148</v>
      </c>
      <c r="P32" s="17" t="s">
        <v>155</v>
      </c>
      <c r="Q32" s="17" t="s">
        <v>662</v>
      </c>
      <c r="R32" s="18"/>
      <c r="S32" s="17" t="str">
        <f aca="false">"410,0"</f>
        <v>410,0</v>
      </c>
      <c r="T32" s="17" t="str">
        <f aca="false">"309,3184"</f>
        <v>309,3184</v>
      </c>
      <c r="U32" s="17"/>
    </row>
    <row r="34" customFormat="false" ht="15" hidden="false" customHeight="false" outlineLevel="0" collapsed="false">
      <c r="A34" s="14" t="s">
        <v>285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customFormat="false" ht="12.75" hidden="false" customHeight="false" outlineLevel="0" collapsed="false">
      <c r="A35" s="15" t="s">
        <v>784</v>
      </c>
      <c r="B35" s="15" t="s">
        <v>785</v>
      </c>
      <c r="C35" s="15" t="s">
        <v>786</v>
      </c>
      <c r="D35" s="15" t="str">
        <f aca="false">"0,6606"</f>
        <v>0,6606</v>
      </c>
      <c r="E35" s="15" t="s">
        <v>13</v>
      </c>
      <c r="F35" s="15" t="s">
        <v>42</v>
      </c>
      <c r="G35" s="15" t="s">
        <v>356</v>
      </c>
      <c r="H35" s="15" t="s">
        <v>363</v>
      </c>
      <c r="I35" s="16" t="s">
        <v>370</v>
      </c>
      <c r="J35" s="16"/>
      <c r="K35" s="16" t="s">
        <v>319</v>
      </c>
      <c r="L35" s="16" t="s">
        <v>140</v>
      </c>
      <c r="M35" s="16" t="s">
        <v>140</v>
      </c>
      <c r="N35" s="16"/>
      <c r="O35" s="16" t="s">
        <v>363</v>
      </c>
      <c r="P35" s="16"/>
      <c r="Q35" s="16"/>
      <c r="R35" s="16"/>
      <c r="S35" s="15" t="str">
        <f aca="false">"0.00"</f>
        <v>0.00</v>
      </c>
      <c r="T35" s="15" t="str">
        <f aca="false">"0,0000"</f>
        <v>0,0000</v>
      </c>
      <c r="U35" s="15"/>
    </row>
    <row r="36" customFormat="false" ht="12.75" hidden="false" customHeight="false" outlineLevel="0" collapsed="false">
      <c r="A36" s="29" t="s">
        <v>787</v>
      </c>
      <c r="B36" s="29" t="s">
        <v>788</v>
      </c>
      <c r="C36" s="29" t="s">
        <v>789</v>
      </c>
      <c r="D36" s="29" t="str">
        <f aca="false">"0,6508"</f>
        <v>0,6508</v>
      </c>
      <c r="E36" s="29" t="s">
        <v>13</v>
      </c>
      <c r="F36" s="29" t="s">
        <v>42</v>
      </c>
      <c r="G36" s="29" t="s">
        <v>363</v>
      </c>
      <c r="H36" s="29" t="s">
        <v>371</v>
      </c>
      <c r="I36" s="30" t="s">
        <v>483</v>
      </c>
      <c r="J36" s="30"/>
      <c r="K36" s="30" t="s">
        <v>334</v>
      </c>
      <c r="L36" s="29" t="s">
        <v>147</v>
      </c>
      <c r="M36" s="29" t="s">
        <v>614</v>
      </c>
      <c r="N36" s="30"/>
      <c r="O36" s="29" t="s">
        <v>651</v>
      </c>
      <c r="P36" s="29" t="s">
        <v>790</v>
      </c>
      <c r="Q36" s="30" t="s">
        <v>473</v>
      </c>
      <c r="R36" s="30"/>
      <c r="S36" s="29" t="str">
        <f aca="false">"567,5"</f>
        <v>567,5</v>
      </c>
      <c r="T36" s="29" t="str">
        <f aca="false">"369,3290"</f>
        <v>369,3290</v>
      </c>
      <c r="U36" s="29" t="s">
        <v>791</v>
      </c>
    </row>
    <row r="37" customFormat="false" ht="12.75" hidden="false" customHeight="false" outlineLevel="0" collapsed="false">
      <c r="A37" s="17" t="s">
        <v>792</v>
      </c>
      <c r="B37" s="17" t="s">
        <v>362</v>
      </c>
      <c r="C37" s="17" t="s">
        <v>295</v>
      </c>
      <c r="D37" s="17" t="str">
        <f aca="false">"0,6524"</f>
        <v>0,6524</v>
      </c>
      <c r="E37" s="17" t="s">
        <v>317</v>
      </c>
      <c r="F37" s="17" t="s">
        <v>318</v>
      </c>
      <c r="G37" s="17" t="s">
        <v>147</v>
      </c>
      <c r="H37" s="17" t="s">
        <v>148</v>
      </c>
      <c r="I37" s="18" t="s">
        <v>347</v>
      </c>
      <c r="J37" s="18"/>
      <c r="K37" s="17" t="s">
        <v>149</v>
      </c>
      <c r="L37" s="18" t="s">
        <v>319</v>
      </c>
      <c r="M37" s="18" t="s">
        <v>320</v>
      </c>
      <c r="N37" s="18"/>
      <c r="O37" s="17" t="s">
        <v>167</v>
      </c>
      <c r="P37" s="17" t="s">
        <v>357</v>
      </c>
      <c r="Q37" s="17" t="s">
        <v>363</v>
      </c>
      <c r="R37" s="18"/>
      <c r="S37" s="17" t="str">
        <f aca="false">"430,0"</f>
        <v>430,0</v>
      </c>
      <c r="T37" s="17" t="str">
        <f aca="false">"280,5105"</f>
        <v>280,5105</v>
      </c>
      <c r="U37" s="17" t="s">
        <v>321</v>
      </c>
    </row>
    <row r="39" customFormat="false" ht="15" hidden="false" customHeight="false" outlineLevel="0" collapsed="false">
      <c r="A39" s="14" t="s">
        <v>19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customFormat="false" ht="12.75" hidden="false" customHeight="false" outlineLevel="0" collapsed="false">
      <c r="A40" s="15" t="s">
        <v>793</v>
      </c>
      <c r="B40" s="15" t="s">
        <v>794</v>
      </c>
      <c r="C40" s="15" t="s">
        <v>28</v>
      </c>
      <c r="D40" s="15" t="str">
        <f aca="false">"0,6161"</f>
        <v>0,6161</v>
      </c>
      <c r="E40" s="15" t="s">
        <v>13</v>
      </c>
      <c r="F40" s="15" t="s">
        <v>795</v>
      </c>
      <c r="G40" s="15" t="s">
        <v>167</v>
      </c>
      <c r="H40" s="15" t="s">
        <v>356</v>
      </c>
      <c r="I40" s="16" t="s">
        <v>363</v>
      </c>
      <c r="J40" s="16"/>
      <c r="K40" s="15" t="s">
        <v>149</v>
      </c>
      <c r="L40" s="16" t="s">
        <v>319</v>
      </c>
      <c r="M40" s="15" t="s">
        <v>320</v>
      </c>
      <c r="N40" s="16"/>
      <c r="O40" s="15" t="s">
        <v>159</v>
      </c>
      <c r="P40" s="15" t="s">
        <v>363</v>
      </c>
      <c r="Q40" s="15" t="s">
        <v>371</v>
      </c>
      <c r="R40" s="16"/>
      <c r="S40" s="15" t="str">
        <f aca="false">"495,0"</f>
        <v>495,0</v>
      </c>
      <c r="T40" s="15" t="str">
        <f aca="false">"304,9448"</f>
        <v>304,9448</v>
      </c>
      <c r="U40" s="15"/>
    </row>
    <row r="41" customFormat="false" ht="12.75" hidden="false" customHeight="false" outlineLevel="0" collapsed="false">
      <c r="A41" s="29" t="s">
        <v>372</v>
      </c>
      <c r="B41" s="29" t="s">
        <v>373</v>
      </c>
      <c r="C41" s="29" t="s">
        <v>374</v>
      </c>
      <c r="D41" s="29" t="str">
        <f aca="false">"0,6441"</f>
        <v>0,6441</v>
      </c>
      <c r="E41" s="29" t="s">
        <v>338</v>
      </c>
      <c r="F41" s="29" t="s">
        <v>42</v>
      </c>
      <c r="G41" s="29" t="s">
        <v>141</v>
      </c>
      <c r="H41" s="29" t="s">
        <v>142</v>
      </c>
      <c r="I41" s="30" t="s">
        <v>632</v>
      </c>
      <c r="J41" s="30"/>
      <c r="K41" s="29" t="s">
        <v>324</v>
      </c>
      <c r="L41" s="30" t="s">
        <v>319</v>
      </c>
      <c r="M41" s="29" t="s">
        <v>320</v>
      </c>
      <c r="N41" s="30"/>
      <c r="O41" s="29" t="s">
        <v>167</v>
      </c>
      <c r="P41" s="30" t="s">
        <v>160</v>
      </c>
      <c r="Q41" s="29" t="s">
        <v>160</v>
      </c>
      <c r="R41" s="30"/>
      <c r="S41" s="29" t="str">
        <f aca="false">"435,0"</f>
        <v>435,0</v>
      </c>
      <c r="T41" s="29" t="str">
        <f aca="false">"280,1835"</f>
        <v>280,1835</v>
      </c>
      <c r="U41" s="29"/>
    </row>
    <row r="42" customFormat="false" ht="12.75" hidden="false" customHeight="false" outlineLevel="0" collapsed="false">
      <c r="A42" s="17" t="s">
        <v>796</v>
      </c>
      <c r="B42" s="17" t="s">
        <v>797</v>
      </c>
      <c r="C42" s="17" t="s">
        <v>798</v>
      </c>
      <c r="D42" s="17" t="str">
        <f aca="false">"0,6149"</f>
        <v>0,6149</v>
      </c>
      <c r="E42" s="17" t="s">
        <v>13</v>
      </c>
      <c r="F42" s="17" t="s">
        <v>42</v>
      </c>
      <c r="G42" s="18" t="s">
        <v>155</v>
      </c>
      <c r="H42" s="17" t="s">
        <v>155</v>
      </c>
      <c r="I42" s="18" t="s">
        <v>339</v>
      </c>
      <c r="J42" s="18"/>
      <c r="K42" s="17" t="s">
        <v>147</v>
      </c>
      <c r="L42" s="17" t="s">
        <v>148</v>
      </c>
      <c r="M42" s="18" t="s">
        <v>142</v>
      </c>
      <c r="N42" s="18"/>
      <c r="O42" s="17" t="s">
        <v>155</v>
      </c>
      <c r="P42" s="17" t="s">
        <v>339</v>
      </c>
      <c r="Q42" s="18" t="s">
        <v>160</v>
      </c>
      <c r="R42" s="18"/>
      <c r="S42" s="17" t="str">
        <f aca="false">"455,0"</f>
        <v>455,0</v>
      </c>
      <c r="T42" s="17" t="str">
        <f aca="false">"279,7795"</f>
        <v>279,7795</v>
      </c>
      <c r="U42" s="17"/>
    </row>
    <row r="44" customFormat="false" ht="15" hidden="false" customHeight="false" outlineLevel="0" collapsed="false">
      <c r="A44" s="14" t="s">
        <v>32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customFormat="false" ht="12.75" hidden="false" customHeight="false" outlineLevel="0" collapsed="false">
      <c r="A45" s="15" t="s">
        <v>799</v>
      </c>
      <c r="B45" s="15" t="s">
        <v>800</v>
      </c>
      <c r="C45" s="15" t="s">
        <v>801</v>
      </c>
      <c r="D45" s="15" t="str">
        <f aca="false">"0,5846"</f>
        <v>0,5846</v>
      </c>
      <c r="E45" s="15" t="s">
        <v>317</v>
      </c>
      <c r="F45" s="15" t="s">
        <v>318</v>
      </c>
      <c r="G45" s="15" t="s">
        <v>148</v>
      </c>
      <c r="H45" s="15" t="s">
        <v>155</v>
      </c>
      <c r="I45" s="16" t="s">
        <v>167</v>
      </c>
      <c r="J45" s="16"/>
      <c r="K45" s="15" t="s">
        <v>149</v>
      </c>
      <c r="L45" s="15" t="s">
        <v>319</v>
      </c>
      <c r="M45" s="16" t="s">
        <v>140</v>
      </c>
      <c r="N45" s="16"/>
      <c r="O45" s="15" t="s">
        <v>159</v>
      </c>
      <c r="P45" s="15" t="s">
        <v>356</v>
      </c>
      <c r="Q45" s="16" t="s">
        <v>363</v>
      </c>
      <c r="R45" s="16"/>
      <c r="S45" s="15" t="str">
        <f aca="false">"440,0"</f>
        <v>440,0</v>
      </c>
      <c r="T45" s="15" t="str">
        <f aca="false">"257,2020"</f>
        <v>257,2020</v>
      </c>
      <c r="U45" s="15" t="s">
        <v>321</v>
      </c>
    </row>
    <row r="46" customFormat="false" ht="12.75" hidden="false" customHeight="false" outlineLevel="0" collapsed="false">
      <c r="A46" s="17" t="s">
        <v>802</v>
      </c>
      <c r="B46" s="17" t="s">
        <v>803</v>
      </c>
      <c r="C46" s="17" t="s">
        <v>804</v>
      </c>
      <c r="D46" s="17" t="str">
        <f aca="false">"0,6019"</f>
        <v>0,6019</v>
      </c>
      <c r="E46" s="17" t="s">
        <v>13</v>
      </c>
      <c r="F46" s="17" t="s">
        <v>805</v>
      </c>
      <c r="G46" s="17" t="s">
        <v>141</v>
      </c>
      <c r="H46" s="17" t="s">
        <v>570</v>
      </c>
      <c r="I46" s="18" t="s">
        <v>148</v>
      </c>
      <c r="J46" s="18"/>
      <c r="K46" s="17" t="s">
        <v>38</v>
      </c>
      <c r="L46" s="17" t="s">
        <v>498</v>
      </c>
      <c r="M46" s="17" t="s">
        <v>330</v>
      </c>
      <c r="N46" s="18"/>
      <c r="O46" s="17" t="s">
        <v>148</v>
      </c>
      <c r="P46" s="17" t="s">
        <v>155</v>
      </c>
      <c r="Q46" s="17" t="s">
        <v>167</v>
      </c>
      <c r="R46" s="18"/>
      <c r="S46" s="17" t="str">
        <f aca="false">"392,5"</f>
        <v>392,5</v>
      </c>
      <c r="T46" s="17" t="str">
        <f aca="false">"236,2654"</f>
        <v>236,2654</v>
      </c>
      <c r="U46" s="17"/>
    </row>
    <row r="48" customFormat="false" ht="15" hidden="false" customHeight="false" outlineLevel="0" collapsed="false">
      <c r="A48" s="14" t="s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customFormat="false" ht="12.75" hidden="false" customHeight="false" outlineLevel="0" collapsed="false">
      <c r="A49" s="15" t="s">
        <v>806</v>
      </c>
      <c r="B49" s="15" t="s">
        <v>807</v>
      </c>
      <c r="C49" s="15" t="s">
        <v>808</v>
      </c>
      <c r="D49" s="15" t="str">
        <f aca="false">"0,5674"</f>
        <v>0,5674</v>
      </c>
      <c r="E49" s="15" t="s">
        <v>13</v>
      </c>
      <c r="F49" s="15" t="s">
        <v>809</v>
      </c>
      <c r="G49" s="15" t="s">
        <v>159</v>
      </c>
      <c r="H49" s="15" t="s">
        <v>363</v>
      </c>
      <c r="I49" s="16" t="s">
        <v>370</v>
      </c>
      <c r="J49" s="16"/>
      <c r="K49" s="15" t="s">
        <v>570</v>
      </c>
      <c r="L49" s="15" t="s">
        <v>561</v>
      </c>
      <c r="M49" s="15" t="s">
        <v>347</v>
      </c>
      <c r="N49" s="16"/>
      <c r="O49" s="15" t="s">
        <v>483</v>
      </c>
      <c r="P49" s="15" t="s">
        <v>810</v>
      </c>
      <c r="Q49" s="15" t="s">
        <v>652</v>
      </c>
      <c r="R49" s="16"/>
      <c r="S49" s="15" t="str">
        <f aca="false">"577,5"</f>
        <v>577,5</v>
      </c>
      <c r="T49" s="15" t="str">
        <f aca="false">"327,7024"</f>
        <v>327,7024</v>
      </c>
      <c r="U49" s="15"/>
    </row>
    <row r="50" customFormat="false" ht="12.75" hidden="false" customHeight="false" outlineLevel="0" collapsed="false">
      <c r="A50" s="29" t="s">
        <v>811</v>
      </c>
      <c r="B50" s="29" t="s">
        <v>812</v>
      </c>
      <c r="C50" s="29" t="s">
        <v>813</v>
      </c>
      <c r="D50" s="29" t="str">
        <f aca="false">"0,5658"</f>
        <v>0,5658</v>
      </c>
      <c r="E50" s="29" t="s">
        <v>13</v>
      </c>
      <c r="F50" s="29" t="s">
        <v>42</v>
      </c>
      <c r="G50" s="29" t="s">
        <v>357</v>
      </c>
      <c r="H50" s="29" t="s">
        <v>363</v>
      </c>
      <c r="I50" s="29" t="s">
        <v>371</v>
      </c>
      <c r="J50" s="30"/>
      <c r="K50" s="30" t="s">
        <v>614</v>
      </c>
      <c r="L50" s="29" t="s">
        <v>614</v>
      </c>
      <c r="M50" s="29" t="s">
        <v>148</v>
      </c>
      <c r="N50" s="30"/>
      <c r="O50" s="29" t="s">
        <v>401</v>
      </c>
      <c r="P50" s="29" t="s">
        <v>343</v>
      </c>
      <c r="Q50" s="29" t="s">
        <v>344</v>
      </c>
      <c r="R50" s="30"/>
      <c r="S50" s="29" t="str">
        <f aca="false">"570,0"</f>
        <v>570,0</v>
      </c>
      <c r="T50" s="29" t="str">
        <f aca="false">"322,5060"</f>
        <v>322,5060</v>
      </c>
      <c r="U50" s="29"/>
    </row>
    <row r="51" customFormat="false" ht="12.75" hidden="false" customHeight="false" outlineLevel="0" collapsed="false">
      <c r="A51" s="29" t="s">
        <v>814</v>
      </c>
      <c r="B51" s="29" t="s">
        <v>815</v>
      </c>
      <c r="C51" s="29" t="s">
        <v>813</v>
      </c>
      <c r="D51" s="29" t="str">
        <f aca="false">"0,5658"</f>
        <v>0,5658</v>
      </c>
      <c r="E51" s="29" t="s">
        <v>13</v>
      </c>
      <c r="F51" s="29" t="s">
        <v>42</v>
      </c>
      <c r="G51" s="29" t="s">
        <v>167</v>
      </c>
      <c r="H51" s="29" t="s">
        <v>159</v>
      </c>
      <c r="I51" s="29" t="s">
        <v>160</v>
      </c>
      <c r="J51" s="30"/>
      <c r="K51" s="29" t="s">
        <v>142</v>
      </c>
      <c r="L51" s="30" t="s">
        <v>155</v>
      </c>
      <c r="M51" s="30" t="s">
        <v>313</v>
      </c>
      <c r="N51" s="30"/>
      <c r="O51" s="29" t="s">
        <v>363</v>
      </c>
      <c r="P51" s="30" t="s">
        <v>463</v>
      </c>
      <c r="Q51" s="30" t="s">
        <v>463</v>
      </c>
      <c r="R51" s="30"/>
      <c r="S51" s="29" t="str">
        <f aca="false">"510,0"</f>
        <v>510,0</v>
      </c>
      <c r="T51" s="29" t="str">
        <f aca="false">"288,5580"</f>
        <v>288,5580</v>
      </c>
      <c r="U51" s="29"/>
    </row>
    <row r="52" customFormat="false" ht="12.75" hidden="false" customHeight="false" outlineLevel="0" collapsed="false">
      <c r="A52" s="17" t="s">
        <v>816</v>
      </c>
      <c r="B52" s="17" t="s">
        <v>817</v>
      </c>
      <c r="C52" s="17" t="s">
        <v>818</v>
      </c>
      <c r="D52" s="17" t="str">
        <f aca="false">"0,5661"</f>
        <v>0,5661</v>
      </c>
      <c r="E52" s="17" t="s">
        <v>13</v>
      </c>
      <c r="F52" s="17" t="s">
        <v>42</v>
      </c>
      <c r="G52" s="17" t="s">
        <v>370</v>
      </c>
      <c r="H52" s="17" t="s">
        <v>483</v>
      </c>
      <c r="I52" s="17" t="s">
        <v>650</v>
      </c>
      <c r="J52" s="18"/>
      <c r="K52" s="17" t="s">
        <v>561</v>
      </c>
      <c r="L52" s="17" t="s">
        <v>347</v>
      </c>
      <c r="M52" s="17" t="s">
        <v>167</v>
      </c>
      <c r="N52" s="18"/>
      <c r="O52" s="18" t="s">
        <v>344</v>
      </c>
      <c r="P52" s="17" t="s">
        <v>344</v>
      </c>
      <c r="Q52" s="17" t="s">
        <v>473</v>
      </c>
      <c r="R52" s="18"/>
      <c r="S52" s="17" t="str">
        <f aca="false">"615,0"</f>
        <v>615,0</v>
      </c>
      <c r="T52" s="17" t="str">
        <f aca="false">"355,1145"</f>
        <v>355,1145</v>
      </c>
      <c r="U52" s="17"/>
    </row>
    <row r="54" customFormat="false" ht="15" hidden="false" customHeight="false" outlineLevel="0" collapsed="false">
      <c r="A54" s="14" t="s">
        <v>54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customFormat="false" ht="12.75" hidden="false" customHeight="false" outlineLevel="0" collapsed="false">
      <c r="A55" s="15" t="s">
        <v>819</v>
      </c>
      <c r="B55" s="15" t="s">
        <v>820</v>
      </c>
      <c r="C55" s="15" t="s">
        <v>821</v>
      </c>
      <c r="D55" s="15" t="str">
        <f aca="false">"0,5512"</f>
        <v>0,5512</v>
      </c>
      <c r="E55" s="15" t="s">
        <v>317</v>
      </c>
      <c r="F55" s="15" t="s">
        <v>318</v>
      </c>
      <c r="G55" s="15" t="s">
        <v>401</v>
      </c>
      <c r="H55" s="15" t="s">
        <v>651</v>
      </c>
      <c r="I55" s="16" t="s">
        <v>652</v>
      </c>
      <c r="J55" s="16"/>
      <c r="K55" s="15" t="s">
        <v>148</v>
      </c>
      <c r="L55" s="15" t="s">
        <v>155</v>
      </c>
      <c r="M55" s="16" t="s">
        <v>167</v>
      </c>
      <c r="N55" s="16"/>
      <c r="O55" s="15" t="s">
        <v>344</v>
      </c>
      <c r="P55" s="15" t="s">
        <v>405</v>
      </c>
      <c r="Q55" s="16" t="s">
        <v>406</v>
      </c>
      <c r="R55" s="16"/>
      <c r="S55" s="15" t="str">
        <f aca="false">"625,0"</f>
        <v>625,0</v>
      </c>
      <c r="T55" s="15" t="str">
        <f aca="false">"344,4688"</f>
        <v>344,4688</v>
      </c>
      <c r="U55" s="15"/>
    </row>
    <row r="56" customFormat="false" ht="12.75" hidden="false" customHeight="false" outlineLevel="0" collapsed="false">
      <c r="A56" s="17" t="s">
        <v>402</v>
      </c>
      <c r="B56" s="17" t="s">
        <v>403</v>
      </c>
      <c r="C56" s="17" t="s">
        <v>404</v>
      </c>
      <c r="D56" s="17" t="str">
        <f aca="false">"0,5472"</f>
        <v>0,5472</v>
      </c>
      <c r="E56" s="17" t="s">
        <v>13</v>
      </c>
      <c r="F56" s="17" t="s">
        <v>36</v>
      </c>
      <c r="G56" s="18" t="s">
        <v>405</v>
      </c>
      <c r="H56" s="17" t="s">
        <v>405</v>
      </c>
      <c r="I56" s="17" t="s">
        <v>407</v>
      </c>
      <c r="J56" s="18"/>
      <c r="K56" s="17" t="s">
        <v>167</v>
      </c>
      <c r="L56" s="17" t="s">
        <v>159</v>
      </c>
      <c r="M56" s="18" t="s">
        <v>356</v>
      </c>
      <c r="N56" s="18"/>
      <c r="O56" s="17" t="s">
        <v>405</v>
      </c>
      <c r="P56" s="17" t="s">
        <v>406</v>
      </c>
      <c r="Q56" s="18" t="s">
        <v>407</v>
      </c>
      <c r="R56" s="18"/>
      <c r="S56" s="17" t="str">
        <f aca="false">"685,0"</f>
        <v>685,0</v>
      </c>
      <c r="T56" s="17" t="str">
        <f aca="false">"374,8320"</f>
        <v>374,8320</v>
      </c>
      <c r="U56" s="17" t="s">
        <v>408</v>
      </c>
    </row>
    <row r="58" customFormat="false" ht="15" hidden="false" customHeight="false" outlineLevel="0" collapsed="false">
      <c r="E58" s="20" t="s">
        <v>63</v>
      </c>
    </row>
    <row r="59" customFormat="false" ht="15" hidden="false" customHeight="false" outlineLevel="0" collapsed="false">
      <c r="E59" s="20" t="s">
        <v>64</v>
      </c>
    </row>
    <row r="60" customFormat="false" ht="15" hidden="false" customHeight="false" outlineLevel="0" collapsed="false">
      <c r="E60" s="20" t="s">
        <v>65</v>
      </c>
    </row>
    <row r="61" customFormat="false" ht="12.75" hidden="false" customHeight="false" outlineLevel="0" collapsed="false">
      <c r="E61" s="0" t="s">
        <v>66</v>
      </c>
    </row>
    <row r="62" customFormat="false" ht="12.75" hidden="false" customHeight="false" outlineLevel="0" collapsed="false">
      <c r="E62" s="0" t="s">
        <v>67</v>
      </c>
    </row>
    <row r="63" customFormat="false" ht="12.75" hidden="false" customHeight="false" outlineLevel="0" collapsed="false">
      <c r="E63" s="0" t="s">
        <v>68</v>
      </c>
    </row>
    <row r="66" customFormat="false" ht="17.25" hidden="false" customHeight="false" outlineLevel="0" collapsed="false">
      <c r="A66" s="21" t="s">
        <v>69</v>
      </c>
      <c r="B66" s="21"/>
    </row>
    <row r="67" customFormat="false" ht="15" hidden="false" customHeight="false" outlineLevel="0" collapsed="false">
      <c r="A67" s="22" t="s">
        <v>70</v>
      </c>
      <c r="B67" s="22"/>
    </row>
    <row r="68" customFormat="false" ht="14.25" hidden="false" customHeight="false" outlineLevel="0" collapsed="false">
      <c r="A68" s="23"/>
      <c r="B68" s="24" t="s">
        <v>259</v>
      </c>
    </row>
    <row r="69" customFormat="false" ht="13.5" hidden="false" customHeight="false" outlineLevel="0" collapsed="false">
      <c r="A69" s="25" t="s">
        <v>1</v>
      </c>
      <c r="B69" s="25" t="s">
        <v>72</v>
      </c>
      <c r="C69" s="25" t="s">
        <v>73</v>
      </c>
      <c r="D69" s="25" t="s">
        <v>741</v>
      </c>
      <c r="E69" s="25" t="s">
        <v>4</v>
      </c>
    </row>
    <row r="70" customFormat="false" ht="12.75" hidden="false" customHeight="false" outlineLevel="0" collapsed="false">
      <c r="A70" s="26" t="s">
        <v>822</v>
      </c>
      <c r="B70" s="0" t="s">
        <v>672</v>
      </c>
      <c r="C70" s="0" t="n">
        <v>52</v>
      </c>
      <c r="D70" s="27" t="n">
        <v>165</v>
      </c>
      <c r="E70" s="28" t="n">
        <v>192.686991691589</v>
      </c>
    </row>
    <row r="72" customFormat="false" ht="14.25" hidden="false" customHeight="false" outlineLevel="0" collapsed="false">
      <c r="A72" s="23"/>
      <c r="B72" s="24" t="s">
        <v>414</v>
      </c>
    </row>
    <row r="73" customFormat="false" ht="13.5" hidden="false" customHeight="false" outlineLevel="0" collapsed="false">
      <c r="A73" s="25" t="s">
        <v>1</v>
      </c>
      <c r="B73" s="25" t="s">
        <v>72</v>
      </c>
      <c r="C73" s="25" t="s">
        <v>73</v>
      </c>
      <c r="D73" s="25" t="s">
        <v>741</v>
      </c>
      <c r="E73" s="25" t="s">
        <v>4</v>
      </c>
    </row>
    <row r="74" customFormat="false" ht="12.75" hidden="false" customHeight="false" outlineLevel="0" collapsed="false">
      <c r="A74" s="26" t="s">
        <v>823</v>
      </c>
      <c r="B74" s="0" t="s">
        <v>416</v>
      </c>
      <c r="C74" s="0" t="n">
        <v>56</v>
      </c>
      <c r="D74" s="27" t="n">
        <v>165</v>
      </c>
      <c r="E74" s="28" t="n">
        <v>177.342002391815</v>
      </c>
    </row>
    <row r="76" customFormat="false" ht="14.25" hidden="false" customHeight="false" outlineLevel="0" collapsed="false">
      <c r="A76" s="23"/>
      <c r="B76" s="24" t="s">
        <v>71</v>
      </c>
    </row>
    <row r="77" customFormat="false" ht="13.5" hidden="false" customHeight="false" outlineLevel="0" collapsed="false">
      <c r="A77" s="25" t="s">
        <v>1</v>
      </c>
      <c r="B77" s="25" t="s">
        <v>72</v>
      </c>
      <c r="C77" s="25" t="s">
        <v>73</v>
      </c>
      <c r="D77" s="25" t="s">
        <v>741</v>
      </c>
      <c r="E77" s="25" t="s">
        <v>4</v>
      </c>
    </row>
    <row r="78" customFormat="false" ht="12.75" hidden="false" customHeight="false" outlineLevel="0" collapsed="false">
      <c r="A78" s="26" t="s">
        <v>824</v>
      </c>
      <c r="B78" s="0" t="s">
        <v>71</v>
      </c>
      <c r="C78" s="0" t="n">
        <v>56</v>
      </c>
      <c r="D78" s="27" t="n">
        <v>280</v>
      </c>
      <c r="E78" s="28" t="n">
        <v>293.132009506226</v>
      </c>
    </row>
    <row r="79" customFormat="false" ht="12.75" hidden="false" customHeight="false" outlineLevel="0" collapsed="false">
      <c r="A79" s="26" t="s">
        <v>825</v>
      </c>
      <c r="B79" s="0" t="s">
        <v>71</v>
      </c>
      <c r="C79" s="0" t="n">
        <v>56</v>
      </c>
      <c r="D79" s="27" t="n">
        <v>257.5</v>
      </c>
      <c r="E79" s="28" t="n">
        <v>281.344496905804</v>
      </c>
    </row>
    <row r="80" customFormat="false" ht="12.75" hidden="false" customHeight="false" outlineLevel="0" collapsed="false">
      <c r="A80" s="26" t="s">
        <v>299</v>
      </c>
      <c r="B80" s="0" t="s">
        <v>71</v>
      </c>
      <c r="C80" s="0" t="n">
        <v>56</v>
      </c>
      <c r="D80" s="27" t="n">
        <v>237.5</v>
      </c>
      <c r="E80" s="28" t="n">
        <v>250.087493658066</v>
      </c>
    </row>
    <row r="82" customFormat="false" ht="14.25" hidden="false" customHeight="false" outlineLevel="0" collapsed="false">
      <c r="A82" s="23"/>
      <c r="B82" s="24" t="s">
        <v>82</v>
      </c>
    </row>
    <row r="83" customFormat="false" ht="13.5" hidden="false" customHeight="false" outlineLevel="0" collapsed="false">
      <c r="A83" s="25" t="s">
        <v>1</v>
      </c>
      <c r="B83" s="25" t="s">
        <v>72</v>
      </c>
      <c r="C83" s="25" t="s">
        <v>73</v>
      </c>
      <c r="D83" s="25" t="s">
        <v>741</v>
      </c>
      <c r="E83" s="25" t="s">
        <v>4</v>
      </c>
    </row>
    <row r="84" customFormat="false" ht="12.75" hidden="false" customHeight="false" outlineLevel="0" collapsed="false">
      <c r="A84" s="26" t="s">
        <v>826</v>
      </c>
      <c r="B84" s="0" t="s">
        <v>185</v>
      </c>
      <c r="C84" s="0" t="n">
        <v>67.5</v>
      </c>
      <c r="D84" s="27" t="n">
        <v>260</v>
      </c>
      <c r="E84" s="28" t="n">
        <v>279.652430921793</v>
      </c>
    </row>
    <row r="85" customFormat="false" ht="12.75" hidden="false" customHeight="false" outlineLevel="0" collapsed="false">
      <c r="A85" s="26" t="s">
        <v>827</v>
      </c>
      <c r="B85" s="0" t="s">
        <v>86</v>
      </c>
      <c r="C85" s="0" t="n">
        <v>56</v>
      </c>
      <c r="D85" s="27" t="n">
        <v>190</v>
      </c>
      <c r="E85" s="28" t="n">
        <v>205.253586173058</v>
      </c>
    </row>
    <row r="88" customFormat="false" ht="15" hidden="false" customHeight="false" outlineLevel="0" collapsed="false">
      <c r="A88" s="22" t="s">
        <v>76</v>
      </c>
      <c r="B88" s="22"/>
    </row>
    <row r="89" customFormat="false" ht="14.25" hidden="false" customHeight="false" outlineLevel="0" collapsed="false">
      <c r="A89" s="23"/>
      <c r="B89" s="24" t="s">
        <v>259</v>
      </c>
    </row>
    <row r="90" customFormat="false" ht="13.5" hidden="false" customHeight="false" outlineLevel="0" collapsed="false">
      <c r="A90" s="25" t="s">
        <v>1</v>
      </c>
      <c r="B90" s="25" t="s">
        <v>72</v>
      </c>
      <c r="C90" s="25" t="s">
        <v>73</v>
      </c>
      <c r="D90" s="25" t="s">
        <v>741</v>
      </c>
      <c r="E90" s="25" t="s">
        <v>4</v>
      </c>
    </row>
    <row r="91" customFormat="false" ht="12.75" hidden="false" customHeight="false" outlineLevel="0" collapsed="false">
      <c r="A91" s="26" t="s">
        <v>828</v>
      </c>
      <c r="B91" s="0" t="s">
        <v>425</v>
      </c>
      <c r="C91" s="0" t="n">
        <v>125</v>
      </c>
      <c r="D91" s="27" t="n">
        <v>625</v>
      </c>
      <c r="E91" s="28" t="n">
        <v>344.468764960766</v>
      </c>
    </row>
    <row r="92" customFormat="false" ht="12.75" hidden="false" customHeight="false" outlineLevel="0" collapsed="false">
      <c r="A92" s="26" t="s">
        <v>829</v>
      </c>
      <c r="B92" s="0" t="s">
        <v>425</v>
      </c>
      <c r="C92" s="0" t="n">
        <v>100</v>
      </c>
      <c r="D92" s="27" t="n">
        <v>440</v>
      </c>
      <c r="E92" s="28" t="n">
        <v>257.202010154724</v>
      </c>
    </row>
    <row r="93" customFormat="false" ht="12.75" hidden="false" customHeight="false" outlineLevel="0" collapsed="false">
      <c r="A93" s="26" t="s">
        <v>830</v>
      </c>
      <c r="B93" s="0" t="s">
        <v>425</v>
      </c>
      <c r="C93" s="0" t="n">
        <v>60</v>
      </c>
      <c r="D93" s="27" t="n">
        <v>300</v>
      </c>
      <c r="E93" s="28" t="n">
        <v>256.590002775192</v>
      </c>
    </row>
    <row r="95" customFormat="false" ht="14.25" hidden="false" customHeight="false" outlineLevel="0" collapsed="false">
      <c r="A95" s="23"/>
      <c r="B95" s="24" t="s">
        <v>414</v>
      </c>
    </row>
    <row r="96" customFormat="false" ht="13.5" hidden="false" customHeight="false" outlineLevel="0" collapsed="false">
      <c r="A96" s="25" t="s">
        <v>1</v>
      </c>
      <c r="B96" s="25" t="s">
        <v>72</v>
      </c>
      <c r="C96" s="25" t="s">
        <v>73</v>
      </c>
      <c r="D96" s="25" t="s">
        <v>741</v>
      </c>
      <c r="E96" s="25" t="s">
        <v>4</v>
      </c>
    </row>
    <row r="97" customFormat="false" ht="12.75" hidden="false" customHeight="false" outlineLevel="0" collapsed="false">
      <c r="A97" s="26" t="s">
        <v>831</v>
      </c>
      <c r="B97" s="0" t="s">
        <v>416</v>
      </c>
      <c r="C97" s="0" t="n">
        <v>90</v>
      </c>
      <c r="D97" s="27" t="n">
        <v>495</v>
      </c>
      <c r="E97" s="28" t="n">
        <v>304.944752454758</v>
      </c>
    </row>
    <row r="98" customFormat="false" ht="12.75" hidden="false" customHeight="false" outlineLevel="0" collapsed="false">
      <c r="A98" s="26" t="s">
        <v>426</v>
      </c>
      <c r="B98" s="0" t="s">
        <v>416</v>
      </c>
      <c r="C98" s="0" t="n">
        <v>75</v>
      </c>
      <c r="D98" s="27" t="n">
        <v>422.5</v>
      </c>
      <c r="E98" s="28" t="n">
        <v>298.453990370035</v>
      </c>
    </row>
    <row r="99" customFormat="false" ht="12.75" hidden="false" customHeight="false" outlineLevel="0" collapsed="false">
      <c r="A99" s="26" t="s">
        <v>832</v>
      </c>
      <c r="B99" s="0" t="s">
        <v>416</v>
      </c>
      <c r="C99" s="0" t="n">
        <v>67.5</v>
      </c>
      <c r="D99" s="27" t="n">
        <v>392.5</v>
      </c>
      <c r="E99" s="28" t="n">
        <v>298.299996256828</v>
      </c>
    </row>
    <row r="100" customFormat="false" ht="12.75" hidden="false" customHeight="false" outlineLevel="0" collapsed="false">
      <c r="A100" s="26" t="s">
        <v>429</v>
      </c>
      <c r="B100" s="0" t="s">
        <v>416</v>
      </c>
      <c r="C100" s="0" t="n">
        <v>90</v>
      </c>
      <c r="D100" s="27" t="n">
        <v>435</v>
      </c>
      <c r="E100" s="28" t="n">
        <v>280.183504521847</v>
      </c>
    </row>
    <row r="102" customFormat="false" ht="14.25" hidden="false" customHeight="false" outlineLevel="0" collapsed="false">
      <c r="A102" s="23"/>
      <c r="B102" s="24" t="s">
        <v>71</v>
      </c>
    </row>
    <row r="103" customFormat="false" ht="13.5" hidden="false" customHeight="false" outlineLevel="0" collapsed="false">
      <c r="A103" s="25" t="s">
        <v>1</v>
      </c>
      <c r="B103" s="25" t="s">
        <v>72</v>
      </c>
      <c r="C103" s="25" t="s">
        <v>73</v>
      </c>
      <c r="D103" s="25" t="s">
        <v>741</v>
      </c>
      <c r="E103" s="25" t="s">
        <v>4</v>
      </c>
    </row>
    <row r="104" customFormat="false" ht="12.75" hidden="false" customHeight="false" outlineLevel="0" collapsed="false">
      <c r="A104" s="26" t="s">
        <v>432</v>
      </c>
      <c r="B104" s="0" t="s">
        <v>71</v>
      </c>
      <c r="C104" s="0" t="n">
        <v>125</v>
      </c>
      <c r="D104" s="27" t="n">
        <v>685</v>
      </c>
      <c r="E104" s="28" t="n">
        <v>374.832016527653</v>
      </c>
    </row>
    <row r="105" customFormat="false" ht="12.75" hidden="false" customHeight="false" outlineLevel="0" collapsed="false">
      <c r="A105" s="26" t="s">
        <v>833</v>
      </c>
      <c r="B105" s="0" t="s">
        <v>71</v>
      </c>
      <c r="C105" s="0" t="n">
        <v>82.5</v>
      </c>
      <c r="D105" s="27" t="n">
        <v>567.5</v>
      </c>
      <c r="E105" s="28" t="n">
        <v>369.32899415493</v>
      </c>
    </row>
    <row r="106" customFormat="false" ht="12.75" hidden="false" customHeight="false" outlineLevel="0" collapsed="false">
      <c r="A106" s="26" t="s">
        <v>834</v>
      </c>
      <c r="B106" s="0" t="s">
        <v>71</v>
      </c>
      <c r="C106" s="0" t="n">
        <v>110</v>
      </c>
      <c r="D106" s="27" t="n">
        <v>577.5</v>
      </c>
      <c r="E106" s="28" t="n">
        <v>327.702367454767</v>
      </c>
    </row>
    <row r="107" customFormat="false" ht="12.75" hidden="false" customHeight="false" outlineLevel="0" collapsed="false">
      <c r="A107" s="26" t="s">
        <v>835</v>
      </c>
      <c r="B107" s="0" t="s">
        <v>71</v>
      </c>
      <c r="C107" s="0" t="n">
        <v>110</v>
      </c>
      <c r="D107" s="27" t="n">
        <v>570</v>
      </c>
      <c r="E107" s="28" t="n">
        <v>322.506006360054</v>
      </c>
    </row>
    <row r="108" customFormat="false" ht="12.75" hidden="false" customHeight="false" outlineLevel="0" collapsed="false">
      <c r="A108" s="26" t="s">
        <v>836</v>
      </c>
      <c r="B108" s="0" t="s">
        <v>71</v>
      </c>
      <c r="C108" s="0" t="n">
        <v>52</v>
      </c>
      <c r="D108" s="27" t="n">
        <v>310</v>
      </c>
      <c r="E108" s="28" t="n">
        <v>302.808007597923</v>
      </c>
    </row>
    <row r="109" customFormat="false" ht="12.75" hidden="false" customHeight="false" outlineLevel="0" collapsed="false">
      <c r="A109" s="26" t="s">
        <v>837</v>
      </c>
      <c r="B109" s="0" t="s">
        <v>71</v>
      </c>
      <c r="C109" s="0" t="n">
        <v>110</v>
      </c>
      <c r="D109" s="27" t="n">
        <v>510</v>
      </c>
      <c r="E109" s="28" t="n">
        <v>288.558005690575</v>
      </c>
    </row>
    <row r="110" customFormat="false" ht="12.75" hidden="false" customHeight="false" outlineLevel="0" collapsed="false">
      <c r="A110" s="26" t="s">
        <v>433</v>
      </c>
      <c r="B110" s="0" t="s">
        <v>71</v>
      </c>
      <c r="C110" s="0" t="n">
        <v>82.5</v>
      </c>
      <c r="D110" s="27" t="n">
        <v>430</v>
      </c>
      <c r="E110" s="28" t="n">
        <v>280.510503649712</v>
      </c>
    </row>
    <row r="111" customFormat="false" ht="12.75" hidden="false" customHeight="false" outlineLevel="0" collapsed="false">
      <c r="A111" s="26" t="s">
        <v>838</v>
      </c>
      <c r="B111" s="0" t="s">
        <v>71</v>
      </c>
      <c r="C111" s="0" t="n">
        <v>90</v>
      </c>
      <c r="D111" s="27" t="n">
        <v>455</v>
      </c>
      <c r="E111" s="28" t="n">
        <v>279.779496788979</v>
      </c>
    </row>
    <row r="112" customFormat="false" ht="12.75" hidden="false" customHeight="false" outlineLevel="0" collapsed="false">
      <c r="A112" s="26" t="s">
        <v>839</v>
      </c>
      <c r="B112" s="0" t="s">
        <v>71</v>
      </c>
      <c r="C112" s="0" t="n">
        <v>100</v>
      </c>
      <c r="D112" s="27" t="n">
        <v>392.5</v>
      </c>
      <c r="E112" s="28" t="n">
        <v>236.265370994806</v>
      </c>
    </row>
    <row r="114" customFormat="false" ht="14.25" hidden="false" customHeight="false" outlineLevel="0" collapsed="false">
      <c r="A114" s="23"/>
      <c r="B114" s="24" t="s">
        <v>82</v>
      </c>
    </row>
    <row r="115" customFormat="false" ht="13.5" hidden="false" customHeight="false" outlineLevel="0" collapsed="false">
      <c r="A115" s="25" t="s">
        <v>1</v>
      </c>
      <c r="B115" s="25" t="s">
        <v>72</v>
      </c>
      <c r="C115" s="25" t="s">
        <v>73</v>
      </c>
      <c r="D115" s="25" t="s">
        <v>741</v>
      </c>
      <c r="E115" s="25" t="s">
        <v>4</v>
      </c>
    </row>
    <row r="116" customFormat="false" ht="12.75" hidden="false" customHeight="false" outlineLevel="0" collapsed="false">
      <c r="A116" s="26" t="s">
        <v>840</v>
      </c>
      <c r="B116" s="0" t="s">
        <v>86</v>
      </c>
      <c r="C116" s="0" t="n">
        <v>110</v>
      </c>
      <c r="D116" s="27" t="n">
        <v>615</v>
      </c>
      <c r="E116" s="28" t="n">
        <v>355.114530837536</v>
      </c>
    </row>
    <row r="117" customFormat="false" ht="12.75" hidden="false" customHeight="false" outlineLevel="0" collapsed="false">
      <c r="A117" s="26" t="s">
        <v>703</v>
      </c>
      <c r="B117" s="0" t="s">
        <v>88</v>
      </c>
      <c r="C117" s="0" t="n">
        <v>75</v>
      </c>
      <c r="D117" s="27" t="n">
        <v>410</v>
      </c>
      <c r="E117" s="28" t="n">
        <v>309.318422019482</v>
      </c>
    </row>
  </sheetData>
  <mergeCells count="20">
    <mergeCell ref="A1:R2"/>
    <mergeCell ref="A3:A4"/>
    <mergeCell ref="B3:B4"/>
    <mergeCell ref="C3:C4"/>
    <mergeCell ref="D3:D4"/>
    <mergeCell ref="E3:E4"/>
    <mergeCell ref="F3:F4"/>
    <mergeCell ref="G3:R3"/>
    <mergeCell ref="A5:R5"/>
    <mergeCell ref="A8:R8"/>
    <mergeCell ref="A15:R15"/>
    <mergeCell ref="A18:R18"/>
    <mergeCell ref="A22:R22"/>
    <mergeCell ref="A25:R25"/>
    <mergeCell ref="A29:R29"/>
    <mergeCell ref="A34:R34"/>
    <mergeCell ref="A39:R39"/>
    <mergeCell ref="A44:R44"/>
    <mergeCell ref="A48:R48"/>
    <mergeCell ref="A54:R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1" min="11" style="0" width="5.55"/>
    <col collapsed="false" customWidth="true" hidden="false" outlineLevel="0" max="12" min="12" style="0" width="8.56"/>
  </cols>
  <sheetData>
    <row r="1" s="2" customFormat="true" ht="28.5" hidden="false" customHeight="true" outlineLevel="0" collapsed="false">
      <c r="A1" s="1" t="s">
        <v>841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32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842</v>
      </c>
      <c r="B6" s="13" t="s">
        <v>843</v>
      </c>
      <c r="C6" s="13" t="s">
        <v>163</v>
      </c>
      <c r="D6" s="13" t="str">
        <f aca="false">"0,5856"</f>
        <v>0,5856</v>
      </c>
      <c r="E6" s="13" t="s">
        <v>13</v>
      </c>
      <c r="F6" s="13" t="s">
        <v>42</v>
      </c>
      <c r="G6" s="19" t="s">
        <v>468</v>
      </c>
      <c r="H6" s="13" t="s">
        <v>468</v>
      </c>
      <c r="I6" s="19" t="s">
        <v>844</v>
      </c>
      <c r="J6" s="19"/>
      <c r="K6" s="13" t="str">
        <f aca="false">"270,0"</f>
        <v>270,0</v>
      </c>
      <c r="L6" s="13" t="str">
        <f aca="false">"159,6931"</f>
        <v>159,6931</v>
      </c>
      <c r="M6" s="13"/>
    </row>
    <row r="8" customFormat="false" ht="15" hidden="false" customHeight="false" outlineLevel="0" collapsed="false">
      <c r="E8" s="20" t="s">
        <v>63</v>
      </c>
    </row>
    <row r="9" customFormat="false" ht="15" hidden="false" customHeight="false" outlineLevel="0" collapsed="false">
      <c r="E9" s="20" t="s">
        <v>64</v>
      </c>
    </row>
    <row r="10" customFormat="false" ht="15" hidden="false" customHeight="false" outlineLevel="0" collapsed="false">
      <c r="E10" s="20" t="s">
        <v>65</v>
      </c>
    </row>
    <row r="11" customFormat="false" ht="12.75" hidden="false" customHeight="false" outlineLevel="0" collapsed="false">
      <c r="E11" s="0" t="s">
        <v>66</v>
      </c>
    </row>
    <row r="12" customFormat="false" ht="12.75" hidden="false" customHeight="false" outlineLevel="0" collapsed="false">
      <c r="E12" s="0" t="s">
        <v>67</v>
      </c>
    </row>
    <row r="13" customFormat="false" ht="12.75" hidden="false" customHeight="false" outlineLevel="0" collapsed="false">
      <c r="E13" s="0" t="s">
        <v>68</v>
      </c>
    </row>
    <row r="16" customFormat="false" ht="17.25" hidden="false" customHeight="false" outlineLevel="0" collapsed="false">
      <c r="A16" s="21" t="s">
        <v>69</v>
      </c>
      <c r="B16" s="21"/>
    </row>
    <row r="17" customFormat="false" ht="15" hidden="false" customHeight="false" outlineLevel="0" collapsed="false">
      <c r="A17" s="22" t="s">
        <v>76</v>
      </c>
      <c r="B17" s="22"/>
    </row>
    <row r="18" customFormat="false" ht="14.25" hidden="false" customHeight="false" outlineLevel="0" collapsed="false">
      <c r="A18" s="23"/>
      <c r="B18" s="24" t="s">
        <v>82</v>
      </c>
    </row>
    <row r="19" customFormat="false" ht="13.5" hidden="false" customHeight="false" outlineLevel="0" collapsed="false">
      <c r="A19" s="25" t="s">
        <v>1</v>
      </c>
      <c r="B19" s="25" t="s">
        <v>72</v>
      </c>
      <c r="C19" s="25" t="s">
        <v>73</v>
      </c>
      <c r="D19" s="25" t="s">
        <v>74</v>
      </c>
      <c r="E19" s="25" t="s">
        <v>4</v>
      </c>
    </row>
    <row r="20" customFormat="false" ht="12.75" hidden="false" customHeight="false" outlineLevel="0" collapsed="false">
      <c r="A20" s="26" t="s">
        <v>845</v>
      </c>
      <c r="B20" s="0" t="s">
        <v>86</v>
      </c>
      <c r="C20" s="0" t="n">
        <v>100</v>
      </c>
      <c r="D20" s="27" t="n">
        <v>270</v>
      </c>
      <c r="E20" s="28" t="n">
        <v>159.6931250453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11" min="7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/>
      <c r="I3" s="8"/>
      <c r="J3" s="8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</row>
    <row r="5" s="12" customFormat="true" ht="15" hidden="false" customHeight="false" outlineLevel="0" collapsed="false">
      <c r="A5" s="11" t="s">
        <v>90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91</v>
      </c>
      <c r="B6" s="13" t="s">
        <v>92</v>
      </c>
      <c r="C6" s="13" t="s">
        <v>93</v>
      </c>
      <c r="D6" s="13" t="str">
        <f aca="false">"0,7005"</f>
        <v>0,7005</v>
      </c>
      <c r="E6" s="13" t="s">
        <v>13</v>
      </c>
      <c r="F6" s="13" t="s">
        <v>14</v>
      </c>
      <c r="G6" s="13" t="s">
        <v>94</v>
      </c>
      <c r="H6" s="13" t="s">
        <v>95</v>
      </c>
      <c r="I6" s="13" t="s">
        <v>96</v>
      </c>
      <c r="J6" s="13" t="s">
        <v>97</v>
      </c>
      <c r="K6" s="13" t="str">
        <f aca="false">"54,0"</f>
        <v>54,0</v>
      </c>
      <c r="L6" s="13" t="str">
        <f aca="false">"39,9046"</f>
        <v>39,9046</v>
      </c>
      <c r="M6" s="13"/>
    </row>
    <row r="8" customFormat="false" ht="15" hidden="false" customHeight="false" outlineLevel="0" collapsed="false">
      <c r="A8" s="14" t="s">
        <v>32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39</v>
      </c>
      <c r="B9" s="13" t="s">
        <v>40</v>
      </c>
      <c r="C9" s="13" t="s">
        <v>41</v>
      </c>
      <c r="D9" s="13" t="str">
        <f aca="false">"0,6033"</f>
        <v>0,6033</v>
      </c>
      <c r="E9" s="13" t="s">
        <v>13</v>
      </c>
      <c r="F9" s="13" t="s">
        <v>42</v>
      </c>
      <c r="G9" s="13" t="s">
        <v>95</v>
      </c>
      <c r="H9" s="13" t="s">
        <v>96</v>
      </c>
      <c r="I9" s="19" t="s">
        <v>97</v>
      </c>
      <c r="J9" s="19"/>
      <c r="K9" s="13" t="str">
        <f aca="false">"44,0"</f>
        <v>44,0</v>
      </c>
      <c r="L9" s="13" t="str">
        <f aca="false">"28,0052"</f>
        <v>28,0052</v>
      </c>
      <c r="M9" s="13"/>
    </row>
    <row r="11" customFormat="false" ht="15" hidden="false" customHeight="false" outlineLevel="0" collapsed="false">
      <c r="A11" s="14" t="s">
        <v>54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5" t="s">
        <v>55</v>
      </c>
      <c r="B12" s="15" t="s">
        <v>56</v>
      </c>
      <c r="C12" s="15" t="s">
        <v>57</v>
      </c>
      <c r="D12" s="15" t="str">
        <f aca="false">"0,5581"</f>
        <v>0,5581</v>
      </c>
      <c r="E12" s="15" t="s">
        <v>13</v>
      </c>
      <c r="F12" s="15" t="s">
        <v>36</v>
      </c>
      <c r="G12" s="15" t="s">
        <v>96</v>
      </c>
      <c r="H12" s="15" t="s">
        <v>98</v>
      </c>
      <c r="I12" s="15" t="s">
        <v>99</v>
      </c>
      <c r="J12" s="15" t="s">
        <v>100</v>
      </c>
      <c r="K12" s="15" t="str">
        <f aca="false">"69,0"</f>
        <v>69,0</v>
      </c>
      <c r="L12" s="15" t="str">
        <f aca="false">"38,5123"</f>
        <v>38,5123</v>
      </c>
      <c r="M12" s="15"/>
    </row>
    <row r="13" customFormat="false" ht="12.75" hidden="false" customHeight="false" outlineLevel="0" collapsed="false">
      <c r="A13" s="29" t="s">
        <v>60</v>
      </c>
      <c r="B13" s="29" t="s">
        <v>61</v>
      </c>
      <c r="C13" s="29" t="s">
        <v>62</v>
      </c>
      <c r="D13" s="29" t="str">
        <f aca="false">"0,5609"</f>
        <v>0,5609</v>
      </c>
      <c r="E13" s="29" t="s">
        <v>13</v>
      </c>
      <c r="F13" s="29" t="s">
        <v>42</v>
      </c>
      <c r="G13" s="29" t="s">
        <v>97</v>
      </c>
      <c r="H13" s="29" t="s">
        <v>98</v>
      </c>
      <c r="I13" s="29" t="s">
        <v>101</v>
      </c>
      <c r="J13" s="30" t="s">
        <v>99</v>
      </c>
      <c r="K13" s="29" t="str">
        <f aca="false">"59,0"</f>
        <v>59,0</v>
      </c>
      <c r="L13" s="29" t="str">
        <f aca="false">"33,0960"</f>
        <v>33,0960</v>
      </c>
      <c r="M13" s="29"/>
    </row>
    <row r="14" customFormat="false" ht="12.75" hidden="false" customHeight="false" outlineLevel="0" collapsed="false">
      <c r="A14" s="17" t="s">
        <v>102</v>
      </c>
      <c r="B14" s="17" t="s">
        <v>103</v>
      </c>
      <c r="C14" s="17" t="s">
        <v>104</v>
      </c>
      <c r="D14" s="17" t="str">
        <f aca="false">"0,5546"</f>
        <v>0,5546</v>
      </c>
      <c r="E14" s="17" t="s">
        <v>13</v>
      </c>
      <c r="F14" s="17" t="s">
        <v>42</v>
      </c>
      <c r="G14" s="17" t="s">
        <v>96</v>
      </c>
      <c r="H14" s="17" t="s">
        <v>97</v>
      </c>
      <c r="I14" s="17" t="s">
        <v>98</v>
      </c>
      <c r="J14" s="18" t="s">
        <v>101</v>
      </c>
      <c r="K14" s="17" t="str">
        <f aca="false">"54,0"</f>
        <v>54,0</v>
      </c>
      <c r="L14" s="17" t="str">
        <f aca="false">"45,2520"</f>
        <v>45,2520</v>
      </c>
      <c r="M14" s="17"/>
    </row>
    <row r="16" customFormat="false" ht="15" hidden="false" customHeight="false" outlineLevel="0" collapsed="false">
      <c r="E16" s="20" t="s">
        <v>63</v>
      </c>
    </row>
    <row r="17" customFormat="false" ht="15" hidden="false" customHeight="false" outlineLevel="0" collapsed="false">
      <c r="E17" s="20" t="s">
        <v>64</v>
      </c>
    </row>
    <row r="18" customFormat="false" ht="15" hidden="false" customHeight="false" outlineLevel="0" collapsed="false">
      <c r="E18" s="20" t="s">
        <v>65</v>
      </c>
    </row>
    <row r="19" customFormat="false" ht="12.75" hidden="false" customHeight="false" outlineLevel="0" collapsed="false">
      <c r="E19" s="0" t="s">
        <v>66</v>
      </c>
    </row>
    <row r="20" customFormat="false" ht="12.75" hidden="false" customHeight="false" outlineLevel="0" collapsed="false">
      <c r="E20" s="0" t="s">
        <v>67</v>
      </c>
    </row>
    <row r="21" customFormat="false" ht="12.75" hidden="false" customHeight="false" outlineLevel="0" collapsed="false">
      <c r="E21" s="0" t="s">
        <v>68</v>
      </c>
    </row>
    <row r="24" customFormat="false" ht="17.25" hidden="false" customHeight="false" outlineLevel="0" collapsed="false">
      <c r="A24" s="21" t="s">
        <v>69</v>
      </c>
      <c r="B24" s="21"/>
    </row>
    <row r="25" customFormat="false" ht="15" hidden="false" customHeight="false" outlineLevel="0" collapsed="false">
      <c r="A25" s="22" t="s">
        <v>76</v>
      </c>
      <c r="B25" s="22"/>
    </row>
    <row r="26" customFormat="false" ht="14.25" hidden="false" customHeight="false" outlineLevel="0" collapsed="false">
      <c r="A26" s="23"/>
      <c r="B26" s="24" t="s">
        <v>71</v>
      </c>
    </row>
    <row r="27" customFormat="false" ht="13.5" hidden="false" customHeight="false" outlineLevel="0" collapsed="false">
      <c r="A27" s="25" t="s">
        <v>1</v>
      </c>
      <c r="B27" s="25" t="s">
        <v>72</v>
      </c>
      <c r="C27" s="25" t="s">
        <v>73</v>
      </c>
      <c r="D27" s="25" t="s">
        <v>74</v>
      </c>
      <c r="E27" s="25" t="s">
        <v>4</v>
      </c>
    </row>
    <row r="28" customFormat="false" ht="12.75" hidden="false" customHeight="false" outlineLevel="0" collapsed="false">
      <c r="A28" s="26" t="s">
        <v>80</v>
      </c>
      <c r="B28" s="0" t="s">
        <v>71</v>
      </c>
      <c r="C28" s="0" t="n">
        <v>125</v>
      </c>
      <c r="D28" s="27" t="n">
        <v>69</v>
      </c>
      <c r="E28" s="28" t="n">
        <v>38.5123495459557</v>
      </c>
    </row>
    <row r="30" customFormat="false" ht="14.25" hidden="false" customHeight="false" outlineLevel="0" collapsed="false">
      <c r="A30" s="23"/>
      <c r="B30" s="24" t="s">
        <v>82</v>
      </c>
    </row>
    <row r="31" customFormat="false" ht="13.5" hidden="false" customHeight="false" outlineLevel="0" collapsed="false">
      <c r="A31" s="25" t="s">
        <v>1</v>
      </c>
      <c r="B31" s="25" t="s">
        <v>72</v>
      </c>
      <c r="C31" s="25" t="s">
        <v>73</v>
      </c>
      <c r="D31" s="25" t="s">
        <v>74</v>
      </c>
      <c r="E31" s="25" t="s">
        <v>4</v>
      </c>
    </row>
    <row r="32" customFormat="false" ht="12.75" hidden="false" customHeight="false" outlineLevel="0" collapsed="false">
      <c r="A32" s="26" t="s">
        <v>105</v>
      </c>
      <c r="B32" s="0" t="s">
        <v>106</v>
      </c>
      <c r="C32" s="0" t="n">
        <v>125</v>
      </c>
      <c r="D32" s="27" t="n">
        <v>54</v>
      </c>
      <c r="E32" s="28" t="n">
        <v>45.2520324311256</v>
      </c>
    </row>
    <row r="33" customFormat="false" ht="12.75" hidden="false" customHeight="false" outlineLevel="0" collapsed="false">
      <c r="A33" s="26" t="s">
        <v>107</v>
      </c>
      <c r="B33" s="0" t="s">
        <v>88</v>
      </c>
      <c r="C33" s="0" t="n">
        <v>80</v>
      </c>
      <c r="D33" s="27" t="n">
        <v>54</v>
      </c>
      <c r="E33" s="28" t="n">
        <v>39.9046366792917</v>
      </c>
    </row>
    <row r="34" customFormat="false" ht="12.75" hidden="false" customHeight="false" outlineLevel="0" collapsed="false">
      <c r="A34" s="26" t="s">
        <v>85</v>
      </c>
      <c r="B34" s="0" t="s">
        <v>86</v>
      </c>
      <c r="C34" s="0" t="n">
        <v>125</v>
      </c>
      <c r="D34" s="27" t="n">
        <v>59</v>
      </c>
      <c r="E34" s="28" t="n">
        <v>33.0960488915443</v>
      </c>
    </row>
    <row r="35" customFormat="false" ht="12.75" hidden="false" customHeight="false" outlineLevel="0" collapsed="false">
      <c r="A35" s="26" t="s">
        <v>87</v>
      </c>
      <c r="B35" s="0" t="s">
        <v>88</v>
      </c>
      <c r="C35" s="0" t="n">
        <v>100</v>
      </c>
      <c r="D35" s="27" t="n">
        <v>44</v>
      </c>
      <c r="E35" s="28" t="n">
        <v>28.0051848578453</v>
      </c>
    </row>
  </sheetData>
  <mergeCells count="11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24.34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1" min="11" style="0" width="5.55"/>
    <col collapsed="false" customWidth="true" hidden="false" outlineLevel="0" max="12" min="12" style="0" width="8.56"/>
  </cols>
  <sheetData>
    <row r="1" s="2" customFormat="true" ht="28.5" hidden="false" customHeight="true" outlineLevel="0" collapsed="false">
      <c r="A1" s="1" t="s">
        <v>846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847</v>
      </c>
      <c r="B6" s="13" t="s">
        <v>848</v>
      </c>
      <c r="C6" s="13" t="s">
        <v>849</v>
      </c>
      <c r="D6" s="13" t="str">
        <f aca="false">"0,6197"</f>
        <v>0,6197</v>
      </c>
      <c r="E6" s="13" t="s">
        <v>13</v>
      </c>
      <c r="F6" s="13" t="s">
        <v>42</v>
      </c>
      <c r="G6" s="19" t="s">
        <v>401</v>
      </c>
      <c r="H6" s="13" t="s">
        <v>401</v>
      </c>
      <c r="I6" s="19" t="s">
        <v>343</v>
      </c>
      <c r="J6" s="19"/>
      <c r="K6" s="13" t="str">
        <f aca="false">"210,0"</f>
        <v>210,0</v>
      </c>
      <c r="L6" s="13" t="str">
        <f aca="false">"130,1370"</f>
        <v>130,1370</v>
      </c>
      <c r="M6" s="13"/>
    </row>
    <row r="8" customFormat="false" ht="15" hidden="false" customHeight="false" outlineLevel="0" collapsed="false">
      <c r="A8" s="14" t="s">
        <v>47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850</v>
      </c>
      <c r="B9" s="13" t="s">
        <v>851</v>
      </c>
      <c r="C9" s="13" t="s">
        <v>852</v>
      </c>
      <c r="D9" s="13" t="str">
        <f aca="false">"0,5650"</f>
        <v>0,5650</v>
      </c>
      <c r="E9" s="13" t="s">
        <v>13</v>
      </c>
      <c r="F9" s="13" t="s">
        <v>853</v>
      </c>
      <c r="G9" s="13" t="s">
        <v>506</v>
      </c>
      <c r="H9" s="13" t="s">
        <v>854</v>
      </c>
      <c r="I9" s="19" t="s">
        <v>855</v>
      </c>
      <c r="J9" s="19"/>
      <c r="K9" s="13" t="str">
        <f aca="false">"317,5"</f>
        <v>317,5</v>
      </c>
      <c r="L9" s="13" t="str">
        <f aca="false">"179,3875"</f>
        <v>179,3875</v>
      </c>
      <c r="M9" s="13"/>
    </row>
    <row r="11" customFormat="false" ht="15" hidden="false" customHeight="false" outlineLevel="0" collapsed="false">
      <c r="A11" s="14" t="s">
        <v>54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5" t="s">
        <v>856</v>
      </c>
      <c r="B12" s="15" t="s">
        <v>857</v>
      </c>
      <c r="C12" s="15" t="s">
        <v>858</v>
      </c>
      <c r="D12" s="15" t="str">
        <f aca="false">"0,5559"</f>
        <v>0,5559</v>
      </c>
      <c r="E12" s="15" t="s">
        <v>13</v>
      </c>
      <c r="F12" s="15" t="s">
        <v>273</v>
      </c>
      <c r="G12" s="15" t="s">
        <v>343</v>
      </c>
      <c r="H12" s="15" t="s">
        <v>790</v>
      </c>
      <c r="I12" s="16" t="s">
        <v>474</v>
      </c>
      <c r="J12" s="16"/>
      <c r="K12" s="15" t="str">
        <f aca="false">"235,0"</f>
        <v>235,0</v>
      </c>
      <c r="L12" s="15" t="str">
        <f aca="false">"130,6248"</f>
        <v>130,6248</v>
      </c>
      <c r="M12" s="15"/>
    </row>
    <row r="13" customFormat="false" ht="12.75" hidden="false" customHeight="false" outlineLevel="0" collapsed="false">
      <c r="A13" s="17" t="s">
        <v>856</v>
      </c>
      <c r="B13" s="17" t="s">
        <v>859</v>
      </c>
      <c r="C13" s="17" t="s">
        <v>858</v>
      </c>
      <c r="D13" s="17" t="str">
        <f aca="false">"0,5559"</f>
        <v>0,5559</v>
      </c>
      <c r="E13" s="17" t="s">
        <v>13</v>
      </c>
      <c r="F13" s="17" t="s">
        <v>273</v>
      </c>
      <c r="G13" s="17" t="s">
        <v>343</v>
      </c>
      <c r="H13" s="17" t="s">
        <v>790</v>
      </c>
      <c r="I13" s="18" t="s">
        <v>474</v>
      </c>
      <c r="J13" s="18"/>
      <c r="K13" s="17" t="str">
        <f aca="false">"235,0"</f>
        <v>235,0</v>
      </c>
      <c r="L13" s="17" t="str">
        <f aca="false">"162,7584"</f>
        <v>162,7584</v>
      </c>
      <c r="M13" s="17"/>
    </row>
    <row r="15" customFormat="false" ht="15" hidden="false" customHeight="false" outlineLevel="0" collapsed="false">
      <c r="E15" s="20" t="s">
        <v>63</v>
      </c>
    </row>
    <row r="16" customFormat="false" ht="15" hidden="false" customHeight="false" outlineLevel="0" collapsed="false">
      <c r="E16" s="20" t="s">
        <v>64</v>
      </c>
    </row>
    <row r="17" customFormat="false" ht="15" hidden="false" customHeight="false" outlineLevel="0" collapsed="false">
      <c r="E17" s="20" t="s">
        <v>65</v>
      </c>
    </row>
    <row r="18" customFormat="false" ht="12.75" hidden="false" customHeight="false" outlineLevel="0" collapsed="false">
      <c r="E18" s="0" t="s">
        <v>66</v>
      </c>
    </row>
    <row r="19" customFormat="false" ht="12.75" hidden="false" customHeight="false" outlineLevel="0" collapsed="false">
      <c r="E19" s="0" t="s">
        <v>67</v>
      </c>
    </row>
    <row r="20" customFormat="false" ht="12.75" hidden="false" customHeight="false" outlineLevel="0" collapsed="false">
      <c r="E20" s="0" t="s">
        <v>68</v>
      </c>
    </row>
    <row r="23" customFormat="false" ht="17.25" hidden="false" customHeight="false" outlineLevel="0" collapsed="false">
      <c r="A23" s="21" t="s">
        <v>69</v>
      </c>
      <c r="B23" s="21"/>
    </row>
    <row r="24" customFormat="false" ht="15" hidden="false" customHeight="false" outlineLevel="0" collapsed="false">
      <c r="A24" s="22" t="s">
        <v>76</v>
      </c>
      <c r="B24" s="22"/>
    </row>
    <row r="25" customFormat="false" ht="14.25" hidden="false" customHeight="false" outlineLevel="0" collapsed="false">
      <c r="A25" s="23"/>
      <c r="B25" s="24" t="s">
        <v>71</v>
      </c>
    </row>
    <row r="26" customFormat="false" ht="13.5" hidden="false" customHeight="false" outlineLevel="0" collapsed="false">
      <c r="A26" s="25" t="s">
        <v>1</v>
      </c>
      <c r="B26" s="25" t="s">
        <v>72</v>
      </c>
      <c r="C26" s="25" t="s">
        <v>73</v>
      </c>
      <c r="D26" s="25" t="s">
        <v>74</v>
      </c>
      <c r="E26" s="25" t="s">
        <v>4</v>
      </c>
    </row>
    <row r="27" customFormat="false" ht="12.75" hidden="false" customHeight="false" outlineLevel="0" collapsed="false">
      <c r="A27" s="26" t="s">
        <v>860</v>
      </c>
      <c r="B27" s="0" t="s">
        <v>71</v>
      </c>
      <c r="C27" s="0" t="n">
        <v>110</v>
      </c>
      <c r="D27" s="27" t="n">
        <v>317.5</v>
      </c>
      <c r="E27" s="28" t="n">
        <v>179.387499243021</v>
      </c>
    </row>
    <row r="28" customFormat="false" ht="12.75" hidden="false" customHeight="false" outlineLevel="0" collapsed="false">
      <c r="A28" s="26" t="s">
        <v>861</v>
      </c>
      <c r="B28" s="0" t="s">
        <v>71</v>
      </c>
      <c r="C28" s="0" t="n">
        <v>125</v>
      </c>
      <c r="D28" s="27" t="n">
        <v>235</v>
      </c>
      <c r="E28" s="28" t="n">
        <v>130.624756813049</v>
      </c>
    </row>
    <row r="29" customFormat="false" ht="12.75" hidden="false" customHeight="false" outlineLevel="0" collapsed="false">
      <c r="A29" s="26" t="s">
        <v>862</v>
      </c>
      <c r="B29" s="0" t="s">
        <v>71</v>
      </c>
      <c r="C29" s="0" t="n">
        <v>90</v>
      </c>
      <c r="D29" s="27" t="n">
        <v>210</v>
      </c>
      <c r="E29" s="28" t="n">
        <v>130.137003064156</v>
      </c>
    </row>
    <row r="31" customFormat="false" ht="14.25" hidden="false" customHeight="false" outlineLevel="0" collapsed="false">
      <c r="A31" s="23"/>
      <c r="B31" s="24" t="s">
        <v>82</v>
      </c>
    </row>
    <row r="32" customFormat="false" ht="13.5" hidden="false" customHeight="false" outlineLevel="0" collapsed="false">
      <c r="A32" s="25" t="s">
        <v>1</v>
      </c>
      <c r="B32" s="25" t="s">
        <v>72</v>
      </c>
      <c r="C32" s="25" t="s">
        <v>73</v>
      </c>
      <c r="D32" s="25" t="s">
        <v>74</v>
      </c>
      <c r="E32" s="25" t="s">
        <v>4</v>
      </c>
    </row>
    <row r="33" customFormat="false" ht="12.75" hidden="false" customHeight="false" outlineLevel="0" collapsed="false">
      <c r="A33" s="26" t="s">
        <v>861</v>
      </c>
      <c r="B33" s="0" t="s">
        <v>84</v>
      </c>
      <c r="C33" s="0" t="n">
        <v>125</v>
      </c>
      <c r="D33" s="27" t="n">
        <v>235</v>
      </c>
      <c r="E33" s="28" t="n">
        <v>162.758446989059</v>
      </c>
    </row>
  </sheetData>
  <mergeCells count="11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7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5.88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1" min="11" style="0" width="5.55"/>
    <col collapsed="false" customWidth="true" hidden="false" outlineLevel="0" max="12" min="12" style="0" width="8.56"/>
    <col collapsed="false" customWidth="true" hidden="false" outlineLevel="0" max="13" min="13" style="0" width="14.78"/>
  </cols>
  <sheetData>
    <row r="1" s="2" customFormat="true" ht="28.5" hidden="false" customHeight="true" outlineLevel="0" collapsed="false">
      <c r="A1" s="1" t="s">
        <v>863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3"/>
      <c r="H3" s="33"/>
      <c r="I3" s="33"/>
      <c r="J3" s="33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5</v>
      </c>
      <c r="H4" s="10" t="n">
        <v>6</v>
      </c>
      <c r="I4" s="10" t="n">
        <v>7</v>
      </c>
      <c r="J4" s="10" t="n">
        <v>8</v>
      </c>
    </row>
    <row r="5" s="12" customFormat="true" ht="15" hidden="false" customHeight="false" outlineLevel="0" collapsed="false">
      <c r="A5" s="11" t="s">
        <v>217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864</v>
      </c>
      <c r="B6" s="13" t="s">
        <v>865</v>
      </c>
      <c r="C6" s="13" t="s">
        <v>866</v>
      </c>
      <c r="D6" s="13" t="str">
        <f aca="false">"0,9102"</f>
        <v>0,9102</v>
      </c>
      <c r="E6" s="13" t="s">
        <v>13</v>
      </c>
      <c r="F6" s="13" t="s">
        <v>559</v>
      </c>
      <c r="G6" s="13" t="s">
        <v>17</v>
      </c>
      <c r="H6" s="13" t="s">
        <v>18</v>
      </c>
      <c r="I6" s="19" t="s">
        <v>44</v>
      </c>
      <c r="J6" s="19"/>
      <c r="K6" s="13" t="str">
        <f aca="false">"47,5"</f>
        <v>47,5</v>
      </c>
      <c r="L6" s="13" t="str">
        <f aca="false">"84,7829"</f>
        <v>84,7829</v>
      </c>
      <c r="M6" s="13" t="s">
        <v>867</v>
      </c>
    </row>
    <row r="8" customFormat="false" ht="15" hidden="false" customHeight="false" outlineLevel="0" collapsed="false">
      <c r="A8" s="14" t="s">
        <v>222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868</v>
      </c>
      <c r="B9" s="13" t="s">
        <v>869</v>
      </c>
      <c r="C9" s="13" t="s">
        <v>870</v>
      </c>
      <c r="D9" s="13" t="str">
        <f aca="false">"0,8361"</f>
        <v>0,8361</v>
      </c>
      <c r="E9" s="13" t="s">
        <v>532</v>
      </c>
      <c r="F9" s="13" t="s">
        <v>42</v>
      </c>
      <c r="G9" s="19" t="s">
        <v>240</v>
      </c>
      <c r="H9" s="13" t="s">
        <v>140</v>
      </c>
      <c r="I9" s="19" t="s">
        <v>334</v>
      </c>
      <c r="J9" s="19"/>
      <c r="K9" s="13" t="str">
        <f aca="false">"120,0"</f>
        <v>120,0</v>
      </c>
      <c r="L9" s="13" t="str">
        <f aca="false">"100,3320"</f>
        <v>100,3320</v>
      </c>
      <c r="M9" s="13"/>
    </row>
    <row r="11" customFormat="false" ht="15" hidden="false" customHeight="false" outlineLevel="0" collapsed="false">
      <c r="A11" s="14" t="s">
        <v>285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5" t="s">
        <v>871</v>
      </c>
      <c r="B12" s="15" t="s">
        <v>872</v>
      </c>
      <c r="C12" s="15" t="s">
        <v>603</v>
      </c>
      <c r="D12" s="15" t="str">
        <f aca="false">"0,6446"</f>
        <v>0,6446</v>
      </c>
      <c r="E12" s="15" t="s">
        <v>13</v>
      </c>
      <c r="F12" s="15" t="s">
        <v>873</v>
      </c>
      <c r="G12" s="15" t="s">
        <v>167</v>
      </c>
      <c r="H12" s="15" t="s">
        <v>160</v>
      </c>
      <c r="I12" s="15" t="s">
        <v>455</v>
      </c>
      <c r="J12" s="16"/>
      <c r="K12" s="15" t="str">
        <f aca="false">"182,5"</f>
        <v>182,5</v>
      </c>
      <c r="L12" s="15" t="str">
        <f aca="false">"117,6395"</f>
        <v>117,6395</v>
      </c>
      <c r="M12" s="15"/>
    </row>
    <row r="13" customFormat="false" ht="12.75" hidden="false" customHeight="false" outlineLevel="0" collapsed="false">
      <c r="A13" s="29" t="s">
        <v>874</v>
      </c>
      <c r="B13" s="29" t="s">
        <v>875</v>
      </c>
      <c r="C13" s="29" t="s">
        <v>876</v>
      </c>
      <c r="D13" s="29" t="str">
        <f aca="false">"0,6535"</f>
        <v>0,6535</v>
      </c>
      <c r="E13" s="29" t="s">
        <v>13</v>
      </c>
      <c r="F13" s="29" t="s">
        <v>42</v>
      </c>
      <c r="G13" s="29" t="s">
        <v>320</v>
      </c>
      <c r="H13" s="29" t="s">
        <v>334</v>
      </c>
      <c r="I13" s="29" t="s">
        <v>614</v>
      </c>
      <c r="J13" s="30"/>
      <c r="K13" s="29" t="str">
        <f aca="false">"132,5"</f>
        <v>132,5</v>
      </c>
      <c r="L13" s="29" t="str">
        <f aca="false">"86,5821"</f>
        <v>86,5821</v>
      </c>
      <c r="M13" s="29"/>
    </row>
    <row r="14" customFormat="false" ht="12.75" hidden="false" customHeight="false" outlineLevel="0" collapsed="false">
      <c r="A14" s="17" t="s">
        <v>460</v>
      </c>
      <c r="B14" s="17" t="s">
        <v>461</v>
      </c>
      <c r="C14" s="17" t="s">
        <v>462</v>
      </c>
      <c r="D14" s="17" t="str">
        <f aca="false">"0,6513"</f>
        <v>0,6513</v>
      </c>
      <c r="E14" s="17" t="s">
        <v>13</v>
      </c>
      <c r="F14" s="17" t="s">
        <v>284</v>
      </c>
      <c r="G14" s="17" t="s">
        <v>324</v>
      </c>
      <c r="H14" s="17" t="s">
        <v>320</v>
      </c>
      <c r="I14" s="18" t="s">
        <v>334</v>
      </c>
      <c r="J14" s="18"/>
      <c r="K14" s="17" t="str">
        <f aca="false">"115,0"</f>
        <v>115,0</v>
      </c>
      <c r="L14" s="17" t="str">
        <f aca="false">"85,9097"</f>
        <v>85,9097</v>
      </c>
      <c r="M14" s="17"/>
    </row>
    <row r="16" customFormat="false" ht="15" hidden="false" customHeight="false" outlineLevel="0" collapsed="false">
      <c r="A16" s="14" t="s">
        <v>19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false" ht="12.75" hidden="false" customHeight="false" outlineLevel="0" collapsed="false">
      <c r="A17" s="15" t="s">
        <v>264</v>
      </c>
      <c r="B17" s="15" t="s">
        <v>265</v>
      </c>
      <c r="C17" s="15" t="s">
        <v>266</v>
      </c>
      <c r="D17" s="15" t="str">
        <f aca="false">"0,6299"</f>
        <v>0,6299</v>
      </c>
      <c r="E17" s="15" t="s">
        <v>13</v>
      </c>
      <c r="F17" s="15" t="s">
        <v>42</v>
      </c>
      <c r="G17" s="16" t="s">
        <v>147</v>
      </c>
      <c r="H17" s="15" t="s">
        <v>147</v>
      </c>
      <c r="I17" s="16" t="s">
        <v>141</v>
      </c>
      <c r="J17" s="16"/>
      <c r="K17" s="15" t="str">
        <f aca="false">"130,0"</f>
        <v>130,0</v>
      </c>
      <c r="L17" s="15" t="str">
        <f aca="false">"81,8870"</f>
        <v>81,8870</v>
      </c>
      <c r="M17" s="15"/>
    </row>
    <row r="18" customFormat="false" ht="12.75" hidden="false" customHeight="false" outlineLevel="0" collapsed="false">
      <c r="A18" s="29" t="s">
        <v>877</v>
      </c>
      <c r="B18" s="29" t="s">
        <v>878</v>
      </c>
      <c r="C18" s="29" t="s">
        <v>879</v>
      </c>
      <c r="D18" s="29" t="str">
        <f aca="false">"0,6411"</f>
        <v>0,6411</v>
      </c>
      <c r="E18" s="29" t="s">
        <v>13</v>
      </c>
      <c r="F18" s="29" t="s">
        <v>42</v>
      </c>
      <c r="G18" s="29" t="s">
        <v>257</v>
      </c>
      <c r="H18" s="29" t="s">
        <v>577</v>
      </c>
      <c r="I18" s="29" t="s">
        <v>597</v>
      </c>
      <c r="J18" s="30"/>
      <c r="K18" s="29" t="str">
        <f aca="false">"122,5"</f>
        <v>122,5</v>
      </c>
      <c r="L18" s="29" t="str">
        <f aca="false">"80,1054"</f>
        <v>80,1054</v>
      </c>
      <c r="M18" s="29"/>
    </row>
    <row r="19" customFormat="false" ht="12.75" hidden="false" customHeight="false" outlineLevel="0" collapsed="false">
      <c r="A19" s="17" t="s">
        <v>880</v>
      </c>
      <c r="B19" s="17" t="s">
        <v>881</v>
      </c>
      <c r="C19" s="17" t="s">
        <v>882</v>
      </c>
      <c r="D19" s="17" t="str">
        <f aca="false">"0,6226"</f>
        <v>0,6226</v>
      </c>
      <c r="E19" s="17" t="s">
        <v>13</v>
      </c>
      <c r="F19" s="17" t="s">
        <v>559</v>
      </c>
      <c r="G19" s="17" t="s">
        <v>148</v>
      </c>
      <c r="H19" s="17" t="s">
        <v>142</v>
      </c>
      <c r="I19" s="18" t="s">
        <v>155</v>
      </c>
      <c r="J19" s="18"/>
      <c r="K19" s="17" t="str">
        <f aca="false">"145,0"</f>
        <v>145,0</v>
      </c>
      <c r="L19" s="17" t="str">
        <f aca="false">"114,4712"</f>
        <v>114,4712</v>
      </c>
      <c r="M19" s="17" t="s">
        <v>883</v>
      </c>
    </row>
    <row r="21" customFormat="false" ht="15" hidden="false" customHeight="false" outlineLevel="0" collapsed="false">
      <c r="A21" s="14" t="s">
        <v>32</v>
      </c>
      <c r="B21" s="14"/>
      <c r="C21" s="14"/>
      <c r="D21" s="14"/>
      <c r="E21" s="14"/>
      <c r="F21" s="14"/>
      <c r="G21" s="14"/>
      <c r="H21" s="14"/>
      <c r="I21" s="14"/>
      <c r="J21" s="14"/>
    </row>
    <row r="22" customFormat="false" ht="12.75" hidden="false" customHeight="false" outlineLevel="0" collapsed="false">
      <c r="A22" s="15" t="s">
        <v>884</v>
      </c>
      <c r="B22" s="15" t="s">
        <v>885</v>
      </c>
      <c r="C22" s="15" t="s">
        <v>886</v>
      </c>
      <c r="D22" s="15" t="str">
        <f aca="false">"0,5990"</f>
        <v>0,5990</v>
      </c>
      <c r="E22" s="15" t="s">
        <v>13</v>
      </c>
      <c r="F22" s="15" t="s">
        <v>467</v>
      </c>
      <c r="G22" s="15" t="s">
        <v>455</v>
      </c>
      <c r="H22" s="15" t="s">
        <v>363</v>
      </c>
      <c r="I22" s="15" t="s">
        <v>370</v>
      </c>
      <c r="J22" s="16"/>
      <c r="K22" s="15" t="str">
        <f aca="false">"195,0"</f>
        <v>195,0</v>
      </c>
      <c r="L22" s="15" t="str">
        <f aca="false">"116,8050"</f>
        <v>116,8050</v>
      </c>
      <c r="M22" s="15"/>
    </row>
    <row r="23" customFormat="false" ht="12.75" hidden="false" customHeight="false" outlineLevel="0" collapsed="false">
      <c r="A23" s="29" t="s">
        <v>887</v>
      </c>
      <c r="B23" s="29" t="s">
        <v>888</v>
      </c>
      <c r="C23" s="29" t="s">
        <v>635</v>
      </c>
      <c r="D23" s="29" t="str">
        <f aca="false">"0,5867"</f>
        <v>0,5867</v>
      </c>
      <c r="E23" s="29" t="s">
        <v>13</v>
      </c>
      <c r="F23" s="29" t="s">
        <v>889</v>
      </c>
      <c r="G23" s="29" t="s">
        <v>356</v>
      </c>
      <c r="H23" s="30" t="s">
        <v>363</v>
      </c>
      <c r="I23" s="30" t="s">
        <v>363</v>
      </c>
      <c r="J23" s="30"/>
      <c r="K23" s="29" t="str">
        <f aca="false">"180,0"</f>
        <v>180,0</v>
      </c>
      <c r="L23" s="29" t="str">
        <f aca="false">"105,5970"</f>
        <v>105,5970</v>
      </c>
      <c r="M23" s="29"/>
    </row>
    <row r="24" customFormat="false" ht="12.75" hidden="false" customHeight="false" outlineLevel="0" collapsed="false">
      <c r="A24" s="29" t="s">
        <v>890</v>
      </c>
      <c r="B24" s="29" t="s">
        <v>891</v>
      </c>
      <c r="C24" s="29" t="s">
        <v>892</v>
      </c>
      <c r="D24" s="29" t="str">
        <f aca="false">"0,5838"</f>
        <v>0,5838</v>
      </c>
      <c r="E24" s="29" t="s">
        <v>13</v>
      </c>
      <c r="F24" s="29" t="s">
        <v>893</v>
      </c>
      <c r="G24" s="29" t="s">
        <v>357</v>
      </c>
      <c r="H24" s="29" t="s">
        <v>370</v>
      </c>
      <c r="I24" s="30" t="s">
        <v>371</v>
      </c>
      <c r="J24" s="30"/>
      <c r="K24" s="29" t="str">
        <f aca="false">"195,0"</f>
        <v>195,0</v>
      </c>
      <c r="L24" s="29" t="str">
        <f aca="false">"116,1178"</f>
        <v>116,1178</v>
      </c>
      <c r="M24" s="29"/>
    </row>
    <row r="25" customFormat="false" ht="12.75" hidden="false" customHeight="false" outlineLevel="0" collapsed="false">
      <c r="A25" s="17" t="s">
        <v>894</v>
      </c>
      <c r="B25" s="17" t="s">
        <v>895</v>
      </c>
      <c r="C25" s="17" t="s">
        <v>298</v>
      </c>
      <c r="D25" s="17" t="str">
        <f aca="false">"0,5882"</f>
        <v>0,5882</v>
      </c>
      <c r="E25" s="17" t="s">
        <v>13</v>
      </c>
      <c r="F25" s="17" t="s">
        <v>559</v>
      </c>
      <c r="G25" s="17" t="s">
        <v>356</v>
      </c>
      <c r="H25" s="17" t="s">
        <v>363</v>
      </c>
      <c r="I25" s="17" t="s">
        <v>371</v>
      </c>
      <c r="J25" s="18"/>
      <c r="K25" s="17" t="str">
        <f aca="false">"200,0"</f>
        <v>200,0</v>
      </c>
      <c r="L25" s="17" t="str">
        <f aca="false">"160,7099"</f>
        <v>160,7099</v>
      </c>
      <c r="M25" s="17"/>
    </row>
    <row r="27" customFormat="false" ht="15" hidden="false" customHeight="false" outlineLevel="0" collapsed="false">
      <c r="A27" s="14" t="s">
        <v>47</v>
      </c>
      <c r="B27" s="14"/>
      <c r="C27" s="14"/>
      <c r="D27" s="14"/>
      <c r="E27" s="14"/>
      <c r="F27" s="14"/>
      <c r="G27" s="14"/>
      <c r="H27" s="14"/>
      <c r="I27" s="14"/>
      <c r="J27" s="14"/>
    </row>
    <row r="28" customFormat="false" ht="12.75" hidden="false" customHeight="false" outlineLevel="0" collapsed="false">
      <c r="A28" s="15" t="s">
        <v>896</v>
      </c>
      <c r="B28" s="15" t="s">
        <v>897</v>
      </c>
      <c r="C28" s="15" t="s">
        <v>256</v>
      </c>
      <c r="D28" s="15" t="str">
        <f aca="false">"0,5695"</f>
        <v>0,5695</v>
      </c>
      <c r="E28" s="15" t="s">
        <v>13</v>
      </c>
      <c r="F28" s="15" t="s">
        <v>42</v>
      </c>
      <c r="G28" s="16" t="s">
        <v>356</v>
      </c>
      <c r="H28" s="16" t="s">
        <v>356</v>
      </c>
      <c r="I28" s="16" t="s">
        <v>356</v>
      </c>
      <c r="J28" s="16"/>
      <c r="K28" s="15" t="str">
        <f aca="false">"0.00"</f>
        <v>0.00</v>
      </c>
      <c r="L28" s="15" t="str">
        <f aca="false">"0,0000"</f>
        <v>0,0000</v>
      </c>
      <c r="M28" s="15"/>
    </row>
    <row r="29" customFormat="false" ht="12.75" hidden="false" customHeight="false" outlineLevel="0" collapsed="false">
      <c r="A29" s="17" t="s">
        <v>898</v>
      </c>
      <c r="B29" s="17" t="s">
        <v>899</v>
      </c>
      <c r="C29" s="17" t="s">
        <v>900</v>
      </c>
      <c r="D29" s="17" t="str">
        <f aca="false">"0,5744"</f>
        <v>0,5744</v>
      </c>
      <c r="E29" s="17" t="s">
        <v>13</v>
      </c>
      <c r="F29" s="17" t="s">
        <v>901</v>
      </c>
      <c r="G29" s="17" t="s">
        <v>356</v>
      </c>
      <c r="H29" s="17" t="s">
        <v>357</v>
      </c>
      <c r="I29" s="18" t="s">
        <v>363</v>
      </c>
      <c r="J29" s="18"/>
      <c r="K29" s="17" t="str">
        <f aca="false">"185,0"</f>
        <v>185,0</v>
      </c>
      <c r="L29" s="17" t="str">
        <f aca="false">"142,3938"</f>
        <v>142,3938</v>
      </c>
      <c r="M29" s="17"/>
    </row>
    <row r="31" customFormat="false" ht="15" hidden="false" customHeight="false" outlineLevel="0" collapsed="false">
      <c r="A31" s="14" t="s">
        <v>54</v>
      </c>
      <c r="B31" s="14"/>
      <c r="C31" s="14"/>
      <c r="D31" s="14"/>
      <c r="E31" s="14"/>
      <c r="F31" s="14"/>
      <c r="G31" s="14"/>
      <c r="H31" s="14"/>
      <c r="I31" s="14"/>
      <c r="J31" s="14"/>
    </row>
    <row r="32" customFormat="false" ht="12.75" hidden="false" customHeight="false" outlineLevel="0" collapsed="false">
      <c r="A32" s="15" t="s">
        <v>902</v>
      </c>
      <c r="B32" s="15" t="s">
        <v>903</v>
      </c>
      <c r="C32" s="15" t="s">
        <v>904</v>
      </c>
      <c r="D32" s="15" t="str">
        <f aca="false">"0,5524"</f>
        <v>0,5524</v>
      </c>
      <c r="E32" s="15" t="s">
        <v>13</v>
      </c>
      <c r="F32" s="15" t="s">
        <v>42</v>
      </c>
      <c r="G32" s="15" t="s">
        <v>356</v>
      </c>
      <c r="H32" s="15" t="s">
        <v>363</v>
      </c>
      <c r="I32" s="15" t="s">
        <v>371</v>
      </c>
      <c r="J32" s="16"/>
      <c r="K32" s="15" t="str">
        <f aca="false">"200,0"</f>
        <v>200,0</v>
      </c>
      <c r="L32" s="15" t="str">
        <f aca="false">"121,1966"</f>
        <v>121,1966</v>
      </c>
      <c r="M32" s="15"/>
    </row>
    <row r="33" customFormat="false" ht="12.75" hidden="false" customHeight="false" outlineLevel="0" collapsed="false">
      <c r="A33" s="29" t="s">
        <v>905</v>
      </c>
      <c r="B33" s="29" t="s">
        <v>906</v>
      </c>
      <c r="C33" s="29" t="s">
        <v>907</v>
      </c>
      <c r="D33" s="29" t="str">
        <f aca="false">"0,5535"</f>
        <v>0,5535</v>
      </c>
      <c r="E33" s="29" t="s">
        <v>13</v>
      </c>
      <c r="F33" s="29" t="s">
        <v>901</v>
      </c>
      <c r="G33" s="29" t="s">
        <v>159</v>
      </c>
      <c r="H33" s="29" t="s">
        <v>160</v>
      </c>
      <c r="I33" s="30" t="s">
        <v>351</v>
      </c>
      <c r="J33" s="30"/>
      <c r="K33" s="29" t="str">
        <f aca="false">"175,0"</f>
        <v>175,0</v>
      </c>
      <c r="L33" s="29" t="str">
        <f aca="false">"107,8080"</f>
        <v>107,8080</v>
      </c>
      <c r="M33" s="29"/>
    </row>
    <row r="34" customFormat="false" ht="12.75" hidden="false" customHeight="false" outlineLevel="0" collapsed="false">
      <c r="A34" s="17" t="s">
        <v>908</v>
      </c>
      <c r="B34" s="17" t="s">
        <v>909</v>
      </c>
      <c r="C34" s="17" t="s">
        <v>910</v>
      </c>
      <c r="D34" s="17" t="str">
        <f aca="false">"0,5533"</f>
        <v>0,5533</v>
      </c>
      <c r="E34" s="17" t="s">
        <v>13</v>
      </c>
      <c r="F34" s="17" t="s">
        <v>625</v>
      </c>
      <c r="G34" s="17" t="s">
        <v>147</v>
      </c>
      <c r="H34" s="18" t="s">
        <v>148</v>
      </c>
      <c r="I34" s="17" t="s">
        <v>142</v>
      </c>
      <c r="J34" s="18"/>
      <c r="K34" s="17" t="str">
        <f aca="false">"145,0"</f>
        <v>145,0</v>
      </c>
      <c r="L34" s="17" t="str">
        <f aca="false">"113,9944"</f>
        <v>113,9944</v>
      </c>
      <c r="M34" s="17"/>
    </row>
    <row r="36" customFormat="false" ht="15" hidden="false" customHeight="false" outlineLevel="0" collapsed="false">
      <c r="A36" s="14" t="s">
        <v>911</v>
      </c>
      <c r="B36" s="14"/>
      <c r="C36" s="14"/>
      <c r="D36" s="14"/>
      <c r="E36" s="14"/>
      <c r="F36" s="14"/>
      <c r="G36" s="14"/>
      <c r="H36" s="14"/>
      <c r="I36" s="14"/>
      <c r="J36" s="14"/>
    </row>
    <row r="37" customFormat="false" ht="12.75" hidden="false" customHeight="false" outlineLevel="0" collapsed="false">
      <c r="A37" s="13" t="s">
        <v>912</v>
      </c>
      <c r="B37" s="13" t="s">
        <v>913</v>
      </c>
      <c r="C37" s="13" t="s">
        <v>914</v>
      </c>
      <c r="D37" s="13" t="str">
        <f aca="false">"0,5445"</f>
        <v>0,5445</v>
      </c>
      <c r="E37" s="13" t="s">
        <v>13</v>
      </c>
      <c r="F37" s="13" t="s">
        <v>559</v>
      </c>
      <c r="G37" s="13" t="s">
        <v>356</v>
      </c>
      <c r="H37" s="13" t="s">
        <v>363</v>
      </c>
      <c r="I37" s="13" t="s">
        <v>370</v>
      </c>
      <c r="J37" s="19"/>
      <c r="K37" s="13" t="str">
        <f aca="false">"195,0"</f>
        <v>195,0</v>
      </c>
      <c r="L37" s="13" t="str">
        <f aca="false">"121,7811"</f>
        <v>121,7811</v>
      </c>
      <c r="M37" s="13"/>
    </row>
    <row r="39" customFormat="false" ht="15" hidden="false" customHeight="false" outlineLevel="0" collapsed="false">
      <c r="E39" s="20" t="s">
        <v>63</v>
      </c>
    </row>
    <row r="40" customFormat="false" ht="15" hidden="false" customHeight="false" outlineLevel="0" collapsed="false">
      <c r="E40" s="20" t="s">
        <v>64</v>
      </c>
    </row>
    <row r="41" customFormat="false" ht="15" hidden="false" customHeight="false" outlineLevel="0" collapsed="false">
      <c r="E41" s="20" t="s">
        <v>65</v>
      </c>
    </row>
    <row r="42" customFormat="false" ht="12.75" hidden="false" customHeight="false" outlineLevel="0" collapsed="false">
      <c r="E42" s="0" t="s">
        <v>66</v>
      </c>
    </row>
    <row r="43" customFormat="false" ht="12.75" hidden="false" customHeight="false" outlineLevel="0" collapsed="false">
      <c r="E43" s="0" t="s">
        <v>67</v>
      </c>
    </row>
    <row r="44" customFormat="false" ht="12.75" hidden="false" customHeight="false" outlineLevel="0" collapsed="false">
      <c r="E44" s="0" t="s">
        <v>68</v>
      </c>
    </row>
    <row r="47" customFormat="false" ht="17.25" hidden="false" customHeight="false" outlineLevel="0" collapsed="false">
      <c r="A47" s="21" t="s">
        <v>69</v>
      </c>
      <c r="B47" s="21"/>
    </row>
    <row r="48" customFormat="false" ht="15" hidden="false" customHeight="false" outlineLevel="0" collapsed="false">
      <c r="A48" s="22" t="s">
        <v>70</v>
      </c>
      <c r="B48" s="22"/>
    </row>
    <row r="49" customFormat="false" ht="14.25" hidden="false" customHeight="false" outlineLevel="0" collapsed="false">
      <c r="A49" s="23"/>
      <c r="B49" s="24" t="s">
        <v>71</v>
      </c>
    </row>
    <row r="50" customFormat="false" ht="13.5" hidden="false" customHeight="false" outlineLevel="0" collapsed="false">
      <c r="A50" s="25" t="s">
        <v>1</v>
      </c>
      <c r="B50" s="25" t="s">
        <v>72</v>
      </c>
      <c r="C50" s="25" t="s">
        <v>73</v>
      </c>
      <c r="D50" s="25" t="s">
        <v>74</v>
      </c>
      <c r="E50" s="25" t="s">
        <v>4</v>
      </c>
    </row>
    <row r="51" customFormat="false" ht="12.75" hidden="false" customHeight="false" outlineLevel="0" collapsed="false">
      <c r="A51" s="26" t="s">
        <v>915</v>
      </c>
      <c r="B51" s="0" t="s">
        <v>71</v>
      </c>
      <c r="C51" s="0" t="n">
        <v>75</v>
      </c>
      <c r="D51" s="27" t="n">
        <v>120</v>
      </c>
      <c r="E51" s="28" t="n">
        <v>100.331997871399</v>
      </c>
    </row>
    <row r="53" customFormat="false" ht="14.25" hidden="false" customHeight="false" outlineLevel="0" collapsed="false">
      <c r="A53" s="23"/>
      <c r="B53" s="24" t="s">
        <v>82</v>
      </c>
    </row>
    <row r="54" customFormat="false" ht="13.5" hidden="false" customHeight="false" outlineLevel="0" collapsed="false">
      <c r="A54" s="25" t="s">
        <v>1</v>
      </c>
      <c r="B54" s="25" t="s">
        <v>72</v>
      </c>
      <c r="C54" s="25" t="s">
        <v>73</v>
      </c>
      <c r="D54" s="25" t="s">
        <v>74</v>
      </c>
      <c r="E54" s="25" t="s">
        <v>4</v>
      </c>
    </row>
    <row r="55" customFormat="false" ht="12.75" hidden="false" customHeight="false" outlineLevel="0" collapsed="false">
      <c r="A55" s="26" t="s">
        <v>916</v>
      </c>
      <c r="B55" s="0" t="s">
        <v>917</v>
      </c>
      <c r="C55" s="0" t="n">
        <v>67.5</v>
      </c>
      <c r="D55" s="27" t="n">
        <v>47.5</v>
      </c>
      <c r="E55" s="28" t="n">
        <v>84.7828544822335</v>
      </c>
    </row>
    <row r="58" customFormat="false" ht="15" hidden="false" customHeight="false" outlineLevel="0" collapsed="false">
      <c r="A58" s="22" t="s">
        <v>76</v>
      </c>
      <c r="B58" s="22"/>
    </row>
    <row r="59" customFormat="false" ht="14.25" hidden="false" customHeight="false" outlineLevel="0" collapsed="false">
      <c r="A59" s="23"/>
      <c r="B59" s="24" t="s">
        <v>71</v>
      </c>
    </row>
    <row r="60" customFormat="false" ht="13.5" hidden="false" customHeight="false" outlineLevel="0" collapsed="false">
      <c r="A60" s="25" t="s">
        <v>1</v>
      </c>
      <c r="B60" s="25" t="s">
        <v>72</v>
      </c>
      <c r="C60" s="25" t="s">
        <v>73</v>
      </c>
      <c r="D60" s="25" t="s">
        <v>74</v>
      </c>
      <c r="E60" s="25" t="s">
        <v>4</v>
      </c>
    </row>
    <row r="61" customFormat="false" ht="12.75" hidden="false" customHeight="false" outlineLevel="0" collapsed="false">
      <c r="A61" s="26" t="s">
        <v>918</v>
      </c>
      <c r="B61" s="0" t="s">
        <v>71</v>
      </c>
      <c r="C61" s="0" t="n">
        <v>82.5</v>
      </c>
      <c r="D61" s="27" t="n">
        <v>182.5</v>
      </c>
      <c r="E61" s="28" t="n">
        <v>117.639495283365</v>
      </c>
    </row>
    <row r="62" customFormat="false" ht="12.75" hidden="false" customHeight="false" outlineLevel="0" collapsed="false">
      <c r="A62" s="26" t="s">
        <v>919</v>
      </c>
      <c r="B62" s="0" t="s">
        <v>71</v>
      </c>
      <c r="C62" s="0" t="n">
        <v>100</v>
      </c>
      <c r="D62" s="27" t="n">
        <v>195</v>
      </c>
      <c r="E62" s="28" t="n">
        <v>116.804995536804</v>
      </c>
    </row>
    <row r="63" customFormat="false" ht="12.75" hidden="false" customHeight="false" outlineLevel="0" collapsed="false">
      <c r="A63" s="26" t="s">
        <v>920</v>
      </c>
      <c r="B63" s="0" t="s">
        <v>71</v>
      </c>
      <c r="C63" s="0" t="n">
        <v>100</v>
      </c>
      <c r="D63" s="27" t="n">
        <v>180</v>
      </c>
      <c r="E63" s="28" t="n">
        <v>105.597002506256</v>
      </c>
    </row>
    <row r="64" customFormat="false" ht="12.75" hidden="false" customHeight="false" outlineLevel="0" collapsed="false">
      <c r="A64" s="26" t="s">
        <v>268</v>
      </c>
      <c r="B64" s="0" t="s">
        <v>71</v>
      </c>
      <c r="C64" s="0" t="n">
        <v>90</v>
      </c>
      <c r="D64" s="27" t="n">
        <v>130</v>
      </c>
      <c r="E64" s="28" t="n">
        <v>81.8869972229004</v>
      </c>
    </row>
    <row r="66" customFormat="false" ht="14.25" hidden="false" customHeight="false" outlineLevel="0" collapsed="false">
      <c r="A66" s="23"/>
      <c r="B66" s="24" t="s">
        <v>82</v>
      </c>
    </row>
    <row r="67" customFormat="false" ht="13.5" hidden="false" customHeight="false" outlineLevel="0" collapsed="false">
      <c r="A67" s="25" t="s">
        <v>1</v>
      </c>
      <c r="B67" s="25" t="s">
        <v>72</v>
      </c>
      <c r="C67" s="25" t="s">
        <v>73</v>
      </c>
      <c r="D67" s="25" t="s">
        <v>74</v>
      </c>
      <c r="E67" s="25" t="s">
        <v>4</v>
      </c>
    </row>
    <row r="68" customFormat="false" ht="12.75" hidden="false" customHeight="false" outlineLevel="0" collapsed="false">
      <c r="A68" s="26" t="s">
        <v>867</v>
      </c>
      <c r="B68" s="0" t="s">
        <v>700</v>
      </c>
      <c r="C68" s="0" t="n">
        <v>100</v>
      </c>
      <c r="D68" s="27" t="n">
        <v>200</v>
      </c>
      <c r="E68" s="28" t="n">
        <v>160.709894919395</v>
      </c>
    </row>
    <row r="69" customFormat="false" ht="12.75" hidden="false" customHeight="false" outlineLevel="0" collapsed="false">
      <c r="A69" s="26" t="s">
        <v>921</v>
      </c>
      <c r="B69" s="0" t="s">
        <v>700</v>
      </c>
      <c r="C69" s="0" t="n">
        <v>110</v>
      </c>
      <c r="D69" s="27" t="n">
        <v>185</v>
      </c>
      <c r="E69" s="28" t="n">
        <v>142.393761914969</v>
      </c>
    </row>
    <row r="70" customFormat="false" ht="12.75" hidden="false" customHeight="false" outlineLevel="0" collapsed="false">
      <c r="A70" s="26" t="s">
        <v>922</v>
      </c>
      <c r="B70" s="0" t="s">
        <v>185</v>
      </c>
      <c r="C70" s="0" t="n">
        <v>140</v>
      </c>
      <c r="D70" s="27" t="n">
        <v>195</v>
      </c>
      <c r="E70" s="28" t="n">
        <v>121.781124963462</v>
      </c>
    </row>
    <row r="71" customFormat="false" ht="12.75" hidden="false" customHeight="false" outlineLevel="0" collapsed="false">
      <c r="A71" s="26" t="s">
        <v>923</v>
      </c>
      <c r="B71" s="0" t="s">
        <v>88</v>
      </c>
      <c r="C71" s="0" t="n">
        <v>125</v>
      </c>
      <c r="D71" s="27" t="n">
        <v>200</v>
      </c>
      <c r="E71" s="28" t="n">
        <v>121.196558451653</v>
      </c>
    </row>
    <row r="72" customFormat="false" ht="12.75" hidden="false" customHeight="false" outlineLevel="0" collapsed="false">
      <c r="A72" s="26" t="s">
        <v>924</v>
      </c>
      <c r="B72" s="0" t="s">
        <v>86</v>
      </c>
      <c r="C72" s="0" t="n">
        <v>100</v>
      </c>
      <c r="D72" s="27" t="n">
        <v>195</v>
      </c>
      <c r="E72" s="28" t="n">
        <v>116.117823547125</v>
      </c>
    </row>
    <row r="73" customFormat="false" ht="12.75" hidden="false" customHeight="false" outlineLevel="0" collapsed="false">
      <c r="A73" s="26" t="s">
        <v>925</v>
      </c>
      <c r="B73" s="0" t="s">
        <v>84</v>
      </c>
      <c r="C73" s="0" t="n">
        <v>90</v>
      </c>
      <c r="D73" s="27" t="n">
        <v>145</v>
      </c>
      <c r="E73" s="28" t="n">
        <v>114.471239489317</v>
      </c>
    </row>
    <row r="74" customFormat="false" ht="12.75" hidden="false" customHeight="false" outlineLevel="0" collapsed="false">
      <c r="A74" s="26" t="s">
        <v>926</v>
      </c>
      <c r="B74" s="0" t="s">
        <v>700</v>
      </c>
      <c r="C74" s="0" t="n">
        <v>125</v>
      </c>
      <c r="D74" s="27" t="n">
        <v>145</v>
      </c>
      <c r="E74" s="28" t="n">
        <v>113.994399295747</v>
      </c>
    </row>
    <row r="75" customFormat="false" ht="12.75" hidden="false" customHeight="false" outlineLevel="0" collapsed="false">
      <c r="A75" s="26" t="s">
        <v>927</v>
      </c>
      <c r="B75" s="0" t="s">
        <v>88</v>
      </c>
      <c r="C75" s="0" t="n">
        <v>125</v>
      </c>
      <c r="D75" s="27" t="n">
        <v>175</v>
      </c>
      <c r="E75" s="28" t="n">
        <v>107.807961849868</v>
      </c>
    </row>
    <row r="76" customFormat="false" ht="12.75" hidden="false" customHeight="false" outlineLevel="0" collapsed="false">
      <c r="A76" s="26" t="s">
        <v>928</v>
      </c>
      <c r="B76" s="0" t="s">
        <v>86</v>
      </c>
      <c r="C76" s="0" t="n">
        <v>82.5</v>
      </c>
      <c r="D76" s="27" t="n">
        <v>132.5</v>
      </c>
      <c r="E76" s="28" t="n">
        <v>86.5821266174316</v>
      </c>
    </row>
    <row r="77" customFormat="false" ht="12.75" hidden="false" customHeight="false" outlineLevel="0" collapsed="false">
      <c r="A77" s="26" t="s">
        <v>492</v>
      </c>
      <c r="B77" s="0" t="s">
        <v>185</v>
      </c>
      <c r="C77" s="0" t="n">
        <v>82.5</v>
      </c>
      <c r="D77" s="27" t="n">
        <v>115</v>
      </c>
      <c r="E77" s="28" t="n">
        <v>85.9097282233834</v>
      </c>
    </row>
    <row r="78" customFormat="false" ht="12.75" hidden="false" customHeight="false" outlineLevel="0" collapsed="false">
      <c r="A78" s="26" t="s">
        <v>929</v>
      </c>
      <c r="B78" s="0" t="s">
        <v>86</v>
      </c>
      <c r="C78" s="0" t="n">
        <v>90</v>
      </c>
      <c r="D78" s="27" t="n">
        <v>122.5</v>
      </c>
      <c r="E78" s="28" t="n">
        <v>80.1054436773062</v>
      </c>
    </row>
  </sheetData>
  <mergeCells count="16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6:J16"/>
    <mergeCell ref="A21:J21"/>
    <mergeCell ref="A27:J27"/>
    <mergeCell ref="A31:J31"/>
    <mergeCell ref="A36:J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3" min="11" style="0" width="5.55"/>
    <col collapsed="false" customWidth="true" hidden="false" outlineLevel="0" max="14" min="14" style="0" width="2.12"/>
    <col collapsed="false" customWidth="true" hidden="false" outlineLevel="0" max="17" min="15" style="0" width="5.55"/>
    <col collapsed="false" customWidth="true" hidden="false" outlineLevel="0" max="18" min="18" style="0" width="3.22"/>
    <col collapsed="false" customWidth="true" hidden="false" outlineLevel="0" max="19" min="19" style="0" width="5.55"/>
    <col collapsed="false" customWidth="true" hidden="false" outlineLevel="0" max="20" min="20" style="0" width="8.56"/>
  </cols>
  <sheetData>
    <row r="1" s="2" customFormat="true" ht="28.5" hidden="false" customHeight="true" outlineLevel="0" collapsed="false">
      <c r="A1" s="1" t="s">
        <v>930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4" t="s">
        <v>706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  <c r="K4" s="10" t="n">
        <v>5</v>
      </c>
      <c r="L4" s="10" t="n">
        <v>6</v>
      </c>
      <c r="M4" s="10" t="n">
        <v>7</v>
      </c>
      <c r="N4" s="10" t="n">
        <v>8</v>
      </c>
      <c r="O4" s="10" t="n">
        <v>9</v>
      </c>
      <c r="P4" s="10" t="n">
        <v>10</v>
      </c>
      <c r="Q4" s="10" t="n">
        <v>11</v>
      </c>
      <c r="R4" s="10" t="n">
        <v>12</v>
      </c>
    </row>
    <row r="5" s="12" customFormat="true" ht="15" hidden="false" customHeight="false" outlineLevel="0" collapsed="false">
      <c r="A5" s="11" t="s">
        <v>32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false" ht="12.75" hidden="false" customHeight="false" outlineLevel="0" collapsed="false">
      <c r="A6" s="13" t="s">
        <v>931</v>
      </c>
      <c r="B6" s="13" t="s">
        <v>932</v>
      </c>
      <c r="C6" s="13" t="s">
        <v>158</v>
      </c>
      <c r="D6" s="13" t="str">
        <f aca="false">"0,5861"</f>
        <v>0,5861</v>
      </c>
      <c r="E6" s="13" t="s">
        <v>532</v>
      </c>
      <c r="F6" s="13" t="s">
        <v>42</v>
      </c>
      <c r="G6" s="13" t="s">
        <v>407</v>
      </c>
      <c r="H6" s="13" t="s">
        <v>504</v>
      </c>
      <c r="I6" s="19"/>
      <c r="J6" s="19"/>
      <c r="K6" s="13" t="s">
        <v>632</v>
      </c>
      <c r="L6" s="13" t="s">
        <v>933</v>
      </c>
      <c r="M6" s="13" t="s">
        <v>934</v>
      </c>
      <c r="N6" s="19"/>
      <c r="O6" s="13" t="s">
        <v>506</v>
      </c>
      <c r="P6" s="13" t="s">
        <v>935</v>
      </c>
      <c r="Q6" s="13" t="s">
        <v>936</v>
      </c>
      <c r="R6" s="19"/>
      <c r="S6" s="13" t="str">
        <f aca="false">"760,0"</f>
        <v>760,0</v>
      </c>
      <c r="T6" s="13" t="str">
        <f aca="false">"445,4740"</f>
        <v>445,4740</v>
      </c>
      <c r="U6" s="13"/>
    </row>
    <row r="8" customFormat="false" ht="15" hidden="false" customHeight="false" outlineLevel="0" collapsed="false">
      <c r="A8" s="14" t="s">
        <v>47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customFormat="false" ht="12.75" hidden="false" customHeight="false" outlineLevel="0" collapsed="false">
      <c r="A9" s="15" t="s">
        <v>937</v>
      </c>
      <c r="B9" s="15" t="s">
        <v>938</v>
      </c>
      <c r="C9" s="15" t="s">
        <v>939</v>
      </c>
      <c r="D9" s="15" t="str">
        <f aca="false">"0,5710"</f>
        <v>0,5710</v>
      </c>
      <c r="E9" s="15" t="s">
        <v>13</v>
      </c>
      <c r="F9" s="15" t="s">
        <v>940</v>
      </c>
      <c r="G9" s="15" t="s">
        <v>790</v>
      </c>
      <c r="H9" s="15" t="s">
        <v>405</v>
      </c>
      <c r="I9" s="15" t="s">
        <v>406</v>
      </c>
      <c r="J9" s="16"/>
      <c r="K9" s="15" t="s">
        <v>167</v>
      </c>
      <c r="L9" s="15" t="s">
        <v>159</v>
      </c>
      <c r="M9" s="16" t="s">
        <v>160</v>
      </c>
      <c r="N9" s="16"/>
      <c r="O9" s="15" t="s">
        <v>468</v>
      </c>
      <c r="P9" s="16" t="s">
        <v>941</v>
      </c>
      <c r="Q9" s="16" t="s">
        <v>941</v>
      </c>
      <c r="R9" s="16"/>
      <c r="S9" s="15" t="str">
        <f aca="false">"695,0"</f>
        <v>695,0</v>
      </c>
      <c r="T9" s="15" t="str">
        <f aca="false">"396,8797"</f>
        <v>396,8797</v>
      </c>
      <c r="U9" s="15"/>
    </row>
    <row r="10" customFormat="false" ht="12.75" hidden="false" customHeight="false" outlineLevel="0" collapsed="false">
      <c r="A10" s="17" t="s">
        <v>479</v>
      </c>
      <c r="B10" s="17" t="s">
        <v>480</v>
      </c>
      <c r="C10" s="17" t="s">
        <v>481</v>
      </c>
      <c r="D10" s="17" t="str">
        <f aca="false">"0,5756"</f>
        <v>0,5756</v>
      </c>
      <c r="E10" s="17" t="s">
        <v>13</v>
      </c>
      <c r="F10" s="17" t="s">
        <v>482</v>
      </c>
      <c r="G10" s="17" t="s">
        <v>155</v>
      </c>
      <c r="H10" s="17" t="s">
        <v>347</v>
      </c>
      <c r="I10" s="18"/>
      <c r="J10" s="18"/>
      <c r="K10" s="17" t="s">
        <v>498</v>
      </c>
      <c r="L10" s="18" t="s">
        <v>322</v>
      </c>
      <c r="M10" s="18"/>
      <c r="N10" s="18"/>
      <c r="O10" s="17" t="s">
        <v>356</v>
      </c>
      <c r="P10" s="17" t="s">
        <v>371</v>
      </c>
      <c r="Q10" s="17" t="s">
        <v>401</v>
      </c>
      <c r="R10" s="18"/>
      <c r="S10" s="17" t="str">
        <f aca="false">"455,0"</f>
        <v>455,0</v>
      </c>
      <c r="T10" s="17" t="str">
        <f aca="false">"430,8596"</f>
        <v>430,8596</v>
      </c>
      <c r="U10" s="17"/>
    </row>
    <row r="12" customFormat="false" ht="15" hidden="false" customHeight="false" outlineLevel="0" collapsed="false">
      <c r="E12" s="20" t="s">
        <v>63</v>
      </c>
    </row>
    <row r="13" customFormat="false" ht="15" hidden="false" customHeight="false" outlineLevel="0" collapsed="false">
      <c r="E13" s="20" t="s">
        <v>64</v>
      </c>
    </row>
    <row r="14" customFormat="false" ht="15" hidden="false" customHeight="false" outlineLevel="0" collapsed="false">
      <c r="E14" s="20" t="s">
        <v>65</v>
      </c>
    </row>
    <row r="15" customFormat="false" ht="12.75" hidden="false" customHeight="false" outlineLevel="0" collapsed="false">
      <c r="E15" s="0" t="s">
        <v>66</v>
      </c>
    </row>
    <row r="16" customFormat="false" ht="12.75" hidden="false" customHeight="false" outlineLevel="0" collapsed="false">
      <c r="E16" s="0" t="s">
        <v>67</v>
      </c>
    </row>
    <row r="17" customFormat="false" ht="12.75" hidden="false" customHeight="false" outlineLevel="0" collapsed="false">
      <c r="E17" s="0" t="s">
        <v>68</v>
      </c>
    </row>
    <row r="20" customFormat="false" ht="17.25" hidden="false" customHeight="false" outlineLevel="0" collapsed="false">
      <c r="A20" s="21" t="s">
        <v>69</v>
      </c>
      <c r="B20" s="21"/>
    </row>
    <row r="21" customFormat="false" ht="15" hidden="false" customHeight="false" outlineLevel="0" collapsed="false">
      <c r="A21" s="22" t="s">
        <v>76</v>
      </c>
      <c r="B21" s="22"/>
    </row>
    <row r="22" customFormat="false" ht="14.25" hidden="false" customHeight="false" outlineLevel="0" collapsed="false">
      <c r="A22" s="23"/>
      <c r="B22" s="24" t="s">
        <v>71</v>
      </c>
    </row>
    <row r="23" customFormat="false" ht="13.5" hidden="false" customHeight="false" outlineLevel="0" collapsed="false">
      <c r="A23" s="25" t="s">
        <v>1</v>
      </c>
      <c r="B23" s="25" t="s">
        <v>72</v>
      </c>
      <c r="C23" s="25" t="s">
        <v>73</v>
      </c>
      <c r="D23" s="25" t="s">
        <v>741</v>
      </c>
      <c r="E23" s="25" t="s">
        <v>4</v>
      </c>
    </row>
    <row r="24" customFormat="false" ht="12.75" hidden="false" customHeight="false" outlineLevel="0" collapsed="false">
      <c r="A24" s="26" t="s">
        <v>942</v>
      </c>
      <c r="B24" s="0" t="s">
        <v>71</v>
      </c>
      <c r="C24" s="0" t="n">
        <v>100</v>
      </c>
      <c r="D24" s="27" t="n">
        <v>760</v>
      </c>
      <c r="E24" s="28" t="n">
        <v>445.473992824554</v>
      </c>
    </row>
    <row r="25" customFormat="false" ht="12.75" hidden="false" customHeight="false" outlineLevel="0" collapsed="false">
      <c r="A25" s="26" t="s">
        <v>943</v>
      </c>
      <c r="B25" s="0" t="s">
        <v>71</v>
      </c>
      <c r="C25" s="0" t="n">
        <v>110</v>
      </c>
      <c r="D25" s="27" t="n">
        <v>695</v>
      </c>
      <c r="E25" s="28" t="n">
        <v>396.879741847515</v>
      </c>
    </row>
    <row r="27" customFormat="false" ht="14.25" hidden="false" customHeight="false" outlineLevel="0" collapsed="false">
      <c r="A27" s="23"/>
      <c r="B27" s="24" t="s">
        <v>82</v>
      </c>
    </row>
    <row r="28" customFormat="false" ht="13.5" hidden="false" customHeight="false" outlineLevel="0" collapsed="false">
      <c r="A28" s="25" t="s">
        <v>1</v>
      </c>
      <c r="B28" s="25" t="s">
        <v>72</v>
      </c>
      <c r="C28" s="25" t="s">
        <v>73</v>
      </c>
      <c r="D28" s="25" t="s">
        <v>741</v>
      </c>
      <c r="E28" s="25" t="s">
        <v>4</v>
      </c>
    </row>
    <row r="29" customFormat="false" ht="12.75" hidden="false" customHeight="false" outlineLevel="0" collapsed="false">
      <c r="A29" s="26" t="s">
        <v>490</v>
      </c>
      <c r="B29" s="0" t="s">
        <v>491</v>
      </c>
      <c r="C29" s="0" t="n">
        <v>110</v>
      </c>
      <c r="D29" s="27" t="n">
        <v>455</v>
      </c>
      <c r="E29" s="28" t="n">
        <v>430.859616333246</v>
      </c>
    </row>
  </sheetData>
  <mergeCells count="10">
    <mergeCell ref="A1:R2"/>
    <mergeCell ref="A3:A4"/>
    <mergeCell ref="B3:B4"/>
    <mergeCell ref="C3:C4"/>
    <mergeCell ref="D3:D4"/>
    <mergeCell ref="E3:E4"/>
    <mergeCell ref="F3:F4"/>
    <mergeCell ref="G3:R3"/>
    <mergeCell ref="A5:R5"/>
    <mergeCell ref="A8:R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9.12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9" min="7" style="0" width="5.55"/>
    <col collapsed="false" customWidth="true" hidden="false" outlineLevel="0" max="10" min="10" style="0" width="2.12"/>
    <col collapsed="false" customWidth="true" hidden="false" outlineLevel="0" max="13" min="11" style="0" width="5.55"/>
    <col collapsed="false" customWidth="true" hidden="false" outlineLevel="0" max="14" min="14" style="0" width="2.12"/>
    <col collapsed="false" customWidth="true" hidden="false" outlineLevel="0" max="17" min="15" style="0" width="5.55"/>
    <col collapsed="false" customWidth="true" hidden="false" outlineLevel="0" max="18" min="18" style="0" width="3.22"/>
    <col collapsed="false" customWidth="true" hidden="false" outlineLevel="0" max="19" min="19" style="0" width="5.55"/>
    <col collapsed="false" customWidth="true" hidden="false" outlineLevel="0" max="20" min="20" style="0" width="8.56"/>
  </cols>
  <sheetData>
    <row r="1" s="2" customFormat="true" ht="28.5" hidden="false" customHeight="true" outlineLevel="0" collapsed="false">
      <c r="A1" s="1" t="s">
        <v>944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4" t="s">
        <v>706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  <c r="K4" s="10" t="n">
        <v>5</v>
      </c>
      <c r="L4" s="10" t="n">
        <v>6</v>
      </c>
      <c r="M4" s="10" t="n">
        <v>7</v>
      </c>
      <c r="N4" s="10" t="n">
        <v>8</v>
      </c>
      <c r="O4" s="10" t="n">
        <v>9</v>
      </c>
      <c r="P4" s="10" t="n">
        <v>10</v>
      </c>
      <c r="Q4" s="10" t="n">
        <v>11</v>
      </c>
      <c r="R4" s="10" t="n">
        <v>12</v>
      </c>
    </row>
    <row r="5" s="12" customFormat="true" ht="15" hidden="false" customHeight="false" outlineLevel="0" collapsed="false">
      <c r="A5" s="11" t="s">
        <v>308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false" ht="12.75" hidden="false" customHeight="false" outlineLevel="0" collapsed="false">
      <c r="A6" s="13" t="s">
        <v>945</v>
      </c>
      <c r="B6" s="13" t="s">
        <v>946</v>
      </c>
      <c r="C6" s="13" t="s">
        <v>947</v>
      </c>
      <c r="D6" s="13" t="str">
        <f aca="false">"1,1247"</f>
        <v>1,1247</v>
      </c>
      <c r="E6" s="13" t="s">
        <v>13</v>
      </c>
      <c r="F6" s="13" t="s">
        <v>36</v>
      </c>
      <c r="G6" s="13" t="s">
        <v>257</v>
      </c>
      <c r="H6" s="19" t="s">
        <v>948</v>
      </c>
      <c r="I6" s="19" t="s">
        <v>240</v>
      </c>
      <c r="J6" s="19"/>
      <c r="K6" s="13" t="s">
        <v>44</v>
      </c>
      <c r="L6" s="19" t="s">
        <v>45</v>
      </c>
      <c r="M6" s="13" t="s">
        <v>45</v>
      </c>
      <c r="N6" s="19"/>
      <c r="O6" s="13" t="s">
        <v>949</v>
      </c>
      <c r="P6" s="13" t="s">
        <v>148</v>
      </c>
      <c r="Q6" s="19" t="s">
        <v>142</v>
      </c>
      <c r="R6" s="19"/>
      <c r="S6" s="13" t="str">
        <f aca="false">"302,5"</f>
        <v>302,5</v>
      </c>
      <c r="T6" s="13" t="str">
        <f aca="false">"340,2217"</f>
        <v>340,2217</v>
      </c>
      <c r="U6" s="13"/>
    </row>
    <row r="8" customFormat="false" ht="15" hidden="false" customHeight="false" outlineLevel="0" collapsed="false">
      <c r="A8" s="14" t="s">
        <v>217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customFormat="false" ht="12.75" hidden="false" customHeight="false" outlineLevel="0" collapsed="false">
      <c r="A9" s="13" t="s">
        <v>452</v>
      </c>
      <c r="B9" s="13" t="s">
        <v>453</v>
      </c>
      <c r="C9" s="13" t="s">
        <v>454</v>
      </c>
      <c r="D9" s="13" t="str">
        <f aca="false">"0,9487"</f>
        <v>0,9487</v>
      </c>
      <c r="E9" s="13" t="s">
        <v>13</v>
      </c>
      <c r="F9" s="13" t="s">
        <v>36</v>
      </c>
      <c r="G9" s="13" t="s">
        <v>347</v>
      </c>
      <c r="H9" s="13" t="s">
        <v>339</v>
      </c>
      <c r="I9" s="19" t="s">
        <v>159</v>
      </c>
      <c r="J9" s="19"/>
      <c r="K9" s="13" t="s">
        <v>319</v>
      </c>
      <c r="L9" s="13" t="s">
        <v>320</v>
      </c>
      <c r="M9" s="19" t="s">
        <v>577</v>
      </c>
      <c r="N9" s="19"/>
      <c r="O9" s="13" t="s">
        <v>455</v>
      </c>
      <c r="P9" s="13" t="s">
        <v>391</v>
      </c>
      <c r="Q9" s="13" t="s">
        <v>456</v>
      </c>
      <c r="R9" s="19"/>
      <c r="S9" s="13" t="str">
        <f aca="false">"480,0"</f>
        <v>480,0</v>
      </c>
      <c r="T9" s="13" t="str">
        <f aca="false">"455,3520"</f>
        <v>455,3520</v>
      </c>
      <c r="U9" s="13"/>
    </row>
    <row r="11" customFormat="false" ht="15" hidden="false" customHeight="false" outlineLevel="0" collapsed="false">
      <c r="A11" s="14" t="s">
        <v>285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customFormat="false" ht="12.75" hidden="false" customHeight="false" outlineLevel="0" collapsed="false">
      <c r="A12" s="13" t="s">
        <v>950</v>
      </c>
      <c r="B12" s="13" t="s">
        <v>951</v>
      </c>
      <c r="C12" s="13" t="s">
        <v>952</v>
      </c>
      <c r="D12" s="13" t="str">
        <f aca="false">"0,6578"</f>
        <v>0,6578</v>
      </c>
      <c r="E12" s="13" t="s">
        <v>13</v>
      </c>
      <c r="F12" s="13" t="s">
        <v>559</v>
      </c>
      <c r="G12" s="13" t="s">
        <v>371</v>
      </c>
      <c r="H12" s="13" t="s">
        <v>650</v>
      </c>
      <c r="I12" s="19" t="s">
        <v>810</v>
      </c>
      <c r="J12" s="19"/>
      <c r="K12" s="13" t="s">
        <v>142</v>
      </c>
      <c r="L12" s="13" t="s">
        <v>313</v>
      </c>
      <c r="M12" s="19" t="s">
        <v>662</v>
      </c>
      <c r="N12" s="19"/>
      <c r="O12" s="13" t="s">
        <v>401</v>
      </c>
      <c r="P12" s="19" t="s">
        <v>344</v>
      </c>
      <c r="Q12" s="13" t="s">
        <v>790</v>
      </c>
      <c r="R12" s="19"/>
      <c r="S12" s="13" t="str">
        <f aca="false">"602,5"</f>
        <v>602,5</v>
      </c>
      <c r="T12" s="13" t="str">
        <f aca="false">"396,3245"</f>
        <v>396,3245</v>
      </c>
      <c r="U12" s="13"/>
    </row>
    <row r="14" customFormat="false" ht="15" hidden="false" customHeight="false" outlineLevel="0" collapsed="false">
      <c r="E14" s="20" t="s">
        <v>63</v>
      </c>
    </row>
    <row r="15" customFormat="false" ht="15" hidden="false" customHeight="false" outlineLevel="0" collapsed="false">
      <c r="E15" s="20" t="s">
        <v>64</v>
      </c>
    </row>
    <row r="16" customFormat="false" ht="15" hidden="false" customHeight="false" outlineLevel="0" collapsed="false">
      <c r="E16" s="20" t="s">
        <v>65</v>
      </c>
    </row>
    <row r="17" customFormat="false" ht="12.75" hidden="false" customHeight="false" outlineLevel="0" collapsed="false">
      <c r="E17" s="0" t="s">
        <v>66</v>
      </c>
    </row>
    <row r="18" customFormat="false" ht="12.75" hidden="false" customHeight="false" outlineLevel="0" collapsed="false">
      <c r="E18" s="0" t="s">
        <v>67</v>
      </c>
    </row>
    <row r="19" customFormat="false" ht="12.75" hidden="false" customHeight="false" outlineLevel="0" collapsed="false">
      <c r="E19" s="0" t="s">
        <v>68</v>
      </c>
    </row>
    <row r="22" customFormat="false" ht="17.25" hidden="false" customHeight="false" outlineLevel="0" collapsed="false">
      <c r="A22" s="21" t="s">
        <v>69</v>
      </c>
      <c r="B22" s="21"/>
    </row>
    <row r="23" customFormat="false" ht="15" hidden="false" customHeight="false" outlineLevel="0" collapsed="false">
      <c r="A23" s="22" t="s">
        <v>70</v>
      </c>
      <c r="B23" s="22"/>
    </row>
    <row r="24" customFormat="false" ht="14.25" hidden="false" customHeight="false" outlineLevel="0" collapsed="false">
      <c r="A24" s="23"/>
      <c r="B24" s="24" t="s">
        <v>71</v>
      </c>
    </row>
    <row r="25" customFormat="false" ht="13.5" hidden="false" customHeight="false" outlineLevel="0" collapsed="false">
      <c r="A25" s="25" t="s">
        <v>1</v>
      </c>
      <c r="B25" s="25" t="s">
        <v>72</v>
      </c>
      <c r="C25" s="25" t="s">
        <v>73</v>
      </c>
      <c r="D25" s="25" t="s">
        <v>741</v>
      </c>
      <c r="E25" s="25" t="s">
        <v>4</v>
      </c>
    </row>
    <row r="26" customFormat="false" ht="12.75" hidden="false" customHeight="false" outlineLevel="0" collapsed="false">
      <c r="A26" s="26" t="s">
        <v>485</v>
      </c>
      <c r="B26" s="0" t="s">
        <v>71</v>
      </c>
      <c r="C26" s="0" t="n">
        <v>67.5</v>
      </c>
      <c r="D26" s="27" t="n">
        <v>480</v>
      </c>
      <c r="E26" s="28" t="n">
        <v>455.352001190186</v>
      </c>
    </row>
    <row r="27" customFormat="false" ht="12.75" hidden="false" customHeight="false" outlineLevel="0" collapsed="false">
      <c r="A27" s="26" t="s">
        <v>953</v>
      </c>
      <c r="B27" s="0" t="s">
        <v>71</v>
      </c>
      <c r="C27" s="0" t="n">
        <v>52</v>
      </c>
      <c r="D27" s="27" t="n">
        <v>302.5</v>
      </c>
      <c r="E27" s="28" t="n">
        <v>340.221734941006</v>
      </c>
    </row>
    <row r="30" customFormat="false" ht="15" hidden="false" customHeight="false" outlineLevel="0" collapsed="false">
      <c r="A30" s="22" t="s">
        <v>76</v>
      </c>
      <c r="B30" s="22"/>
    </row>
    <row r="31" customFormat="false" ht="14.25" hidden="false" customHeight="false" outlineLevel="0" collapsed="false">
      <c r="A31" s="23"/>
      <c r="B31" s="24" t="s">
        <v>71</v>
      </c>
    </row>
    <row r="32" customFormat="false" ht="13.5" hidden="false" customHeight="false" outlineLevel="0" collapsed="false">
      <c r="A32" s="25" t="s">
        <v>1</v>
      </c>
      <c r="B32" s="25" t="s">
        <v>72</v>
      </c>
      <c r="C32" s="25" t="s">
        <v>73</v>
      </c>
      <c r="D32" s="25" t="s">
        <v>741</v>
      </c>
      <c r="E32" s="25" t="s">
        <v>4</v>
      </c>
    </row>
    <row r="33" customFormat="false" ht="12.75" hidden="false" customHeight="false" outlineLevel="0" collapsed="false">
      <c r="A33" s="26" t="s">
        <v>954</v>
      </c>
      <c r="B33" s="0" t="s">
        <v>71</v>
      </c>
      <c r="C33" s="0" t="n">
        <v>82.5</v>
      </c>
      <c r="D33" s="27" t="n">
        <v>602.5</v>
      </c>
      <c r="E33" s="28" t="n">
        <v>396.324511319399</v>
      </c>
    </row>
  </sheetData>
  <mergeCells count="11">
    <mergeCell ref="A1:R2"/>
    <mergeCell ref="A3:A4"/>
    <mergeCell ref="B3:B4"/>
    <mergeCell ref="C3:C4"/>
    <mergeCell ref="D3:D4"/>
    <mergeCell ref="E3:E4"/>
    <mergeCell ref="F3:F4"/>
    <mergeCell ref="G3:R3"/>
    <mergeCell ref="A5:R5"/>
    <mergeCell ref="A8:R8"/>
    <mergeCell ref="A11:R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9.12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11" min="7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/>
      <c r="I3" s="8"/>
      <c r="J3" s="8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</row>
    <row r="5" s="12" customFormat="true" ht="15" hidden="false" customHeight="false" outlineLevel="0" collapsed="false">
      <c r="A5" s="11" t="s">
        <v>90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109</v>
      </c>
      <c r="B6" s="13" t="s">
        <v>110</v>
      </c>
      <c r="C6" s="13" t="s">
        <v>111</v>
      </c>
      <c r="D6" s="13" t="str">
        <f aca="false">"0,6612"</f>
        <v>0,6612</v>
      </c>
      <c r="E6" s="13" t="s">
        <v>13</v>
      </c>
      <c r="F6" s="13" t="s">
        <v>42</v>
      </c>
      <c r="G6" s="13" t="s">
        <v>112</v>
      </c>
      <c r="H6" s="13" t="s">
        <v>113</v>
      </c>
      <c r="I6" s="19" t="s">
        <v>114</v>
      </c>
      <c r="J6" s="19"/>
      <c r="K6" s="13" t="str">
        <f aca="false">"27,5"</f>
        <v>27,5</v>
      </c>
      <c r="L6" s="13" t="str">
        <f aca="false">"18,1830"</f>
        <v>18,1830</v>
      </c>
      <c r="M6" s="13"/>
    </row>
    <row r="8" customFormat="false" ht="15" hidden="false" customHeight="false" outlineLevel="0" collapsed="false">
      <c r="A8" s="14" t="s">
        <v>54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55</v>
      </c>
      <c r="B9" s="13" t="s">
        <v>56</v>
      </c>
      <c r="C9" s="13" t="s">
        <v>57</v>
      </c>
      <c r="D9" s="13" t="str">
        <f aca="false">"0,5581"</f>
        <v>0,5581</v>
      </c>
      <c r="E9" s="13" t="s">
        <v>13</v>
      </c>
      <c r="F9" s="13" t="s">
        <v>36</v>
      </c>
      <c r="G9" s="13" t="s">
        <v>113</v>
      </c>
      <c r="H9" s="13" t="s">
        <v>114</v>
      </c>
      <c r="I9" s="13" t="s">
        <v>15</v>
      </c>
      <c r="J9" s="13" t="s">
        <v>115</v>
      </c>
      <c r="K9" s="13" t="str">
        <f aca="false">"33,8"</f>
        <v>33,8</v>
      </c>
      <c r="L9" s="13" t="str">
        <f aca="false">"18,8655"</f>
        <v>18,8655</v>
      </c>
      <c r="M9" s="13"/>
    </row>
    <row r="11" customFormat="false" ht="15" hidden="false" customHeight="false" outlineLevel="0" collapsed="false">
      <c r="A11" s="14" t="s">
        <v>116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3" t="s">
        <v>117</v>
      </c>
      <c r="B12" s="13" t="s">
        <v>118</v>
      </c>
      <c r="C12" s="13" t="s">
        <v>119</v>
      </c>
      <c r="D12" s="13" t="str">
        <f aca="false">"0,5276"</f>
        <v>0,5276</v>
      </c>
      <c r="E12" s="13" t="s">
        <v>13</v>
      </c>
      <c r="F12" s="13" t="s">
        <v>120</v>
      </c>
      <c r="G12" s="13" t="s">
        <v>121</v>
      </c>
      <c r="H12" s="13" t="s">
        <v>122</v>
      </c>
      <c r="I12" s="13" t="s">
        <v>123</v>
      </c>
      <c r="J12" s="13" t="s">
        <v>112</v>
      </c>
      <c r="K12" s="13" t="str">
        <f aca="false">"30,0"</f>
        <v>30,0</v>
      </c>
      <c r="L12" s="13" t="str">
        <f aca="false">"15,8266"</f>
        <v>15,8266</v>
      </c>
      <c r="M12" s="13"/>
    </row>
    <row r="14" customFormat="false" ht="15" hidden="false" customHeight="false" outlineLevel="0" collapsed="false">
      <c r="E14" s="20" t="s">
        <v>63</v>
      </c>
    </row>
    <row r="15" customFormat="false" ht="15" hidden="false" customHeight="false" outlineLevel="0" collapsed="false">
      <c r="E15" s="20" t="s">
        <v>64</v>
      </c>
    </row>
    <row r="16" customFormat="false" ht="15" hidden="false" customHeight="false" outlineLevel="0" collapsed="false">
      <c r="E16" s="20" t="s">
        <v>65</v>
      </c>
    </row>
    <row r="17" customFormat="false" ht="12.75" hidden="false" customHeight="false" outlineLevel="0" collapsed="false">
      <c r="E17" s="0" t="s">
        <v>66</v>
      </c>
    </row>
    <row r="18" customFormat="false" ht="12.75" hidden="false" customHeight="false" outlineLevel="0" collapsed="false">
      <c r="E18" s="0" t="s">
        <v>67</v>
      </c>
    </row>
    <row r="19" customFormat="false" ht="12.75" hidden="false" customHeight="false" outlineLevel="0" collapsed="false">
      <c r="E19" s="0" t="s">
        <v>68</v>
      </c>
    </row>
    <row r="22" customFormat="false" ht="17.25" hidden="false" customHeight="false" outlineLevel="0" collapsed="false">
      <c r="A22" s="21" t="s">
        <v>69</v>
      </c>
      <c r="B22" s="21"/>
    </row>
    <row r="23" customFormat="false" ht="15" hidden="false" customHeight="false" outlineLevel="0" collapsed="false">
      <c r="A23" s="22" t="s">
        <v>76</v>
      </c>
      <c r="B23" s="22"/>
    </row>
    <row r="24" customFormat="false" ht="14.25" hidden="false" customHeight="false" outlineLevel="0" collapsed="false">
      <c r="A24" s="23"/>
      <c r="B24" s="24" t="s">
        <v>71</v>
      </c>
    </row>
    <row r="25" customFormat="false" ht="13.5" hidden="false" customHeight="false" outlineLevel="0" collapsed="false">
      <c r="A25" s="25" t="s">
        <v>1</v>
      </c>
      <c r="B25" s="25" t="s">
        <v>72</v>
      </c>
      <c r="C25" s="25" t="s">
        <v>73</v>
      </c>
      <c r="D25" s="25" t="s">
        <v>74</v>
      </c>
      <c r="E25" s="25" t="s">
        <v>4</v>
      </c>
    </row>
    <row r="26" customFormat="false" ht="12.75" hidden="false" customHeight="false" outlineLevel="0" collapsed="false">
      <c r="A26" s="26" t="s">
        <v>80</v>
      </c>
      <c r="B26" s="0" t="s">
        <v>71</v>
      </c>
      <c r="C26" s="0" t="n">
        <v>125</v>
      </c>
      <c r="D26" s="27" t="n">
        <v>33.8</v>
      </c>
      <c r="E26" s="28" t="n">
        <v>18.8654697775841</v>
      </c>
    </row>
    <row r="27" customFormat="false" ht="12.75" hidden="false" customHeight="false" outlineLevel="0" collapsed="false">
      <c r="A27" s="26" t="s">
        <v>124</v>
      </c>
      <c r="B27" s="0" t="s">
        <v>71</v>
      </c>
      <c r="C27" s="0" t="n">
        <v>80</v>
      </c>
      <c r="D27" s="27" t="n">
        <v>27.5</v>
      </c>
      <c r="E27" s="28" t="n">
        <v>18.1829996407032</v>
      </c>
    </row>
    <row r="28" customFormat="false" ht="12.75" hidden="false" customHeight="false" outlineLevel="0" collapsed="false">
      <c r="A28" s="26" t="s">
        <v>125</v>
      </c>
      <c r="B28" s="0" t="s">
        <v>71</v>
      </c>
      <c r="C28" s="0" t="s">
        <v>126</v>
      </c>
      <c r="D28" s="27" t="n">
        <v>30</v>
      </c>
      <c r="E28" s="28" t="n">
        <v>15.8266496658325</v>
      </c>
    </row>
  </sheetData>
  <mergeCells count="11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7.21"/>
    <col collapsed="false" customWidth="true" hidden="false" outlineLevel="0" max="11" min="7" style="0" width="5.55"/>
    <col collapsed="false" customWidth="true" hidden="false" outlineLevel="0" max="12" min="12" style="0" width="8.56"/>
    <col collapsed="false" customWidth="true" hidden="false" outlineLevel="0" max="13" min="13" style="0" width="10.77"/>
  </cols>
  <sheetData>
    <row r="1" s="2" customFormat="true" ht="28.5" hidden="false" customHeight="true" outlineLevel="0" collapsed="false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/>
      <c r="I3" s="8"/>
      <c r="J3" s="8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</row>
    <row r="5" s="12" customFormat="true" ht="15" hidden="false" customHeight="false" outlineLevel="0" collapsed="false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5" t="s">
        <v>128</v>
      </c>
      <c r="B6" s="15" t="s">
        <v>129</v>
      </c>
      <c r="C6" s="15" t="s">
        <v>130</v>
      </c>
      <c r="D6" s="15" t="str">
        <f aca="false">"1,0926"</f>
        <v>1,0926</v>
      </c>
      <c r="E6" s="15" t="s">
        <v>131</v>
      </c>
      <c r="F6" s="15" t="s">
        <v>23</v>
      </c>
      <c r="G6" s="15" t="s">
        <v>25</v>
      </c>
      <c r="H6" s="15" t="s">
        <v>38</v>
      </c>
      <c r="I6" s="16"/>
      <c r="J6" s="16"/>
      <c r="K6" s="15" t="str">
        <f aca="false">"85,0"</f>
        <v>85,0</v>
      </c>
      <c r="L6" s="15" t="str">
        <f aca="false">"92,8710"</f>
        <v>92,8710</v>
      </c>
      <c r="M6" s="15"/>
    </row>
    <row r="7" customFormat="false" ht="12.75" hidden="false" customHeight="false" outlineLevel="0" collapsed="false">
      <c r="A7" s="29" t="s">
        <v>132</v>
      </c>
      <c r="B7" s="29" t="s">
        <v>133</v>
      </c>
      <c r="C7" s="29" t="s">
        <v>134</v>
      </c>
      <c r="D7" s="29" t="str">
        <f aca="false">"1,0530"</f>
        <v>1,0530</v>
      </c>
      <c r="E7" s="29" t="s">
        <v>13</v>
      </c>
      <c r="F7" s="29" t="s">
        <v>42</v>
      </c>
      <c r="G7" s="29" t="s">
        <v>24</v>
      </c>
      <c r="H7" s="30" t="s">
        <v>25</v>
      </c>
      <c r="I7" s="30"/>
      <c r="J7" s="30"/>
      <c r="K7" s="29" t="str">
        <f aca="false">"70,0"</f>
        <v>70,0</v>
      </c>
      <c r="L7" s="29" t="str">
        <f aca="false">"73,7100"</f>
        <v>73,7100</v>
      </c>
      <c r="M7" s="29"/>
    </row>
    <row r="8" customFormat="false" ht="12.75" hidden="false" customHeight="false" outlineLevel="0" collapsed="false">
      <c r="A8" s="17" t="s">
        <v>135</v>
      </c>
      <c r="B8" s="17" t="s">
        <v>11</v>
      </c>
      <c r="C8" s="17" t="s">
        <v>12</v>
      </c>
      <c r="D8" s="17" t="str">
        <f aca="false">"1,0065"</f>
        <v>1,0065</v>
      </c>
      <c r="E8" s="17" t="s">
        <v>13</v>
      </c>
      <c r="F8" s="17" t="s">
        <v>14</v>
      </c>
      <c r="G8" s="17" t="s">
        <v>44</v>
      </c>
      <c r="H8" s="17" t="s">
        <v>46</v>
      </c>
      <c r="I8" s="18" t="s">
        <v>24</v>
      </c>
      <c r="J8" s="18"/>
      <c r="K8" s="17" t="str">
        <f aca="false">"60,0"</f>
        <v>60,0</v>
      </c>
      <c r="L8" s="17" t="str">
        <f aca="false">"60,3900"</f>
        <v>60,3900</v>
      </c>
      <c r="M8" s="17"/>
    </row>
    <row r="10" customFormat="false" ht="15" hidden="false" customHeight="false" outlineLevel="0" collapsed="false">
      <c r="A10" s="14" t="s">
        <v>90</v>
      </c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12.75" hidden="false" customHeight="false" outlineLevel="0" collapsed="false">
      <c r="A11" s="15" t="s">
        <v>136</v>
      </c>
      <c r="B11" s="15" t="s">
        <v>137</v>
      </c>
      <c r="C11" s="15" t="s">
        <v>138</v>
      </c>
      <c r="D11" s="15" t="str">
        <f aca="false">"0,6812"</f>
        <v>0,6812</v>
      </c>
      <c r="E11" s="15" t="s">
        <v>13</v>
      </c>
      <c r="F11" s="15" t="s">
        <v>139</v>
      </c>
      <c r="G11" s="15" t="s">
        <v>140</v>
      </c>
      <c r="H11" s="15" t="s">
        <v>141</v>
      </c>
      <c r="I11" s="16" t="s">
        <v>142</v>
      </c>
      <c r="J11" s="16"/>
      <c r="K11" s="15" t="str">
        <f aca="false">"135,0"</f>
        <v>135,0</v>
      </c>
      <c r="L11" s="15" t="str">
        <f aca="false">"91,9687"</f>
        <v>91,9687</v>
      </c>
      <c r="M11" s="15"/>
    </row>
    <row r="12" customFormat="false" ht="12.75" hidden="false" customHeight="false" outlineLevel="0" collapsed="false">
      <c r="A12" s="29" t="s">
        <v>143</v>
      </c>
      <c r="B12" s="29" t="s">
        <v>144</v>
      </c>
      <c r="C12" s="29" t="s">
        <v>145</v>
      </c>
      <c r="D12" s="29" t="str">
        <f aca="false">"0,6682"</f>
        <v>0,6682</v>
      </c>
      <c r="E12" s="29" t="s">
        <v>13</v>
      </c>
      <c r="F12" s="29" t="s">
        <v>146</v>
      </c>
      <c r="G12" s="29" t="s">
        <v>140</v>
      </c>
      <c r="H12" s="29" t="s">
        <v>147</v>
      </c>
      <c r="I12" s="30" t="s">
        <v>148</v>
      </c>
      <c r="J12" s="30"/>
      <c r="K12" s="29" t="str">
        <f aca="false">"130,0"</f>
        <v>130,0</v>
      </c>
      <c r="L12" s="29" t="str">
        <f aca="false">"86,8595"</f>
        <v>86,8595</v>
      </c>
      <c r="M12" s="29"/>
    </row>
    <row r="13" customFormat="false" ht="12.75" hidden="false" customHeight="false" outlineLevel="0" collapsed="false">
      <c r="A13" s="17" t="s">
        <v>91</v>
      </c>
      <c r="B13" s="17" t="s">
        <v>92</v>
      </c>
      <c r="C13" s="17" t="s">
        <v>93</v>
      </c>
      <c r="D13" s="17" t="str">
        <f aca="false">"0,7005"</f>
        <v>0,7005</v>
      </c>
      <c r="E13" s="17" t="s">
        <v>13</v>
      </c>
      <c r="F13" s="17" t="s">
        <v>14</v>
      </c>
      <c r="G13" s="17" t="s">
        <v>25</v>
      </c>
      <c r="H13" s="17" t="s">
        <v>149</v>
      </c>
      <c r="I13" s="17" t="s">
        <v>140</v>
      </c>
      <c r="J13" s="18" t="s">
        <v>147</v>
      </c>
      <c r="K13" s="17" t="str">
        <f aca="false">"120,0"</f>
        <v>120,0</v>
      </c>
      <c r="L13" s="17" t="str">
        <f aca="false">"88,6770"</f>
        <v>88,6770</v>
      </c>
      <c r="M13" s="17"/>
    </row>
    <row r="15" customFormat="false" ht="15" hidden="false" customHeight="false" outlineLevel="0" collapsed="false">
      <c r="A15" s="14" t="s">
        <v>19</v>
      </c>
      <c r="B15" s="14"/>
      <c r="C15" s="14"/>
      <c r="D15" s="14"/>
      <c r="E15" s="14"/>
      <c r="F15" s="14"/>
      <c r="G15" s="14"/>
      <c r="H15" s="14"/>
      <c r="I15" s="14"/>
      <c r="J15" s="14"/>
    </row>
    <row r="16" customFormat="false" ht="12.75" hidden="false" customHeight="false" outlineLevel="0" collapsed="false">
      <c r="A16" s="13" t="s">
        <v>150</v>
      </c>
      <c r="B16" s="13" t="s">
        <v>151</v>
      </c>
      <c r="C16" s="13" t="s">
        <v>152</v>
      </c>
      <c r="D16" s="13" t="str">
        <f aca="false">"0,6119"</f>
        <v>0,6119</v>
      </c>
      <c r="E16" s="13" t="s">
        <v>153</v>
      </c>
      <c r="F16" s="13" t="s">
        <v>154</v>
      </c>
      <c r="G16" s="13" t="s">
        <v>147</v>
      </c>
      <c r="H16" s="13" t="s">
        <v>148</v>
      </c>
      <c r="I16" s="13" t="s">
        <v>155</v>
      </c>
      <c r="J16" s="19"/>
      <c r="K16" s="13" t="str">
        <f aca="false">"150,0"</f>
        <v>150,0</v>
      </c>
      <c r="L16" s="13" t="str">
        <f aca="false">"91,7775"</f>
        <v>91,7775</v>
      </c>
      <c r="M16" s="13"/>
    </row>
    <row r="18" customFormat="false" ht="15" hidden="false" customHeight="false" outlineLevel="0" collapsed="false">
      <c r="A18" s="14" t="s">
        <v>32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15" t="s">
        <v>156</v>
      </c>
      <c r="B19" s="15" t="s">
        <v>157</v>
      </c>
      <c r="C19" s="15" t="s">
        <v>158</v>
      </c>
      <c r="D19" s="15" t="str">
        <f aca="false">"0,5861"</f>
        <v>0,5861</v>
      </c>
      <c r="E19" s="15" t="s">
        <v>13</v>
      </c>
      <c r="F19" s="15" t="s">
        <v>42</v>
      </c>
      <c r="G19" s="15" t="s">
        <v>159</v>
      </c>
      <c r="H19" s="15" t="s">
        <v>160</v>
      </c>
      <c r="I19" s="16"/>
      <c r="J19" s="16"/>
      <c r="K19" s="15" t="str">
        <f aca="false">"175,0"</f>
        <v>175,0</v>
      </c>
      <c r="L19" s="15" t="str">
        <f aca="false">"117,6550"</f>
        <v>117,6550</v>
      </c>
      <c r="M19" s="15"/>
    </row>
    <row r="20" customFormat="false" ht="12.75" hidden="false" customHeight="false" outlineLevel="0" collapsed="false">
      <c r="A20" s="17" t="s">
        <v>161</v>
      </c>
      <c r="B20" s="17" t="s">
        <v>162</v>
      </c>
      <c r="C20" s="17" t="s">
        <v>163</v>
      </c>
      <c r="D20" s="17" t="str">
        <f aca="false">"0,5856"</f>
        <v>0,5856</v>
      </c>
      <c r="E20" s="17" t="s">
        <v>13</v>
      </c>
      <c r="F20" s="17" t="s">
        <v>14</v>
      </c>
      <c r="G20" s="17" t="s">
        <v>25</v>
      </c>
      <c r="H20" s="17" t="s">
        <v>149</v>
      </c>
      <c r="I20" s="17" t="s">
        <v>140</v>
      </c>
      <c r="J20" s="17" t="s">
        <v>147</v>
      </c>
      <c r="K20" s="17" t="str">
        <f aca="false">"140,0"</f>
        <v>140,0</v>
      </c>
      <c r="L20" s="17" t="str">
        <f aca="false">"94,0357"</f>
        <v>94,0357</v>
      </c>
      <c r="M20" s="17"/>
    </row>
    <row r="22" customFormat="false" ht="15" hidden="false" customHeight="false" outlineLevel="0" collapsed="false">
      <c r="A22" s="14" t="s">
        <v>47</v>
      </c>
      <c r="B22" s="14"/>
      <c r="C22" s="14"/>
      <c r="D22" s="14"/>
      <c r="E22" s="14"/>
      <c r="F22" s="14"/>
      <c r="G22" s="14"/>
      <c r="H22" s="14"/>
      <c r="I22" s="14"/>
      <c r="J22" s="14"/>
    </row>
    <row r="23" customFormat="false" ht="12.75" hidden="false" customHeight="false" outlineLevel="0" collapsed="false">
      <c r="A23" s="15" t="s">
        <v>164</v>
      </c>
      <c r="B23" s="15" t="s">
        <v>165</v>
      </c>
      <c r="C23" s="15" t="s">
        <v>166</v>
      </c>
      <c r="D23" s="15" t="str">
        <f aca="false">"0,5680"</f>
        <v>0,5680</v>
      </c>
      <c r="E23" s="15" t="s">
        <v>13</v>
      </c>
      <c r="F23" s="15" t="s">
        <v>42</v>
      </c>
      <c r="G23" s="15" t="s">
        <v>140</v>
      </c>
      <c r="H23" s="15" t="s">
        <v>148</v>
      </c>
      <c r="I23" s="16" t="s">
        <v>167</v>
      </c>
      <c r="J23" s="16"/>
      <c r="K23" s="15" t="str">
        <f aca="false">"140,0"</f>
        <v>140,0</v>
      </c>
      <c r="L23" s="15" t="str">
        <f aca="false">"79,5130"</f>
        <v>79,5130</v>
      </c>
      <c r="M23" s="15"/>
    </row>
    <row r="24" customFormat="false" ht="12.75" hidden="false" customHeight="false" outlineLevel="0" collapsed="false">
      <c r="A24" s="17" t="s">
        <v>168</v>
      </c>
      <c r="B24" s="17" t="s">
        <v>169</v>
      </c>
      <c r="C24" s="17" t="s">
        <v>170</v>
      </c>
      <c r="D24" s="17" t="str">
        <f aca="false">"0,5632"</f>
        <v>0,5632</v>
      </c>
      <c r="E24" s="17" t="s">
        <v>13</v>
      </c>
      <c r="F24" s="17" t="s">
        <v>42</v>
      </c>
      <c r="G24" s="17" t="s">
        <v>148</v>
      </c>
      <c r="H24" s="17" t="s">
        <v>155</v>
      </c>
      <c r="I24" s="17" t="s">
        <v>167</v>
      </c>
      <c r="J24" s="17" t="s">
        <v>159</v>
      </c>
      <c r="K24" s="17" t="str">
        <f aca="false">"170,0"</f>
        <v>170,0</v>
      </c>
      <c r="L24" s="17" t="str">
        <f aca="false">"95,7440"</f>
        <v>95,7440</v>
      </c>
      <c r="M24" s="17" t="s">
        <v>171</v>
      </c>
    </row>
    <row r="26" customFormat="false" ht="15" hidden="false" customHeight="false" outlineLevel="0" collapsed="false">
      <c r="A26" s="14" t="s">
        <v>54</v>
      </c>
      <c r="B26" s="14"/>
      <c r="C26" s="14"/>
      <c r="D26" s="14"/>
      <c r="E26" s="14"/>
      <c r="F26" s="14"/>
      <c r="G26" s="14"/>
      <c r="H26" s="14"/>
      <c r="I26" s="14"/>
      <c r="J26" s="14"/>
    </row>
    <row r="27" customFormat="false" ht="12.75" hidden="false" customHeight="false" outlineLevel="0" collapsed="false">
      <c r="A27" s="15" t="s">
        <v>172</v>
      </c>
      <c r="B27" s="15" t="s">
        <v>173</v>
      </c>
      <c r="C27" s="15" t="s">
        <v>174</v>
      </c>
      <c r="D27" s="15" t="str">
        <f aca="false">"0,5527"</f>
        <v>0,5527</v>
      </c>
      <c r="E27" s="15" t="s">
        <v>175</v>
      </c>
      <c r="F27" s="15" t="s">
        <v>120</v>
      </c>
      <c r="G27" s="15" t="s">
        <v>148</v>
      </c>
      <c r="H27" s="15" t="s">
        <v>167</v>
      </c>
      <c r="I27" s="16" t="s">
        <v>159</v>
      </c>
      <c r="J27" s="16"/>
      <c r="K27" s="15" t="str">
        <f aca="false">"160,0"</f>
        <v>160,0</v>
      </c>
      <c r="L27" s="15" t="str">
        <f aca="false">"89,3163"</f>
        <v>89,3163</v>
      </c>
      <c r="M27" s="15"/>
    </row>
    <row r="28" customFormat="false" ht="12.75" hidden="false" customHeight="false" outlineLevel="0" collapsed="false">
      <c r="A28" s="17" t="s">
        <v>176</v>
      </c>
      <c r="B28" s="17" t="s">
        <v>61</v>
      </c>
      <c r="C28" s="17" t="s">
        <v>62</v>
      </c>
      <c r="D28" s="17" t="str">
        <f aca="false">"0,5609"</f>
        <v>0,5609</v>
      </c>
      <c r="E28" s="17" t="s">
        <v>13</v>
      </c>
      <c r="F28" s="17" t="s">
        <v>42</v>
      </c>
      <c r="G28" s="17" t="s">
        <v>147</v>
      </c>
      <c r="H28" s="17" t="s">
        <v>148</v>
      </c>
      <c r="I28" s="18"/>
      <c r="J28" s="18"/>
      <c r="K28" s="17" t="str">
        <f aca="false">"140,0"</f>
        <v>140,0</v>
      </c>
      <c r="L28" s="17" t="str">
        <f aca="false">"78,5330"</f>
        <v>78,5330</v>
      </c>
      <c r="M28" s="17"/>
    </row>
    <row r="30" customFormat="false" ht="15" hidden="false" customHeight="false" outlineLevel="0" collapsed="false">
      <c r="A30" s="14" t="s">
        <v>116</v>
      </c>
      <c r="B30" s="14"/>
      <c r="C30" s="14"/>
      <c r="D30" s="14"/>
      <c r="E30" s="14"/>
      <c r="F30" s="14"/>
      <c r="G30" s="14"/>
      <c r="H30" s="14"/>
      <c r="I30" s="14"/>
      <c r="J30" s="14"/>
    </row>
    <row r="31" customFormat="false" ht="12.75" hidden="false" customHeight="false" outlineLevel="0" collapsed="false">
      <c r="A31" s="13" t="s">
        <v>117</v>
      </c>
      <c r="B31" s="13" t="s">
        <v>118</v>
      </c>
      <c r="C31" s="13" t="s">
        <v>119</v>
      </c>
      <c r="D31" s="13" t="str">
        <f aca="false">"0,5276"</f>
        <v>0,5276</v>
      </c>
      <c r="E31" s="13" t="s">
        <v>13</v>
      </c>
      <c r="F31" s="13" t="s">
        <v>120</v>
      </c>
      <c r="G31" s="13" t="s">
        <v>147</v>
      </c>
      <c r="H31" s="13" t="s">
        <v>148</v>
      </c>
      <c r="I31" s="13" t="s">
        <v>155</v>
      </c>
      <c r="J31" s="19" t="s">
        <v>167</v>
      </c>
      <c r="K31" s="13" t="str">
        <f aca="false">"150,0"</f>
        <v>150,0</v>
      </c>
      <c r="L31" s="13" t="str">
        <f aca="false">"79,1332"</f>
        <v>79,1332</v>
      </c>
      <c r="M31" s="13"/>
    </row>
    <row r="33" customFormat="false" ht="15" hidden="false" customHeight="false" outlineLevel="0" collapsed="false">
      <c r="E33" s="20" t="s">
        <v>63</v>
      </c>
    </row>
    <row r="34" customFormat="false" ht="15" hidden="false" customHeight="false" outlineLevel="0" collapsed="false">
      <c r="E34" s="20" t="s">
        <v>64</v>
      </c>
    </row>
    <row r="35" customFormat="false" ht="15" hidden="false" customHeight="false" outlineLevel="0" collapsed="false">
      <c r="E35" s="20" t="s">
        <v>65</v>
      </c>
    </row>
    <row r="36" customFormat="false" ht="12.75" hidden="false" customHeight="false" outlineLevel="0" collapsed="false">
      <c r="E36" s="0" t="s">
        <v>66</v>
      </c>
    </row>
    <row r="37" customFormat="false" ht="12.75" hidden="false" customHeight="false" outlineLevel="0" collapsed="false">
      <c r="E37" s="0" t="s">
        <v>67</v>
      </c>
    </row>
    <row r="38" customFormat="false" ht="12.75" hidden="false" customHeight="false" outlineLevel="0" collapsed="false">
      <c r="E38" s="0" t="s">
        <v>68</v>
      </c>
    </row>
    <row r="41" customFormat="false" ht="17.25" hidden="false" customHeight="false" outlineLevel="0" collapsed="false">
      <c r="A41" s="21" t="s">
        <v>69</v>
      </c>
      <c r="B41" s="21"/>
    </row>
    <row r="42" customFormat="false" ht="15" hidden="false" customHeight="false" outlineLevel="0" collapsed="false">
      <c r="A42" s="22" t="s">
        <v>70</v>
      </c>
      <c r="B42" s="22"/>
    </row>
    <row r="43" customFormat="false" ht="14.25" hidden="false" customHeight="false" outlineLevel="0" collapsed="false">
      <c r="A43" s="23"/>
      <c r="B43" s="24" t="s">
        <v>71</v>
      </c>
    </row>
    <row r="44" customFormat="false" ht="13.5" hidden="false" customHeight="false" outlineLevel="0" collapsed="false">
      <c r="A44" s="25" t="s">
        <v>1</v>
      </c>
      <c r="B44" s="25" t="s">
        <v>72</v>
      </c>
      <c r="C44" s="25" t="s">
        <v>73</v>
      </c>
      <c r="D44" s="25" t="s">
        <v>74</v>
      </c>
      <c r="E44" s="25" t="s">
        <v>4</v>
      </c>
    </row>
    <row r="45" customFormat="false" ht="12.75" hidden="false" customHeight="false" outlineLevel="0" collapsed="false">
      <c r="A45" s="26" t="s">
        <v>177</v>
      </c>
      <c r="B45" s="0" t="s">
        <v>71</v>
      </c>
      <c r="C45" s="0" t="n">
        <v>60</v>
      </c>
      <c r="D45" s="27" t="n">
        <v>85</v>
      </c>
      <c r="E45" s="28" t="n">
        <v>92.8709989786148</v>
      </c>
    </row>
    <row r="46" customFormat="false" ht="12.75" hidden="false" customHeight="false" outlineLevel="0" collapsed="false">
      <c r="A46" s="26" t="s">
        <v>178</v>
      </c>
      <c r="B46" s="0" t="s">
        <v>71</v>
      </c>
      <c r="C46" s="0" t="n">
        <v>60</v>
      </c>
      <c r="D46" s="27" t="n">
        <v>70</v>
      </c>
      <c r="E46" s="28" t="n">
        <v>73.7099981307983</v>
      </c>
    </row>
    <row r="47" customFormat="false" ht="12.75" hidden="false" customHeight="false" outlineLevel="0" collapsed="false">
      <c r="A47" s="26" t="s">
        <v>75</v>
      </c>
      <c r="B47" s="0" t="s">
        <v>71</v>
      </c>
      <c r="C47" s="0" t="n">
        <v>60</v>
      </c>
      <c r="D47" s="27" t="n">
        <v>60</v>
      </c>
      <c r="E47" s="28" t="n">
        <v>60.3900003433228</v>
      </c>
    </row>
    <row r="50" customFormat="false" ht="15" hidden="false" customHeight="false" outlineLevel="0" collapsed="false">
      <c r="A50" s="22" t="s">
        <v>76</v>
      </c>
      <c r="B50" s="22"/>
    </row>
    <row r="51" customFormat="false" ht="14.25" hidden="false" customHeight="false" outlineLevel="0" collapsed="false">
      <c r="A51" s="23"/>
      <c r="B51" s="24" t="s">
        <v>77</v>
      </c>
    </row>
    <row r="52" customFormat="false" ht="13.5" hidden="false" customHeight="false" outlineLevel="0" collapsed="false">
      <c r="A52" s="25" t="s">
        <v>1</v>
      </c>
      <c r="B52" s="25" t="s">
        <v>72</v>
      </c>
      <c r="C52" s="25" t="s">
        <v>73</v>
      </c>
      <c r="D52" s="25" t="s">
        <v>74</v>
      </c>
      <c r="E52" s="25" t="s">
        <v>4</v>
      </c>
    </row>
    <row r="53" customFormat="false" ht="12.75" hidden="false" customHeight="false" outlineLevel="0" collapsed="false">
      <c r="A53" s="26" t="s">
        <v>179</v>
      </c>
      <c r="B53" s="0" t="s">
        <v>77</v>
      </c>
      <c r="C53" s="0" t="n">
        <v>80</v>
      </c>
      <c r="D53" s="27" t="n">
        <v>135</v>
      </c>
      <c r="E53" s="28" t="n">
        <v>91.9687467813492</v>
      </c>
    </row>
    <row r="54" customFormat="false" ht="12.75" hidden="false" customHeight="false" outlineLevel="0" collapsed="false">
      <c r="A54" s="26" t="s">
        <v>180</v>
      </c>
      <c r="B54" s="0" t="s">
        <v>77</v>
      </c>
      <c r="C54" s="0" t="n">
        <v>110</v>
      </c>
      <c r="D54" s="27" t="n">
        <v>140</v>
      </c>
      <c r="E54" s="28" t="n">
        <v>79.5130014419556</v>
      </c>
    </row>
    <row r="56" customFormat="false" ht="14.25" hidden="false" customHeight="false" outlineLevel="0" collapsed="false">
      <c r="A56" s="23"/>
      <c r="B56" s="24" t="s">
        <v>71</v>
      </c>
    </row>
    <row r="57" customFormat="false" ht="13.5" hidden="false" customHeight="false" outlineLevel="0" collapsed="false">
      <c r="A57" s="25" t="s">
        <v>1</v>
      </c>
      <c r="B57" s="25" t="s">
        <v>72</v>
      </c>
      <c r="C57" s="25" t="s">
        <v>73</v>
      </c>
      <c r="D57" s="25" t="s">
        <v>74</v>
      </c>
      <c r="E57" s="25" t="s">
        <v>4</v>
      </c>
    </row>
    <row r="58" customFormat="false" ht="12.75" hidden="false" customHeight="false" outlineLevel="0" collapsed="false">
      <c r="A58" s="26" t="s">
        <v>181</v>
      </c>
      <c r="B58" s="0" t="s">
        <v>71</v>
      </c>
      <c r="C58" s="0" t="n">
        <v>110</v>
      </c>
      <c r="D58" s="27" t="n">
        <v>170</v>
      </c>
      <c r="E58" s="28" t="n">
        <v>95.7439994812012</v>
      </c>
    </row>
    <row r="59" customFormat="false" ht="12.75" hidden="false" customHeight="false" outlineLevel="0" collapsed="false">
      <c r="A59" s="26" t="s">
        <v>182</v>
      </c>
      <c r="B59" s="0" t="s">
        <v>71</v>
      </c>
      <c r="C59" s="0" t="n">
        <v>90</v>
      </c>
      <c r="D59" s="27" t="n">
        <v>150</v>
      </c>
      <c r="E59" s="28" t="n">
        <v>91.777503490448</v>
      </c>
    </row>
    <row r="60" customFormat="false" ht="12.75" hidden="false" customHeight="false" outlineLevel="0" collapsed="false">
      <c r="A60" s="26" t="s">
        <v>183</v>
      </c>
      <c r="B60" s="0" t="s">
        <v>71</v>
      </c>
      <c r="C60" s="0" t="n">
        <v>80</v>
      </c>
      <c r="D60" s="27" t="n">
        <v>130</v>
      </c>
      <c r="E60" s="28" t="n">
        <v>86.8595010042191</v>
      </c>
    </row>
    <row r="61" customFormat="false" ht="12.75" hidden="false" customHeight="false" outlineLevel="0" collapsed="false">
      <c r="A61" s="26" t="s">
        <v>125</v>
      </c>
      <c r="B61" s="0" t="s">
        <v>71</v>
      </c>
      <c r="C61" s="0" t="s">
        <v>126</v>
      </c>
      <c r="D61" s="27" t="n">
        <v>150</v>
      </c>
      <c r="E61" s="28" t="n">
        <v>79.1332483291626</v>
      </c>
    </row>
    <row r="63" customFormat="false" ht="14.25" hidden="false" customHeight="false" outlineLevel="0" collapsed="false">
      <c r="A63" s="23"/>
      <c r="B63" s="24" t="s">
        <v>82</v>
      </c>
    </row>
    <row r="64" customFormat="false" ht="13.5" hidden="false" customHeight="false" outlineLevel="0" collapsed="false">
      <c r="A64" s="25" t="s">
        <v>1</v>
      </c>
      <c r="B64" s="25" t="s">
        <v>72</v>
      </c>
      <c r="C64" s="25" t="s">
        <v>73</v>
      </c>
      <c r="D64" s="25" t="s">
        <v>74</v>
      </c>
      <c r="E64" s="25" t="s">
        <v>4</v>
      </c>
    </row>
    <row r="65" customFormat="false" ht="12.75" hidden="false" customHeight="false" outlineLevel="0" collapsed="false">
      <c r="A65" s="26" t="s">
        <v>184</v>
      </c>
      <c r="B65" s="0" t="s">
        <v>185</v>
      </c>
      <c r="C65" s="0" t="n">
        <v>100</v>
      </c>
      <c r="D65" s="27" t="n">
        <v>175</v>
      </c>
      <c r="E65" s="28" t="n">
        <v>117.65495685488</v>
      </c>
    </row>
    <row r="66" customFormat="false" ht="12.75" hidden="false" customHeight="false" outlineLevel="0" collapsed="false">
      <c r="A66" s="26" t="s">
        <v>186</v>
      </c>
      <c r="B66" s="0" t="s">
        <v>185</v>
      </c>
      <c r="C66" s="0" t="n">
        <v>100</v>
      </c>
      <c r="D66" s="27" t="n">
        <v>140</v>
      </c>
      <c r="E66" s="28" t="n">
        <v>94.0356509709358</v>
      </c>
    </row>
    <row r="67" customFormat="false" ht="12.75" hidden="false" customHeight="false" outlineLevel="0" collapsed="false">
      <c r="A67" s="26" t="s">
        <v>171</v>
      </c>
      <c r="B67" s="0" t="s">
        <v>86</v>
      </c>
      <c r="C67" s="0" t="n">
        <v>125</v>
      </c>
      <c r="D67" s="27" t="n">
        <v>160</v>
      </c>
      <c r="E67" s="28" t="n">
        <v>89.3163172721863</v>
      </c>
    </row>
    <row r="68" customFormat="false" ht="12.75" hidden="false" customHeight="false" outlineLevel="0" collapsed="false">
      <c r="A68" s="26" t="s">
        <v>107</v>
      </c>
      <c r="B68" s="0" t="s">
        <v>88</v>
      </c>
      <c r="C68" s="0" t="n">
        <v>80</v>
      </c>
      <c r="D68" s="27" t="n">
        <v>120</v>
      </c>
      <c r="E68" s="28" t="n">
        <v>88.6769703984261</v>
      </c>
    </row>
    <row r="69" customFormat="false" ht="12.75" hidden="false" customHeight="false" outlineLevel="0" collapsed="false">
      <c r="A69" s="26" t="s">
        <v>85</v>
      </c>
      <c r="B69" s="0" t="s">
        <v>86</v>
      </c>
      <c r="C69" s="0" t="n">
        <v>125</v>
      </c>
      <c r="D69" s="27" t="n">
        <v>140</v>
      </c>
      <c r="E69" s="28" t="n">
        <v>78.5329973697662</v>
      </c>
    </row>
  </sheetData>
  <mergeCells count="15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10:J10"/>
    <mergeCell ref="A15:J15"/>
    <mergeCell ref="A18:J18"/>
    <mergeCell ref="A22:J22"/>
    <mergeCell ref="A26:J26"/>
    <mergeCell ref="A30:J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8.66"/>
    <col collapsed="false" customWidth="true" hidden="false" outlineLevel="0" max="11" min="7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/>
      <c r="I3" s="8"/>
      <c r="J3" s="8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1</v>
      </c>
      <c r="H4" s="10" t="n">
        <v>2</v>
      </c>
      <c r="I4" s="10" t="n">
        <v>3</v>
      </c>
      <c r="J4" s="10" t="n">
        <v>4</v>
      </c>
    </row>
    <row r="5" s="12" customFormat="true" ht="15" hidden="false" customHeight="false" outlineLevel="0" collapsed="false">
      <c r="A5" s="11" t="s">
        <v>90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109</v>
      </c>
      <c r="B6" s="13" t="s">
        <v>110</v>
      </c>
      <c r="C6" s="13" t="s">
        <v>111</v>
      </c>
      <c r="D6" s="13" t="str">
        <f aca="false">"0,6612"</f>
        <v>0,6612</v>
      </c>
      <c r="E6" s="13" t="s">
        <v>13</v>
      </c>
      <c r="F6" s="13" t="s">
        <v>42</v>
      </c>
      <c r="G6" s="13" t="s">
        <v>188</v>
      </c>
      <c r="H6" s="13" t="s">
        <v>189</v>
      </c>
      <c r="I6" s="19" t="s">
        <v>190</v>
      </c>
      <c r="J6" s="19"/>
      <c r="K6" s="13" t="str">
        <f aca="false">"70,5"</f>
        <v>70,5</v>
      </c>
      <c r="L6" s="13" t="str">
        <f aca="false">"46,6146"</f>
        <v>46,6146</v>
      </c>
      <c r="M6" s="13"/>
    </row>
    <row r="8" customFormat="false" ht="15" hidden="false" customHeight="false" outlineLevel="0" collapsed="false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150</v>
      </c>
      <c r="B9" s="13" t="s">
        <v>151</v>
      </c>
      <c r="C9" s="13" t="s">
        <v>152</v>
      </c>
      <c r="D9" s="13" t="str">
        <f aca="false">"0,6119"</f>
        <v>0,6119</v>
      </c>
      <c r="E9" s="13" t="s">
        <v>153</v>
      </c>
      <c r="F9" s="13" t="s">
        <v>154</v>
      </c>
      <c r="G9" s="13" t="s">
        <v>189</v>
      </c>
      <c r="H9" s="13" t="s">
        <v>190</v>
      </c>
      <c r="I9" s="19" t="s">
        <v>191</v>
      </c>
      <c r="J9" s="19"/>
      <c r="K9" s="13" t="str">
        <f aca="false">"75,5"</f>
        <v>75,5</v>
      </c>
      <c r="L9" s="13" t="str">
        <f aca="false">"46,1947"</f>
        <v>46,1947</v>
      </c>
      <c r="M9" s="13"/>
    </row>
    <row r="11" customFormat="false" ht="15" hidden="false" customHeight="false" outlineLevel="0" collapsed="false">
      <c r="A11" s="14" t="s">
        <v>32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3" t="s">
        <v>156</v>
      </c>
      <c r="B12" s="13" t="s">
        <v>157</v>
      </c>
      <c r="C12" s="13" t="s">
        <v>158</v>
      </c>
      <c r="D12" s="13" t="str">
        <f aca="false">"0,5861"</f>
        <v>0,5861</v>
      </c>
      <c r="E12" s="13" t="s">
        <v>13</v>
      </c>
      <c r="F12" s="13" t="s">
        <v>42</v>
      </c>
      <c r="G12" s="13" t="s">
        <v>191</v>
      </c>
      <c r="H12" s="13" t="s">
        <v>192</v>
      </c>
      <c r="I12" s="19" t="s">
        <v>193</v>
      </c>
      <c r="J12" s="19"/>
      <c r="K12" s="13" t="str">
        <f aca="false">"85,5"</f>
        <v>85,5</v>
      </c>
      <c r="L12" s="13" t="str">
        <f aca="false">"57,4829"</f>
        <v>57,4829</v>
      </c>
      <c r="M12" s="13"/>
    </row>
    <row r="14" customFormat="false" ht="15" hidden="false" customHeight="false" outlineLevel="0" collapsed="false">
      <c r="A14" s="14" t="s">
        <v>47</v>
      </c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2.75" hidden="false" customHeight="false" outlineLevel="0" collapsed="false">
      <c r="A15" s="15" t="s">
        <v>48</v>
      </c>
      <c r="B15" s="15" t="s">
        <v>194</v>
      </c>
      <c r="C15" s="15" t="s">
        <v>50</v>
      </c>
      <c r="D15" s="15" t="str">
        <f aca="false">"0,5635"</f>
        <v>0,5635</v>
      </c>
      <c r="E15" s="15" t="s">
        <v>13</v>
      </c>
      <c r="F15" s="15" t="s">
        <v>51</v>
      </c>
      <c r="G15" s="15" t="s">
        <v>195</v>
      </c>
      <c r="H15" s="15" t="s">
        <v>196</v>
      </c>
      <c r="I15" s="15" t="s">
        <v>197</v>
      </c>
      <c r="J15" s="16" t="s">
        <v>198</v>
      </c>
      <c r="K15" s="15" t="str">
        <f aca="false">"78,0"</f>
        <v>78,0</v>
      </c>
      <c r="L15" s="15" t="str">
        <f aca="false">"43,9530"</f>
        <v>43,9530</v>
      </c>
      <c r="M15" s="15"/>
    </row>
    <row r="16" customFormat="false" ht="12.75" hidden="false" customHeight="false" outlineLevel="0" collapsed="false">
      <c r="A16" s="29" t="s">
        <v>199</v>
      </c>
      <c r="B16" s="29" t="s">
        <v>200</v>
      </c>
      <c r="C16" s="29" t="s">
        <v>201</v>
      </c>
      <c r="D16" s="29" t="str">
        <f aca="false">"0,5750"</f>
        <v>0,5750</v>
      </c>
      <c r="E16" s="29" t="s">
        <v>13</v>
      </c>
      <c r="F16" s="29" t="s">
        <v>42</v>
      </c>
      <c r="G16" s="29" t="s">
        <v>202</v>
      </c>
      <c r="H16" s="29" t="s">
        <v>203</v>
      </c>
      <c r="I16" s="29" t="s">
        <v>204</v>
      </c>
      <c r="J16" s="30"/>
      <c r="K16" s="29" t="str">
        <f aca="false">"63,0"</f>
        <v>63,0</v>
      </c>
      <c r="L16" s="29" t="str">
        <f aca="false">"36,2250"</f>
        <v>36,2250</v>
      </c>
      <c r="M16" s="29"/>
    </row>
    <row r="17" customFormat="false" ht="12.75" hidden="false" customHeight="false" outlineLevel="0" collapsed="false">
      <c r="A17" s="17" t="s">
        <v>48</v>
      </c>
      <c r="B17" s="17" t="s">
        <v>49</v>
      </c>
      <c r="C17" s="17" t="s">
        <v>50</v>
      </c>
      <c r="D17" s="17" t="str">
        <f aca="false">"0,5635"</f>
        <v>0,5635</v>
      </c>
      <c r="E17" s="17" t="s">
        <v>13</v>
      </c>
      <c r="F17" s="17" t="s">
        <v>51</v>
      </c>
      <c r="G17" s="17" t="s">
        <v>195</v>
      </c>
      <c r="H17" s="17" t="s">
        <v>196</v>
      </c>
      <c r="I17" s="17" t="s">
        <v>197</v>
      </c>
      <c r="J17" s="18" t="s">
        <v>198</v>
      </c>
      <c r="K17" s="17" t="str">
        <f aca="false">"78,0"</f>
        <v>78,0</v>
      </c>
      <c r="L17" s="17" t="str">
        <f aca="false">"57,7982"</f>
        <v>57,7982</v>
      </c>
      <c r="M17" s="17"/>
    </row>
    <row r="19" customFormat="false" ht="15" hidden="false" customHeight="false" outlineLevel="0" collapsed="false">
      <c r="A19" s="14" t="s">
        <v>54</v>
      </c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15" t="s">
        <v>55</v>
      </c>
      <c r="B20" s="15" t="s">
        <v>56</v>
      </c>
      <c r="C20" s="15" t="s">
        <v>57</v>
      </c>
      <c r="D20" s="15" t="str">
        <f aca="false">"0,5581"</f>
        <v>0,5581</v>
      </c>
      <c r="E20" s="15" t="s">
        <v>13</v>
      </c>
      <c r="F20" s="15" t="s">
        <v>36</v>
      </c>
      <c r="G20" s="15" t="s">
        <v>205</v>
      </c>
      <c r="H20" s="15" t="s">
        <v>206</v>
      </c>
      <c r="I20" s="15" t="s">
        <v>189</v>
      </c>
      <c r="J20" s="15" t="s">
        <v>190</v>
      </c>
      <c r="K20" s="15" t="str">
        <f aca="false">"80,5"</f>
        <v>80,5</v>
      </c>
      <c r="L20" s="15" t="str">
        <f aca="false">"44,9311"</f>
        <v>44,9311</v>
      </c>
      <c r="M20" s="15"/>
    </row>
    <row r="21" customFormat="false" ht="12.75" hidden="false" customHeight="false" outlineLevel="0" collapsed="false">
      <c r="A21" s="29" t="s">
        <v>207</v>
      </c>
      <c r="B21" s="29" t="s">
        <v>208</v>
      </c>
      <c r="C21" s="29" t="s">
        <v>209</v>
      </c>
      <c r="D21" s="29" t="str">
        <f aca="false">"0,5611"</f>
        <v>0,5611</v>
      </c>
      <c r="E21" s="29" t="s">
        <v>13</v>
      </c>
      <c r="F21" s="29" t="s">
        <v>14</v>
      </c>
      <c r="G21" s="29" t="s">
        <v>202</v>
      </c>
      <c r="H21" s="29" t="s">
        <v>203</v>
      </c>
      <c r="I21" s="29" t="s">
        <v>204</v>
      </c>
      <c r="J21" s="30" t="s">
        <v>195</v>
      </c>
      <c r="K21" s="29" t="str">
        <f aca="false">"63,0"</f>
        <v>63,0</v>
      </c>
      <c r="L21" s="29" t="str">
        <f aca="false">"35,3493"</f>
        <v>35,3493</v>
      </c>
      <c r="M21" s="29"/>
    </row>
    <row r="22" customFormat="false" ht="12.75" hidden="false" customHeight="false" outlineLevel="0" collapsed="false">
      <c r="A22" s="29" t="s">
        <v>172</v>
      </c>
      <c r="B22" s="29" t="s">
        <v>173</v>
      </c>
      <c r="C22" s="29" t="s">
        <v>174</v>
      </c>
      <c r="D22" s="29" t="str">
        <f aca="false">"0,5527"</f>
        <v>0,5527</v>
      </c>
      <c r="E22" s="29" t="s">
        <v>175</v>
      </c>
      <c r="F22" s="29" t="s">
        <v>120</v>
      </c>
      <c r="G22" s="29" t="s">
        <v>189</v>
      </c>
      <c r="H22" s="30" t="s">
        <v>198</v>
      </c>
      <c r="I22" s="30"/>
      <c r="J22" s="30"/>
      <c r="K22" s="29" t="str">
        <f aca="false">"70,5"</f>
        <v>70,5</v>
      </c>
      <c r="L22" s="29" t="str">
        <f aca="false">"39,3550"</f>
        <v>39,3550</v>
      </c>
      <c r="M22" s="29"/>
    </row>
    <row r="23" customFormat="false" ht="12.75" hidden="false" customHeight="false" outlineLevel="0" collapsed="false">
      <c r="A23" s="29" t="s">
        <v>210</v>
      </c>
      <c r="B23" s="29" t="s">
        <v>211</v>
      </c>
      <c r="C23" s="29" t="s">
        <v>209</v>
      </c>
      <c r="D23" s="29" t="str">
        <f aca="false">"0,5611"</f>
        <v>0,5611</v>
      </c>
      <c r="E23" s="29" t="s">
        <v>13</v>
      </c>
      <c r="F23" s="29" t="s">
        <v>14</v>
      </c>
      <c r="G23" s="29" t="s">
        <v>202</v>
      </c>
      <c r="H23" s="29" t="s">
        <v>203</v>
      </c>
      <c r="I23" s="29" t="s">
        <v>204</v>
      </c>
      <c r="J23" s="30" t="s">
        <v>195</v>
      </c>
      <c r="K23" s="29" t="str">
        <f aca="false">"63,0"</f>
        <v>63,0</v>
      </c>
      <c r="L23" s="29" t="str">
        <f aca="false">"44,0452"</f>
        <v>44,0452</v>
      </c>
      <c r="M23" s="29"/>
    </row>
    <row r="24" customFormat="false" ht="12.75" hidden="false" customHeight="false" outlineLevel="0" collapsed="false">
      <c r="A24" s="17" t="s">
        <v>102</v>
      </c>
      <c r="B24" s="17" t="s">
        <v>103</v>
      </c>
      <c r="C24" s="17" t="s">
        <v>104</v>
      </c>
      <c r="D24" s="17" t="str">
        <f aca="false">"0,5546"</f>
        <v>0,5546</v>
      </c>
      <c r="E24" s="17" t="s">
        <v>13</v>
      </c>
      <c r="F24" s="17" t="s">
        <v>42</v>
      </c>
      <c r="G24" s="17" t="s">
        <v>206</v>
      </c>
      <c r="H24" s="17" t="s">
        <v>188</v>
      </c>
      <c r="I24" s="18" t="s">
        <v>189</v>
      </c>
      <c r="J24" s="18"/>
      <c r="K24" s="17" t="str">
        <f aca="false">"65,5"</f>
        <v>65,5</v>
      </c>
      <c r="L24" s="17" t="str">
        <f aca="false">"54,8890"</f>
        <v>54,8890</v>
      </c>
      <c r="M24" s="17"/>
    </row>
    <row r="26" customFormat="false" ht="15" hidden="false" customHeight="false" outlineLevel="0" collapsed="false">
      <c r="A26" s="14" t="s">
        <v>116</v>
      </c>
      <c r="B26" s="14"/>
      <c r="C26" s="14"/>
      <c r="D26" s="14"/>
      <c r="E26" s="14"/>
      <c r="F26" s="14"/>
      <c r="G26" s="14"/>
      <c r="H26" s="14"/>
      <c r="I26" s="14"/>
      <c r="J26" s="14"/>
    </row>
    <row r="27" customFormat="false" ht="12.75" hidden="false" customHeight="false" outlineLevel="0" collapsed="false">
      <c r="A27" s="13" t="s">
        <v>117</v>
      </c>
      <c r="B27" s="13" t="s">
        <v>118</v>
      </c>
      <c r="C27" s="13" t="s">
        <v>119</v>
      </c>
      <c r="D27" s="13" t="str">
        <f aca="false">"0,5276"</f>
        <v>0,5276</v>
      </c>
      <c r="E27" s="13" t="s">
        <v>13</v>
      </c>
      <c r="F27" s="13" t="s">
        <v>120</v>
      </c>
      <c r="G27" s="13" t="s">
        <v>188</v>
      </c>
      <c r="H27" s="13" t="s">
        <v>189</v>
      </c>
      <c r="I27" s="13" t="s">
        <v>190</v>
      </c>
      <c r="J27" s="13" t="s">
        <v>191</v>
      </c>
      <c r="K27" s="13" t="str">
        <f aca="false">"80,5"</f>
        <v>80,5</v>
      </c>
      <c r="L27" s="13" t="str">
        <f aca="false">"42,4682"</f>
        <v>42,4682</v>
      </c>
      <c r="M27" s="13"/>
    </row>
    <row r="29" customFormat="false" ht="15" hidden="false" customHeight="false" outlineLevel="0" collapsed="false">
      <c r="E29" s="20" t="s">
        <v>63</v>
      </c>
    </row>
    <row r="30" customFormat="false" ht="15" hidden="false" customHeight="false" outlineLevel="0" collapsed="false">
      <c r="E30" s="20" t="s">
        <v>64</v>
      </c>
    </row>
    <row r="31" customFormat="false" ht="15" hidden="false" customHeight="false" outlineLevel="0" collapsed="false">
      <c r="E31" s="20" t="s">
        <v>65</v>
      </c>
    </row>
    <row r="32" customFormat="false" ht="12.75" hidden="false" customHeight="false" outlineLevel="0" collapsed="false">
      <c r="E32" s="0" t="s">
        <v>66</v>
      </c>
    </row>
    <row r="33" customFormat="false" ht="12.75" hidden="false" customHeight="false" outlineLevel="0" collapsed="false">
      <c r="E33" s="0" t="s">
        <v>67</v>
      </c>
    </row>
    <row r="34" customFormat="false" ht="12.75" hidden="false" customHeight="false" outlineLevel="0" collapsed="false">
      <c r="E34" s="0" t="s">
        <v>68</v>
      </c>
    </row>
    <row r="37" customFormat="false" ht="17.25" hidden="false" customHeight="false" outlineLevel="0" collapsed="false">
      <c r="A37" s="21" t="s">
        <v>69</v>
      </c>
      <c r="B37" s="21"/>
    </row>
    <row r="38" customFormat="false" ht="15" hidden="false" customHeight="false" outlineLevel="0" collapsed="false">
      <c r="A38" s="22" t="s">
        <v>76</v>
      </c>
      <c r="B38" s="22"/>
    </row>
    <row r="39" customFormat="false" ht="14.25" hidden="false" customHeight="false" outlineLevel="0" collapsed="false">
      <c r="A39" s="23"/>
      <c r="B39" s="24" t="s">
        <v>71</v>
      </c>
    </row>
    <row r="40" customFormat="false" ht="13.5" hidden="false" customHeight="false" outlineLevel="0" collapsed="false">
      <c r="A40" s="25" t="s">
        <v>1</v>
      </c>
      <c r="B40" s="25" t="s">
        <v>72</v>
      </c>
      <c r="C40" s="25" t="s">
        <v>73</v>
      </c>
      <c r="D40" s="25" t="s">
        <v>74</v>
      </c>
      <c r="E40" s="25" t="s">
        <v>4</v>
      </c>
    </row>
    <row r="41" customFormat="false" ht="12.75" hidden="false" customHeight="false" outlineLevel="0" collapsed="false">
      <c r="A41" s="26" t="s">
        <v>124</v>
      </c>
      <c r="B41" s="0" t="s">
        <v>71</v>
      </c>
      <c r="C41" s="0" t="n">
        <v>80</v>
      </c>
      <c r="D41" s="27" t="n">
        <v>70.5</v>
      </c>
      <c r="E41" s="28" t="n">
        <v>46.6145990788937</v>
      </c>
    </row>
    <row r="42" customFormat="false" ht="12.75" hidden="false" customHeight="false" outlineLevel="0" collapsed="false">
      <c r="A42" s="26" t="s">
        <v>182</v>
      </c>
      <c r="B42" s="0" t="s">
        <v>71</v>
      </c>
      <c r="C42" s="0" t="n">
        <v>90</v>
      </c>
      <c r="D42" s="27" t="n">
        <v>75.5</v>
      </c>
      <c r="E42" s="28" t="n">
        <v>46.1946767568588</v>
      </c>
    </row>
    <row r="43" customFormat="false" ht="12.75" hidden="false" customHeight="false" outlineLevel="0" collapsed="false">
      <c r="A43" s="26" t="s">
        <v>80</v>
      </c>
      <c r="B43" s="0" t="s">
        <v>71</v>
      </c>
      <c r="C43" s="0" t="n">
        <v>125</v>
      </c>
      <c r="D43" s="27" t="n">
        <v>80.5</v>
      </c>
      <c r="E43" s="28" t="n">
        <v>44.9310744702816</v>
      </c>
    </row>
    <row r="44" customFormat="false" ht="12.75" hidden="false" customHeight="false" outlineLevel="0" collapsed="false">
      <c r="A44" s="26" t="s">
        <v>83</v>
      </c>
      <c r="B44" s="0" t="s">
        <v>71</v>
      </c>
      <c r="C44" s="0" t="n">
        <v>110</v>
      </c>
      <c r="D44" s="27" t="n">
        <v>78</v>
      </c>
      <c r="E44" s="28" t="n">
        <v>43.9529989957809</v>
      </c>
    </row>
    <row r="45" customFormat="false" ht="12.75" hidden="false" customHeight="false" outlineLevel="0" collapsed="false">
      <c r="A45" s="26" t="s">
        <v>125</v>
      </c>
      <c r="B45" s="0" t="s">
        <v>71</v>
      </c>
      <c r="C45" s="0" t="s">
        <v>126</v>
      </c>
      <c r="D45" s="27" t="n">
        <v>80.5</v>
      </c>
      <c r="E45" s="28" t="n">
        <v>42.4681766033173</v>
      </c>
    </row>
    <row r="46" customFormat="false" ht="12.75" hidden="false" customHeight="false" outlineLevel="0" collapsed="false">
      <c r="A46" s="26" t="s">
        <v>212</v>
      </c>
      <c r="B46" s="0" t="s">
        <v>71</v>
      </c>
      <c r="C46" s="0" t="n">
        <v>110</v>
      </c>
      <c r="D46" s="27" t="n">
        <v>63</v>
      </c>
      <c r="E46" s="28" t="n">
        <v>36.2249992489815</v>
      </c>
    </row>
    <row r="47" customFormat="false" ht="12.75" hidden="false" customHeight="false" outlineLevel="0" collapsed="false">
      <c r="A47" s="26" t="s">
        <v>213</v>
      </c>
      <c r="B47" s="0" t="s">
        <v>71</v>
      </c>
      <c r="C47" s="0" t="n">
        <v>125</v>
      </c>
      <c r="D47" s="27" t="n">
        <v>63</v>
      </c>
      <c r="E47" s="28" t="n">
        <v>35.3493003845215</v>
      </c>
    </row>
    <row r="49" customFormat="false" ht="14.25" hidden="false" customHeight="false" outlineLevel="0" collapsed="false">
      <c r="A49" s="23"/>
      <c r="B49" s="24" t="s">
        <v>82</v>
      </c>
    </row>
    <row r="50" customFormat="false" ht="13.5" hidden="false" customHeight="false" outlineLevel="0" collapsed="false">
      <c r="A50" s="25" t="s">
        <v>1</v>
      </c>
      <c r="B50" s="25" t="s">
        <v>72</v>
      </c>
      <c r="C50" s="25" t="s">
        <v>73</v>
      </c>
      <c r="D50" s="25" t="s">
        <v>74</v>
      </c>
      <c r="E50" s="25" t="s">
        <v>4</v>
      </c>
    </row>
    <row r="51" customFormat="false" ht="12.75" hidden="false" customHeight="false" outlineLevel="0" collapsed="false">
      <c r="A51" s="26" t="s">
        <v>83</v>
      </c>
      <c r="B51" s="0" t="s">
        <v>84</v>
      </c>
      <c r="C51" s="0" t="n">
        <v>110</v>
      </c>
      <c r="D51" s="27" t="n">
        <v>78</v>
      </c>
      <c r="E51" s="28" t="n">
        <v>57.7981936794519</v>
      </c>
    </row>
    <row r="52" customFormat="false" ht="12.75" hidden="false" customHeight="false" outlineLevel="0" collapsed="false">
      <c r="A52" s="26" t="s">
        <v>184</v>
      </c>
      <c r="B52" s="0" t="s">
        <v>185</v>
      </c>
      <c r="C52" s="0" t="n">
        <v>100</v>
      </c>
      <c r="D52" s="27" t="n">
        <v>85.5</v>
      </c>
      <c r="E52" s="28" t="n">
        <v>57.4828503490984</v>
      </c>
    </row>
    <row r="53" customFormat="false" ht="12.75" hidden="false" customHeight="false" outlineLevel="0" collapsed="false">
      <c r="A53" s="26" t="s">
        <v>105</v>
      </c>
      <c r="B53" s="0" t="s">
        <v>106</v>
      </c>
      <c r="C53" s="0" t="n">
        <v>125</v>
      </c>
      <c r="D53" s="27" t="n">
        <v>65.5</v>
      </c>
      <c r="E53" s="28" t="n">
        <v>54.8890393377542</v>
      </c>
    </row>
    <row r="54" customFormat="false" ht="12.75" hidden="false" customHeight="false" outlineLevel="0" collapsed="false">
      <c r="A54" s="26" t="s">
        <v>213</v>
      </c>
      <c r="B54" s="0" t="s">
        <v>84</v>
      </c>
      <c r="C54" s="0" t="n">
        <v>125</v>
      </c>
      <c r="D54" s="27" t="n">
        <v>63</v>
      </c>
      <c r="E54" s="28" t="n">
        <v>44.0452282791138</v>
      </c>
    </row>
    <row r="55" customFormat="false" ht="12.75" hidden="false" customHeight="false" outlineLevel="0" collapsed="false">
      <c r="A55" s="26" t="s">
        <v>171</v>
      </c>
      <c r="B55" s="0" t="s">
        <v>86</v>
      </c>
      <c r="C55" s="0" t="n">
        <v>125</v>
      </c>
      <c r="D55" s="27" t="n">
        <v>70.5</v>
      </c>
      <c r="E55" s="28" t="n">
        <v>39.3550022980571</v>
      </c>
    </row>
  </sheetData>
  <mergeCells count="14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4:J14"/>
    <mergeCell ref="A19:J19"/>
    <mergeCell ref="A26:J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7" min="7" style="0" width="21.78"/>
    <col collapsed="false" customWidth="true" hidden="false" outlineLevel="0" max="8" min="8" style="0" width="4.56"/>
    <col collapsed="false" customWidth="true" hidden="false" outlineLevel="0" max="9" min="9" style="0" width="6.56"/>
    <col collapsed="false" customWidth="true" hidden="false" outlineLevel="0" max="10" min="10" style="0" width="9.56"/>
  </cols>
  <sheetData>
    <row r="1" s="2" customFormat="true" ht="28.5" hidden="false" customHeight="true" outlineLevel="0" collapsed="false">
      <c r="A1" s="1" t="s">
        <v>214</v>
      </c>
      <c r="B1" s="1"/>
      <c r="C1" s="1"/>
      <c r="D1" s="1"/>
      <c r="E1" s="1"/>
      <c r="F1" s="1"/>
      <c r="G1" s="1"/>
      <c r="H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1" t="s">
        <v>215</v>
      </c>
      <c r="H3" s="5" t="s">
        <v>216</v>
      </c>
      <c r="I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31"/>
      <c r="H4" s="5"/>
    </row>
    <row r="5" s="12" customFormat="true" ht="15" hidden="false" customHeight="false" outlineLevel="0" collapsed="false">
      <c r="A5" s="11" t="s">
        <v>217</v>
      </c>
      <c r="B5" s="11"/>
      <c r="C5" s="11"/>
      <c r="D5" s="11"/>
      <c r="E5" s="11"/>
      <c r="F5" s="11"/>
      <c r="G5" s="11"/>
      <c r="H5" s="11"/>
    </row>
    <row r="6" customFormat="false" ht="12.75" hidden="false" customHeight="false" outlineLevel="0" collapsed="false">
      <c r="A6" s="13" t="s">
        <v>218</v>
      </c>
      <c r="B6" s="13" t="s">
        <v>219</v>
      </c>
      <c r="C6" s="13" t="s">
        <v>220</v>
      </c>
      <c r="D6" s="13" t="str">
        <f aca="false">"0,7522"</f>
        <v>0,7522</v>
      </c>
      <c r="E6" s="13" t="s">
        <v>13</v>
      </c>
      <c r="F6" s="13" t="s">
        <v>42</v>
      </c>
      <c r="G6" s="13" t="s">
        <v>221</v>
      </c>
      <c r="H6" s="13" t="s">
        <v>94</v>
      </c>
      <c r="I6" s="13" t="str">
        <f aca="false">"2295,0"</f>
        <v>2295,0</v>
      </c>
      <c r="J6" s="13" t="str">
        <f aca="false">"1726,2990"</f>
        <v>1726,2990</v>
      </c>
      <c r="K6" s="13"/>
    </row>
    <row r="8" customFormat="false" ht="15" hidden="false" customHeight="false" outlineLevel="0" collapsed="false">
      <c r="A8" s="14" t="s">
        <v>222</v>
      </c>
      <c r="B8" s="14"/>
      <c r="C8" s="14"/>
      <c r="D8" s="14"/>
      <c r="E8" s="14"/>
      <c r="F8" s="14"/>
      <c r="G8" s="14"/>
      <c r="H8" s="14"/>
    </row>
    <row r="9" customFormat="false" ht="12.75" hidden="false" customHeight="false" outlineLevel="0" collapsed="false">
      <c r="A9" s="15" t="s">
        <v>223</v>
      </c>
      <c r="B9" s="15" t="s">
        <v>224</v>
      </c>
      <c r="C9" s="15" t="s">
        <v>225</v>
      </c>
      <c r="D9" s="15" t="str">
        <f aca="false">"0,6955"</f>
        <v>0,6955</v>
      </c>
      <c r="E9" s="15" t="s">
        <v>13</v>
      </c>
      <c r="F9" s="15" t="s">
        <v>42</v>
      </c>
      <c r="G9" s="15" t="s">
        <v>37</v>
      </c>
      <c r="H9" s="15" t="s">
        <v>43</v>
      </c>
      <c r="I9" s="15" t="str">
        <f aca="false">"3375,0"</f>
        <v>3375,0</v>
      </c>
      <c r="J9" s="15" t="str">
        <f aca="false">"2347,1438"</f>
        <v>2347,1438</v>
      </c>
      <c r="K9" s="15"/>
    </row>
    <row r="10" customFormat="false" ht="12.75" hidden="false" customHeight="false" outlineLevel="0" collapsed="false">
      <c r="A10" s="29" t="s">
        <v>226</v>
      </c>
      <c r="B10" s="29" t="s">
        <v>227</v>
      </c>
      <c r="C10" s="29" t="s">
        <v>228</v>
      </c>
      <c r="D10" s="29" t="str">
        <f aca="false">"0,6927"</f>
        <v>0,6927</v>
      </c>
      <c r="E10" s="29" t="s">
        <v>13</v>
      </c>
      <c r="F10" s="29" t="s">
        <v>42</v>
      </c>
      <c r="G10" s="29" t="s">
        <v>37</v>
      </c>
      <c r="H10" s="29" t="s">
        <v>229</v>
      </c>
      <c r="I10" s="29" t="str">
        <f aca="false">"1950,0"</f>
        <v>1950,0</v>
      </c>
      <c r="J10" s="29" t="str">
        <f aca="false">"1350,6675"</f>
        <v>1350,6675</v>
      </c>
      <c r="K10" s="29"/>
    </row>
    <row r="11" customFormat="false" ht="12.75" hidden="false" customHeight="false" outlineLevel="0" collapsed="false">
      <c r="A11" s="17" t="s">
        <v>223</v>
      </c>
      <c r="B11" s="17" t="s">
        <v>230</v>
      </c>
      <c r="C11" s="17" t="s">
        <v>225</v>
      </c>
      <c r="D11" s="17" t="str">
        <f aca="false">"0,6955"</f>
        <v>0,6955</v>
      </c>
      <c r="E11" s="17" t="s">
        <v>13</v>
      </c>
      <c r="F11" s="17" t="s">
        <v>42</v>
      </c>
      <c r="G11" s="17" t="s">
        <v>37</v>
      </c>
      <c r="H11" s="17" t="s">
        <v>43</v>
      </c>
      <c r="I11" s="17" t="str">
        <f aca="false">"3375,0"</f>
        <v>3375,0</v>
      </c>
      <c r="J11" s="17" t="str">
        <f aca="false">"2370,6152"</f>
        <v>2370,6152</v>
      </c>
      <c r="K11" s="17"/>
    </row>
    <row r="13" customFormat="false" ht="15" hidden="false" customHeight="false" outlineLevel="0" collapsed="false">
      <c r="A13" s="14" t="s">
        <v>19</v>
      </c>
      <c r="B13" s="14"/>
      <c r="C13" s="14"/>
      <c r="D13" s="14"/>
      <c r="E13" s="14"/>
      <c r="F13" s="14"/>
      <c r="G13" s="14"/>
      <c r="H13" s="14"/>
    </row>
    <row r="14" customFormat="false" ht="12.75" hidden="false" customHeight="false" outlineLevel="0" collapsed="false">
      <c r="A14" s="13" t="s">
        <v>231</v>
      </c>
      <c r="B14" s="13" t="s">
        <v>232</v>
      </c>
      <c r="C14" s="13" t="s">
        <v>233</v>
      </c>
      <c r="D14" s="13" t="str">
        <f aca="false">"0,6359"</f>
        <v>0,6359</v>
      </c>
      <c r="E14" s="13" t="s">
        <v>13</v>
      </c>
      <c r="F14" s="13" t="s">
        <v>234</v>
      </c>
      <c r="G14" s="13" t="s">
        <v>38</v>
      </c>
      <c r="H14" s="13" t="s">
        <v>235</v>
      </c>
      <c r="I14" s="13" t="str">
        <f aca="false">"2465,0"</f>
        <v>2465,0</v>
      </c>
      <c r="J14" s="13" t="str">
        <f aca="false">"1567,3703"</f>
        <v>1567,3703</v>
      </c>
      <c r="K14" s="13"/>
    </row>
    <row r="16" customFormat="false" ht="15" hidden="false" customHeight="false" outlineLevel="0" collapsed="false">
      <c r="A16" s="14" t="s">
        <v>54</v>
      </c>
      <c r="B16" s="14"/>
      <c r="C16" s="14"/>
      <c r="D16" s="14"/>
      <c r="E16" s="14"/>
      <c r="F16" s="14"/>
      <c r="G16" s="14"/>
      <c r="H16" s="14"/>
    </row>
    <row r="17" customFormat="false" ht="12.75" hidden="false" customHeight="false" outlineLevel="0" collapsed="false">
      <c r="A17" s="13" t="s">
        <v>236</v>
      </c>
      <c r="B17" s="13" t="s">
        <v>237</v>
      </c>
      <c r="C17" s="13" t="s">
        <v>238</v>
      </c>
      <c r="D17" s="13" t="str">
        <f aca="false">"0,5597"</f>
        <v>0,5597</v>
      </c>
      <c r="E17" s="13" t="s">
        <v>13</v>
      </c>
      <c r="F17" s="13" t="s">
        <v>239</v>
      </c>
      <c r="G17" s="13" t="s">
        <v>240</v>
      </c>
      <c r="H17" s="13" t="s">
        <v>241</v>
      </c>
      <c r="I17" s="13" t="str">
        <f aca="false">"1687,5"</f>
        <v>1687,5</v>
      </c>
      <c r="J17" s="13" t="str">
        <f aca="false">"944,4094"</f>
        <v>944,4094</v>
      </c>
      <c r="K17" s="13"/>
    </row>
    <row r="19" customFormat="false" ht="15" hidden="false" customHeight="false" outlineLevel="0" collapsed="false">
      <c r="E19" s="20" t="s">
        <v>63</v>
      </c>
    </row>
    <row r="20" customFormat="false" ht="15" hidden="false" customHeight="false" outlineLevel="0" collapsed="false">
      <c r="E20" s="20" t="s">
        <v>64</v>
      </c>
    </row>
    <row r="21" customFormat="false" ht="15" hidden="false" customHeight="false" outlineLevel="0" collapsed="false">
      <c r="E21" s="20" t="s">
        <v>65</v>
      </c>
    </row>
    <row r="22" customFormat="false" ht="12.75" hidden="false" customHeight="false" outlineLevel="0" collapsed="false">
      <c r="E22" s="0" t="s">
        <v>66</v>
      </c>
    </row>
    <row r="23" customFormat="false" ht="12.75" hidden="false" customHeight="false" outlineLevel="0" collapsed="false">
      <c r="E23" s="0" t="s">
        <v>67</v>
      </c>
    </row>
    <row r="24" customFormat="false" ht="12.75" hidden="false" customHeight="false" outlineLevel="0" collapsed="false">
      <c r="E24" s="0" t="s">
        <v>68</v>
      </c>
    </row>
    <row r="27" customFormat="false" ht="17.25" hidden="false" customHeight="false" outlineLevel="0" collapsed="false">
      <c r="A27" s="21" t="s">
        <v>69</v>
      </c>
      <c r="B27" s="21"/>
    </row>
    <row r="28" customFormat="false" ht="15" hidden="false" customHeight="false" outlineLevel="0" collapsed="false">
      <c r="A28" s="22" t="s">
        <v>76</v>
      </c>
      <c r="B28" s="22"/>
    </row>
    <row r="29" customFormat="false" ht="14.25" hidden="false" customHeight="false" outlineLevel="0" collapsed="false">
      <c r="A29" s="23"/>
      <c r="B29" s="24" t="s">
        <v>71</v>
      </c>
    </row>
    <row r="30" customFormat="false" ht="13.5" hidden="false" customHeight="false" outlineLevel="0" collapsed="false">
      <c r="A30" s="25" t="s">
        <v>1</v>
      </c>
      <c r="B30" s="25" t="s">
        <v>72</v>
      </c>
      <c r="C30" s="25" t="s">
        <v>73</v>
      </c>
      <c r="D30" s="25" t="s">
        <v>74</v>
      </c>
      <c r="E30" s="25" t="s">
        <v>4</v>
      </c>
    </row>
    <row r="31" customFormat="false" ht="12.75" hidden="false" customHeight="false" outlineLevel="0" collapsed="false">
      <c r="A31" s="26" t="s">
        <v>242</v>
      </c>
      <c r="B31" s="0" t="s">
        <v>71</v>
      </c>
      <c r="C31" s="0" t="n">
        <v>75</v>
      </c>
      <c r="D31" s="27" t="n">
        <v>3375</v>
      </c>
      <c r="E31" s="28" t="n">
        <v>2347.1437767148</v>
      </c>
    </row>
    <row r="32" customFormat="false" ht="12.75" hidden="false" customHeight="false" outlineLevel="0" collapsed="false">
      <c r="A32" s="26" t="s">
        <v>243</v>
      </c>
      <c r="B32" s="0" t="s">
        <v>71</v>
      </c>
      <c r="C32" s="0" t="n">
        <v>67.5</v>
      </c>
      <c r="D32" s="27" t="n">
        <v>2295</v>
      </c>
      <c r="E32" s="28" t="n">
        <v>1726.29901707172</v>
      </c>
    </row>
    <row r="33" customFormat="false" ht="12.75" hidden="false" customHeight="false" outlineLevel="0" collapsed="false">
      <c r="A33" s="26" t="s">
        <v>244</v>
      </c>
      <c r="B33" s="0" t="s">
        <v>71</v>
      </c>
      <c r="C33" s="0" t="n">
        <v>90</v>
      </c>
      <c r="D33" s="27" t="n">
        <v>2465</v>
      </c>
      <c r="E33" s="28" t="n">
        <v>1567.37028032541</v>
      </c>
    </row>
    <row r="34" customFormat="false" ht="12.75" hidden="false" customHeight="false" outlineLevel="0" collapsed="false">
      <c r="A34" s="26" t="s">
        <v>245</v>
      </c>
      <c r="B34" s="0" t="s">
        <v>71</v>
      </c>
      <c r="C34" s="0" t="n">
        <v>75</v>
      </c>
      <c r="D34" s="27" t="n">
        <v>1950</v>
      </c>
      <c r="E34" s="28" t="n">
        <v>1350.66753923893</v>
      </c>
    </row>
    <row r="35" customFormat="false" ht="12.75" hidden="false" customHeight="false" outlineLevel="0" collapsed="false">
      <c r="A35" s="26" t="s">
        <v>246</v>
      </c>
      <c r="B35" s="0" t="s">
        <v>71</v>
      </c>
      <c r="C35" s="0" t="n">
        <v>125</v>
      </c>
      <c r="D35" s="27" t="n">
        <v>1687.5</v>
      </c>
      <c r="E35" s="28" t="n">
        <v>944.409381598234</v>
      </c>
    </row>
    <row r="37" customFormat="false" ht="14.25" hidden="false" customHeight="false" outlineLevel="0" collapsed="false">
      <c r="A37" s="23"/>
      <c r="B37" s="24" t="s">
        <v>82</v>
      </c>
    </row>
    <row r="38" customFormat="false" ht="13.5" hidden="false" customHeight="false" outlineLevel="0" collapsed="false">
      <c r="A38" s="25" t="s">
        <v>1</v>
      </c>
      <c r="B38" s="25" t="s">
        <v>72</v>
      </c>
      <c r="C38" s="25" t="s">
        <v>73</v>
      </c>
      <c r="D38" s="25" t="s">
        <v>74</v>
      </c>
      <c r="E38" s="25" t="s">
        <v>4</v>
      </c>
    </row>
    <row r="39" customFormat="false" ht="12.75" hidden="false" customHeight="false" outlineLevel="0" collapsed="false">
      <c r="A39" s="26" t="s">
        <v>242</v>
      </c>
      <c r="B39" s="0" t="s">
        <v>247</v>
      </c>
      <c r="C39" s="0" t="n">
        <v>75</v>
      </c>
      <c r="D39" s="27" t="n">
        <v>3375</v>
      </c>
      <c r="E39" s="28" t="n">
        <v>2370.61521448195</v>
      </c>
    </row>
  </sheetData>
  <mergeCells count="13">
    <mergeCell ref="A1:H2"/>
    <mergeCell ref="A3:A4"/>
    <mergeCell ref="B3:B4"/>
    <mergeCell ref="C3:C4"/>
    <mergeCell ref="D3:D4"/>
    <mergeCell ref="E3:E4"/>
    <mergeCell ref="F3:F4"/>
    <mergeCell ref="G3:G4"/>
    <mergeCell ref="H3:H4"/>
    <mergeCell ref="A5:H5"/>
    <mergeCell ref="A8:H8"/>
    <mergeCell ref="A13:H13"/>
    <mergeCell ref="A16:H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7" min="7" style="0" width="21.78"/>
    <col collapsed="false" customWidth="true" hidden="false" outlineLevel="0" max="8" min="8" style="0" width="4.56"/>
    <col collapsed="false" customWidth="true" hidden="false" outlineLevel="0" max="9" min="9" style="0" width="6.56"/>
    <col collapsed="false" customWidth="true" hidden="false" outlineLevel="0" max="10" min="10" style="0" width="9.56"/>
    <col collapsed="false" customWidth="true" hidden="false" outlineLevel="0" max="11" min="11" style="0" width="14.55"/>
  </cols>
  <sheetData>
    <row r="1" s="2" customFormat="true" ht="28.5" hidden="false" customHeight="true" outlineLevel="0" collapsed="false">
      <c r="A1" s="1" t="s">
        <v>248</v>
      </c>
      <c r="B1" s="1"/>
      <c r="C1" s="1"/>
      <c r="D1" s="1"/>
      <c r="E1" s="1"/>
      <c r="F1" s="1"/>
      <c r="G1" s="1"/>
      <c r="H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1" t="s">
        <v>215</v>
      </c>
      <c r="H3" s="5" t="s">
        <v>216</v>
      </c>
      <c r="I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31"/>
      <c r="H4" s="5"/>
    </row>
    <row r="5" s="12" customFormat="true" ht="15" hidden="false" customHeight="false" outlineLevel="0" collapsed="false">
      <c r="A5" s="11" t="s">
        <v>249</v>
      </c>
      <c r="B5" s="11"/>
      <c r="C5" s="11"/>
      <c r="D5" s="11"/>
      <c r="E5" s="11"/>
      <c r="F5" s="11"/>
      <c r="G5" s="11"/>
      <c r="H5" s="11"/>
    </row>
    <row r="6" customFormat="false" ht="12.75" hidden="false" customHeight="false" outlineLevel="0" collapsed="false">
      <c r="A6" s="13" t="s">
        <v>250</v>
      </c>
      <c r="B6" s="13" t="s">
        <v>251</v>
      </c>
      <c r="C6" s="13" t="s">
        <v>252</v>
      </c>
      <c r="D6" s="13" t="str">
        <f aca="false">"1,3437"</f>
        <v>1,3437</v>
      </c>
      <c r="E6" s="13" t="s">
        <v>13</v>
      </c>
      <c r="F6" s="13" t="s">
        <v>42</v>
      </c>
      <c r="G6" s="13" t="s">
        <v>123</v>
      </c>
      <c r="H6" s="13" t="s">
        <v>114</v>
      </c>
      <c r="I6" s="13" t="str">
        <f aca="false">"675,0"</f>
        <v>675,0</v>
      </c>
      <c r="J6" s="13" t="str">
        <f aca="false">"906,9975"</f>
        <v>906,9975</v>
      </c>
      <c r="K6" s="13" t="s">
        <v>253</v>
      </c>
    </row>
    <row r="8" customFormat="false" ht="15" hidden="false" customHeight="false" outlineLevel="0" collapsed="false">
      <c r="A8" s="14" t="s">
        <v>47</v>
      </c>
      <c r="B8" s="14"/>
      <c r="C8" s="14"/>
      <c r="D8" s="14"/>
      <c r="E8" s="14"/>
      <c r="F8" s="14"/>
      <c r="G8" s="14"/>
      <c r="H8" s="14"/>
    </row>
    <row r="9" customFormat="false" ht="12.75" hidden="false" customHeight="false" outlineLevel="0" collapsed="false">
      <c r="A9" s="13" t="s">
        <v>254</v>
      </c>
      <c r="B9" s="13" t="s">
        <v>255</v>
      </c>
      <c r="C9" s="13" t="s">
        <v>256</v>
      </c>
      <c r="D9" s="13" t="str">
        <f aca="false">"0,5695"</f>
        <v>0,5695</v>
      </c>
      <c r="E9" s="13" t="s">
        <v>13</v>
      </c>
      <c r="F9" s="13" t="s">
        <v>42</v>
      </c>
      <c r="G9" s="13" t="s">
        <v>257</v>
      </c>
      <c r="H9" s="13" t="s">
        <v>258</v>
      </c>
      <c r="I9" s="13" t="str">
        <f aca="false">"2257,5"</f>
        <v>2257,5</v>
      </c>
      <c r="J9" s="13" t="str">
        <f aca="false">"1431,0499"</f>
        <v>1431,0499</v>
      </c>
      <c r="K9" s="13"/>
    </row>
    <row r="11" customFormat="false" ht="15" hidden="false" customHeight="false" outlineLevel="0" collapsed="false">
      <c r="E11" s="20" t="s">
        <v>63</v>
      </c>
    </row>
    <row r="12" customFormat="false" ht="15" hidden="false" customHeight="false" outlineLevel="0" collapsed="false">
      <c r="E12" s="20" t="s">
        <v>64</v>
      </c>
    </row>
    <row r="13" customFormat="false" ht="15" hidden="false" customHeight="false" outlineLevel="0" collapsed="false">
      <c r="E13" s="20" t="s">
        <v>65</v>
      </c>
    </row>
    <row r="14" customFormat="false" ht="12.75" hidden="false" customHeight="false" outlineLevel="0" collapsed="false">
      <c r="E14" s="0" t="s">
        <v>66</v>
      </c>
    </row>
    <row r="15" customFormat="false" ht="12.75" hidden="false" customHeight="false" outlineLevel="0" collapsed="false">
      <c r="E15" s="0" t="s">
        <v>67</v>
      </c>
    </row>
    <row r="16" customFormat="false" ht="12.75" hidden="false" customHeight="false" outlineLevel="0" collapsed="false">
      <c r="E16" s="0" t="s">
        <v>68</v>
      </c>
    </row>
    <row r="19" customFormat="false" ht="17.25" hidden="false" customHeight="false" outlineLevel="0" collapsed="false">
      <c r="A19" s="21" t="s">
        <v>69</v>
      </c>
      <c r="B19" s="21"/>
    </row>
    <row r="20" customFormat="false" ht="15" hidden="false" customHeight="false" outlineLevel="0" collapsed="false">
      <c r="A20" s="22" t="s">
        <v>70</v>
      </c>
      <c r="B20" s="22"/>
    </row>
    <row r="21" customFormat="false" ht="14.25" hidden="false" customHeight="false" outlineLevel="0" collapsed="false">
      <c r="A21" s="23"/>
      <c r="B21" s="24" t="s">
        <v>259</v>
      </c>
    </row>
    <row r="22" customFormat="false" ht="13.5" hidden="false" customHeight="false" outlineLevel="0" collapsed="false">
      <c r="A22" s="25" t="s">
        <v>1</v>
      </c>
      <c r="B22" s="25" t="s">
        <v>72</v>
      </c>
      <c r="C22" s="25" t="s">
        <v>73</v>
      </c>
      <c r="D22" s="25" t="s">
        <v>74</v>
      </c>
      <c r="E22" s="25" t="s">
        <v>4</v>
      </c>
    </row>
    <row r="23" customFormat="false" ht="12.75" hidden="false" customHeight="false" outlineLevel="0" collapsed="false">
      <c r="A23" s="26" t="s">
        <v>260</v>
      </c>
      <c r="B23" s="0" t="s">
        <v>261</v>
      </c>
      <c r="C23" s="0" t="n">
        <v>44</v>
      </c>
      <c r="D23" s="27" t="n">
        <v>675</v>
      </c>
      <c r="E23" s="28" t="n">
        <v>906.997534632683</v>
      </c>
    </row>
    <row r="26" customFormat="false" ht="15" hidden="false" customHeight="false" outlineLevel="0" collapsed="false">
      <c r="A26" s="22" t="s">
        <v>76</v>
      </c>
      <c r="B26" s="22"/>
    </row>
    <row r="27" customFormat="false" ht="14.25" hidden="false" customHeight="false" outlineLevel="0" collapsed="false">
      <c r="A27" s="23"/>
      <c r="B27" s="24" t="s">
        <v>82</v>
      </c>
    </row>
    <row r="28" customFormat="false" ht="13.5" hidden="false" customHeight="false" outlineLevel="0" collapsed="false">
      <c r="A28" s="25" t="s">
        <v>1</v>
      </c>
      <c r="B28" s="25" t="s">
        <v>72</v>
      </c>
      <c r="C28" s="25" t="s">
        <v>73</v>
      </c>
      <c r="D28" s="25" t="s">
        <v>74</v>
      </c>
      <c r="E28" s="25" t="s">
        <v>4</v>
      </c>
    </row>
    <row r="29" customFormat="false" ht="12.75" hidden="false" customHeight="false" outlineLevel="0" collapsed="false">
      <c r="A29" s="26" t="s">
        <v>262</v>
      </c>
      <c r="B29" s="0" t="s">
        <v>247</v>
      </c>
      <c r="C29" s="0" t="n">
        <v>110</v>
      </c>
      <c r="D29" s="27" t="n">
        <v>2257.5</v>
      </c>
      <c r="E29" s="28" t="n">
        <v>1431.04985029355</v>
      </c>
    </row>
  </sheetData>
  <mergeCells count="11">
    <mergeCell ref="A1:H2"/>
    <mergeCell ref="A3:A4"/>
    <mergeCell ref="B3:B4"/>
    <mergeCell ref="C3:C4"/>
    <mergeCell ref="D3:D4"/>
    <mergeCell ref="E3:E4"/>
    <mergeCell ref="F3:F4"/>
    <mergeCell ref="G3:G4"/>
    <mergeCell ref="H3:H4"/>
    <mergeCell ref="A5:H5"/>
    <mergeCell ref="A8:H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14.78"/>
    <col collapsed="false" customWidth="true" hidden="false" outlineLevel="0" max="9" min="7" style="0" width="4.56"/>
    <col collapsed="false" customWidth="true" hidden="false" outlineLevel="0" max="10" min="10" style="0" width="3.22"/>
    <col collapsed="false" customWidth="true" hidden="false" outlineLevel="0" max="11" min="11" style="0" width="4.56"/>
    <col collapsed="false" customWidth="true" hidden="false" outlineLevel="0" max="12" min="12" style="0" width="7.56"/>
  </cols>
  <sheetData>
    <row r="1" s="2" customFormat="true" ht="28.5" hidden="false" customHeight="true" outlineLevel="0" collapsed="false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2"/>
      <c r="H3" s="32"/>
      <c r="I3" s="32"/>
      <c r="J3" s="32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9</v>
      </c>
      <c r="H4" s="10" t="n">
        <v>10</v>
      </c>
      <c r="I4" s="10" t="n">
        <v>11</v>
      </c>
      <c r="J4" s="10" t="n">
        <v>12</v>
      </c>
    </row>
    <row r="5" s="12" customFormat="true" ht="15" hidden="false" customHeight="false" outlineLevel="0" collapsed="false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264</v>
      </c>
      <c r="B6" s="13" t="s">
        <v>265</v>
      </c>
      <c r="C6" s="13" t="s">
        <v>266</v>
      </c>
      <c r="D6" s="13" t="str">
        <f aca="false">"0,6299"</f>
        <v>0,6299</v>
      </c>
      <c r="E6" s="13" t="s">
        <v>13</v>
      </c>
      <c r="F6" s="13" t="s">
        <v>42</v>
      </c>
      <c r="G6" s="13" t="s">
        <v>43</v>
      </c>
      <c r="H6" s="13" t="s">
        <v>45</v>
      </c>
      <c r="I6" s="19" t="s">
        <v>267</v>
      </c>
      <c r="J6" s="19"/>
      <c r="K6" s="13" t="str">
        <f aca="false">"55,0"</f>
        <v>55,0</v>
      </c>
      <c r="L6" s="13" t="str">
        <f aca="false">"34,6445"</f>
        <v>34,6445</v>
      </c>
      <c r="M6" s="13"/>
    </row>
    <row r="8" customFormat="false" ht="15" hidden="false" customHeight="false" outlineLevel="0" collapsed="false">
      <c r="A8" s="14" t="s">
        <v>32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39</v>
      </c>
      <c r="B9" s="13" t="s">
        <v>40</v>
      </c>
      <c r="C9" s="13" t="s">
        <v>41</v>
      </c>
      <c r="D9" s="13" t="str">
        <f aca="false">"0,6033"</f>
        <v>0,6033</v>
      </c>
      <c r="E9" s="13" t="s">
        <v>13</v>
      </c>
      <c r="F9" s="13" t="s">
        <v>42</v>
      </c>
      <c r="G9" s="13" t="s">
        <v>17</v>
      </c>
      <c r="H9" s="13" t="s">
        <v>43</v>
      </c>
      <c r="I9" s="19" t="s">
        <v>18</v>
      </c>
      <c r="J9" s="19"/>
      <c r="K9" s="13" t="str">
        <f aca="false">"45,0"</f>
        <v>45,0</v>
      </c>
      <c r="L9" s="13" t="str">
        <f aca="false">"28,6417"</f>
        <v>28,6417</v>
      </c>
      <c r="M9" s="13"/>
    </row>
    <row r="11" customFormat="false" ht="15" hidden="false" customHeight="false" outlineLevel="0" collapsed="false">
      <c r="E11" s="20" t="s">
        <v>63</v>
      </c>
    </row>
    <row r="12" customFormat="false" ht="15" hidden="false" customHeight="false" outlineLevel="0" collapsed="false">
      <c r="E12" s="20" t="s">
        <v>64</v>
      </c>
    </row>
    <row r="13" customFormat="false" ht="15" hidden="false" customHeight="false" outlineLevel="0" collapsed="false">
      <c r="E13" s="20" t="s">
        <v>65</v>
      </c>
    </row>
    <row r="14" customFormat="false" ht="12.75" hidden="false" customHeight="false" outlineLevel="0" collapsed="false">
      <c r="E14" s="0" t="s">
        <v>66</v>
      </c>
    </row>
    <row r="15" customFormat="false" ht="12.75" hidden="false" customHeight="false" outlineLevel="0" collapsed="false">
      <c r="E15" s="0" t="s">
        <v>67</v>
      </c>
    </row>
    <row r="16" customFormat="false" ht="12.75" hidden="false" customHeight="false" outlineLevel="0" collapsed="false">
      <c r="E16" s="0" t="s">
        <v>68</v>
      </c>
    </row>
    <row r="19" customFormat="false" ht="17.25" hidden="false" customHeight="false" outlineLevel="0" collapsed="false">
      <c r="A19" s="21" t="s">
        <v>69</v>
      </c>
      <c r="B19" s="21"/>
    </row>
    <row r="20" customFormat="false" ht="15" hidden="false" customHeight="false" outlineLevel="0" collapsed="false">
      <c r="A20" s="22" t="s">
        <v>76</v>
      </c>
      <c r="B20" s="22"/>
    </row>
    <row r="21" customFormat="false" ht="14.25" hidden="false" customHeight="false" outlineLevel="0" collapsed="false">
      <c r="A21" s="23"/>
      <c r="B21" s="24" t="s">
        <v>71</v>
      </c>
    </row>
    <row r="22" customFormat="false" ht="13.5" hidden="false" customHeight="false" outlineLevel="0" collapsed="false">
      <c r="A22" s="25" t="s">
        <v>1</v>
      </c>
      <c r="B22" s="25" t="s">
        <v>72</v>
      </c>
      <c r="C22" s="25" t="s">
        <v>73</v>
      </c>
      <c r="D22" s="25" t="s">
        <v>74</v>
      </c>
      <c r="E22" s="25" t="s">
        <v>4</v>
      </c>
    </row>
    <row r="23" customFormat="false" ht="12.75" hidden="false" customHeight="false" outlineLevel="0" collapsed="false">
      <c r="A23" s="26" t="s">
        <v>268</v>
      </c>
      <c r="B23" s="0" t="s">
        <v>71</v>
      </c>
      <c r="C23" s="0" t="n">
        <v>90</v>
      </c>
      <c r="D23" s="27" t="n">
        <v>55</v>
      </c>
      <c r="E23" s="28" t="n">
        <v>34.6444988250732</v>
      </c>
    </row>
    <row r="25" customFormat="false" ht="14.25" hidden="false" customHeight="false" outlineLevel="0" collapsed="false">
      <c r="A25" s="23"/>
      <c r="B25" s="24" t="s">
        <v>82</v>
      </c>
    </row>
    <row r="26" customFormat="false" ht="13.5" hidden="false" customHeight="false" outlineLevel="0" collapsed="false">
      <c r="A26" s="25" t="s">
        <v>1</v>
      </c>
      <c r="B26" s="25" t="s">
        <v>72</v>
      </c>
      <c r="C26" s="25" t="s">
        <v>73</v>
      </c>
      <c r="D26" s="25" t="s">
        <v>74</v>
      </c>
      <c r="E26" s="25" t="s">
        <v>4</v>
      </c>
    </row>
    <row r="27" customFormat="false" ht="12.75" hidden="false" customHeight="false" outlineLevel="0" collapsed="false">
      <c r="A27" s="26" t="s">
        <v>87</v>
      </c>
      <c r="B27" s="0" t="s">
        <v>88</v>
      </c>
      <c r="C27" s="0" t="n">
        <v>100</v>
      </c>
      <c r="D27" s="27" t="n">
        <v>45</v>
      </c>
      <c r="E27" s="28" t="n">
        <v>28.6416663318872</v>
      </c>
    </row>
  </sheetData>
  <mergeCells count="10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56"/>
    <col collapsed="false" customWidth="true" hidden="false" outlineLevel="0" max="3" min="3" style="0" width="7.56"/>
    <col collapsed="false" customWidth="true" hidden="false" outlineLevel="0" max="4" min="4" style="0" width="6.56"/>
    <col collapsed="false" customWidth="true" hidden="false" outlineLevel="0" max="5" min="5" style="0" width="17"/>
    <col collapsed="false" customWidth="true" hidden="false" outlineLevel="0" max="6" min="6" style="0" width="24.34"/>
    <col collapsed="false" customWidth="true" hidden="false" outlineLevel="0" max="9" min="7" style="0" width="4.56"/>
    <col collapsed="false" customWidth="true" hidden="false" outlineLevel="0" max="10" min="10" style="0" width="3.22"/>
    <col collapsed="false" customWidth="true" hidden="false" outlineLevel="0" max="11" min="11" style="0" width="4.56"/>
    <col collapsed="false" customWidth="true" hidden="false" outlineLevel="0" max="12" min="12" style="0" width="7.56"/>
    <col collapsed="false" customWidth="true" hidden="false" outlineLevel="0" max="13" min="13" style="0" width="16.44"/>
  </cols>
  <sheetData>
    <row r="1" s="2" customFormat="true" ht="28.5" hidden="false" customHeight="true" outlineLevel="0" collapsed="false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</row>
    <row r="2" s="2" customFormat="true" ht="6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9" customFormat="true" ht="12.75" hidden="false" customHeight="true" outlineLevel="0" collapsed="false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32"/>
      <c r="H3" s="32"/>
      <c r="I3" s="32"/>
      <c r="J3" s="32"/>
      <c r="K3" s="9" t="s">
        <v>8</v>
      </c>
    </row>
    <row r="4" s="9" customFormat="true" ht="23.25" hidden="false" customHeight="true" outlineLevel="0" collapsed="false">
      <c r="A4" s="3"/>
      <c r="B4" s="4"/>
      <c r="C4" s="4"/>
      <c r="D4" s="5"/>
      <c r="E4" s="6"/>
      <c r="F4" s="7"/>
      <c r="G4" s="10" t="n">
        <v>9</v>
      </c>
      <c r="H4" s="10" t="n">
        <v>10</v>
      </c>
      <c r="I4" s="10" t="n">
        <v>11</v>
      </c>
      <c r="J4" s="10" t="n">
        <v>12</v>
      </c>
    </row>
    <row r="5" s="12" customFormat="true" ht="15" hidden="false" customHeight="false" outlineLevel="0" collapsed="false">
      <c r="A5" s="11" t="s">
        <v>270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2.75" hidden="false" customHeight="false" outlineLevel="0" collapsed="false">
      <c r="A6" s="13" t="s">
        <v>271</v>
      </c>
      <c r="B6" s="13" t="s">
        <v>272</v>
      </c>
      <c r="C6" s="13" t="s">
        <v>134</v>
      </c>
      <c r="D6" s="13" t="str">
        <f aca="false">"1,0530"</f>
        <v>1,0530</v>
      </c>
      <c r="E6" s="13" t="s">
        <v>13</v>
      </c>
      <c r="F6" s="13" t="s">
        <v>273</v>
      </c>
      <c r="G6" s="13" t="s">
        <v>112</v>
      </c>
      <c r="H6" s="13" t="s">
        <v>114</v>
      </c>
      <c r="I6" s="19" t="s">
        <v>15</v>
      </c>
      <c r="J6" s="19"/>
      <c r="K6" s="13" t="str">
        <f aca="false">"30,0"</f>
        <v>30,0</v>
      </c>
      <c r="L6" s="13" t="str">
        <f aca="false">"31,5900"</f>
        <v>31,5900</v>
      </c>
      <c r="M6" s="13"/>
    </row>
    <row r="8" customFormat="false" ht="15" hidden="false" customHeight="false" outlineLevel="0" collapsed="false">
      <c r="A8" s="14" t="s">
        <v>222</v>
      </c>
      <c r="B8" s="14"/>
      <c r="C8" s="14"/>
      <c r="D8" s="14"/>
      <c r="E8" s="14"/>
      <c r="F8" s="14"/>
      <c r="G8" s="14"/>
      <c r="H8" s="14"/>
      <c r="I8" s="14"/>
      <c r="J8" s="14"/>
    </row>
    <row r="9" customFormat="false" ht="12.75" hidden="false" customHeight="false" outlineLevel="0" collapsed="false">
      <c r="A9" s="13" t="s">
        <v>274</v>
      </c>
      <c r="B9" s="13" t="s">
        <v>275</v>
      </c>
      <c r="C9" s="13" t="s">
        <v>276</v>
      </c>
      <c r="D9" s="13" t="str">
        <f aca="false">"0,8572"</f>
        <v>0,8572</v>
      </c>
      <c r="E9" s="13" t="s">
        <v>13</v>
      </c>
      <c r="F9" s="13" t="s">
        <v>42</v>
      </c>
      <c r="G9" s="13" t="s">
        <v>43</v>
      </c>
      <c r="H9" s="19" t="s">
        <v>18</v>
      </c>
      <c r="I9" s="19" t="s">
        <v>18</v>
      </c>
      <c r="J9" s="19"/>
      <c r="K9" s="13" t="str">
        <f aca="false">"45,0"</f>
        <v>45,0</v>
      </c>
      <c r="L9" s="13" t="str">
        <f aca="false">"48,0604"</f>
        <v>48,0604</v>
      </c>
      <c r="M9" s="13" t="s">
        <v>277</v>
      </c>
    </row>
    <row r="11" customFormat="false" ht="15" hidden="false" customHeight="false" outlineLevel="0" collapsed="false">
      <c r="A11" s="14" t="s">
        <v>217</v>
      </c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12.75" hidden="false" customHeight="false" outlineLevel="0" collapsed="false">
      <c r="A12" s="13" t="s">
        <v>278</v>
      </c>
      <c r="B12" s="13" t="s">
        <v>279</v>
      </c>
      <c r="C12" s="13" t="s">
        <v>280</v>
      </c>
      <c r="D12" s="13" t="str">
        <f aca="false">"0,7541"</f>
        <v>0,7541</v>
      </c>
      <c r="E12" s="13" t="s">
        <v>13</v>
      </c>
      <c r="F12" s="13" t="s">
        <v>42</v>
      </c>
      <c r="G12" s="13" t="s">
        <v>46</v>
      </c>
      <c r="H12" s="19" t="s">
        <v>59</v>
      </c>
      <c r="I12" s="19" t="s">
        <v>59</v>
      </c>
      <c r="J12" s="19"/>
      <c r="K12" s="13" t="str">
        <f aca="false">"60,0"</f>
        <v>60,0</v>
      </c>
      <c r="L12" s="13" t="str">
        <f aca="false">"45,2490"</f>
        <v>45,2490</v>
      </c>
      <c r="M12" s="13"/>
    </row>
    <row r="14" customFormat="false" ht="15" hidden="false" customHeight="false" outlineLevel="0" collapsed="false">
      <c r="A14" s="14" t="s">
        <v>222</v>
      </c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2.75" hidden="false" customHeight="false" outlineLevel="0" collapsed="false">
      <c r="A15" s="13" t="s">
        <v>281</v>
      </c>
      <c r="B15" s="13" t="s">
        <v>282</v>
      </c>
      <c r="C15" s="13" t="s">
        <v>283</v>
      </c>
      <c r="D15" s="13" t="str">
        <f aca="false">"0,6940"</f>
        <v>0,6940</v>
      </c>
      <c r="E15" s="13" t="s">
        <v>13</v>
      </c>
      <c r="F15" s="13" t="s">
        <v>284</v>
      </c>
      <c r="G15" s="13" t="s">
        <v>43</v>
      </c>
      <c r="H15" s="13" t="s">
        <v>44</v>
      </c>
      <c r="I15" s="19" t="s">
        <v>45</v>
      </c>
      <c r="J15" s="19"/>
      <c r="K15" s="13" t="str">
        <f aca="false">"50,0"</f>
        <v>50,0</v>
      </c>
      <c r="L15" s="13" t="str">
        <f aca="false">"34,7000"</f>
        <v>34,7000</v>
      </c>
      <c r="M15" s="13"/>
    </row>
    <row r="17" customFormat="false" ht="15" hidden="false" customHeight="false" outlineLevel="0" collapsed="false">
      <c r="A17" s="14" t="s">
        <v>285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15" t="s">
        <v>286</v>
      </c>
      <c r="B18" s="15" t="s">
        <v>287</v>
      </c>
      <c r="C18" s="15" t="s">
        <v>288</v>
      </c>
      <c r="D18" s="15" t="str">
        <f aca="false">"0,6545"</f>
        <v>0,6545</v>
      </c>
      <c r="E18" s="15" t="s">
        <v>13</v>
      </c>
      <c r="F18" s="15" t="s">
        <v>42</v>
      </c>
      <c r="G18" s="15" t="s">
        <v>59</v>
      </c>
      <c r="H18" s="16" t="s">
        <v>221</v>
      </c>
      <c r="I18" s="16" t="s">
        <v>221</v>
      </c>
      <c r="J18" s="16"/>
      <c r="K18" s="15" t="str">
        <f aca="false">"62,5"</f>
        <v>62,5</v>
      </c>
      <c r="L18" s="15" t="str">
        <f aca="false">"40,9063"</f>
        <v>40,9063</v>
      </c>
      <c r="M18" s="15"/>
    </row>
    <row r="19" customFormat="false" ht="12.75" hidden="false" customHeight="false" outlineLevel="0" collapsed="false">
      <c r="A19" s="29" t="s">
        <v>289</v>
      </c>
      <c r="B19" s="29" t="s">
        <v>290</v>
      </c>
      <c r="C19" s="29" t="s">
        <v>291</v>
      </c>
      <c r="D19" s="29" t="str">
        <f aca="false">"0,6497"</f>
        <v>0,6497</v>
      </c>
      <c r="E19" s="29" t="s">
        <v>13</v>
      </c>
      <c r="F19" s="29" t="s">
        <v>42</v>
      </c>
      <c r="G19" s="30" t="s">
        <v>58</v>
      </c>
      <c r="H19" s="29" t="s">
        <v>58</v>
      </c>
      <c r="I19" s="29" t="s">
        <v>292</v>
      </c>
      <c r="J19" s="30"/>
      <c r="K19" s="29" t="str">
        <f aca="false">"57,5"</f>
        <v>57,5</v>
      </c>
      <c r="L19" s="29" t="str">
        <f aca="false">"37,3606"</f>
        <v>37,3606</v>
      </c>
      <c r="M19" s="29"/>
    </row>
    <row r="20" customFormat="false" ht="12.75" hidden="false" customHeight="false" outlineLevel="0" collapsed="false">
      <c r="A20" s="17" t="s">
        <v>293</v>
      </c>
      <c r="B20" s="17" t="s">
        <v>294</v>
      </c>
      <c r="C20" s="17" t="s">
        <v>295</v>
      </c>
      <c r="D20" s="17" t="str">
        <f aca="false">"0,6524"</f>
        <v>0,6524</v>
      </c>
      <c r="E20" s="17" t="s">
        <v>13</v>
      </c>
      <c r="F20" s="17" t="s">
        <v>154</v>
      </c>
      <c r="G20" s="17" t="s">
        <v>52</v>
      </c>
      <c r="H20" s="17" t="s">
        <v>37</v>
      </c>
      <c r="I20" s="18" t="s">
        <v>53</v>
      </c>
      <c r="J20" s="18"/>
      <c r="K20" s="17" t="str">
        <f aca="false">"75,0"</f>
        <v>75,0</v>
      </c>
      <c r="L20" s="17" t="str">
        <f aca="false">"50,4430"</f>
        <v>50,4430</v>
      </c>
      <c r="M20" s="17"/>
    </row>
    <row r="22" customFormat="false" ht="15" hidden="false" customHeight="false" outlineLevel="0" collapsed="false">
      <c r="A22" s="14" t="s">
        <v>32</v>
      </c>
      <c r="B22" s="14"/>
      <c r="C22" s="14"/>
      <c r="D22" s="14"/>
      <c r="E22" s="14"/>
      <c r="F22" s="14"/>
      <c r="G22" s="14"/>
      <c r="H22" s="14"/>
      <c r="I22" s="14"/>
      <c r="J22" s="14"/>
    </row>
    <row r="23" customFormat="false" ht="12.75" hidden="false" customHeight="false" outlineLevel="0" collapsed="false">
      <c r="A23" s="13" t="s">
        <v>296</v>
      </c>
      <c r="B23" s="13" t="s">
        <v>297</v>
      </c>
      <c r="C23" s="13" t="s">
        <v>298</v>
      </c>
      <c r="D23" s="13" t="str">
        <f aca="false">"0,5882"</f>
        <v>0,5882</v>
      </c>
      <c r="E23" s="13" t="s">
        <v>13</v>
      </c>
      <c r="F23" s="13" t="s">
        <v>42</v>
      </c>
      <c r="G23" s="13" t="s">
        <v>46</v>
      </c>
      <c r="H23" s="13" t="s">
        <v>24</v>
      </c>
      <c r="I23" s="13" t="s">
        <v>37</v>
      </c>
      <c r="J23" s="19"/>
      <c r="K23" s="13" t="str">
        <f aca="false">"75,0"</f>
        <v>75,0</v>
      </c>
      <c r="L23" s="13" t="str">
        <f aca="false">"44,1187"</f>
        <v>44,1187</v>
      </c>
      <c r="M23" s="13"/>
    </row>
    <row r="25" customFormat="false" ht="15" hidden="false" customHeight="false" outlineLevel="0" collapsed="false">
      <c r="E25" s="20" t="s">
        <v>63</v>
      </c>
    </row>
    <row r="26" customFormat="false" ht="15" hidden="false" customHeight="false" outlineLevel="0" collapsed="false">
      <c r="E26" s="20" t="s">
        <v>64</v>
      </c>
    </row>
    <row r="27" customFormat="false" ht="15" hidden="false" customHeight="false" outlineLevel="0" collapsed="false">
      <c r="E27" s="20" t="s">
        <v>65</v>
      </c>
    </row>
    <row r="28" customFormat="false" ht="12.75" hidden="false" customHeight="false" outlineLevel="0" collapsed="false">
      <c r="E28" s="0" t="s">
        <v>66</v>
      </c>
    </row>
    <row r="29" customFormat="false" ht="12.75" hidden="false" customHeight="false" outlineLevel="0" collapsed="false">
      <c r="E29" s="0" t="s">
        <v>67</v>
      </c>
    </row>
    <row r="30" customFormat="false" ht="12.75" hidden="false" customHeight="false" outlineLevel="0" collapsed="false">
      <c r="E30" s="0" t="s">
        <v>68</v>
      </c>
    </row>
    <row r="33" customFormat="false" ht="17.25" hidden="false" customHeight="false" outlineLevel="0" collapsed="false">
      <c r="A33" s="21" t="s">
        <v>69</v>
      </c>
      <c r="B33" s="21"/>
    </row>
    <row r="34" customFormat="false" ht="15" hidden="false" customHeight="false" outlineLevel="0" collapsed="false">
      <c r="A34" s="22" t="s">
        <v>70</v>
      </c>
      <c r="B34" s="22"/>
    </row>
    <row r="35" customFormat="false" ht="14.25" hidden="false" customHeight="false" outlineLevel="0" collapsed="false">
      <c r="A35" s="23"/>
      <c r="B35" s="24" t="s">
        <v>71</v>
      </c>
    </row>
    <row r="36" customFormat="false" ht="13.5" hidden="false" customHeight="false" outlineLevel="0" collapsed="false">
      <c r="A36" s="25" t="s">
        <v>1</v>
      </c>
      <c r="B36" s="25" t="s">
        <v>72</v>
      </c>
      <c r="C36" s="25" t="s">
        <v>73</v>
      </c>
      <c r="D36" s="25" t="s">
        <v>74</v>
      </c>
      <c r="E36" s="25" t="s">
        <v>4</v>
      </c>
    </row>
    <row r="37" customFormat="false" ht="12.75" hidden="false" customHeight="false" outlineLevel="0" collapsed="false">
      <c r="A37" s="26" t="s">
        <v>299</v>
      </c>
      <c r="B37" s="0" t="s">
        <v>71</v>
      </c>
      <c r="C37" s="0" t="n">
        <v>56</v>
      </c>
      <c r="D37" s="27" t="n">
        <v>30</v>
      </c>
      <c r="E37" s="28" t="n">
        <v>31.5899991989136</v>
      </c>
    </row>
    <row r="39" customFormat="false" ht="14.25" hidden="false" customHeight="false" outlineLevel="0" collapsed="false">
      <c r="A39" s="23"/>
      <c r="B39" s="24" t="s">
        <v>82</v>
      </c>
    </row>
    <row r="40" customFormat="false" ht="13.5" hidden="false" customHeight="false" outlineLevel="0" collapsed="false">
      <c r="A40" s="25" t="s">
        <v>1</v>
      </c>
      <c r="B40" s="25" t="s">
        <v>72</v>
      </c>
      <c r="C40" s="25" t="s">
        <v>73</v>
      </c>
      <c r="D40" s="25" t="s">
        <v>74</v>
      </c>
      <c r="E40" s="25" t="s">
        <v>4</v>
      </c>
    </row>
    <row r="41" customFormat="false" ht="12.75" hidden="false" customHeight="false" outlineLevel="0" collapsed="false">
      <c r="A41" s="26" t="s">
        <v>300</v>
      </c>
      <c r="B41" s="0" t="s">
        <v>84</v>
      </c>
      <c r="C41" s="0" t="n">
        <v>75</v>
      </c>
      <c r="D41" s="27" t="n">
        <v>45</v>
      </c>
      <c r="E41" s="28" t="n">
        <v>48.0604015213251</v>
      </c>
    </row>
    <row r="44" customFormat="false" ht="15" hidden="false" customHeight="false" outlineLevel="0" collapsed="false">
      <c r="A44" s="22" t="s">
        <v>76</v>
      </c>
      <c r="B44" s="22"/>
    </row>
    <row r="45" customFormat="false" ht="14.25" hidden="false" customHeight="false" outlineLevel="0" collapsed="false">
      <c r="A45" s="23"/>
      <c r="B45" s="24" t="s">
        <v>71</v>
      </c>
    </row>
    <row r="46" customFormat="false" ht="13.5" hidden="false" customHeight="false" outlineLevel="0" collapsed="false">
      <c r="A46" s="25" t="s">
        <v>1</v>
      </c>
      <c r="B46" s="25" t="s">
        <v>72</v>
      </c>
      <c r="C46" s="25" t="s">
        <v>73</v>
      </c>
      <c r="D46" s="25" t="s">
        <v>74</v>
      </c>
      <c r="E46" s="25" t="s">
        <v>4</v>
      </c>
    </row>
    <row r="47" customFormat="false" ht="12.75" hidden="false" customHeight="false" outlineLevel="0" collapsed="false">
      <c r="A47" s="26" t="s">
        <v>301</v>
      </c>
      <c r="B47" s="0" t="s">
        <v>71</v>
      </c>
      <c r="C47" s="0" t="n">
        <v>67.5</v>
      </c>
      <c r="D47" s="27" t="n">
        <v>60</v>
      </c>
      <c r="E47" s="28" t="n">
        <v>45.2489984035492</v>
      </c>
    </row>
    <row r="48" customFormat="false" ht="12.75" hidden="false" customHeight="false" outlineLevel="0" collapsed="false">
      <c r="A48" s="26" t="s">
        <v>302</v>
      </c>
      <c r="B48" s="0" t="s">
        <v>71</v>
      </c>
      <c r="C48" s="0" t="n">
        <v>100</v>
      </c>
      <c r="D48" s="27" t="n">
        <v>75</v>
      </c>
      <c r="E48" s="28" t="n">
        <v>44.1187486052513</v>
      </c>
    </row>
    <row r="49" customFormat="false" ht="12.75" hidden="false" customHeight="false" outlineLevel="0" collapsed="false">
      <c r="A49" s="26" t="s">
        <v>303</v>
      </c>
      <c r="B49" s="0" t="s">
        <v>71</v>
      </c>
      <c r="C49" s="0" t="n">
        <v>82.5</v>
      </c>
      <c r="D49" s="27" t="n">
        <v>62.5</v>
      </c>
      <c r="E49" s="28" t="n">
        <v>40.9062504768372</v>
      </c>
    </row>
    <row r="50" customFormat="false" ht="12.75" hidden="false" customHeight="false" outlineLevel="0" collapsed="false">
      <c r="A50" s="26" t="s">
        <v>304</v>
      </c>
      <c r="B50" s="0" t="s">
        <v>71</v>
      </c>
      <c r="C50" s="0" t="n">
        <v>82.5</v>
      </c>
      <c r="D50" s="27" t="n">
        <v>57.5</v>
      </c>
      <c r="E50" s="28" t="n">
        <v>37.3606246709824</v>
      </c>
    </row>
    <row r="51" customFormat="false" ht="12.75" hidden="false" customHeight="false" outlineLevel="0" collapsed="false">
      <c r="A51" s="26" t="s">
        <v>305</v>
      </c>
      <c r="B51" s="0" t="s">
        <v>71</v>
      </c>
      <c r="C51" s="0" t="n">
        <v>75</v>
      </c>
      <c r="D51" s="27" t="n">
        <v>50</v>
      </c>
      <c r="E51" s="28" t="n">
        <v>34.7000002861023</v>
      </c>
    </row>
    <row r="53" customFormat="false" ht="14.25" hidden="false" customHeight="false" outlineLevel="0" collapsed="false">
      <c r="A53" s="23"/>
      <c r="B53" s="24" t="s">
        <v>82</v>
      </c>
    </row>
    <row r="54" customFormat="false" ht="13.5" hidden="false" customHeight="false" outlineLevel="0" collapsed="false">
      <c r="A54" s="25" t="s">
        <v>1</v>
      </c>
      <c r="B54" s="25" t="s">
        <v>72</v>
      </c>
      <c r="C54" s="25" t="s">
        <v>73</v>
      </c>
      <c r="D54" s="25" t="s">
        <v>74</v>
      </c>
      <c r="E54" s="25" t="s">
        <v>4</v>
      </c>
    </row>
    <row r="55" customFormat="false" ht="12.75" hidden="false" customHeight="false" outlineLevel="0" collapsed="false">
      <c r="A55" s="26" t="s">
        <v>306</v>
      </c>
      <c r="B55" s="0" t="s">
        <v>86</v>
      </c>
      <c r="C55" s="0" t="n">
        <v>82.5</v>
      </c>
      <c r="D55" s="27" t="n">
        <v>75</v>
      </c>
      <c r="E55" s="28" t="n">
        <v>50.4429644063115</v>
      </c>
    </row>
  </sheetData>
  <mergeCells count="14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4:J14"/>
    <mergeCell ref="A17:J17"/>
    <mergeCell ref="A22:J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2002-06-16T13:36:44Z</dcterms:created>
  <dc:creator>Tomchin</dc:creator>
  <dc:description/>
  <dc:language>ru-RU</dc:language>
  <cp:lastModifiedBy/>
  <cp:lastPrinted>2008-02-22T21:19:54Z</cp:lastPrinted>
  <dcterms:modified xsi:type="dcterms:W3CDTF">2022-06-11T05:19:57Z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