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5155" windowHeight="5700" activeTab="8"/>
  </bookViews>
  <sheets>
    <sheet name="AWPC тяга становая без экипиро" sheetId="267" r:id="rId1"/>
    <sheet name="WPC тяга становая без экипиров" sheetId="266" r:id="rId2"/>
    <sheet name="AWPC жим лежа в однослойной эк" sheetId="264" r:id="rId3"/>
    <sheet name="AWPC жим лежа без экипировки" sheetId="263" r:id="rId4"/>
    <sheet name="AWPC жим лежа в многослойн" sheetId="262" r:id="rId5"/>
    <sheet name="AWPC пауэрлифтинг classic" sheetId="261" r:id="rId6"/>
    <sheet name="AWPC пауэрлифтинг без экипиров" sheetId="260" r:id="rId7"/>
    <sheet name="WPC жим лежа без экипировки" sheetId="257" r:id="rId8"/>
    <sheet name="WPC пауэрлифтинг без экипировк" sheetId="254" r:id="rId9"/>
  </sheets>
  <calcPr calcId="152511" refMode="R1C1"/>
</workbook>
</file>

<file path=xl/calcChain.xml><?xml version="1.0" encoding="utf-8"?>
<calcChain xmlns="http://schemas.openxmlformats.org/spreadsheetml/2006/main">
  <c r="D7" i="262" l="1"/>
  <c r="D6" i="262"/>
  <c r="T9" i="261"/>
  <c r="D9" i="261"/>
  <c r="T10" i="261"/>
  <c r="D10" i="261"/>
  <c r="T7" i="261"/>
  <c r="D7" i="261"/>
  <c r="T6" i="261"/>
  <c r="D6" i="261"/>
  <c r="L17" i="267"/>
  <c r="D17" i="267"/>
  <c r="L16" i="267"/>
  <c r="D16" i="267"/>
  <c r="L13" i="267"/>
  <c r="D13" i="267"/>
  <c r="L12" i="267"/>
  <c r="D12" i="267"/>
  <c r="L9" i="267"/>
  <c r="D9" i="267"/>
  <c r="L6" i="267"/>
  <c r="D6" i="267"/>
  <c r="L9" i="266"/>
  <c r="D9" i="266"/>
  <c r="L6" i="266"/>
  <c r="D6" i="266"/>
  <c r="L19" i="264"/>
  <c r="D19" i="264"/>
  <c r="L16" i="264"/>
  <c r="D16" i="264"/>
  <c r="L15" i="264"/>
  <c r="D15" i="264"/>
  <c r="L12" i="264"/>
  <c r="D12" i="264"/>
  <c r="L9" i="264"/>
  <c r="D9" i="264"/>
  <c r="L6" i="264"/>
  <c r="D6" i="264"/>
  <c r="L38" i="263"/>
  <c r="D38" i="263"/>
  <c r="L35" i="263"/>
  <c r="D35" i="263"/>
  <c r="L32" i="263"/>
  <c r="D32" i="263"/>
  <c r="L29" i="263"/>
  <c r="D29" i="263"/>
  <c r="L26" i="263"/>
  <c r="D26" i="263"/>
  <c r="L25" i="263"/>
  <c r="D25" i="263"/>
  <c r="L24" i="263"/>
  <c r="D24" i="263"/>
  <c r="L23" i="263"/>
  <c r="D23" i="263"/>
  <c r="L22" i="263"/>
  <c r="D22" i="263"/>
  <c r="L19" i="263"/>
  <c r="D19" i="263"/>
  <c r="L18" i="263"/>
  <c r="D18" i="263"/>
  <c r="L17" i="263"/>
  <c r="D17" i="263"/>
  <c r="L16" i="263"/>
  <c r="D16" i="263"/>
  <c r="L13" i="263"/>
  <c r="D13" i="263"/>
  <c r="L10" i="263"/>
  <c r="D10" i="263"/>
  <c r="L7" i="263"/>
  <c r="D7" i="263"/>
  <c r="L6" i="263"/>
  <c r="D6" i="263"/>
  <c r="T11" i="260"/>
  <c r="D11" i="260"/>
  <c r="T10" i="260"/>
  <c r="D10" i="260"/>
  <c r="T7" i="260"/>
  <c r="D7" i="260"/>
  <c r="T6" i="260"/>
  <c r="D6" i="260"/>
  <c r="L28" i="257"/>
  <c r="D28" i="257"/>
  <c r="L27" i="257"/>
  <c r="D27" i="257"/>
  <c r="L26" i="257"/>
  <c r="D26" i="257"/>
  <c r="L23" i="257"/>
  <c r="D23" i="257"/>
  <c r="L20" i="257"/>
  <c r="D20" i="257"/>
  <c r="L19" i="257"/>
  <c r="D19" i="257"/>
  <c r="L18" i="257"/>
  <c r="D18" i="257"/>
  <c r="L15" i="257"/>
  <c r="D15" i="257"/>
  <c r="L12" i="257"/>
  <c r="D12" i="257"/>
  <c r="L9" i="257"/>
  <c r="D9" i="257"/>
  <c r="L6" i="257"/>
  <c r="D6" i="257"/>
  <c r="T12" i="254"/>
  <c r="D12" i="254"/>
  <c r="D9" i="254"/>
  <c r="T6" i="254"/>
  <c r="D6" i="254"/>
</calcChain>
</file>

<file path=xl/comments1.xml><?xml version="1.0" encoding="utf-8"?>
<comments xmlns="http://schemas.openxmlformats.org/spreadsheetml/2006/main">
  <authors>
    <author>Tatyana</author>
  </authors>
  <commentList>
    <comment ref="I6" authorId="0" shapeId="0">
      <text>
        <r>
          <rPr>
            <b/>
            <sz val="9"/>
            <color indexed="81"/>
            <rFont val="Tahoma"/>
            <charset val="1"/>
          </rPr>
          <t>Tatyana: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<sst xmlns="http://schemas.openxmlformats.org/spreadsheetml/2006/main" count="704" uniqueCount="260">
  <si>
    <t>237,5</t>
  </si>
  <si>
    <t>257,5</t>
  </si>
  <si>
    <t>Чертушкин Дмитрий</t>
  </si>
  <si>
    <t>87,10</t>
  </si>
  <si>
    <t xml:space="preserve">Южноуральск/Челябинская область </t>
  </si>
  <si>
    <t>Ахмадеев Эдуард</t>
  </si>
  <si>
    <t>360,0</t>
  </si>
  <si>
    <t>ФИО</t>
  </si>
  <si>
    <t>Присед</t>
  </si>
  <si>
    <t>Жим</t>
  </si>
  <si>
    <t>Тяга</t>
  </si>
  <si>
    <t>Сумма</t>
  </si>
  <si>
    <t>С вес</t>
  </si>
  <si>
    <t>Тренер</t>
  </si>
  <si>
    <t>Очки</t>
  </si>
  <si>
    <t>Команда</t>
  </si>
  <si>
    <t>Рек</t>
  </si>
  <si>
    <t>коэф</t>
  </si>
  <si>
    <t>Город</t>
  </si>
  <si>
    <t>Возр груп
Год. р./Возраст</t>
  </si>
  <si>
    <t>ВЕСОВАЯ КАТЕГОРИЯ   52</t>
  </si>
  <si>
    <t xml:space="preserve">лично </t>
  </si>
  <si>
    <t xml:space="preserve">Челябинск/Челябинская область </t>
  </si>
  <si>
    <t>0,0</t>
  </si>
  <si>
    <t xml:space="preserve"> </t>
  </si>
  <si>
    <t>100,0</t>
  </si>
  <si>
    <t>ВЕСОВАЯ КАТЕГОРИЯ   60</t>
  </si>
  <si>
    <t>50,0</t>
  </si>
  <si>
    <t>120,0</t>
  </si>
  <si>
    <t>130,0</t>
  </si>
  <si>
    <t>105,0</t>
  </si>
  <si>
    <t>170,0</t>
  </si>
  <si>
    <t>190,0</t>
  </si>
  <si>
    <t>ВЕСОВАЯ КАТЕГОРИЯ   82.5</t>
  </si>
  <si>
    <t>180,0</t>
  </si>
  <si>
    <t>140,0</t>
  </si>
  <si>
    <t>212,5</t>
  </si>
  <si>
    <t>ВЕСОВАЯ КАТЕГОРИЯ   90</t>
  </si>
  <si>
    <t>135,0</t>
  </si>
  <si>
    <t>200,0</t>
  </si>
  <si>
    <t>215,0</t>
  </si>
  <si>
    <t>225,0</t>
  </si>
  <si>
    <t>195,0</t>
  </si>
  <si>
    <t>ВЕСОВАЯ КАТЕГОРИЯ   110</t>
  </si>
  <si>
    <t xml:space="preserve">Трёхгорный/Челябинская область </t>
  </si>
  <si>
    <t>115,0</t>
  </si>
  <si>
    <t>57,5</t>
  </si>
  <si>
    <t>155,0</t>
  </si>
  <si>
    <t>165,0</t>
  </si>
  <si>
    <t>230,0</t>
  </si>
  <si>
    <t>250,0</t>
  </si>
  <si>
    <t>185,0</t>
  </si>
  <si>
    <t>240,0</t>
  </si>
  <si>
    <t>ВЕСОВАЯ КАТЕГОРИЯ   125</t>
  </si>
  <si>
    <t xml:space="preserve">Курган/Курганская область </t>
  </si>
  <si>
    <t>270,0</t>
  </si>
  <si>
    <t>300,0</t>
  </si>
  <si>
    <t>Старший судья:</t>
  </si>
  <si>
    <t>Боковой судья:</t>
  </si>
  <si>
    <t>Секретарь:</t>
  </si>
  <si>
    <t xml:space="preserve">Абсолютный зачёт </t>
  </si>
  <si>
    <t>150,0</t>
  </si>
  <si>
    <t>160,0</t>
  </si>
  <si>
    <t>175,0</t>
  </si>
  <si>
    <t>182,5</t>
  </si>
  <si>
    <t>ВЕСОВАЯ КАТЕГОРИЯ   100</t>
  </si>
  <si>
    <t>210,0</t>
  </si>
  <si>
    <t>207,5</t>
  </si>
  <si>
    <t>205,0</t>
  </si>
  <si>
    <t>ВЕСОВАЯ КАТЕГОРИЯ   48</t>
  </si>
  <si>
    <t>37,5</t>
  </si>
  <si>
    <t>92,5</t>
  </si>
  <si>
    <t>60,0</t>
  </si>
  <si>
    <t>110,0</t>
  </si>
  <si>
    <t>ВЕСОВАЯ КАТЕГОРИЯ   75</t>
  </si>
  <si>
    <t>125,0</t>
  </si>
  <si>
    <t>95,0</t>
  </si>
  <si>
    <t>87,5</t>
  </si>
  <si>
    <t>145,0</t>
  </si>
  <si>
    <t>117,5</t>
  </si>
  <si>
    <t>137,5</t>
  </si>
  <si>
    <t>147,5</t>
  </si>
  <si>
    <t xml:space="preserve">Миасс/Челябинская область </t>
  </si>
  <si>
    <t>127,5</t>
  </si>
  <si>
    <t>315,0</t>
  </si>
  <si>
    <t xml:space="preserve">Озёрск/Челябинская область </t>
  </si>
  <si>
    <t>235,0</t>
  </si>
  <si>
    <t>245,0</t>
  </si>
  <si>
    <t>30,0</t>
  </si>
  <si>
    <t>62,5</t>
  </si>
  <si>
    <t>52,5</t>
  </si>
  <si>
    <t xml:space="preserve">Екатеринбург/Свердловская область </t>
  </si>
  <si>
    <t>55,0</t>
  </si>
  <si>
    <t>58,50</t>
  </si>
  <si>
    <t>142,5</t>
  </si>
  <si>
    <t>152,5</t>
  </si>
  <si>
    <t>177,5</t>
  </si>
  <si>
    <t>162,5</t>
  </si>
  <si>
    <t xml:space="preserve">Омск/Омская область </t>
  </si>
  <si>
    <t>ВЕСОВАЯ КАТЕГОРИЯ   140</t>
  </si>
  <si>
    <t>86,00</t>
  </si>
  <si>
    <t>217,5</t>
  </si>
  <si>
    <t>122,5</t>
  </si>
  <si>
    <t>242,5</t>
  </si>
  <si>
    <t>89,50</t>
  </si>
  <si>
    <t xml:space="preserve">Тюмень/Тюменская область </t>
  </si>
  <si>
    <t>87,80</t>
  </si>
  <si>
    <t>380,0</t>
  </si>
  <si>
    <t>325,0</t>
  </si>
  <si>
    <t>ВЕСОВАЯ КАТЕГОРИЯ   140+</t>
  </si>
  <si>
    <t>Бабин Владимир</t>
  </si>
  <si>
    <t>35,0</t>
  </si>
  <si>
    <t>Гусак Андрей</t>
  </si>
  <si>
    <t>Нигматулин Ринат</t>
  </si>
  <si>
    <t>Мухаметжанова Валерия</t>
  </si>
  <si>
    <t>Байдавлетов Игорь</t>
  </si>
  <si>
    <t>110,00</t>
  </si>
  <si>
    <t>Решетников Артем</t>
  </si>
  <si>
    <t>51,20</t>
  </si>
  <si>
    <t>Гостищев Алексей</t>
  </si>
  <si>
    <t xml:space="preserve">Рудный/ </t>
  </si>
  <si>
    <t>310,0</t>
  </si>
  <si>
    <t>652,5</t>
  </si>
  <si>
    <t>Корянов Павел</t>
  </si>
  <si>
    <t>81,70</t>
  </si>
  <si>
    <t>Щербаков Петр</t>
  </si>
  <si>
    <t>Пастернак Владимир</t>
  </si>
  <si>
    <t>Ильин Сергей</t>
  </si>
  <si>
    <t>48,00</t>
  </si>
  <si>
    <t>Зубков Роман</t>
  </si>
  <si>
    <t>Колотило Сергей</t>
  </si>
  <si>
    <t>Juniors 20-23 (16.03.1998)/22</t>
  </si>
  <si>
    <t>80,20</t>
  </si>
  <si>
    <t>Мясников Роман</t>
  </si>
  <si>
    <t>Masters 45-49 (08.10.1973)/47</t>
  </si>
  <si>
    <t>Masters 55-59 (15.08.1965)/55</t>
  </si>
  <si>
    <t>96,50</t>
  </si>
  <si>
    <t>Меркурьев Александр</t>
  </si>
  <si>
    <t>Open (01.12.1985)/34</t>
  </si>
  <si>
    <t>108,00</t>
  </si>
  <si>
    <t xml:space="preserve">Лысьва/Пермский край </t>
  </si>
  <si>
    <t>320,0</t>
  </si>
  <si>
    <t>305,0</t>
  </si>
  <si>
    <t>Синачева Светлана</t>
  </si>
  <si>
    <t>Open (15.12.1966)/53</t>
  </si>
  <si>
    <t>80,40</t>
  </si>
  <si>
    <t xml:space="preserve">Трехгорный </t>
  </si>
  <si>
    <t xml:space="preserve">Синачева С.Б. </t>
  </si>
  <si>
    <t>Щербин Тимофей</t>
  </si>
  <si>
    <t>Teen 13-15 (09.11.2010)/9</t>
  </si>
  <si>
    <t>Московский Александр</t>
  </si>
  <si>
    <t>Open (07.06.1980)/40</t>
  </si>
  <si>
    <t>172,5</t>
  </si>
  <si>
    <t>Open (09.11.1981)/38</t>
  </si>
  <si>
    <t>88,90</t>
  </si>
  <si>
    <t>Open (05.02.1980)/40</t>
  </si>
  <si>
    <t>99,50</t>
  </si>
  <si>
    <t>Masters 40-44 (05.02.1980)/40</t>
  </si>
  <si>
    <t>Паклин Олег</t>
  </si>
  <si>
    <t>Open (28.10.1987)/32</t>
  </si>
  <si>
    <t>Open (08.06.1989)/31</t>
  </si>
  <si>
    <t>118,50</t>
  </si>
  <si>
    <t>Богатырев Андрей</t>
  </si>
  <si>
    <t>Masters 60-64 (10.07.1960)/60</t>
  </si>
  <si>
    <t>119,00</t>
  </si>
  <si>
    <t xml:space="preserve">Шадринск/Курганская область </t>
  </si>
  <si>
    <t>Корниец Владимир</t>
  </si>
  <si>
    <t>Masters 65-69 (21.01.1954)/66</t>
  </si>
  <si>
    <t>115,60</t>
  </si>
  <si>
    <t>Шерстобитов Тимофей</t>
  </si>
  <si>
    <t>Juniors 20-23 (12.01.1998)/22</t>
  </si>
  <si>
    <t>84,20</t>
  </si>
  <si>
    <t>Open (09.06.1993)/27</t>
  </si>
  <si>
    <t>89,20</t>
  </si>
  <si>
    <t>Анфёров Никита</t>
  </si>
  <si>
    <t>Open (17.02.1995)/25</t>
  </si>
  <si>
    <t>88,50</t>
  </si>
  <si>
    <t>Литвинов Сергей</t>
  </si>
  <si>
    <t>Open (08.06.1976)/44</t>
  </si>
  <si>
    <t>129,50</t>
  </si>
  <si>
    <t>Masters 40-44 (08.06.1976)/44</t>
  </si>
  <si>
    <t>Цурикова Надежда</t>
  </si>
  <si>
    <t>Open (20.03.1989)/31</t>
  </si>
  <si>
    <t>50,90</t>
  </si>
  <si>
    <t>Шарова Виктория</t>
  </si>
  <si>
    <t>Open (09.05.1996)/24</t>
  </si>
  <si>
    <t>51,00</t>
  </si>
  <si>
    <t>Татьянина Юлия</t>
  </si>
  <si>
    <t>Open (01.01.1989)/31</t>
  </si>
  <si>
    <t>Open (25.01.1996)/24</t>
  </si>
  <si>
    <t>70,90</t>
  </si>
  <si>
    <t>Open (17.09.1989)/31</t>
  </si>
  <si>
    <t>74,30</t>
  </si>
  <si>
    <t>Курамшин Марат</t>
  </si>
  <si>
    <t>Open (09.03.1985)/35</t>
  </si>
  <si>
    <t>69,30</t>
  </si>
  <si>
    <t>Чернушкин Дмитрий</t>
  </si>
  <si>
    <t>Open (27.07.1996)/24</t>
  </si>
  <si>
    <t>73,70</t>
  </si>
  <si>
    <t>Masters 45-49 (22.10.1974)/45</t>
  </si>
  <si>
    <t>74,00</t>
  </si>
  <si>
    <t>Соколов Станислав</t>
  </si>
  <si>
    <t>Teen 16-17 (16.08.2003)/17</t>
  </si>
  <si>
    <t>Вахрушев Егор</t>
  </si>
  <si>
    <t>Open (10.08.1993)/27</t>
  </si>
  <si>
    <t>89,40</t>
  </si>
  <si>
    <t>Руднов Алексей</t>
  </si>
  <si>
    <t>Open (10.07.1982)/38</t>
  </si>
  <si>
    <t>Open (29.11.1981)/38</t>
  </si>
  <si>
    <t>Masters 60-64 (01.06.1958)/62</t>
  </si>
  <si>
    <t>88,10</t>
  </si>
  <si>
    <t>Парашин Иван</t>
  </si>
  <si>
    <t>Juniors 20-23 (01.11.1997)/22</t>
  </si>
  <si>
    <t>100,00</t>
  </si>
  <si>
    <t>Ишанкулов Дмитрий</t>
  </si>
  <si>
    <t>Open (24.07.1981)/39</t>
  </si>
  <si>
    <t>106,70</t>
  </si>
  <si>
    <t>Казикин Валентин</t>
  </si>
  <si>
    <t>Open (18.06.1990)/30</t>
  </si>
  <si>
    <t>114,40</t>
  </si>
  <si>
    <t>129,30</t>
  </si>
  <si>
    <t>187,5</t>
  </si>
  <si>
    <t>Open (09.08.1986)/34</t>
  </si>
  <si>
    <t>Гайсин Артур(EQ-M)</t>
  </si>
  <si>
    <t>Teen 18-19 (01.08.2002)/18</t>
  </si>
  <si>
    <t>86,90</t>
  </si>
  <si>
    <t>Гиберт Константин(EQ-1)</t>
  </si>
  <si>
    <t>Open (01.08.1991)/29</t>
  </si>
  <si>
    <t>99,20</t>
  </si>
  <si>
    <t>Мизецкий Артём(EQ-1)</t>
  </si>
  <si>
    <t>Open (27.10.1994)/25</t>
  </si>
  <si>
    <t>164,40</t>
  </si>
  <si>
    <t>327,5</t>
  </si>
  <si>
    <t>340,0</t>
  </si>
  <si>
    <t>Teen 16-17 (09.06.2003)/17</t>
  </si>
  <si>
    <t>74,80</t>
  </si>
  <si>
    <t>Open (09.08.1992)/28</t>
  </si>
  <si>
    <t>84,40</t>
  </si>
  <si>
    <t>400,5</t>
  </si>
  <si>
    <t>Чайчук Марина</t>
  </si>
  <si>
    <t>Open (04.06.1983)/37</t>
  </si>
  <si>
    <t>Николаев Сергей</t>
  </si>
  <si>
    <t>Open (08.05.1995)/25</t>
  </si>
  <si>
    <t>73,20</t>
  </si>
  <si>
    <t>Open (19.07.1993)/27</t>
  </si>
  <si>
    <t>Василинич Дмитрий</t>
  </si>
  <si>
    <t>Open (09.07.1984)/36</t>
  </si>
  <si>
    <t>129,80</t>
  </si>
  <si>
    <t>292,5</t>
  </si>
  <si>
    <t>жим</t>
  </si>
  <si>
    <t>230</t>
  </si>
  <si>
    <t>ЧЕМПИОНАТ РОССИИ 2020 WPC жим лежа без экипировки_x000D_
3.октября.2020</t>
  </si>
  <si>
    <t>ЧЕМПИОНАТ РОССИИ 2020 AWPC тяга становая без экипировки_x000D_
3.октября.2020</t>
  </si>
  <si>
    <t>ЧЕМПИОНАТ РОССИИ 2020 WPC тяга становая без экипировки_x000D_
3.октября.2020</t>
  </si>
  <si>
    <t>ЧЕМПИОНАТ РОССИИ 2020 AWPC жим лежа в однослойной экипировке_x000D_
3.октября.2020</t>
  </si>
  <si>
    <t>ЧЕМПИОНАТ РОССИИ 2020 AWPC жим лежа без экипировки_x000D_
3.октября.2020</t>
  </si>
  <si>
    <t>ЧЕМПИОНАТ РОССИИ 2020 AWPC жим лежа  в многослойной экипировке_x000D_
3.октября.2020</t>
  </si>
  <si>
    <t>ЧЕМПИОНАТ РОССИИ 2020 AWPC пауэрлифтинг CLASSIC
3.октября.2020</t>
  </si>
  <si>
    <t>ЧЕМПИОНАТ РОССИИ 2020 AWPC пауэрлифтинг без экипировки_x000D_
3.октября.2020</t>
  </si>
  <si>
    <t>ЧЕМПИОНАТ РОССИИ 2020 WPC пауэрлифтинг без экипировки_x000D_
3.октября.2020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</si>
</sst>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24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4" fillId="0" borderId="0" xfId="0" applyNumberFormat="1" applyFont="1" applyAlignment="1">
      <alignment horizontal="left"/>
    </xf>
    <xf numFmtId="49" fontId="7" fillId="0" borderId="0" xfId="0" applyNumberFormat="1" applyFont="1"/>
    <xf numFmtId="49" fontId="0" fillId="0" borderId="2" xfId="0" applyNumberFormat="1" applyBorder="1"/>
    <xf numFmtId="49" fontId="6" fillId="0" borderId="2" xfId="0" applyNumberFormat="1" applyFont="1" applyBorder="1"/>
    <xf numFmtId="49" fontId="0" fillId="0" borderId="3" xfId="0" applyNumberFormat="1" applyBorder="1"/>
    <xf numFmtId="49" fontId="6" fillId="0" borderId="3" xfId="0" applyNumberFormat="1" applyFont="1" applyBorder="1"/>
    <xf numFmtId="49" fontId="0" fillId="0" borderId="4" xfId="0" applyNumberFormat="1" applyBorder="1"/>
    <xf numFmtId="49" fontId="6" fillId="0" borderId="4" xfId="0" applyNumberFormat="1" applyFont="1" applyBorder="1"/>
    <xf numFmtId="49" fontId="0" fillId="0" borderId="5" xfId="0" applyNumberFormat="1" applyBorder="1"/>
    <xf numFmtId="49" fontId="6" fillId="0" borderId="5" xfId="0" applyNumberFormat="1" applyFont="1" applyBorder="1"/>
    <xf numFmtId="49" fontId="0" fillId="0" borderId="0" xfId="0" applyNumberFormat="1" applyBorder="1"/>
    <xf numFmtId="49" fontId="2" fillId="0" borderId="1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5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34" sqref="A34"/>
    </sheetView>
  </sheetViews>
  <sheetFormatPr defaultRowHeight="12.75" x14ac:dyDescent="0.2"/>
  <cols>
    <col min="1" max="1" width="26" style="4" bestFit="1" customWidth="1"/>
    <col min="2" max="2" width="26.855468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4.140625" style="4" bestFit="1" customWidth="1"/>
    <col min="7" max="9" width="5.5703125" style="4" bestFit="1" customWidth="1"/>
    <col min="10" max="10" width="4.5703125" style="4" bestFit="1" customWidth="1"/>
    <col min="11" max="11" width="7.85546875" style="4" bestFit="1" customWidth="1"/>
    <col min="12" max="12" width="8.5703125" style="4" bestFit="1" customWidth="1"/>
    <col min="13" max="13" width="8.85546875" style="4" bestFit="1" customWidth="1"/>
  </cols>
  <sheetData>
    <row r="1" spans="1:13" s="1" customFormat="1" ht="15" customHeight="1" x14ac:dyDescent="0.2">
      <c r="A1" s="21" t="s">
        <v>252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1" customFormat="1" ht="81.7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s="2" customFormat="1" ht="12.75" customHeight="1" x14ac:dyDescent="0.2">
      <c r="A3" s="27" t="s">
        <v>7</v>
      </c>
      <c r="B3" s="29" t="s">
        <v>19</v>
      </c>
      <c r="C3" s="17" t="s">
        <v>12</v>
      </c>
      <c r="D3" s="17" t="s">
        <v>17</v>
      </c>
      <c r="E3" s="17" t="s">
        <v>15</v>
      </c>
      <c r="F3" s="17" t="s">
        <v>18</v>
      </c>
      <c r="G3" s="17" t="s">
        <v>10</v>
      </c>
      <c r="H3" s="17"/>
      <c r="I3" s="17"/>
      <c r="J3" s="17"/>
      <c r="K3" s="17" t="s">
        <v>11</v>
      </c>
      <c r="L3" s="17" t="s">
        <v>14</v>
      </c>
      <c r="M3" s="19" t="s">
        <v>13</v>
      </c>
    </row>
    <row r="4" spans="1:13" s="2" customFormat="1" ht="21" customHeight="1" thickBot="1" x14ac:dyDescent="0.25">
      <c r="A4" s="28"/>
      <c r="B4" s="18"/>
      <c r="C4" s="18"/>
      <c r="D4" s="18"/>
      <c r="E4" s="18"/>
      <c r="F4" s="18"/>
      <c r="G4" s="3">
        <v>1</v>
      </c>
      <c r="H4" s="3">
        <v>2</v>
      </c>
      <c r="I4" s="3">
        <v>3</v>
      </c>
      <c r="J4" s="3" t="s">
        <v>16</v>
      </c>
      <c r="K4" s="18"/>
      <c r="L4" s="18"/>
      <c r="M4" s="20"/>
    </row>
    <row r="5" spans="1:13" ht="15" x14ac:dyDescent="0.2">
      <c r="A5" s="31" t="s">
        <v>69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x14ac:dyDescent="0.2">
      <c r="A6" s="7" t="s">
        <v>239</v>
      </c>
      <c r="B6" s="7" t="s">
        <v>240</v>
      </c>
      <c r="C6" s="7" t="s">
        <v>128</v>
      </c>
      <c r="D6" s="7" t="str">
        <f>"1,1790"</f>
        <v>1,1790</v>
      </c>
      <c r="E6" s="7" t="s">
        <v>21</v>
      </c>
      <c r="F6" s="7" t="s">
        <v>22</v>
      </c>
      <c r="G6" s="8" t="s">
        <v>25</v>
      </c>
      <c r="H6" s="7" t="s">
        <v>25</v>
      </c>
      <c r="I6" s="8" t="s">
        <v>30</v>
      </c>
      <c r="J6" s="8"/>
      <c r="K6" s="7">
        <v>100</v>
      </c>
      <c r="L6" s="7" t="str">
        <f>"117,9000"</f>
        <v>117,9000</v>
      </c>
      <c r="M6" s="7" t="s">
        <v>24</v>
      </c>
    </row>
    <row r="8" spans="1:13" ht="15" x14ac:dyDescent="0.2">
      <c r="A8" s="30" t="s">
        <v>74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x14ac:dyDescent="0.2">
      <c r="A9" s="7" t="s">
        <v>241</v>
      </c>
      <c r="B9" s="7" t="s">
        <v>242</v>
      </c>
      <c r="C9" s="7" t="s">
        <v>243</v>
      </c>
      <c r="D9" s="7" t="str">
        <f>"0,7012"</f>
        <v>0,7012</v>
      </c>
      <c r="E9" s="7" t="s">
        <v>21</v>
      </c>
      <c r="F9" s="7" t="s">
        <v>85</v>
      </c>
      <c r="G9" s="7" t="s">
        <v>62</v>
      </c>
      <c r="H9" s="7" t="s">
        <v>96</v>
      </c>
      <c r="I9" s="8" t="s">
        <v>51</v>
      </c>
      <c r="J9" s="8"/>
      <c r="K9" s="7">
        <v>177.5</v>
      </c>
      <c r="L9" s="7" t="str">
        <f>"124,4541"</f>
        <v>124,4541</v>
      </c>
      <c r="M9" s="7" t="s">
        <v>24</v>
      </c>
    </row>
    <row r="11" spans="1:13" ht="15" x14ac:dyDescent="0.2">
      <c r="A11" s="30" t="s">
        <v>37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3" x14ac:dyDescent="0.2">
      <c r="A12" s="9" t="s">
        <v>129</v>
      </c>
      <c r="B12" s="9" t="s">
        <v>244</v>
      </c>
      <c r="C12" s="9" t="s">
        <v>106</v>
      </c>
      <c r="D12" s="9" t="str">
        <f>"0,6205"</f>
        <v>0,6205</v>
      </c>
      <c r="E12" s="9" t="s">
        <v>21</v>
      </c>
      <c r="F12" s="9" t="s">
        <v>22</v>
      </c>
      <c r="G12" s="10" t="s">
        <v>39</v>
      </c>
      <c r="H12" s="9" t="s">
        <v>66</v>
      </c>
      <c r="I12" s="9" t="s">
        <v>49</v>
      </c>
      <c r="J12" s="10"/>
      <c r="K12" s="9">
        <v>230</v>
      </c>
      <c r="L12" s="9" t="str">
        <f>"142,7150"</f>
        <v>142,7150</v>
      </c>
      <c r="M12" s="9" t="s">
        <v>24</v>
      </c>
    </row>
    <row r="13" spans="1:13" x14ac:dyDescent="0.2">
      <c r="A13" s="13" t="s">
        <v>133</v>
      </c>
      <c r="B13" s="13" t="s">
        <v>134</v>
      </c>
      <c r="C13" s="13" t="s">
        <v>100</v>
      </c>
      <c r="D13" s="13" t="str">
        <f>"0,6796"</f>
        <v>0,6796</v>
      </c>
      <c r="E13" s="13" t="s">
        <v>21</v>
      </c>
      <c r="F13" s="13" t="s">
        <v>91</v>
      </c>
      <c r="G13" s="13" t="s">
        <v>62</v>
      </c>
      <c r="H13" s="14" t="s">
        <v>34</v>
      </c>
      <c r="I13" s="14" t="s">
        <v>34</v>
      </c>
      <c r="J13" s="14"/>
      <c r="K13" s="13">
        <v>160</v>
      </c>
      <c r="L13" s="13" t="str">
        <f>"108,7367"</f>
        <v>108,7367</v>
      </c>
      <c r="M13" s="13" t="s">
        <v>24</v>
      </c>
    </row>
    <row r="15" spans="1:13" ht="15" x14ac:dyDescent="0.2">
      <c r="A15" s="30" t="s">
        <v>99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3" x14ac:dyDescent="0.2">
      <c r="A16" s="9" t="s">
        <v>245</v>
      </c>
      <c r="B16" s="9" t="s">
        <v>246</v>
      </c>
      <c r="C16" s="9" t="s">
        <v>247</v>
      </c>
      <c r="D16" s="9" t="str">
        <f>"0,5405"</f>
        <v>0,5405</v>
      </c>
      <c r="E16" s="9" t="s">
        <v>21</v>
      </c>
      <c r="F16" s="9" t="s">
        <v>105</v>
      </c>
      <c r="G16" s="9" t="s">
        <v>55</v>
      </c>
      <c r="H16" s="9" t="s">
        <v>248</v>
      </c>
      <c r="I16" s="10" t="s">
        <v>56</v>
      </c>
      <c r="J16" s="10"/>
      <c r="K16" s="9">
        <v>292.5</v>
      </c>
      <c r="L16" s="9" t="str">
        <f>"158,1079"</f>
        <v>158,1079</v>
      </c>
      <c r="M16" s="9" t="s">
        <v>24</v>
      </c>
    </row>
    <row r="17" spans="1:13" x14ac:dyDescent="0.2">
      <c r="A17" s="13" t="s">
        <v>177</v>
      </c>
      <c r="B17" s="13" t="s">
        <v>180</v>
      </c>
      <c r="C17" s="13" t="s">
        <v>179</v>
      </c>
      <c r="D17" s="13" t="str">
        <f>"0,5641"</f>
        <v>0,5641</v>
      </c>
      <c r="E17" s="13" t="s">
        <v>21</v>
      </c>
      <c r="F17" s="13" t="s">
        <v>91</v>
      </c>
      <c r="G17" s="13" t="s">
        <v>49</v>
      </c>
      <c r="H17" s="13" t="s">
        <v>52</v>
      </c>
      <c r="I17" s="14"/>
      <c r="J17" s="14"/>
      <c r="K17" s="13">
        <v>240</v>
      </c>
      <c r="L17" s="13" t="str">
        <f>"135,3781"</f>
        <v>135,3781</v>
      </c>
      <c r="M17" s="13" t="s">
        <v>24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1:L11"/>
    <mergeCell ref="A15:L15"/>
    <mergeCell ref="K3:K4"/>
    <mergeCell ref="L3:L4"/>
    <mergeCell ref="M3:M4"/>
    <mergeCell ref="A5:L5"/>
  </mergeCells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A32" sqref="A32"/>
    </sheetView>
  </sheetViews>
  <sheetFormatPr defaultRowHeight="12.75" x14ac:dyDescent="0.2"/>
  <cols>
    <col min="1" max="1" width="26" style="4" bestFit="1" customWidth="1"/>
    <col min="2" max="2" width="24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28515625" style="4" bestFit="1" customWidth="1"/>
    <col min="7" max="10" width="5.5703125" style="4" bestFit="1" customWidth="1"/>
    <col min="11" max="11" width="7.85546875" style="4" bestFit="1" customWidth="1"/>
    <col min="12" max="12" width="8.5703125" style="4" bestFit="1" customWidth="1"/>
    <col min="13" max="13" width="8.85546875" style="4" bestFit="1" customWidth="1"/>
  </cols>
  <sheetData>
    <row r="1" spans="1:13" s="1" customFormat="1" ht="15" customHeight="1" x14ac:dyDescent="0.2">
      <c r="A1" s="21" t="s">
        <v>253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1" customFormat="1" ht="81.7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s="2" customFormat="1" ht="12.75" customHeight="1" x14ac:dyDescent="0.2">
      <c r="A3" s="27" t="s">
        <v>7</v>
      </c>
      <c r="B3" s="29" t="s">
        <v>19</v>
      </c>
      <c r="C3" s="17" t="s">
        <v>12</v>
      </c>
      <c r="D3" s="17" t="s">
        <v>17</v>
      </c>
      <c r="E3" s="17" t="s">
        <v>15</v>
      </c>
      <c r="F3" s="17" t="s">
        <v>18</v>
      </c>
      <c r="G3" s="17" t="s">
        <v>10</v>
      </c>
      <c r="H3" s="17"/>
      <c r="I3" s="17"/>
      <c r="J3" s="17"/>
      <c r="K3" s="17" t="s">
        <v>11</v>
      </c>
      <c r="L3" s="17" t="s">
        <v>14</v>
      </c>
      <c r="M3" s="19" t="s">
        <v>13</v>
      </c>
    </row>
    <row r="4" spans="1:13" s="2" customFormat="1" ht="21" customHeight="1" thickBot="1" x14ac:dyDescent="0.25">
      <c r="A4" s="28"/>
      <c r="B4" s="18"/>
      <c r="C4" s="18"/>
      <c r="D4" s="18"/>
      <c r="E4" s="18"/>
      <c r="F4" s="18"/>
      <c r="G4" s="3">
        <v>1</v>
      </c>
      <c r="H4" s="3">
        <v>2</v>
      </c>
      <c r="I4" s="3">
        <v>3</v>
      </c>
      <c r="J4" s="3" t="s">
        <v>16</v>
      </c>
      <c r="K4" s="18"/>
      <c r="L4" s="18"/>
      <c r="M4" s="20"/>
    </row>
    <row r="5" spans="1:13" ht="15" x14ac:dyDescent="0.2">
      <c r="A5" s="31" t="s">
        <v>74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x14ac:dyDescent="0.2">
      <c r="A6" s="7" t="s">
        <v>112</v>
      </c>
      <c r="B6" s="7" t="s">
        <v>234</v>
      </c>
      <c r="C6" s="7" t="s">
        <v>235</v>
      </c>
      <c r="D6" s="7" t="str">
        <f>"0,6899"</f>
        <v>0,6899</v>
      </c>
      <c r="E6" s="7" t="s">
        <v>21</v>
      </c>
      <c r="F6" s="7" t="s">
        <v>44</v>
      </c>
      <c r="G6" s="7" t="s">
        <v>35</v>
      </c>
      <c r="H6" s="7" t="s">
        <v>61</v>
      </c>
      <c r="I6" s="7" t="s">
        <v>47</v>
      </c>
      <c r="J6" s="8" t="s">
        <v>62</v>
      </c>
      <c r="K6" s="7">
        <v>155</v>
      </c>
      <c r="L6" s="7" t="str">
        <f>"106,9345"</f>
        <v>106,9345</v>
      </c>
      <c r="M6" s="7" t="s">
        <v>24</v>
      </c>
    </row>
    <row r="8" spans="1:13" ht="15" x14ac:dyDescent="0.2">
      <c r="A8" s="30" t="s">
        <v>37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x14ac:dyDescent="0.2">
      <c r="A9" s="7" t="s">
        <v>110</v>
      </c>
      <c r="B9" s="7" t="s">
        <v>236</v>
      </c>
      <c r="C9" s="7" t="s">
        <v>237</v>
      </c>
      <c r="D9" s="7" t="str">
        <f>"0,6354"</f>
        <v>0,6354</v>
      </c>
      <c r="E9" s="7" t="s">
        <v>21</v>
      </c>
      <c r="F9" s="7" t="s">
        <v>44</v>
      </c>
      <c r="G9" s="7" t="s">
        <v>6</v>
      </c>
      <c r="H9" s="8" t="s">
        <v>107</v>
      </c>
      <c r="I9" s="7" t="s">
        <v>107</v>
      </c>
      <c r="J9" s="8" t="s">
        <v>238</v>
      </c>
      <c r="K9" s="7">
        <v>380</v>
      </c>
      <c r="L9" s="7" t="str">
        <f>"241,4520"</f>
        <v>241,4520</v>
      </c>
      <c r="M9" s="7" t="s">
        <v>24</v>
      </c>
    </row>
  </sheetData>
  <mergeCells count="13">
    <mergeCell ref="E3:E4"/>
    <mergeCell ref="F3:F4"/>
    <mergeCell ref="G3:J3"/>
    <mergeCell ref="A8:L8"/>
    <mergeCell ref="K3:K4"/>
    <mergeCell ref="L3:L4"/>
    <mergeCell ref="M3:M4"/>
    <mergeCell ref="A5:L5"/>
    <mergeCell ref="A1:M2"/>
    <mergeCell ref="A3:A4"/>
    <mergeCell ref="B3:B4"/>
    <mergeCell ref="C3:C4"/>
    <mergeCell ref="D3:D4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9" workbookViewId="0">
      <selection activeCell="B30" sqref="B30"/>
    </sheetView>
  </sheetViews>
  <sheetFormatPr defaultRowHeight="12.75" x14ac:dyDescent="0.2"/>
  <cols>
    <col min="1" max="1" width="26" style="4" bestFit="1" customWidth="1"/>
    <col min="2" max="2" width="26.855468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4.140625" style="4" bestFit="1" customWidth="1"/>
    <col min="7" max="9" width="5.5703125" style="4" bestFit="1" customWidth="1"/>
    <col min="10" max="10" width="4.5703125" style="4" bestFit="1" customWidth="1"/>
    <col min="11" max="11" width="7.85546875" style="4" bestFit="1" customWidth="1"/>
    <col min="12" max="12" width="8.5703125" style="4" bestFit="1" customWidth="1"/>
    <col min="13" max="13" width="8.85546875" style="4" bestFit="1" customWidth="1"/>
  </cols>
  <sheetData>
    <row r="1" spans="1:13" s="1" customFormat="1" ht="15" customHeight="1" x14ac:dyDescent="0.2">
      <c r="A1" s="21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1" customFormat="1" ht="81.7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s="2" customFormat="1" ht="12.75" customHeight="1" x14ac:dyDescent="0.2">
      <c r="A3" s="27" t="s">
        <v>7</v>
      </c>
      <c r="B3" s="29" t="s">
        <v>19</v>
      </c>
      <c r="C3" s="17" t="s">
        <v>12</v>
      </c>
      <c r="D3" s="17" t="s">
        <v>17</v>
      </c>
      <c r="E3" s="17" t="s">
        <v>15</v>
      </c>
      <c r="F3" s="17" t="s">
        <v>18</v>
      </c>
      <c r="G3" s="17" t="s">
        <v>9</v>
      </c>
      <c r="H3" s="17"/>
      <c r="I3" s="17"/>
      <c r="J3" s="17"/>
      <c r="K3" s="17" t="s">
        <v>11</v>
      </c>
      <c r="L3" s="17" t="s">
        <v>14</v>
      </c>
      <c r="M3" s="19" t="s">
        <v>13</v>
      </c>
    </row>
    <row r="4" spans="1:13" s="2" customFormat="1" ht="21" customHeight="1" thickBot="1" x14ac:dyDescent="0.25">
      <c r="A4" s="28"/>
      <c r="B4" s="18"/>
      <c r="C4" s="18"/>
      <c r="D4" s="18"/>
      <c r="E4" s="18"/>
      <c r="F4" s="18"/>
      <c r="G4" s="3">
        <v>1</v>
      </c>
      <c r="H4" s="3">
        <v>2</v>
      </c>
      <c r="I4" s="3">
        <v>3</v>
      </c>
      <c r="J4" s="3" t="s">
        <v>16</v>
      </c>
      <c r="K4" s="18"/>
      <c r="L4" s="18"/>
      <c r="M4" s="20"/>
    </row>
    <row r="5" spans="1:13" ht="15" x14ac:dyDescent="0.2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x14ac:dyDescent="0.2">
      <c r="A6" s="7" t="s">
        <v>125</v>
      </c>
      <c r="B6" s="7" t="s">
        <v>222</v>
      </c>
      <c r="C6" s="7" t="s">
        <v>124</v>
      </c>
      <c r="D6" s="7" t="str">
        <f>"0,6487"</f>
        <v>0,6487</v>
      </c>
      <c r="E6" s="7" t="s">
        <v>21</v>
      </c>
      <c r="F6" s="7" t="s">
        <v>22</v>
      </c>
      <c r="G6" s="7" t="s">
        <v>42</v>
      </c>
      <c r="H6" s="8" t="s">
        <v>68</v>
      </c>
      <c r="I6" s="8" t="s">
        <v>68</v>
      </c>
      <c r="J6" s="8"/>
      <c r="K6" s="7">
        <v>195</v>
      </c>
      <c r="L6" s="7" t="str">
        <f>"126,4965"</f>
        <v>126,4965</v>
      </c>
      <c r="M6" s="7" t="s">
        <v>24</v>
      </c>
    </row>
    <row r="8" spans="1:13" ht="15" x14ac:dyDescent="0.2">
      <c r="A8" s="30" t="s">
        <v>37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x14ac:dyDescent="0.2">
      <c r="A9" s="7" t="s">
        <v>223</v>
      </c>
      <c r="B9" s="7" t="s">
        <v>224</v>
      </c>
      <c r="C9" s="7" t="s">
        <v>225</v>
      </c>
      <c r="D9" s="7" t="str">
        <f>"0,6242"</f>
        <v>0,6242</v>
      </c>
      <c r="E9" s="7" t="s">
        <v>21</v>
      </c>
      <c r="F9" s="7" t="s">
        <v>22</v>
      </c>
      <c r="G9" s="7" t="s">
        <v>31</v>
      </c>
      <c r="H9" s="7" t="s">
        <v>51</v>
      </c>
      <c r="I9" s="8"/>
      <c r="J9" s="8"/>
      <c r="K9" s="7">
        <v>185</v>
      </c>
      <c r="L9" s="7" t="str">
        <f>"115,4862"</f>
        <v>115,4862</v>
      </c>
      <c r="M9" s="7" t="s">
        <v>24</v>
      </c>
    </row>
    <row r="11" spans="1:13" ht="15" x14ac:dyDescent="0.2">
      <c r="A11" s="30" t="s">
        <v>65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3" x14ac:dyDescent="0.2">
      <c r="A12" s="7" t="s">
        <v>226</v>
      </c>
      <c r="B12" s="7" t="s">
        <v>227</v>
      </c>
      <c r="C12" s="7" t="s">
        <v>228</v>
      </c>
      <c r="D12" s="7" t="str">
        <f>"0,5833"</f>
        <v>0,5833</v>
      </c>
      <c r="E12" s="7" t="s">
        <v>21</v>
      </c>
      <c r="F12" s="7" t="s">
        <v>22</v>
      </c>
      <c r="G12" s="7" t="s">
        <v>39</v>
      </c>
      <c r="H12" s="8" t="s">
        <v>68</v>
      </c>
      <c r="I12" s="7" t="s">
        <v>67</v>
      </c>
      <c r="J12" s="8"/>
      <c r="K12" s="7">
        <v>207.5</v>
      </c>
      <c r="L12" s="7" t="str">
        <f>"121,0347"</f>
        <v>121,0347</v>
      </c>
      <c r="M12" s="7" t="s">
        <v>24</v>
      </c>
    </row>
    <row r="14" spans="1:13" ht="15" x14ac:dyDescent="0.2">
      <c r="A14" s="30" t="s">
        <v>99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x14ac:dyDescent="0.2">
      <c r="A15" s="9" t="s">
        <v>177</v>
      </c>
      <c r="B15" s="9" t="s">
        <v>178</v>
      </c>
      <c r="C15" s="9" t="s">
        <v>179</v>
      </c>
      <c r="D15" s="9" t="str">
        <f>"0,5408"</f>
        <v>0,5408</v>
      </c>
      <c r="E15" s="9" t="s">
        <v>21</v>
      </c>
      <c r="F15" s="9" t="s">
        <v>91</v>
      </c>
      <c r="G15" s="9" t="s">
        <v>52</v>
      </c>
      <c r="H15" s="9" t="s">
        <v>50</v>
      </c>
      <c r="I15" s="9" t="s">
        <v>1</v>
      </c>
      <c r="J15" s="10"/>
      <c r="K15" s="9">
        <v>257.5</v>
      </c>
      <c r="L15" s="9" t="str">
        <f>"139,2612"</f>
        <v>139,2612</v>
      </c>
      <c r="M15" s="9" t="s">
        <v>24</v>
      </c>
    </row>
    <row r="16" spans="1:13" x14ac:dyDescent="0.2">
      <c r="A16" s="13" t="s">
        <v>177</v>
      </c>
      <c r="B16" s="13" t="s">
        <v>180</v>
      </c>
      <c r="C16" s="13" t="s">
        <v>179</v>
      </c>
      <c r="D16" s="13" t="str">
        <f>"0,5641"</f>
        <v>0,5641</v>
      </c>
      <c r="E16" s="13" t="s">
        <v>21</v>
      </c>
      <c r="F16" s="13" t="s">
        <v>91</v>
      </c>
      <c r="G16" s="13" t="s">
        <v>66</v>
      </c>
      <c r="H16" s="13" t="s">
        <v>41</v>
      </c>
      <c r="I16" s="13" t="s">
        <v>49</v>
      </c>
      <c r="J16" s="14"/>
      <c r="K16" s="13">
        <v>230</v>
      </c>
      <c r="L16" s="13" t="str">
        <f>"129,7373"</f>
        <v>129,7373</v>
      </c>
      <c r="M16" s="13" t="s">
        <v>24</v>
      </c>
    </row>
    <row r="18" spans="1:13" ht="15" x14ac:dyDescent="0.2">
      <c r="A18" s="30" t="s">
        <v>109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3" x14ac:dyDescent="0.2">
      <c r="A19" s="7" t="s">
        <v>229</v>
      </c>
      <c r="B19" s="7" t="s">
        <v>230</v>
      </c>
      <c r="C19" s="7" t="s">
        <v>231</v>
      </c>
      <c r="D19" s="7" t="str">
        <f>"0,5128"</f>
        <v>0,5128</v>
      </c>
      <c r="E19" s="7" t="s">
        <v>21</v>
      </c>
      <c r="F19" s="7" t="s">
        <v>22</v>
      </c>
      <c r="G19" s="7" t="s">
        <v>142</v>
      </c>
      <c r="H19" s="7" t="s">
        <v>232</v>
      </c>
      <c r="I19" s="8" t="s">
        <v>233</v>
      </c>
      <c r="J19" s="8"/>
      <c r="K19" s="7">
        <v>327.5</v>
      </c>
      <c r="L19" s="7" t="str">
        <f>"167,9404"</f>
        <v>167,9404</v>
      </c>
      <c r="M19" s="7" t="s">
        <v>24</v>
      </c>
    </row>
  </sheetData>
  <mergeCells count="16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A11:L11"/>
    <mergeCell ref="A14:L14"/>
    <mergeCell ref="A18:L18"/>
    <mergeCell ref="K3:K4"/>
    <mergeCell ref="L3:L4"/>
  </mergeCells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opLeftCell="A16" workbookViewId="0">
      <selection activeCell="A44" sqref="A44"/>
    </sheetView>
  </sheetViews>
  <sheetFormatPr defaultRowHeight="12.75" x14ac:dyDescent="0.2"/>
  <cols>
    <col min="1" max="1" width="26" style="4" bestFit="1" customWidth="1"/>
    <col min="2" max="2" width="26.855468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4.140625" style="4" bestFit="1" customWidth="1"/>
    <col min="7" max="9" width="5.5703125" style="4" bestFit="1" customWidth="1"/>
    <col min="10" max="10" width="4.5703125" style="4" bestFit="1" customWidth="1"/>
    <col min="11" max="11" width="7.85546875" style="4" bestFit="1" customWidth="1"/>
    <col min="12" max="12" width="8.5703125" style="4" bestFit="1" customWidth="1"/>
    <col min="13" max="13" width="8.85546875" style="4" bestFit="1" customWidth="1"/>
  </cols>
  <sheetData>
    <row r="1" spans="1:13" s="1" customFormat="1" ht="15" customHeight="1" x14ac:dyDescent="0.2">
      <c r="A1" s="21" t="s">
        <v>255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1" customFormat="1" ht="81.7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s="2" customFormat="1" ht="12.75" customHeight="1" x14ac:dyDescent="0.2">
      <c r="A3" s="27" t="s">
        <v>7</v>
      </c>
      <c r="B3" s="29" t="s">
        <v>19</v>
      </c>
      <c r="C3" s="17" t="s">
        <v>12</v>
      </c>
      <c r="D3" s="17" t="s">
        <v>17</v>
      </c>
      <c r="E3" s="17" t="s">
        <v>15</v>
      </c>
      <c r="F3" s="17" t="s">
        <v>18</v>
      </c>
      <c r="G3" s="17" t="s">
        <v>9</v>
      </c>
      <c r="H3" s="17"/>
      <c r="I3" s="17"/>
      <c r="J3" s="17"/>
      <c r="K3" s="17" t="s">
        <v>11</v>
      </c>
      <c r="L3" s="17" t="s">
        <v>14</v>
      </c>
      <c r="M3" s="19" t="s">
        <v>13</v>
      </c>
    </row>
    <row r="4" spans="1:13" s="2" customFormat="1" ht="21" customHeight="1" thickBot="1" x14ac:dyDescent="0.25">
      <c r="A4" s="28"/>
      <c r="B4" s="18"/>
      <c r="C4" s="18"/>
      <c r="D4" s="18"/>
      <c r="E4" s="18"/>
      <c r="F4" s="18"/>
      <c r="G4" s="3">
        <v>1</v>
      </c>
      <c r="H4" s="3">
        <v>2</v>
      </c>
      <c r="I4" s="3">
        <v>3</v>
      </c>
      <c r="J4" s="3" t="s">
        <v>16</v>
      </c>
      <c r="K4" s="18"/>
      <c r="L4" s="18"/>
      <c r="M4" s="20"/>
    </row>
    <row r="5" spans="1:13" ht="15" x14ac:dyDescent="0.2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x14ac:dyDescent="0.2">
      <c r="A6" s="9" t="s">
        <v>181</v>
      </c>
      <c r="B6" s="9" t="s">
        <v>182</v>
      </c>
      <c r="C6" s="9" t="s">
        <v>183</v>
      </c>
      <c r="D6" s="9" t="str">
        <f>"1,1264"</f>
        <v>1,1264</v>
      </c>
      <c r="E6" s="9" t="s">
        <v>21</v>
      </c>
      <c r="F6" s="9" t="s">
        <v>105</v>
      </c>
      <c r="G6" s="9" t="s">
        <v>90</v>
      </c>
      <c r="H6" s="9" t="s">
        <v>92</v>
      </c>
      <c r="I6" s="9" t="s">
        <v>46</v>
      </c>
      <c r="J6" s="10"/>
      <c r="K6" s="9">
        <v>57.5</v>
      </c>
      <c r="L6" s="9" t="str">
        <f>"64,7680"</f>
        <v>64,7680</v>
      </c>
      <c r="M6" s="9" t="s">
        <v>24</v>
      </c>
    </row>
    <row r="7" spans="1:13" x14ac:dyDescent="0.2">
      <c r="A7" s="13" t="s">
        <v>184</v>
      </c>
      <c r="B7" s="13" t="s">
        <v>185</v>
      </c>
      <c r="C7" s="13" t="s">
        <v>186</v>
      </c>
      <c r="D7" s="13" t="str">
        <f>"1,1247"</f>
        <v>1,1247</v>
      </c>
      <c r="E7" s="13" t="s">
        <v>21</v>
      </c>
      <c r="F7" s="13" t="s">
        <v>91</v>
      </c>
      <c r="G7" s="13" t="s">
        <v>27</v>
      </c>
      <c r="H7" s="14" t="s">
        <v>90</v>
      </c>
      <c r="I7" s="14" t="s">
        <v>90</v>
      </c>
      <c r="J7" s="14"/>
      <c r="K7" s="13">
        <v>50</v>
      </c>
      <c r="L7" s="13" t="str">
        <f>"56,2350"</f>
        <v>56,2350</v>
      </c>
      <c r="M7" s="13" t="s">
        <v>24</v>
      </c>
    </row>
    <row r="9" spans="1:13" ht="15" x14ac:dyDescent="0.2">
      <c r="A9" s="30" t="s">
        <v>26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3" x14ac:dyDescent="0.2">
      <c r="A10" s="7" t="s">
        <v>187</v>
      </c>
      <c r="B10" s="7" t="s">
        <v>188</v>
      </c>
      <c r="C10" s="7" t="s">
        <v>93</v>
      </c>
      <c r="D10" s="7" t="str">
        <f>"1,0079"</f>
        <v>1,0079</v>
      </c>
      <c r="E10" s="7" t="s">
        <v>21</v>
      </c>
      <c r="F10" s="7" t="s">
        <v>105</v>
      </c>
      <c r="G10" s="7" t="s">
        <v>77</v>
      </c>
      <c r="H10" s="7" t="s">
        <v>71</v>
      </c>
      <c r="I10" s="7" t="s">
        <v>76</v>
      </c>
      <c r="J10" s="8"/>
      <c r="K10" s="7">
        <v>95</v>
      </c>
      <c r="L10" s="7" t="str">
        <f>"95,7505"</f>
        <v>95,7505</v>
      </c>
      <c r="M10" s="7" t="s">
        <v>24</v>
      </c>
    </row>
    <row r="12" spans="1:13" ht="15" x14ac:dyDescent="0.2">
      <c r="A12" s="30" t="s">
        <v>74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x14ac:dyDescent="0.2">
      <c r="A13" s="7" t="s">
        <v>114</v>
      </c>
      <c r="B13" s="7" t="s">
        <v>189</v>
      </c>
      <c r="C13" s="7" t="s">
        <v>190</v>
      </c>
      <c r="D13" s="7" t="str">
        <f>"0,8687"</f>
        <v>0,8687</v>
      </c>
      <c r="E13" s="7" t="s">
        <v>21</v>
      </c>
      <c r="F13" s="7" t="s">
        <v>22</v>
      </c>
      <c r="G13" s="7" t="s">
        <v>46</v>
      </c>
      <c r="H13" s="8" t="s">
        <v>72</v>
      </c>
      <c r="I13" s="8" t="s">
        <v>89</v>
      </c>
      <c r="J13" s="8"/>
      <c r="K13" s="7">
        <v>57.5</v>
      </c>
      <c r="L13" s="7" t="str">
        <f>"49,9503"</f>
        <v>49,9503</v>
      </c>
      <c r="M13" s="7" t="s">
        <v>24</v>
      </c>
    </row>
    <row r="15" spans="1:13" ht="15" x14ac:dyDescent="0.2">
      <c r="A15" s="30" t="s">
        <v>74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3" x14ac:dyDescent="0.2">
      <c r="A16" s="9" t="s">
        <v>123</v>
      </c>
      <c r="B16" s="9" t="s">
        <v>191</v>
      </c>
      <c r="C16" s="9" t="s">
        <v>192</v>
      </c>
      <c r="D16" s="9" t="str">
        <f>"0,6934"</f>
        <v>0,6934</v>
      </c>
      <c r="E16" s="9" t="s">
        <v>21</v>
      </c>
      <c r="F16" s="9" t="s">
        <v>91</v>
      </c>
      <c r="G16" s="9" t="s">
        <v>35</v>
      </c>
      <c r="H16" s="9" t="s">
        <v>78</v>
      </c>
      <c r="I16" s="10" t="s">
        <v>81</v>
      </c>
      <c r="J16" s="10"/>
      <c r="K16" s="9">
        <v>145</v>
      </c>
      <c r="L16" s="9" t="str">
        <f>"100,5358"</f>
        <v>100,5358</v>
      </c>
      <c r="M16" s="9" t="s">
        <v>24</v>
      </c>
    </row>
    <row r="17" spans="1:13" x14ac:dyDescent="0.2">
      <c r="A17" s="11" t="s">
        <v>193</v>
      </c>
      <c r="B17" s="11" t="s">
        <v>194</v>
      </c>
      <c r="C17" s="11" t="s">
        <v>195</v>
      </c>
      <c r="D17" s="11" t="str">
        <f>"0,7322"</f>
        <v>0,7322</v>
      </c>
      <c r="E17" s="11" t="s">
        <v>21</v>
      </c>
      <c r="F17" s="11" t="s">
        <v>82</v>
      </c>
      <c r="G17" s="12" t="s">
        <v>79</v>
      </c>
      <c r="H17" s="11" t="s">
        <v>79</v>
      </c>
      <c r="I17" s="12" t="s">
        <v>75</v>
      </c>
      <c r="J17" s="12"/>
      <c r="K17" s="11">
        <v>117.5</v>
      </c>
      <c r="L17" s="11" t="str">
        <f>"86,0335"</f>
        <v>86,0335</v>
      </c>
      <c r="M17" s="11" t="s">
        <v>24</v>
      </c>
    </row>
    <row r="18" spans="1:13" x14ac:dyDescent="0.2">
      <c r="A18" s="11" t="s">
        <v>196</v>
      </c>
      <c r="B18" s="11" t="s">
        <v>197</v>
      </c>
      <c r="C18" s="11" t="s">
        <v>198</v>
      </c>
      <c r="D18" s="11" t="str">
        <f>"0,6975"</f>
        <v>0,6975</v>
      </c>
      <c r="E18" s="11" t="s">
        <v>21</v>
      </c>
      <c r="F18" s="11" t="s">
        <v>91</v>
      </c>
      <c r="G18" s="12" t="s">
        <v>45</v>
      </c>
      <c r="H18" s="12" t="s">
        <v>45</v>
      </c>
      <c r="I18" s="12" t="s">
        <v>79</v>
      </c>
      <c r="J18" s="12"/>
      <c r="K18" s="11">
        <v>0</v>
      </c>
      <c r="L18" s="11" t="str">
        <f>"0,0000"</f>
        <v>0,0000</v>
      </c>
      <c r="M18" s="11" t="s">
        <v>24</v>
      </c>
    </row>
    <row r="19" spans="1:13" x14ac:dyDescent="0.2">
      <c r="A19" s="13" t="s">
        <v>126</v>
      </c>
      <c r="B19" s="13" t="s">
        <v>199</v>
      </c>
      <c r="C19" s="13" t="s">
        <v>200</v>
      </c>
      <c r="D19" s="13" t="str">
        <f>"0,7337"</f>
        <v>0,7337</v>
      </c>
      <c r="E19" s="13" t="s">
        <v>21</v>
      </c>
      <c r="F19" s="13" t="s">
        <v>4</v>
      </c>
      <c r="G19" s="13" t="s">
        <v>79</v>
      </c>
      <c r="H19" s="13" t="s">
        <v>102</v>
      </c>
      <c r="I19" s="14" t="s">
        <v>83</v>
      </c>
      <c r="J19" s="14"/>
      <c r="K19" s="13">
        <v>122.5</v>
      </c>
      <c r="L19" s="13" t="str">
        <f>"89,8782"</f>
        <v>89,8782</v>
      </c>
      <c r="M19" s="13" t="s">
        <v>24</v>
      </c>
    </row>
    <row r="21" spans="1:13" ht="15" x14ac:dyDescent="0.2">
      <c r="A21" s="30" t="s">
        <v>37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3" x14ac:dyDescent="0.2">
      <c r="A22" s="9" t="s">
        <v>201</v>
      </c>
      <c r="B22" s="9" t="s">
        <v>202</v>
      </c>
      <c r="C22" s="9" t="s">
        <v>3</v>
      </c>
      <c r="D22" s="9" t="str">
        <f>"0,6234"</f>
        <v>0,6234</v>
      </c>
      <c r="E22" s="9" t="s">
        <v>21</v>
      </c>
      <c r="F22" s="9" t="s">
        <v>22</v>
      </c>
      <c r="G22" s="10" t="s">
        <v>28</v>
      </c>
      <c r="H22" s="10" t="s">
        <v>83</v>
      </c>
      <c r="I22" s="10" t="s">
        <v>83</v>
      </c>
      <c r="J22" s="10"/>
      <c r="K22" s="9">
        <v>0</v>
      </c>
      <c r="L22" s="9" t="str">
        <f>"0,0000"</f>
        <v>0,0000</v>
      </c>
      <c r="M22" s="9" t="s">
        <v>24</v>
      </c>
    </row>
    <row r="23" spans="1:13" x14ac:dyDescent="0.2">
      <c r="A23" s="11" t="s">
        <v>203</v>
      </c>
      <c r="B23" s="11" t="s">
        <v>204</v>
      </c>
      <c r="C23" s="11" t="s">
        <v>205</v>
      </c>
      <c r="D23" s="11" t="str">
        <f>"0,6141"</f>
        <v>0,6141</v>
      </c>
      <c r="E23" s="11" t="s">
        <v>21</v>
      </c>
      <c r="F23" s="11" t="s">
        <v>91</v>
      </c>
      <c r="G23" s="11" t="s">
        <v>31</v>
      </c>
      <c r="H23" s="12" t="s">
        <v>63</v>
      </c>
      <c r="I23" s="11" t="s">
        <v>63</v>
      </c>
      <c r="J23" s="12"/>
      <c r="K23" s="11">
        <v>175</v>
      </c>
      <c r="L23" s="11" t="str">
        <f>"107,4762"</f>
        <v>107,4762</v>
      </c>
      <c r="M23" s="11" t="s">
        <v>24</v>
      </c>
    </row>
    <row r="24" spans="1:13" x14ac:dyDescent="0.2">
      <c r="A24" s="11" t="s">
        <v>206</v>
      </c>
      <c r="B24" s="11" t="s">
        <v>207</v>
      </c>
      <c r="C24" s="11" t="s">
        <v>104</v>
      </c>
      <c r="D24" s="11" t="str">
        <f>"0,6137"</f>
        <v>0,6137</v>
      </c>
      <c r="E24" s="11" t="s">
        <v>21</v>
      </c>
      <c r="F24" s="11" t="s">
        <v>22</v>
      </c>
      <c r="G24" s="11" t="s">
        <v>78</v>
      </c>
      <c r="H24" s="11" t="s">
        <v>95</v>
      </c>
      <c r="I24" s="12" t="s">
        <v>47</v>
      </c>
      <c r="J24" s="12"/>
      <c r="K24" s="11">
        <v>152.5</v>
      </c>
      <c r="L24" s="11" t="str">
        <f>"93,5969"</f>
        <v>93,5969</v>
      </c>
      <c r="M24" s="11" t="s">
        <v>24</v>
      </c>
    </row>
    <row r="25" spans="1:13" x14ac:dyDescent="0.2">
      <c r="A25" s="11" t="s">
        <v>5</v>
      </c>
      <c r="B25" s="11" t="s">
        <v>208</v>
      </c>
      <c r="C25" s="11" t="s">
        <v>205</v>
      </c>
      <c r="D25" s="11" t="str">
        <f>"0,6141"</f>
        <v>0,6141</v>
      </c>
      <c r="E25" s="11" t="s">
        <v>21</v>
      </c>
      <c r="F25" s="11" t="s">
        <v>22</v>
      </c>
      <c r="G25" s="11" t="s">
        <v>80</v>
      </c>
      <c r="H25" s="11" t="s">
        <v>94</v>
      </c>
      <c r="I25" s="12" t="s">
        <v>81</v>
      </c>
      <c r="J25" s="12"/>
      <c r="K25" s="11">
        <v>142.5</v>
      </c>
      <c r="L25" s="11" t="str">
        <f>"87,5164"</f>
        <v>87,5164</v>
      </c>
      <c r="M25" s="11" t="s">
        <v>24</v>
      </c>
    </row>
    <row r="26" spans="1:13" x14ac:dyDescent="0.2">
      <c r="A26" s="13" t="s">
        <v>127</v>
      </c>
      <c r="B26" s="13" t="s">
        <v>209</v>
      </c>
      <c r="C26" s="13" t="s">
        <v>210</v>
      </c>
      <c r="D26" s="13" t="str">
        <f>"0,8626"</f>
        <v>0,8626</v>
      </c>
      <c r="E26" s="13" t="s">
        <v>21</v>
      </c>
      <c r="F26" s="13" t="s">
        <v>98</v>
      </c>
      <c r="G26" s="13" t="s">
        <v>75</v>
      </c>
      <c r="H26" s="13" t="s">
        <v>29</v>
      </c>
      <c r="I26" s="13" t="s">
        <v>38</v>
      </c>
      <c r="J26" s="14"/>
      <c r="K26" s="13">
        <v>135</v>
      </c>
      <c r="L26" s="13" t="str">
        <f>"116,4531"</f>
        <v>116,4531</v>
      </c>
      <c r="M26" s="13" t="s">
        <v>24</v>
      </c>
    </row>
    <row r="28" spans="1:13" ht="15" x14ac:dyDescent="0.2">
      <c r="A28" s="30" t="s">
        <v>65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3" x14ac:dyDescent="0.2">
      <c r="A29" s="7" t="s">
        <v>211</v>
      </c>
      <c r="B29" s="7" t="s">
        <v>212</v>
      </c>
      <c r="C29" s="7" t="s">
        <v>213</v>
      </c>
      <c r="D29" s="7" t="str">
        <f>"0,5813"</f>
        <v>0,5813</v>
      </c>
      <c r="E29" s="7" t="s">
        <v>21</v>
      </c>
      <c r="F29" s="7" t="s">
        <v>22</v>
      </c>
      <c r="G29" s="7" t="s">
        <v>31</v>
      </c>
      <c r="H29" s="7" t="s">
        <v>51</v>
      </c>
      <c r="I29" s="8" t="s">
        <v>42</v>
      </c>
      <c r="J29" s="8"/>
      <c r="K29" s="7">
        <v>185</v>
      </c>
      <c r="L29" s="7" t="str">
        <f>"107,5405"</f>
        <v>107,5405</v>
      </c>
      <c r="M29" s="7" t="s">
        <v>24</v>
      </c>
    </row>
    <row r="31" spans="1:13" ht="15" x14ac:dyDescent="0.2">
      <c r="A31" s="30" t="s">
        <v>43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3" x14ac:dyDescent="0.2">
      <c r="A32" s="7" t="s">
        <v>214</v>
      </c>
      <c r="B32" s="7" t="s">
        <v>215</v>
      </c>
      <c r="C32" s="7" t="s">
        <v>216</v>
      </c>
      <c r="D32" s="7" t="str">
        <f>"0,5677"</f>
        <v>0,5677</v>
      </c>
      <c r="E32" s="7" t="s">
        <v>21</v>
      </c>
      <c r="F32" s="7" t="s">
        <v>22</v>
      </c>
      <c r="G32" s="7" t="s">
        <v>35</v>
      </c>
      <c r="H32" s="8" t="s">
        <v>61</v>
      </c>
      <c r="I32" s="8" t="s">
        <v>97</v>
      </c>
      <c r="J32" s="8"/>
      <c r="K32" s="7">
        <v>140</v>
      </c>
      <c r="L32" s="7" t="str">
        <f>"79,4710"</f>
        <v>79,4710</v>
      </c>
      <c r="M32" s="7" t="s">
        <v>24</v>
      </c>
    </row>
    <row r="34" spans="1:13" ht="15" x14ac:dyDescent="0.2">
      <c r="A34" s="30" t="s">
        <v>53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3" x14ac:dyDescent="0.2">
      <c r="A35" s="7" t="s">
        <v>217</v>
      </c>
      <c r="B35" s="7" t="s">
        <v>218</v>
      </c>
      <c r="C35" s="7" t="s">
        <v>219</v>
      </c>
      <c r="D35" s="7" t="str">
        <f>"0,5569"</f>
        <v>0,5569</v>
      </c>
      <c r="E35" s="7" t="s">
        <v>21</v>
      </c>
      <c r="F35" s="7" t="s">
        <v>22</v>
      </c>
      <c r="G35" s="7" t="s">
        <v>47</v>
      </c>
      <c r="H35" s="7" t="s">
        <v>48</v>
      </c>
      <c r="I35" s="7" t="s">
        <v>31</v>
      </c>
      <c r="J35" s="8"/>
      <c r="K35" s="7">
        <v>170</v>
      </c>
      <c r="L35" s="7" t="str">
        <f>"94,6730"</f>
        <v>94,6730</v>
      </c>
      <c r="M35" s="7" t="s">
        <v>24</v>
      </c>
    </row>
    <row r="37" spans="1:13" ht="15" x14ac:dyDescent="0.2">
      <c r="A37" s="30" t="s">
        <v>99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3" x14ac:dyDescent="0.2">
      <c r="A38" s="7" t="s">
        <v>177</v>
      </c>
      <c r="B38" s="7" t="s">
        <v>180</v>
      </c>
      <c r="C38" s="7" t="s">
        <v>220</v>
      </c>
      <c r="D38" s="7" t="str">
        <f>"0,5643"</f>
        <v>0,5643</v>
      </c>
      <c r="E38" s="7" t="s">
        <v>21</v>
      </c>
      <c r="F38" s="7" t="s">
        <v>91</v>
      </c>
      <c r="G38" s="7" t="s">
        <v>63</v>
      </c>
      <c r="H38" s="7" t="s">
        <v>64</v>
      </c>
      <c r="I38" s="8" t="s">
        <v>221</v>
      </c>
      <c r="J38" s="8"/>
      <c r="K38" s="7">
        <v>182.5</v>
      </c>
      <c r="L38" s="7" t="str">
        <f>"102,9761"</f>
        <v>102,9761</v>
      </c>
      <c r="M38" s="7" t="s">
        <v>24</v>
      </c>
    </row>
  </sheetData>
  <mergeCells count="20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A28:L28"/>
    <mergeCell ref="A31:L31"/>
    <mergeCell ref="A34:L34"/>
    <mergeCell ref="A37:L37"/>
    <mergeCell ref="A9:L9"/>
    <mergeCell ref="A12:L12"/>
    <mergeCell ref="A15:L15"/>
    <mergeCell ref="A21:L21"/>
  </mergeCells>
  <phoneticPr fontId="8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8.5703125" style="4" bestFit="1" customWidth="1"/>
    <col min="3" max="3" width="6.85546875" style="4" bestFit="1" customWidth="1"/>
    <col min="4" max="4" width="6.5703125" style="4" bestFit="1" customWidth="1"/>
    <col min="5" max="5" width="22.7109375" style="4" bestFit="1" customWidth="1"/>
    <col min="6" max="6" width="7.5703125" style="4" bestFit="1" customWidth="1"/>
    <col min="7" max="7" width="15" style="4" customWidth="1"/>
    <col min="8" max="8" width="19.42578125" style="4" customWidth="1"/>
    <col min="9" max="9" width="25.140625" style="4" customWidth="1"/>
    <col min="10" max="10" width="34.28515625" style="4" customWidth="1"/>
    <col min="11" max="11" width="7.85546875" style="4" bestFit="1" customWidth="1"/>
    <col min="12" max="12" width="6.42578125" style="4" bestFit="1" customWidth="1"/>
    <col min="13" max="13" width="51.7109375" style="4" customWidth="1"/>
  </cols>
  <sheetData>
    <row r="1" spans="1:13" s="1" customFormat="1" ht="15" customHeight="1" x14ac:dyDescent="0.2">
      <c r="A1" s="21" t="s">
        <v>256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1" customFormat="1" ht="81.7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s="2" customFormat="1" ht="12.75" customHeight="1" x14ac:dyDescent="0.2">
      <c r="A3" s="27" t="s">
        <v>7</v>
      </c>
      <c r="B3" s="29" t="s">
        <v>19</v>
      </c>
      <c r="C3" s="17" t="s">
        <v>12</v>
      </c>
      <c r="D3" s="17" t="s">
        <v>17</v>
      </c>
      <c r="E3" s="17" t="s">
        <v>15</v>
      </c>
      <c r="F3" s="17" t="s">
        <v>18</v>
      </c>
      <c r="G3" s="17" t="s">
        <v>249</v>
      </c>
      <c r="H3" s="17"/>
      <c r="I3" s="17"/>
      <c r="J3" s="17"/>
      <c r="K3" s="17" t="s">
        <v>11</v>
      </c>
      <c r="L3" s="17" t="s">
        <v>14</v>
      </c>
      <c r="M3" s="19" t="s">
        <v>13</v>
      </c>
    </row>
    <row r="4" spans="1:13" s="2" customFormat="1" ht="21" customHeight="1" thickBot="1" x14ac:dyDescent="0.25">
      <c r="A4" s="28"/>
      <c r="B4" s="18"/>
      <c r="C4" s="18"/>
      <c r="D4" s="18"/>
      <c r="E4" s="18"/>
      <c r="F4" s="18"/>
      <c r="G4" s="3">
        <v>1</v>
      </c>
      <c r="H4" s="3">
        <v>2</v>
      </c>
      <c r="I4" s="3">
        <v>3</v>
      </c>
      <c r="J4" s="3" t="s">
        <v>16</v>
      </c>
      <c r="K4" s="18"/>
      <c r="L4" s="18"/>
      <c r="M4" s="20"/>
    </row>
    <row r="5" spans="1:13" ht="15" x14ac:dyDescent="0.2">
      <c r="A5" s="30" t="s">
        <v>99</v>
      </c>
      <c r="B5" s="30"/>
      <c r="C5" s="30"/>
      <c r="D5" s="30"/>
      <c r="E5" s="30"/>
      <c r="F5" s="30"/>
      <c r="G5" s="30"/>
      <c r="H5" s="30"/>
      <c r="I5" s="30"/>
      <c r="J5" s="30"/>
    </row>
    <row r="6" spans="1:13" x14ac:dyDescent="0.2">
      <c r="A6" s="9" t="s">
        <v>177</v>
      </c>
      <c r="B6" s="9" t="s">
        <v>178</v>
      </c>
      <c r="C6" s="9" t="s">
        <v>179</v>
      </c>
      <c r="D6" s="9" t="str">
        <f>"0,5408"</f>
        <v>0,5408</v>
      </c>
      <c r="E6" s="9" t="s">
        <v>21</v>
      </c>
      <c r="F6" s="9" t="s">
        <v>91</v>
      </c>
      <c r="G6" s="9" t="s">
        <v>66</v>
      </c>
      <c r="H6" s="9" t="s">
        <v>41</v>
      </c>
      <c r="I6" s="9" t="s">
        <v>250</v>
      </c>
      <c r="J6" s="13">
        <v>230</v>
      </c>
    </row>
    <row r="7" spans="1:13" x14ac:dyDescent="0.2">
      <c r="A7" s="13" t="s">
        <v>177</v>
      </c>
      <c r="B7" s="13" t="s">
        <v>180</v>
      </c>
      <c r="C7" s="13" t="s">
        <v>179</v>
      </c>
      <c r="D7" s="13" t="str">
        <f>"0,5641"</f>
        <v>0,5641</v>
      </c>
      <c r="E7" s="13" t="s">
        <v>21</v>
      </c>
      <c r="F7" s="13" t="s">
        <v>91</v>
      </c>
      <c r="G7" s="13" t="s">
        <v>66</v>
      </c>
      <c r="H7" s="13" t="s">
        <v>41</v>
      </c>
      <c r="I7" s="13" t="s">
        <v>49</v>
      </c>
      <c r="J7" s="13">
        <v>230</v>
      </c>
    </row>
    <row r="8" spans="1:13" ht="15" x14ac:dyDescent="0.2">
      <c r="E8" s="5" t="s">
        <v>57</v>
      </c>
    </row>
    <row r="9" spans="1:13" ht="15" x14ac:dyDescent="0.2">
      <c r="E9" s="5" t="s">
        <v>58</v>
      </c>
    </row>
    <row r="10" spans="1:13" ht="15" x14ac:dyDescent="0.2">
      <c r="E10" s="5" t="s">
        <v>58</v>
      </c>
    </row>
    <row r="11" spans="1:13" ht="15" x14ac:dyDescent="0.2">
      <c r="E11" s="5" t="s">
        <v>59</v>
      </c>
    </row>
    <row r="12" spans="1:13" ht="15" x14ac:dyDescent="0.2">
      <c r="E12" s="5"/>
    </row>
    <row r="14" spans="1:13" ht="18" x14ac:dyDescent="0.25">
      <c r="A14" s="6" t="s">
        <v>60</v>
      </c>
      <c r="B14" s="6"/>
    </row>
  </sheetData>
  <mergeCells count="12">
    <mergeCell ref="F3:F4"/>
    <mergeCell ref="G3:J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1" sqref="A11:IV25"/>
    </sheetView>
  </sheetViews>
  <sheetFormatPr defaultRowHeight="12.75" x14ac:dyDescent="0.2"/>
  <cols>
    <col min="1" max="1" width="26" style="4" bestFit="1" customWidth="1"/>
    <col min="2" max="2" width="26.85546875" style="4" bestFit="1" customWidth="1"/>
    <col min="3" max="3" width="6.85546875" style="4" bestFit="1" customWidth="1"/>
    <col min="4" max="4" width="6.5703125" style="4" bestFit="1" customWidth="1"/>
    <col min="5" max="5" width="22.7109375" style="4" bestFit="1" customWidth="1"/>
    <col min="6" max="6" width="34.140625" style="4" bestFit="1" customWidth="1"/>
    <col min="7" max="7" width="6.42578125" style="4" customWidth="1"/>
    <col min="8" max="8" width="5.5703125" style="4" customWidth="1"/>
    <col min="9" max="9" width="6.85546875" style="4" customWidth="1"/>
    <col min="10" max="10" width="9" style="4" customWidth="1"/>
    <col min="11" max="12" width="5.28515625" style="4" customWidth="1"/>
    <col min="13" max="13" width="4.5703125" style="4" customWidth="1"/>
    <col min="14" max="14" width="7.28515625" style="4" customWidth="1"/>
    <col min="15" max="15" width="4.42578125" style="4" customWidth="1"/>
    <col min="16" max="16" width="6.140625" style="4" customWidth="1"/>
    <col min="17" max="17" width="7.28515625" style="4" customWidth="1"/>
    <col min="18" max="18" width="4.5703125" style="4" bestFit="1" customWidth="1"/>
    <col min="19" max="19" width="7.85546875" style="4" bestFit="1" customWidth="1"/>
    <col min="20" max="20" width="6.42578125" style="4" bestFit="1" customWidth="1"/>
    <col min="21" max="21" width="54.5703125" style="4" customWidth="1"/>
  </cols>
  <sheetData>
    <row r="1" spans="1:24" s="1" customFormat="1" ht="15" customHeight="1" x14ac:dyDescent="0.2">
      <c r="A1" s="21" t="s">
        <v>257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</row>
    <row r="2" spans="1:24" s="1" customFormat="1" ht="81.7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4" s="2" customFormat="1" ht="12.75" customHeight="1" x14ac:dyDescent="0.2">
      <c r="A3" s="27" t="s">
        <v>7</v>
      </c>
      <c r="B3" s="29" t="s">
        <v>19</v>
      </c>
      <c r="C3" s="17" t="s">
        <v>12</v>
      </c>
      <c r="D3" s="17" t="s">
        <v>17</v>
      </c>
      <c r="E3" s="17" t="s">
        <v>15</v>
      </c>
      <c r="F3" s="17" t="s">
        <v>18</v>
      </c>
      <c r="G3" s="17" t="s">
        <v>8</v>
      </c>
      <c r="H3" s="17"/>
      <c r="I3" s="17"/>
      <c r="J3" s="17"/>
      <c r="K3" s="17" t="s">
        <v>9</v>
      </c>
      <c r="L3" s="17"/>
      <c r="M3" s="17"/>
      <c r="N3" s="17"/>
      <c r="O3" s="17" t="s">
        <v>10</v>
      </c>
      <c r="P3" s="17"/>
      <c r="Q3" s="17"/>
      <c r="R3" s="17"/>
      <c r="S3" s="17" t="s">
        <v>11</v>
      </c>
      <c r="T3" s="17" t="s">
        <v>14</v>
      </c>
      <c r="U3" s="19" t="s">
        <v>13</v>
      </c>
    </row>
    <row r="4" spans="1:24" s="2" customFormat="1" ht="21" customHeight="1" thickBot="1" x14ac:dyDescent="0.25">
      <c r="A4" s="28"/>
      <c r="B4" s="18"/>
      <c r="C4" s="18"/>
      <c r="D4" s="18"/>
      <c r="E4" s="18"/>
      <c r="F4" s="18"/>
      <c r="G4" s="3">
        <v>1</v>
      </c>
      <c r="H4" s="3">
        <v>2</v>
      </c>
      <c r="I4" s="3">
        <v>3</v>
      </c>
      <c r="J4" s="3" t="s">
        <v>16</v>
      </c>
      <c r="K4" s="3">
        <v>1</v>
      </c>
      <c r="L4" s="3">
        <v>2</v>
      </c>
      <c r="M4" s="3">
        <v>3</v>
      </c>
      <c r="N4" s="3" t="s">
        <v>16</v>
      </c>
      <c r="O4" s="3">
        <v>1</v>
      </c>
      <c r="P4" s="3">
        <v>2</v>
      </c>
      <c r="Q4" s="3">
        <v>3</v>
      </c>
      <c r="R4" s="3" t="s">
        <v>16</v>
      </c>
      <c r="S4" s="18"/>
      <c r="T4" s="18"/>
      <c r="U4" s="20"/>
    </row>
    <row r="5" spans="1:24" s="2" customFormat="1" ht="21" customHeight="1" x14ac:dyDescent="0.2">
      <c r="A5" s="31" t="s">
        <v>37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16"/>
    </row>
    <row r="6" spans="1:24" x14ac:dyDescent="0.2">
      <c r="A6" s="11" t="s">
        <v>174</v>
      </c>
      <c r="B6" s="11" t="s">
        <v>175</v>
      </c>
      <c r="C6" s="11" t="s">
        <v>176</v>
      </c>
      <c r="D6" s="11" t="str">
        <f>"0,6177"</f>
        <v>0,6177</v>
      </c>
      <c r="E6" s="11" t="s">
        <v>21</v>
      </c>
      <c r="F6" s="11" t="s">
        <v>22</v>
      </c>
      <c r="G6" s="11" t="s">
        <v>62</v>
      </c>
      <c r="H6" s="11" t="s">
        <v>31</v>
      </c>
      <c r="I6" s="11" t="s">
        <v>34</v>
      </c>
      <c r="J6" s="12"/>
      <c r="K6" s="11" t="s">
        <v>28</v>
      </c>
      <c r="L6" s="11" t="s">
        <v>29</v>
      </c>
      <c r="M6" s="11" t="s">
        <v>35</v>
      </c>
      <c r="N6" s="12"/>
      <c r="O6" s="11" t="s">
        <v>62</v>
      </c>
      <c r="P6" s="11" t="s">
        <v>34</v>
      </c>
      <c r="Q6" s="11" t="s">
        <v>39</v>
      </c>
      <c r="R6" s="12"/>
      <c r="S6" s="11">
        <v>520</v>
      </c>
      <c r="T6" s="11" t="str">
        <f>"321,2040"</f>
        <v>321,2040</v>
      </c>
      <c r="U6" s="11" t="s">
        <v>24</v>
      </c>
    </row>
    <row r="7" spans="1:24" x14ac:dyDescent="0.2">
      <c r="A7" s="11" t="s">
        <v>119</v>
      </c>
      <c r="B7" s="11" t="s">
        <v>172</v>
      </c>
      <c r="C7" s="11" t="s">
        <v>173</v>
      </c>
      <c r="D7" s="11" t="str">
        <f>"0,6149"</f>
        <v>0,6149</v>
      </c>
      <c r="E7" s="11" t="s">
        <v>21</v>
      </c>
      <c r="F7" s="11" t="s">
        <v>120</v>
      </c>
      <c r="G7" s="11" t="s">
        <v>34</v>
      </c>
      <c r="H7" s="11" t="s">
        <v>32</v>
      </c>
      <c r="I7" s="11" t="s">
        <v>42</v>
      </c>
      <c r="J7" s="12"/>
      <c r="K7" s="11" t="s">
        <v>78</v>
      </c>
      <c r="L7" s="11" t="s">
        <v>61</v>
      </c>
      <c r="M7" s="11" t="s">
        <v>95</v>
      </c>
      <c r="N7" s="12"/>
      <c r="O7" s="11" t="s">
        <v>49</v>
      </c>
      <c r="P7" s="12" t="s">
        <v>103</v>
      </c>
      <c r="Q7" s="11" t="s">
        <v>103</v>
      </c>
      <c r="R7" s="12"/>
      <c r="S7" s="11">
        <v>590</v>
      </c>
      <c r="T7" s="11" t="str">
        <f>"362,7910"</f>
        <v>362,7910</v>
      </c>
      <c r="U7" s="11" t="s">
        <v>24</v>
      </c>
    </row>
    <row r="8" spans="1:24" ht="15" x14ac:dyDescent="0.2">
      <c r="A8" s="15"/>
      <c r="B8" s="15"/>
      <c r="C8" s="15"/>
      <c r="D8" s="15"/>
      <c r="E8" s="30" t="s">
        <v>99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x14ac:dyDescent="0.2">
      <c r="A9" s="13" t="s">
        <v>177</v>
      </c>
      <c r="B9" s="13" t="s">
        <v>180</v>
      </c>
      <c r="C9" s="13" t="s">
        <v>179</v>
      </c>
      <c r="D9" s="13" t="str">
        <f>"0,5641"</f>
        <v>0,5641</v>
      </c>
      <c r="E9" s="13" t="s">
        <v>21</v>
      </c>
      <c r="F9" s="13" t="s">
        <v>91</v>
      </c>
      <c r="G9" s="13" t="s">
        <v>41</v>
      </c>
      <c r="H9" s="14" t="s">
        <v>86</v>
      </c>
      <c r="I9" s="14" t="s">
        <v>52</v>
      </c>
      <c r="J9" s="14"/>
      <c r="K9" s="13" t="s">
        <v>31</v>
      </c>
      <c r="L9" s="13" t="s">
        <v>96</v>
      </c>
      <c r="M9" s="13" t="s">
        <v>64</v>
      </c>
      <c r="N9" s="14"/>
      <c r="O9" s="9" t="s">
        <v>49</v>
      </c>
      <c r="P9" s="9" t="s">
        <v>0</v>
      </c>
      <c r="Q9" s="9" t="s">
        <v>87</v>
      </c>
      <c r="R9" s="14"/>
      <c r="S9" s="9" t="s">
        <v>122</v>
      </c>
      <c r="T9" s="13" t="str">
        <f>"363,8286"</f>
        <v>363,8286</v>
      </c>
      <c r="U9" s="13" t="s">
        <v>24</v>
      </c>
    </row>
    <row r="10" spans="1:24" x14ac:dyDescent="0.2">
      <c r="A10" s="9" t="s">
        <v>177</v>
      </c>
      <c r="B10" s="9" t="s">
        <v>178</v>
      </c>
      <c r="C10" s="9" t="s">
        <v>179</v>
      </c>
      <c r="D10" s="9" t="str">
        <f>"0,5408"</f>
        <v>0,5408</v>
      </c>
      <c r="E10" s="9" t="s">
        <v>21</v>
      </c>
      <c r="F10" s="9" t="s">
        <v>91</v>
      </c>
      <c r="G10" s="13" t="s">
        <v>41</v>
      </c>
      <c r="H10" s="14" t="s">
        <v>86</v>
      </c>
      <c r="I10" s="14" t="s">
        <v>52</v>
      </c>
      <c r="J10" s="10"/>
      <c r="K10" s="9" t="s">
        <v>31</v>
      </c>
      <c r="L10" s="9" t="s">
        <v>96</v>
      </c>
      <c r="M10" s="9" t="s">
        <v>64</v>
      </c>
      <c r="N10" s="10"/>
      <c r="O10" s="9" t="s">
        <v>49</v>
      </c>
      <c r="P10" s="9" t="s">
        <v>0</v>
      </c>
      <c r="Q10" s="9" t="s">
        <v>87</v>
      </c>
      <c r="R10" s="10"/>
      <c r="S10" s="9" t="s">
        <v>122</v>
      </c>
      <c r="T10" s="9" t="str">
        <f>"343,4207"</f>
        <v>343,4207</v>
      </c>
      <c r="U10" s="9" t="s">
        <v>24</v>
      </c>
    </row>
  </sheetData>
  <mergeCells count="15">
    <mergeCell ref="E3:E4"/>
    <mergeCell ref="F3:F4"/>
    <mergeCell ref="G3:J3"/>
    <mergeCell ref="K3:N3"/>
    <mergeCell ref="O3:R3"/>
    <mergeCell ref="E8:X8"/>
    <mergeCell ref="S3:S4"/>
    <mergeCell ref="T3:T4"/>
    <mergeCell ref="U3:U4"/>
    <mergeCell ref="A5:T5"/>
    <mergeCell ref="A1:U2"/>
    <mergeCell ref="A3:A4"/>
    <mergeCell ref="B3:B4"/>
    <mergeCell ref="C3:C4"/>
    <mergeCell ref="D3:D4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A7" workbookViewId="0">
      <selection activeCell="A13" sqref="A13:IV40"/>
    </sheetView>
  </sheetViews>
  <sheetFormatPr defaultRowHeight="12.75" x14ac:dyDescent="0.2"/>
  <cols>
    <col min="1" max="1" width="26" style="4" bestFit="1" customWidth="1"/>
    <col min="2" max="2" width="26.855468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4.140625" style="4" bestFit="1" customWidth="1"/>
    <col min="7" max="9" width="5.5703125" style="4" bestFit="1" customWidth="1"/>
    <col min="10" max="10" width="4.5703125" style="4" bestFit="1" customWidth="1"/>
    <col min="11" max="13" width="5.5703125" style="4" bestFit="1" customWidth="1"/>
    <col min="14" max="14" width="4.5703125" style="4" bestFit="1" customWidth="1"/>
    <col min="15" max="17" width="5.5703125" style="4" bestFit="1" customWidth="1"/>
    <col min="18" max="18" width="4.5703125" style="4" bestFit="1" customWidth="1"/>
    <col min="19" max="19" width="7.85546875" style="4" bestFit="1" customWidth="1"/>
    <col min="20" max="20" width="8.5703125" style="4" bestFit="1" customWidth="1"/>
    <col min="21" max="21" width="8.85546875" style="4" bestFit="1" customWidth="1"/>
  </cols>
  <sheetData>
    <row r="1" spans="1:21" s="1" customFormat="1" ht="15" customHeight="1" x14ac:dyDescent="0.2">
      <c r="A1" s="21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</row>
    <row r="2" spans="1:21" s="1" customFormat="1" ht="81.7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s="2" customFormat="1" ht="12.75" customHeight="1" x14ac:dyDescent="0.2">
      <c r="A3" s="27" t="s">
        <v>7</v>
      </c>
      <c r="B3" s="29" t="s">
        <v>19</v>
      </c>
      <c r="C3" s="17" t="s">
        <v>12</v>
      </c>
      <c r="D3" s="17" t="s">
        <v>17</v>
      </c>
      <c r="E3" s="17" t="s">
        <v>15</v>
      </c>
      <c r="F3" s="17" t="s">
        <v>18</v>
      </c>
      <c r="G3" s="17" t="s">
        <v>8</v>
      </c>
      <c r="H3" s="17"/>
      <c r="I3" s="17"/>
      <c r="J3" s="17"/>
      <c r="K3" s="17" t="s">
        <v>9</v>
      </c>
      <c r="L3" s="17"/>
      <c r="M3" s="17"/>
      <c r="N3" s="17"/>
      <c r="O3" s="17" t="s">
        <v>10</v>
      </c>
      <c r="P3" s="17"/>
      <c r="Q3" s="17"/>
      <c r="R3" s="17"/>
      <c r="S3" s="17" t="s">
        <v>11</v>
      </c>
      <c r="T3" s="17" t="s">
        <v>14</v>
      </c>
      <c r="U3" s="19" t="s">
        <v>13</v>
      </c>
    </row>
    <row r="4" spans="1:21" s="2" customFormat="1" ht="21" customHeight="1" thickBot="1" x14ac:dyDescent="0.25">
      <c r="A4" s="28"/>
      <c r="B4" s="18"/>
      <c r="C4" s="18"/>
      <c r="D4" s="18"/>
      <c r="E4" s="18"/>
      <c r="F4" s="18"/>
      <c r="G4" s="3">
        <v>1</v>
      </c>
      <c r="H4" s="3">
        <v>2</v>
      </c>
      <c r="I4" s="3">
        <v>3</v>
      </c>
      <c r="J4" s="3" t="s">
        <v>16</v>
      </c>
      <c r="K4" s="3">
        <v>1</v>
      </c>
      <c r="L4" s="3">
        <v>2</v>
      </c>
      <c r="M4" s="3">
        <v>3</v>
      </c>
      <c r="N4" s="3" t="s">
        <v>16</v>
      </c>
      <c r="O4" s="3">
        <v>1</v>
      </c>
      <c r="P4" s="3">
        <v>2</v>
      </c>
      <c r="Q4" s="3">
        <v>3</v>
      </c>
      <c r="R4" s="3" t="s">
        <v>16</v>
      </c>
      <c r="S4" s="18"/>
      <c r="T4" s="18"/>
      <c r="U4" s="20"/>
    </row>
    <row r="5" spans="1:21" ht="15" x14ac:dyDescent="0.2">
      <c r="A5" s="31" t="s">
        <v>37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1" x14ac:dyDescent="0.2">
      <c r="A6" s="9" t="s">
        <v>169</v>
      </c>
      <c r="B6" s="9" t="s">
        <v>170</v>
      </c>
      <c r="C6" s="9" t="s">
        <v>171</v>
      </c>
      <c r="D6" s="9" t="str">
        <f>"0,6363"</f>
        <v>0,6363</v>
      </c>
      <c r="E6" s="9" t="s">
        <v>21</v>
      </c>
      <c r="F6" s="9" t="s">
        <v>22</v>
      </c>
      <c r="G6" s="9" t="s">
        <v>31</v>
      </c>
      <c r="H6" s="10" t="s">
        <v>34</v>
      </c>
      <c r="I6" s="10"/>
      <c r="J6" s="10"/>
      <c r="K6" s="10" t="s">
        <v>29</v>
      </c>
      <c r="L6" s="9" t="s">
        <v>29</v>
      </c>
      <c r="M6" s="10"/>
      <c r="N6" s="10"/>
      <c r="O6" s="10" t="s">
        <v>49</v>
      </c>
      <c r="P6" s="9" t="s">
        <v>49</v>
      </c>
      <c r="Q6" s="10" t="s">
        <v>87</v>
      </c>
      <c r="R6" s="10"/>
      <c r="S6" s="9">
        <v>530</v>
      </c>
      <c r="T6" s="9" t="str">
        <f>"337,2390"</f>
        <v>337,2390</v>
      </c>
      <c r="U6" s="9" t="s">
        <v>24</v>
      </c>
    </row>
    <row r="7" spans="1:21" x14ac:dyDescent="0.2">
      <c r="A7" s="13" t="s">
        <v>133</v>
      </c>
      <c r="B7" s="13" t="s">
        <v>134</v>
      </c>
      <c r="C7" s="13" t="s">
        <v>100</v>
      </c>
      <c r="D7" s="13" t="str">
        <f>"0,6796"</f>
        <v>0,6796</v>
      </c>
      <c r="E7" s="13" t="s">
        <v>21</v>
      </c>
      <c r="F7" s="13" t="s">
        <v>91</v>
      </c>
      <c r="G7" s="14" t="s">
        <v>28</v>
      </c>
      <c r="H7" s="14" t="s">
        <v>75</v>
      </c>
      <c r="I7" s="14" t="s">
        <v>75</v>
      </c>
      <c r="J7" s="14"/>
      <c r="K7" s="14" t="s">
        <v>23</v>
      </c>
      <c r="L7" s="14"/>
      <c r="M7" s="14"/>
      <c r="N7" s="14"/>
      <c r="O7" s="14" t="s">
        <v>23</v>
      </c>
      <c r="P7" s="14"/>
      <c r="Q7" s="14"/>
      <c r="R7" s="14"/>
      <c r="S7" s="13">
        <v>0</v>
      </c>
      <c r="T7" s="13" t="str">
        <f>"0,0000"</f>
        <v>0,0000</v>
      </c>
      <c r="U7" s="13" t="s">
        <v>24</v>
      </c>
    </row>
    <row r="9" spans="1:21" ht="15" x14ac:dyDescent="0.2">
      <c r="A9" s="30" t="s">
        <v>99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1" x14ac:dyDescent="0.2">
      <c r="A10" s="9" t="s">
        <v>177</v>
      </c>
      <c r="B10" s="9" t="s">
        <v>178</v>
      </c>
      <c r="C10" s="9" t="s">
        <v>179</v>
      </c>
      <c r="D10" s="9" t="str">
        <f>"0,5408"</f>
        <v>0,5408</v>
      </c>
      <c r="E10" s="9" t="s">
        <v>21</v>
      </c>
      <c r="F10" s="9" t="s">
        <v>91</v>
      </c>
      <c r="G10" s="9" t="s">
        <v>39</v>
      </c>
      <c r="H10" s="9" t="s">
        <v>67</v>
      </c>
      <c r="I10" s="10"/>
      <c r="J10" s="10"/>
      <c r="K10" s="9" t="s">
        <v>31</v>
      </c>
      <c r="L10" s="9" t="s">
        <v>96</v>
      </c>
      <c r="M10" s="9" t="s">
        <v>64</v>
      </c>
      <c r="N10" s="10"/>
      <c r="O10" s="13" t="s">
        <v>41</v>
      </c>
      <c r="P10" s="13" t="s">
        <v>49</v>
      </c>
      <c r="Q10" s="13" t="s">
        <v>0</v>
      </c>
      <c r="R10" s="10"/>
      <c r="S10" s="9">
        <v>635</v>
      </c>
      <c r="T10" s="9" t="str">
        <f>"343,4207"</f>
        <v>343,4207</v>
      </c>
      <c r="U10" s="9" t="s">
        <v>24</v>
      </c>
    </row>
    <row r="11" spans="1:21" x14ac:dyDescent="0.2">
      <c r="A11" s="13" t="s">
        <v>177</v>
      </c>
      <c r="B11" s="13" t="s">
        <v>180</v>
      </c>
      <c r="C11" s="13" t="s">
        <v>179</v>
      </c>
      <c r="D11" s="13" t="str">
        <f>"0,5641"</f>
        <v>0,5641</v>
      </c>
      <c r="E11" s="13" t="s">
        <v>21</v>
      </c>
      <c r="F11" s="13" t="s">
        <v>91</v>
      </c>
      <c r="G11" s="9" t="s">
        <v>39</v>
      </c>
      <c r="H11" s="9" t="s">
        <v>67</v>
      </c>
      <c r="I11" s="10"/>
      <c r="J11" s="14"/>
      <c r="K11" s="13" t="s">
        <v>31</v>
      </c>
      <c r="L11" s="13" t="s">
        <v>96</v>
      </c>
      <c r="M11" s="13" t="s">
        <v>64</v>
      </c>
      <c r="N11" s="14"/>
      <c r="O11" s="13" t="s">
        <v>41</v>
      </c>
      <c r="P11" s="13" t="s">
        <v>49</v>
      </c>
      <c r="Q11" s="13" t="s">
        <v>0</v>
      </c>
      <c r="R11" s="14"/>
      <c r="S11" s="13">
        <v>645</v>
      </c>
      <c r="T11" s="13" t="str">
        <f>"363,8286"</f>
        <v>363,8286</v>
      </c>
      <c r="U11" s="13" t="s">
        <v>24</v>
      </c>
    </row>
  </sheetData>
  <mergeCells count="15">
    <mergeCell ref="E3:E4"/>
    <mergeCell ref="F3:F4"/>
    <mergeCell ref="G3:J3"/>
    <mergeCell ref="K3:N3"/>
    <mergeCell ref="O3:R3"/>
    <mergeCell ref="A9:T9"/>
    <mergeCell ref="S3:S4"/>
    <mergeCell ref="T3:T4"/>
    <mergeCell ref="U3:U4"/>
    <mergeCell ref="A5:T5"/>
    <mergeCell ref="A1:U2"/>
    <mergeCell ref="A3:A4"/>
    <mergeCell ref="B3:B4"/>
    <mergeCell ref="C3:C4"/>
    <mergeCell ref="D3:D4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28" workbookViewId="0">
      <selection activeCell="A43" sqref="A43"/>
    </sheetView>
  </sheetViews>
  <sheetFormatPr defaultRowHeight="12.75" x14ac:dyDescent="0.2"/>
  <cols>
    <col min="1" max="1" width="26" style="4" bestFit="1" customWidth="1"/>
    <col min="2" max="2" width="26.855468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4.140625" style="4" bestFit="1" customWidth="1"/>
    <col min="7" max="10" width="5.5703125" style="4" bestFit="1" customWidth="1"/>
    <col min="11" max="11" width="7.85546875" style="4" bestFit="1" customWidth="1"/>
    <col min="12" max="12" width="8.5703125" style="4" bestFit="1" customWidth="1"/>
    <col min="13" max="13" width="14.28515625" style="4" bestFit="1" customWidth="1"/>
  </cols>
  <sheetData>
    <row r="1" spans="1:13" s="1" customFormat="1" ht="15" customHeight="1" x14ac:dyDescent="0.2">
      <c r="A1" s="21" t="s">
        <v>251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1" customFormat="1" ht="81.7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s="2" customFormat="1" ht="12.75" customHeight="1" x14ac:dyDescent="0.2">
      <c r="A3" s="27" t="s">
        <v>7</v>
      </c>
      <c r="B3" s="29" t="s">
        <v>19</v>
      </c>
      <c r="C3" s="17" t="s">
        <v>12</v>
      </c>
      <c r="D3" s="17" t="s">
        <v>17</v>
      </c>
      <c r="E3" s="17" t="s">
        <v>15</v>
      </c>
      <c r="F3" s="17" t="s">
        <v>18</v>
      </c>
      <c r="G3" s="17" t="s">
        <v>9</v>
      </c>
      <c r="H3" s="17"/>
      <c r="I3" s="17"/>
      <c r="J3" s="17"/>
      <c r="K3" s="17" t="s">
        <v>11</v>
      </c>
      <c r="L3" s="17" t="s">
        <v>14</v>
      </c>
      <c r="M3" s="19" t="s">
        <v>13</v>
      </c>
    </row>
    <row r="4" spans="1:13" s="2" customFormat="1" ht="21" customHeight="1" thickBot="1" x14ac:dyDescent="0.25">
      <c r="A4" s="28"/>
      <c r="B4" s="18"/>
      <c r="C4" s="18"/>
      <c r="D4" s="18"/>
      <c r="E4" s="18"/>
      <c r="F4" s="18"/>
      <c r="G4" s="3">
        <v>1</v>
      </c>
      <c r="H4" s="3">
        <v>2</v>
      </c>
      <c r="I4" s="3">
        <v>3</v>
      </c>
      <c r="J4" s="3" t="s">
        <v>16</v>
      </c>
      <c r="K4" s="18"/>
      <c r="L4" s="18"/>
      <c r="M4" s="20"/>
    </row>
    <row r="5" spans="1:13" ht="15" x14ac:dyDescent="0.2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x14ac:dyDescent="0.2">
      <c r="A6" s="7" t="s">
        <v>143</v>
      </c>
      <c r="B6" s="7" t="s">
        <v>144</v>
      </c>
      <c r="C6" s="7" t="s">
        <v>145</v>
      </c>
      <c r="D6" s="7" t="str">
        <f>"0,7993"</f>
        <v>0,7993</v>
      </c>
      <c r="E6" s="7" t="s">
        <v>21</v>
      </c>
      <c r="F6" s="7" t="s">
        <v>146</v>
      </c>
      <c r="G6" s="7" t="s">
        <v>45</v>
      </c>
      <c r="H6" s="7" t="s">
        <v>28</v>
      </c>
      <c r="I6" s="7" t="s">
        <v>102</v>
      </c>
      <c r="J6" s="8" t="s">
        <v>75</v>
      </c>
      <c r="K6" s="7">
        <v>122.5</v>
      </c>
      <c r="L6" s="7" t="str">
        <f>"97,9081"</f>
        <v>97,9081</v>
      </c>
      <c r="M6" s="7" t="s">
        <v>147</v>
      </c>
    </row>
    <row r="8" spans="1:13" ht="15" x14ac:dyDescent="0.2">
      <c r="A8" s="30" t="s">
        <v>20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x14ac:dyDescent="0.2">
      <c r="A9" s="7" t="s">
        <v>148</v>
      </c>
      <c r="B9" s="7" t="s">
        <v>149</v>
      </c>
      <c r="C9" s="7" t="s">
        <v>118</v>
      </c>
      <c r="D9" s="7" t="str">
        <f>"0,9833"</f>
        <v>0,9833</v>
      </c>
      <c r="E9" s="7" t="s">
        <v>21</v>
      </c>
      <c r="F9" s="7" t="s">
        <v>44</v>
      </c>
      <c r="G9" s="7" t="s">
        <v>88</v>
      </c>
      <c r="H9" s="7" t="s">
        <v>111</v>
      </c>
      <c r="I9" s="8" t="s">
        <v>70</v>
      </c>
      <c r="J9" s="8"/>
      <c r="K9" s="7">
        <v>35</v>
      </c>
      <c r="L9" s="7" t="str">
        <f>"34,4138"</f>
        <v>34,4138</v>
      </c>
      <c r="M9" s="7" t="s">
        <v>24</v>
      </c>
    </row>
    <row r="11" spans="1:13" ht="15" x14ac:dyDescent="0.2">
      <c r="A11" s="30" t="s">
        <v>33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3" x14ac:dyDescent="0.2">
      <c r="A12" s="7" t="s">
        <v>150</v>
      </c>
      <c r="B12" s="7" t="s">
        <v>151</v>
      </c>
      <c r="C12" s="7" t="s">
        <v>132</v>
      </c>
      <c r="D12" s="7" t="str">
        <f>"0,6567"</f>
        <v>0,6567</v>
      </c>
      <c r="E12" s="7" t="s">
        <v>21</v>
      </c>
      <c r="F12" s="7" t="s">
        <v>22</v>
      </c>
      <c r="G12" s="7" t="s">
        <v>152</v>
      </c>
      <c r="H12" s="8" t="s">
        <v>34</v>
      </c>
      <c r="I12" s="8" t="s">
        <v>34</v>
      </c>
      <c r="J12" s="8"/>
      <c r="K12" s="7">
        <v>172.5</v>
      </c>
      <c r="L12" s="7" t="str">
        <f>"113,2808"</f>
        <v>113,2808</v>
      </c>
      <c r="M12" s="7" t="s">
        <v>24</v>
      </c>
    </row>
    <row r="14" spans="1:13" ht="15" x14ac:dyDescent="0.2">
      <c r="A14" s="30" t="s">
        <v>37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x14ac:dyDescent="0.2">
      <c r="A15" s="7" t="s">
        <v>115</v>
      </c>
      <c r="B15" s="7" t="s">
        <v>153</v>
      </c>
      <c r="C15" s="7" t="s">
        <v>154</v>
      </c>
      <c r="D15" s="7" t="str">
        <f>"0,6161"</f>
        <v>0,6161</v>
      </c>
      <c r="E15" s="7" t="s">
        <v>21</v>
      </c>
      <c r="F15" s="7" t="s">
        <v>22</v>
      </c>
      <c r="G15" s="7" t="s">
        <v>62</v>
      </c>
      <c r="H15" s="8" t="s">
        <v>31</v>
      </c>
      <c r="I15" s="7" t="s">
        <v>31</v>
      </c>
      <c r="J15" s="8"/>
      <c r="K15" s="7">
        <v>170</v>
      </c>
      <c r="L15" s="7" t="str">
        <f>"104,7285"</f>
        <v>104,7285</v>
      </c>
      <c r="M15" s="7" t="s">
        <v>24</v>
      </c>
    </row>
    <row r="17" spans="1:13" ht="15" x14ac:dyDescent="0.2">
      <c r="A17" s="30" t="s">
        <v>65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3" x14ac:dyDescent="0.2">
      <c r="A18" s="9" t="s">
        <v>113</v>
      </c>
      <c r="B18" s="9" t="s">
        <v>155</v>
      </c>
      <c r="C18" s="9" t="s">
        <v>156</v>
      </c>
      <c r="D18" s="9" t="str">
        <f>"0,5825"</f>
        <v>0,5825</v>
      </c>
      <c r="E18" s="9" t="s">
        <v>21</v>
      </c>
      <c r="F18" s="9" t="s">
        <v>22</v>
      </c>
      <c r="G18" s="9" t="s">
        <v>62</v>
      </c>
      <c r="H18" s="9" t="s">
        <v>31</v>
      </c>
      <c r="I18" s="9" t="s">
        <v>152</v>
      </c>
      <c r="J18" s="10"/>
      <c r="K18" s="9">
        <v>172.5</v>
      </c>
      <c r="L18" s="9" t="str">
        <f>"100,4899"</f>
        <v>100,4899</v>
      </c>
      <c r="M18" s="9" t="s">
        <v>24</v>
      </c>
    </row>
    <row r="19" spans="1:13" x14ac:dyDescent="0.2">
      <c r="A19" s="11" t="s">
        <v>113</v>
      </c>
      <c r="B19" s="11" t="s">
        <v>157</v>
      </c>
      <c r="C19" s="11" t="s">
        <v>156</v>
      </c>
      <c r="D19" s="11" t="str">
        <f>"0,5825"</f>
        <v>0,5825</v>
      </c>
      <c r="E19" s="11" t="s">
        <v>21</v>
      </c>
      <c r="F19" s="11" t="s">
        <v>22</v>
      </c>
      <c r="G19" s="11" t="s">
        <v>62</v>
      </c>
      <c r="H19" s="11" t="s">
        <v>31</v>
      </c>
      <c r="I19" s="11" t="s">
        <v>152</v>
      </c>
      <c r="J19" s="12"/>
      <c r="K19" s="11">
        <v>172.5</v>
      </c>
      <c r="L19" s="11" t="str">
        <f>"100,4899"</f>
        <v>100,4899</v>
      </c>
      <c r="M19" s="11" t="s">
        <v>24</v>
      </c>
    </row>
    <row r="20" spans="1:13" x14ac:dyDescent="0.2">
      <c r="A20" s="13" t="s">
        <v>2</v>
      </c>
      <c r="B20" s="13" t="s">
        <v>135</v>
      </c>
      <c r="C20" s="13" t="s">
        <v>136</v>
      </c>
      <c r="D20" s="13" t="str">
        <f>"0,7234"</f>
        <v>0,7234</v>
      </c>
      <c r="E20" s="13" t="s">
        <v>21</v>
      </c>
      <c r="F20" s="13" t="s">
        <v>91</v>
      </c>
      <c r="G20" s="13" t="s">
        <v>35</v>
      </c>
      <c r="H20" s="13" t="s">
        <v>61</v>
      </c>
      <c r="I20" s="13" t="s">
        <v>62</v>
      </c>
      <c r="J20" s="14"/>
      <c r="K20" s="13">
        <v>160</v>
      </c>
      <c r="L20" s="13" t="str">
        <f>"115,7380"</f>
        <v>115,7380</v>
      </c>
      <c r="M20" s="13" t="s">
        <v>24</v>
      </c>
    </row>
    <row r="22" spans="1:13" ht="15" x14ac:dyDescent="0.2">
      <c r="A22" s="30" t="s">
        <v>43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3" x14ac:dyDescent="0.2">
      <c r="A23" s="7" t="s">
        <v>158</v>
      </c>
      <c r="B23" s="7" t="s">
        <v>159</v>
      </c>
      <c r="C23" s="7" t="s">
        <v>116</v>
      </c>
      <c r="D23" s="7" t="str">
        <f>"0,5625"</f>
        <v>0,5625</v>
      </c>
      <c r="E23" s="7" t="s">
        <v>21</v>
      </c>
      <c r="F23" s="7" t="s">
        <v>54</v>
      </c>
      <c r="G23" s="7" t="s">
        <v>68</v>
      </c>
      <c r="H23" s="8" t="s">
        <v>36</v>
      </c>
      <c r="I23" s="8" t="s">
        <v>36</v>
      </c>
      <c r="J23" s="8"/>
      <c r="K23" s="7">
        <v>205</v>
      </c>
      <c r="L23" s="7" t="str">
        <f>"115,3125"</f>
        <v>115,3125</v>
      </c>
      <c r="M23" s="7" t="s">
        <v>24</v>
      </c>
    </row>
    <row r="25" spans="1:13" ht="15" x14ac:dyDescent="0.2">
      <c r="A25" s="30" t="s">
        <v>53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3" x14ac:dyDescent="0.2">
      <c r="A26" s="9" t="s">
        <v>117</v>
      </c>
      <c r="B26" s="9" t="s">
        <v>160</v>
      </c>
      <c r="C26" s="9" t="s">
        <v>161</v>
      </c>
      <c r="D26" s="9" t="str">
        <f>"0,5525"</f>
        <v>0,5525</v>
      </c>
      <c r="E26" s="9" t="s">
        <v>21</v>
      </c>
      <c r="F26" s="9" t="s">
        <v>105</v>
      </c>
      <c r="G26" s="9" t="s">
        <v>40</v>
      </c>
      <c r="H26" s="10" t="s">
        <v>41</v>
      </c>
      <c r="I26" s="10" t="s">
        <v>41</v>
      </c>
      <c r="J26" s="10"/>
      <c r="K26" s="9">
        <v>215</v>
      </c>
      <c r="L26" s="9" t="str">
        <f>"118,7768"</f>
        <v>118,7768</v>
      </c>
      <c r="M26" s="9" t="s">
        <v>24</v>
      </c>
    </row>
    <row r="27" spans="1:13" x14ac:dyDescent="0.2">
      <c r="A27" s="11" t="s">
        <v>162</v>
      </c>
      <c r="B27" s="11" t="s">
        <v>163</v>
      </c>
      <c r="C27" s="11" t="s">
        <v>164</v>
      </c>
      <c r="D27" s="11" t="str">
        <f>"0,7397"</f>
        <v>0,7397</v>
      </c>
      <c r="E27" s="11" t="s">
        <v>21</v>
      </c>
      <c r="F27" s="11" t="s">
        <v>165</v>
      </c>
      <c r="G27" s="11" t="s">
        <v>25</v>
      </c>
      <c r="H27" s="11" t="s">
        <v>73</v>
      </c>
      <c r="I27" s="11" t="s">
        <v>45</v>
      </c>
      <c r="J27" s="12"/>
      <c r="K27" s="11">
        <v>115</v>
      </c>
      <c r="L27" s="11" t="str">
        <f>"85,0632"</f>
        <v>85,0632</v>
      </c>
      <c r="M27" s="11" t="s">
        <v>24</v>
      </c>
    </row>
    <row r="28" spans="1:13" x14ac:dyDescent="0.2">
      <c r="A28" s="13" t="s">
        <v>166</v>
      </c>
      <c r="B28" s="13" t="s">
        <v>167</v>
      </c>
      <c r="C28" s="13" t="s">
        <v>168</v>
      </c>
      <c r="D28" s="13" t="str">
        <f>"0,8395"</f>
        <v>0,8395</v>
      </c>
      <c r="E28" s="13" t="s">
        <v>21</v>
      </c>
      <c r="F28" s="13" t="s">
        <v>22</v>
      </c>
      <c r="G28" s="13" t="s">
        <v>29</v>
      </c>
      <c r="H28" s="13" t="s">
        <v>38</v>
      </c>
      <c r="I28" s="13" t="s">
        <v>35</v>
      </c>
      <c r="J28" s="14"/>
      <c r="K28" s="13">
        <v>140</v>
      </c>
      <c r="L28" s="13" t="str">
        <f>"117,5316"</f>
        <v>117,5316</v>
      </c>
      <c r="M28" s="13" t="s">
        <v>24</v>
      </c>
    </row>
  </sheetData>
  <mergeCells count="18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A22:L22"/>
    <mergeCell ref="A25:L25"/>
    <mergeCell ref="A8:L8"/>
    <mergeCell ref="A11:L11"/>
    <mergeCell ref="A14:L14"/>
    <mergeCell ref="A17:L17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workbookViewId="0">
      <selection activeCell="B25" sqref="B25"/>
    </sheetView>
  </sheetViews>
  <sheetFormatPr defaultRowHeight="12.75" x14ac:dyDescent="0.2"/>
  <cols>
    <col min="1" max="1" width="26" style="4" bestFit="1" customWidth="1"/>
    <col min="2" max="2" width="26.855468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4.140625" style="4" bestFit="1" customWidth="1"/>
    <col min="7" max="9" width="5.5703125" style="4" bestFit="1" customWidth="1"/>
    <col min="10" max="10" width="4.5703125" style="4" bestFit="1" customWidth="1"/>
    <col min="11" max="13" width="5.5703125" style="4" bestFit="1" customWidth="1"/>
    <col min="14" max="14" width="4.5703125" style="4" bestFit="1" customWidth="1"/>
    <col min="15" max="17" width="5.5703125" style="4" bestFit="1" customWidth="1"/>
    <col min="18" max="18" width="4.5703125" style="4" bestFit="1" customWidth="1"/>
    <col min="19" max="19" width="7.85546875" style="4" bestFit="1" customWidth="1"/>
    <col min="20" max="20" width="8.5703125" style="4" bestFit="1" customWidth="1"/>
    <col min="21" max="21" width="8.85546875" style="4" bestFit="1" customWidth="1"/>
  </cols>
  <sheetData>
    <row r="1" spans="1:21" s="1" customFormat="1" ht="15" customHeight="1" x14ac:dyDescent="0.2">
      <c r="A1" s="21" t="s">
        <v>259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</row>
    <row r="2" spans="1:21" s="1" customFormat="1" ht="81.7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s="2" customFormat="1" ht="12.75" customHeight="1" x14ac:dyDescent="0.2">
      <c r="A3" s="27" t="s">
        <v>7</v>
      </c>
      <c r="B3" s="29" t="s">
        <v>19</v>
      </c>
      <c r="C3" s="17" t="s">
        <v>12</v>
      </c>
      <c r="D3" s="17" t="s">
        <v>17</v>
      </c>
      <c r="E3" s="17" t="s">
        <v>15</v>
      </c>
      <c r="F3" s="17" t="s">
        <v>18</v>
      </c>
      <c r="G3" s="17" t="s">
        <v>8</v>
      </c>
      <c r="H3" s="17"/>
      <c r="I3" s="17"/>
      <c r="J3" s="17"/>
      <c r="K3" s="17" t="s">
        <v>9</v>
      </c>
      <c r="L3" s="17"/>
      <c r="M3" s="17"/>
      <c r="N3" s="17"/>
      <c r="O3" s="17" t="s">
        <v>10</v>
      </c>
      <c r="P3" s="17"/>
      <c r="Q3" s="17"/>
      <c r="R3" s="17"/>
      <c r="S3" s="17" t="s">
        <v>11</v>
      </c>
      <c r="T3" s="17" t="s">
        <v>14</v>
      </c>
      <c r="U3" s="19" t="s">
        <v>13</v>
      </c>
    </row>
    <row r="4" spans="1:21" s="2" customFormat="1" ht="21" customHeight="1" thickBot="1" x14ac:dyDescent="0.25">
      <c r="A4" s="28"/>
      <c r="B4" s="18"/>
      <c r="C4" s="18"/>
      <c r="D4" s="18"/>
      <c r="E4" s="18"/>
      <c r="F4" s="18"/>
      <c r="G4" s="3">
        <v>1</v>
      </c>
      <c r="H4" s="3">
        <v>2</v>
      </c>
      <c r="I4" s="3">
        <v>3</v>
      </c>
      <c r="J4" s="3" t="s">
        <v>16</v>
      </c>
      <c r="K4" s="3">
        <v>1</v>
      </c>
      <c r="L4" s="3">
        <v>2</v>
      </c>
      <c r="M4" s="3">
        <v>3</v>
      </c>
      <c r="N4" s="3" t="s">
        <v>16</v>
      </c>
      <c r="O4" s="3">
        <v>1</v>
      </c>
      <c r="P4" s="3">
        <v>2</v>
      </c>
      <c r="Q4" s="3">
        <v>3</v>
      </c>
      <c r="R4" s="3" t="s">
        <v>16</v>
      </c>
      <c r="S4" s="18"/>
      <c r="T4" s="18"/>
      <c r="U4" s="20"/>
    </row>
    <row r="5" spans="1:21" ht="15" x14ac:dyDescent="0.2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1" x14ac:dyDescent="0.2">
      <c r="A6" s="7" t="s">
        <v>130</v>
      </c>
      <c r="B6" s="7" t="s">
        <v>131</v>
      </c>
      <c r="C6" s="7" t="s">
        <v>132</v>
      </c>
      <c r="D6" s="7" t="str">
        <f>"0,6567"</f>
        <v>0,6567</v>
      </c>
      <c r="E6" s="7" t="s">
        <v>21</v>
      </c>
      <c r="F6" s="7" t="s">
        <v>22</v>
      </c>
      <c r="G6" s="7" t="s">
        <v>45</v>
      </c>
      <c r="H6" s="7" t="s">
        <v>83</v>
      </c>
      <c r="I6" s="7" t="s">
        <v>35</v>
      </c>
      <c r="J6" s="8"/>
      <c r="K6" s="7" t="s">
        <v>73</v>
      </c>
      <c r="L6" s="8" t="s">
        <v>75</v>
      </c>
      <c r="M6" s="8"/>
      <c r="N6" s="8"/>
      <c r="O6" s="7" t="s">
        <v>39</v>
      </c>
      <c r="P6" s="7" t="s">
        <v>40</v>
      </c>
      <c r="Q6" s="7" t="s">
        <v>101</v>
      </c>
      <c r="R6" s="8"/>
      <c r="S6" s="7">
        <v>467.5</v>
      </c>
      <c r="T6" s="7" t="str">
        <f>"307,0073"</f>
        <v>307,0073</v>
      </c>
      <c r="U6" s="7" t="s">
        <v>24</v>
      </c>
    </row>
    <row r="8" spans="1:21" ht="15" x14ac:dyDescent="0.2">
      <c r="A8" s="30" t="s">
        <v>37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1" x14ac:dyDescent="0.2">
      <c r="A9" s="7" t="s">
        <v>133</v>
      </c>
      <c r="B9" s="7" t="s">
        <v>134</v>
      </c>
      <c r="C9" s="7" t="s">
        <v>100</v>
      </c>
      <c r="D9" s="7" t="str">
        <f>"0,6796"</f>
        <v>0,6796</v>
      </c>
      <c r="E9" s="7" t="s">
        <v>21</v>
      </c>
      <c r="F9" s="7" t="s">
        <v>91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7"/>
      <c r="T9" s="7"/>
      <c r="U9" s="7" t="s">
        <v>24</v>
      </c>
    </row>
    <row r="11" spans="1:21" ht="15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1" x14ac:dyDescent="0.2">
      <c r="A12" s="7" t="s">
        <v>137</v>
      </c>
      <c r="B12" s="7" t="s">
        <v>138</v>
      </c>
      <c r="C12" s="7" t="s">
        <v>139</v>
      </c>
      <c r="D12" s="7" t="str">
        <f>"0,5655"</f>
        <v>0,5655</v>
      </c>
      <c r="E12" s="7" t="s">
        <v>21</v>
      </c>
      <c r="F12" s="7" t="s">
        <v>140</v>
      </c>
      <c r="G12" s="7" t="s">
        <v>121</v>
      </c>
      <c r="H12" s="7" t="s">
        <v>141</v>
      </c>
      <c r="I12" s="7" t="s">
        <v>108</v>
      </c>
      <c r="J12" s="8"/>
      <c r="K12" s="7" t="s">
        <v>39</v>
      </c>
      <c r="L12" s="7" t="s">
        <v>67</v>
      </c>
      <c r="M12" s="7" t="s">
        <v>66</v>
      </c>
      <c r="N12" s="8"/>
      <c r="O12" s="7" t="s">
        <v>142</v>
      </c>
      <c r="P12" s="7" t="s">
        <v>84</v>
      </c>
      <c r="Q12" s="7" t="s">
        <v>141</v>
      </c>
      <c r="R12" s="8"/>
      <c r="S12" s="7">
        <v>855</v>
      </c>
      <c r="T12" s="7" t="str">
        <f>"483,5025"</f>
        <v>483,5025</v>
      </c>
      <c r="U12" s="7" t="s">
        <v>24</v>
      </c>
    </row>
  </sheetData>
  <mergeCells count="16">
    <mergeCell ref="U3:U4"/>
    <mergeCell ref="A1:U2"/>
    <mergeCell ref="A3:A4"/>
    <mergeCell ref="B3:B4"/>
    <mergeCell ref="C3:C4"/>
    <mergeCell ref="D3:D4"/>
    <mergeCell ref="E3:E4"/>
    <mergeCell ref="F3:F4"/>
    <mergeCell ref="A8:T8"/>
    <mergeCell ref="A11:T11"/>
    <mergeCell ref="G3:J3"/>
    <mergeCell ref="K3:N3"/>
    <mergeCell ref="O3:R3"/>
    <mergeCell ref="A5:T5"/>
    <mergeCell ref="S3:S4"/>
    <mergeCell ref="T3:T4"/>
  </mergeCells>
  <phoneticPr fontId="8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AWPC тяга становая без экипиро</vt:lpstr>
      <vt:lpstr>WPC тяга становая без экипиров</vt:lpstr>
      <vt:lpstr>AWPC жим лежа в однослойной эк</vt:lpstr>
      <vt:lpstr>AWPC жим лежа без экипировки</vt:lpstr>
      <vt:lpstr>AWPC жим лежа в многослойн</vt:lpstr>
      <vt:lpstr>AWPC пауэрлифтинг classic</vt:lpstr>
      <vt:lpstr>AWPC пауэрлифтинг без экипиров</vt:lpstr>
      <vt:lpstr>WPC жим лежа без экипировки</vt:lpstr>
      <vt:lpstr>WPC пауэрлифтинг без экипировк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</cp:lastModifiedBy>
  <cp:lastPrinted>2008-02-22T21:19:39Z</cp:lastPrinted>
  <dcterms:created xsi:type="dcterms:W3CDTF">2002-06-16T13:36:44Z</dcterms:created>
  <dcterms:modified xsi:type="dcterms:W3CDTF">2020-10-07T00:57:41Z</dcterms:modified>
</cp:coreProperties>
</file>