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Октябрь/"/>
    </mc:Choice>
  </mc:AlternateContent>
  <xr:revisionPtr revIDLastSave="0" documentId="13_ncr:1_{DF270F73-8CE9-3D40-8E3B-AB0AAA13CA09}" xr6:coauthVersionLast="45" xr6:coauthVersionMax="45" xr10:uidLastSave="{00000000-0000-0000-0000-000000000000}"/>
  <bookViews>
    <workbookView xWindow="0" yWindow="460" windowWidth="28800" windowHeight="16140" firstSheet="8" activeTab="9" xr2:uid="{00000000-000D-0000-FFFF-FFFF00000000}"/>
  </bookViews>
  <sheets>
    <sheet name="IPL Жим без экипировки ДК" sheetId="50" r:id="rId1"/>
    <sheet name="IPL Жим без экипировки" sheetId="49" r:id="rId2"/>
    <sheet name="СПР Жим софт однопетельная ДК" sheetId="54" r:id="rId3"/>
    <sheet name="СПР Жим софт однопетельная" sheetId="53" r:id="rId4"/>
    <sheet name="СПР Жим софт многопетельная ДК" sheetId="56" r:id="rId5"/>
    <sheet name="СПР Жим софт многопетельная" sheetId="55" r:id="rId6"/>
    <sheet name="IPL Тяга без экипировки ДК" sheetId="52" r:id="rId7"/>
    <sheet name="СПР Подъем на бицепс ДК" sheetId="60" r:id="rId8"/>
    <sheet name="СПР Подъем на бицепс" sheetId="59" r:id="rId9"/>
    <sheet name="ФЖД ЖД Любители" sheetId="5" r:id="rId10"/>
    <sheet name="ФЖД ЖД Софт однослой ДК" sheetId="23" r:id="rId11"/>
    <sheet name="ФЖД ЖД Софт многослой ДК" sheetId="29" r:id="rId12"/>
    <sheet name="ФЖД ЖД Софт многослой" sheetId="26" r:id="rId13"/>
    <sheet name="ФЖД Любители жим на макс. ДК" sheetId="68" r:id="rId14"/>
  </sheets>
  <definedNames>
    <definedName name="_FilterDatabase" localSheetId="9" hidden="1">'ФЖД ЖД Любители'!$A$1:$M$3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5" l="1"/>
  <c r="K6" i="5"/>
  <c r="L6" i="5"/>
  <c r="L16" i="60" l="1"/>
  <c r="K16" i="60"/>
  <c r="E16" i="60"/>
  <c r="L13" i="60"/>
  <c r="K13" i="60"/>
  <c r="E13" i="60"/>
  <c r="L12" i="60"/>
  <c r="K12" i="60"/>
  <c r="E12" i="60"/>
  <c r="L9" i="60"/>
  <c r="K9" i="60"/>
  <c r="E9" i="60"/>
  <c r="L6" i="60"/>
  <c r="K6" i="60"/>
  <c r="E6" i="60"/>
  <c r="L6" i="59"/>
  <c r="K6" i="59"/>
  <c r="E6" i="59"/>
  <c r="L7" i="56"/>
  <c r="K7" i="56"/>
  <c r="E7" i="56"/>
  <c r="L6" i="56"/>
  <c r="K6" i="56"/>
  <c r="E6" i="56"/>
  <c r="L10" i="55"/>
  <c r="E10" i="55"/>
  <c r="L9" i="55"/>
  <c r="E9" i="55"/>
  <c r="L6" i="55"/>
  <c r="K6" i="55"/>
  <c r="E6" i="55"/>
  <c r="L12" i="54"/>
  <c r="K12" i="54"/>
  <c r="E12" i="54"/>
  <c r="L9" i="54"/>
  <c r="K9" i="54"/>
  <c r="E9" i="54"/>
  <c r="L6" i="54"/>
  <c r="K6" i="54"/>
  <c r="E6" i="54"/>
  <c r="L22" i="53"/>
  <c r="K22" i="53"/>
  <c r="E22" i="53"/>
  <c r="L21" i="53"/>
  <c r="K21" i="53"/>
  <c r="E21" i="53"/>
  <c r="L20" i="53"/>
  <c r="K20" i="53"/>
  <c r="E20" i="53"/>
  <c r="L19" i="53"/>
  <c r="K19" i="53"/>
  <c r="E19" i="53"/>
  <c r="L16" i="53"/>
  <c r="K16" i="53"/>
  <c r="E16" i="53"/>
  <c r="L15" i="53"/>
  <c r="K15" i="53"/>
  <c r="E15" i="53"/>
  <c r="L14" i="53"/>
  <c r="K14" i="53"/>
  <c r="E14" i="53"/>
  <c r="L13" i="53"/>
  <c r="K13" i="53"/>
  <c r="E13" i="53"/>
  <c r="L12" i="53"/>
  <c r="K12" i="53"/>
  <c r="E12" i="53"/>
  <c r="L9" i="53"/>
  <c r="K9" i="53"/>
  <c r="E9" i="53"/>
  <c r="L6" i="53"/>
  <c r="K6" i="53"/>
  <c r="E6" i="53"/>
  <c r="L6" i="52"/>
  <c r="K6" i="52"/>
  <c r="E6" i="52"/>
  <c r="L23" i="50"/>
  <c r="K23" i="50"/>
  <c r="E23" i="50"/>
  <c r="L22" i="50"/>
  <c r="K22" i="50"/>
  <c r="E22" i="50"/>
  <c r="L19" i="50"/>
  <c r="K19" i="50"/>
  <c r="E19" i="50"/>
  <c r="L18" i="50"/>
  <c r="K18" i="50"/>
  <c r="E18" i="50"/>
  <c r="L15" i="50"/>
  <c r="K15" i="50"/>
  <c r="E15" i="50"/>
  <c r="L12" i="50"/>
  <c r="K12" i="50"/>
  <c r="E12" i="50"/>
  <c r="L9" i="50"/>
  <c r="K9" i="50"/>
  <c r="E9" i="50"/>
  <c r="L6" i="50"/>
  <c r="K6" i="50"/>
  <c r="E6" i="50"/>
  <c r="L11" i="49"/>
  <c r="K11" i="49"/>
  <c r="E11" i="49"/>
  <c r="L10" i="49"/>
  <c r="K10" i="49"/>
  <c r="E10" i="49"/>
  <c r="L7" i="49"/>
  <c r="K7" i="49"/>
  <c r="E7" i="49"/>
  <c r="L6" i="49"/>
  <c r="K6" i="49"/>
  <c r="E6" i="49"/>
  <c r="N6" i="29"/>
  <c r="M6" i="29"/>
  <c r="E6" i="29"/>
  <c r="N7" i="26"/>
  <c r="M7" i="26"/>
  <c r="E7" i="26"/>
  <c r="N6" i="26"/>
  <c r="M6" i="26"/>
  <c r="E6" i="26"/>
  <c r="N9" i="23"/>
  <c r="M9" i="23"/>
  <c r="E9" i="23"/>
  <c r="N6" i="23"/>
  <c r="M6" i="23"/>
  <c r="E6" i="23"/>
  <c r="N17" i="5"/>
  <c r="M17" i="5"/>
  <c r="E17" i="5"/>
  <c r="N14" i="5"/>
  <c r="M14" i="5"/>
  <c r="E14" i="5"/>
  <c r="N11" i="5"/>
  <c r="M11" i="5"/>
  <c r="E11" i="5"/>
  <c r="N8" i="5"/>
  <c r="M8" i="5"/>
  <c r="E8" i="5"/>
</calcChain>
</file>

<file path=xl/sharedStrings.xml><?xml version="1.0" encoding="utf-8"?>
<sst xmlns="http://schemas.openxmlformats.org/spreadsheetml/2006/main" count="710" uniqueCount="302">
  <si>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</si>
  <si>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</si>
  <si>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</si>
  <si>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</si>
  <si>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</si>
  <si>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</si>
  <si>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</si>
  <si>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</si>
  <si>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</si>
  <si>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</si>
  <si>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Wilks</t>
  </si>
  <si>
    <t>Жим лёжа</t>
  </si>
  <si>
    <t>ВЕСОВАЯ КАТЕГОРИЯ   90</t>
  </si>
  <si>
    <t>Смирнов Иван</t>
  </si>
  <si>
    <t>Открытая (07.07.1984)/36</t>
  </si>
  <si>
    <t>84,60</t>
  </si>
  <si>
    <t>140,0</t>
  </si>
  <si>
    <t>145,0</t>
  </si>
  <si>
    <t>147,5</t>
  </si>
  <si>
    <t>90,0</t>
  </si>
  <si>
    <t>ВЕСОВАЯ КАТЕГОРИЯ   100</t>
  </si>
  <si>
    <t>Юсупов Анвар</t>
  </si>
  <si>
    <t>Открытая (06.03.1983)/37</t>
  </si>
  <si>
    <t>98,50</t>
  </si>
  <si>
    <t>120,0</t>
  </si>
  <si>
    <t>130,0</t>
  </si>
  <si>
    <t>100,0</t>
  </si>
  <si>
    <t>ВЕСОВАЯ КАТЕГОРИЯ   110</t>
  </si>
  <si>
    <t>Остапенко Кирилл</t>
  </si>
  <si>
    <t>101,30</t>
  </si>
  <si>
    <t>165,0</t>
  </si>
  <si>
    <t>170,0</t>
  </si>
  <si>
    <t>172,5</t>
  </si>
  <si>
    <t>110,0</t>
  </si>
  <si>
    <t>ВЕСОВАЯ КАТЕГОРИЯ   120</t>
  </si>
  <si>
    <t>Селезнёв Виталий</t>
  </si>
  <si>
    <t>Открытая (23.09.1987)/33</t>
  </si>
  <si>
    <t>112,90</t>
  </si>
  <si>
    <t>185,0</t>
  </si>
  <si>
    <t>200,0</t>
  </si>
  <si>
    <t xml:space="preserve">Лисютин М. 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</si>
  <si>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</si>
  <si>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</si>
  <si>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</si>
  <si>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</si>
  <si>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</si>
  <si>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>Wilks/Залуцкий</t>
  </si>
  <si>
    <t>1</t>
  </si>
  <si>
    <t/>
  </si>
  <si>
    <t>Результат</t>
  </si>
  <si>
    <t>ВЕСОВАЯ КАТЕГОРИЯ   80</t>
  </si>
  <si>
    <t xml:space="preserve"> </t>
  </si>
  <si>
    <t>80,0</t>
  </si>
  <si>
    <t xml:space="preserve">Результат </t>
  </si>
  <si>
    <t>Тарасенко Александр</t>
  </si>
  <si>
    <t>Открытая (09.02.1996)/24</t>
  </si>
  <si>
    <t>77,30</t>
  </si>
  <si>
    <t>125,0</t>
  </si>
  <si>
    <t>127,5</t>
  </si>
  <si>
    <t>ВЕСОВАЯ КАТЕГОРИЯ   70</t>
  </si>
  <si>
    <t>Тографулина Татьяна</t>
  </si>
  <si>
    <t>Юниорки (30.08.2001)/19</t>
  </si>
  <si>
    <t>67,60</t>
  </si>
  <si>
    <t>70,0</t>
  </si>
  <si>
    <t xml:space="preserve">Хан Д. </t>
  </si>
  <si>
    <t>Морозова Ольга</t>
  </si>
  <si>
    <t>Открытая (29.04.1985)/35</t>
  </si>
  <si>
    <t>78,00</t>
  </si>
  <si>
    <t>Акулич Александр</t>
  </si>
  <si>
    <t>Открытая (17.11.1981)/38</t>
  </si>
  <si>
    <t>98,10</t>
  </si>
  <si>
    <t>325,0</t>
  </si>
  <si>
    <t>340,0</t>
  </si>
  <si>
    <t>350,0</t>
  </si>
  <si>
    <t>150,0</t>
  </si>
  <si>
    <t>Семенов Роман</t>
  </si>
  <si>
    <t>Открытая (12.11.1979)/40</t>
  </si>
  <si>
    <t>97,30</t>
  </si>
  <si>
    <t>310,0</t>
  </si>
  <si>
    <t>335,0</t>
  </si>
  <si>
    <t>2</t>
  </si>
  <si>
    <t>135,0</t>
  </si>
  <si>
    <t>Костев Николай</t>
  </si>
  <si>
    <t>84,80</t>
  </si>
  <si>
    <t>Сухарев Андрей</t>
  </si>
  <si>
    <t>Открытая (22.07.1974)/46</t>
  </si>
  <si>
    <t>107,40</t>
  </si>
  <si>
    <t>355,0</t>
  </si>
  <si>
    <t>380,0</t>
  </si>
  <si>
    <t>45,0</t>
  </si>
  <si>
    <t>160,0</t>
  </si>
  <si>
    <t>Емельянов Николай</t>
  </si>
  <si>
    <t>Открытая (30.08.1979)/41</t>
  </si>
  <si>
    <t>116,00</t>
  </si>
  <si>
    <t>Gloss</t>
  </si>
  <si>
    <t xml:space="preserve">Gloss </t>
  </si>
  <si>
    <t>25,0</t>
  </si>
  <si>
    <t>ВЕСОВАЯ КАТЕГОРИЯ   75</t>
  </si>
  <si>
    <t>50,0</t>
  </si>
  <si>
    <t>60,0</t>
  </si>
  <si>
    <t>42,5</t>
  </si>
  <si>
    <t>47,5</t>
  </si>
  <si>
    <t>55,0</t>
  </si>
  <si>
    <t>65,0</t>
  </si>
  <si>
    <t>ВЕСОВАЯ КАТЕГОРИЯ   82.5</t>
  </si>
  <si>
    <t>Жижин Алексей</t>
  </si>
  <si>
    <t>Открытая (20.05.1992)/28</t>
  </si>
  <si>
    <t>81,00</t>
  </si>
  <si>
    <t>155,0</t>
  </si>
  <si>
    <t>157,5</t>
  </si>
  <si>
    <t>Нестерко Сергей</t>
  </si>
  <si>
    <t>Открытая (29.04.1983)/37</t>
  </si>
  <si>
    <t>78,20</t>
  </si>
  <si>
    <t>Бородий Владислав</t>
  </si>
  <si>
    <t>Открытая (07.11.1982)/37</t>
  </si>
  <si>
    <t>87,80</t>
  </si>
  <si>
    <t>180,0</t>
  </si>
  <si>
    <t>ВЕСОВАЯ КАТЕГОРИЯ   52</t>
  </si>
  <si>
    <t>Островская Екатерина</t>
  </si>
  <si>
    <t>48,40</t>
  </si>
  <si>
    <t>52,5</t>
  </si>
  <si>
    <t>ВЕСОВАЯ КАТЕГОРИЯ   67.5</t>
  </si>
  <si>
    <t>Гайда Кирилл</t>
  </si>
  <si>
    <t>67,50</t>
  </si>
  <si>
    <t>95,0</t>
  </si>
  <si>
    <t>Юрк Даниил</t>
  </si>
  <si>
    <t>Юноши 15-19 (05.11.2001)/18</t>
  </si>
  <si>
    <t>82,00</t>
  </si>
  <si>
    <t>115,0</t>
  </si>
  <si>
    <t xml:space="preserve">Мурашов М. </t>
  </si>
  <si>
    <t>Орехов Артур</t>
  </si>
  <si>
    <t>Открытая (25.12.1990)/29</t>
  </si>
  <si>
    <t>86,30</t>
  </si>
  <si>
    <t>132,5</t>
  </si>
  <si>
    <t>152,5</t>
  </si>
  <si>
    <t>Мартышин Александр</t>
  </si>
  <si>
    <t>Открытая (15.10.1986)/34</t>
  </si>
  <si>
    <t>93,90</t>
  </si>
  <si>
    <t>162,5</t>
  </si>
  <si>
    <t>167,5</t>
  </si>
  <si>
    <t>Клюкин Михаил</t>
  </si>
  <si>
    <t>Открытая (20.11.1986)/33</t>
  </si>
  <si>
    <t>98,80</t>
  </si>
  <si>
    <t>Косачёв Александр</t>
  </si>
  <si>
    <t>Открытая (18.11.1991)/28</t>
  </si>
  <si>
    <t>105,20</t>
  </si>
  <si>
    <t>175,0</t>
  </si>
  <si>
    <t>Бабин Евгений</t>
  </si>
  <si>
    <t>110,00</t>
  </si>
  <si>
    <t>142,5</t>
  </si>
  <si>
    <t>Становая тяга</t>
  </si>
  <si>
    <t>Соколова Анна</t>
  </si>
  <si>
    <t>Открытая (01.07.1983)/37</t>
  </si>
  <si>
    <t>51,50</t>
  </si>
  <si>
    <t xml:space="preserve">RUS/Подольск </t>
  </si>
  <si>
    <t>240,0</t>
  </si>
  <si>
    <t>250,0</t>
  </si>
  <si>
    <t>262,5</t>
  </si>
  <si>
    <t>Колыданов Михаил</t>
  </si>
  <si>
    <t>98,70</t>
  </si>
  <si>
    <t>220,0</t>
  </si>
  <si>
    <t>230,0</t>
  </si>
  <si>
    <t>Плотников Алексей</t>
  </si>
  <si>
    <t>Открытая (16.06.1975)/45</t>
  </si>
  <si>
    <t>109,80</t>
  </si>
  <si>
    <t>270,0</t>
  </si>
  <si>
    <t>290,0</t>
  </si>
  <si>
    <t>Пузырев Денис</t>
  </si>
  <si>
    <t>Открытая (31.03.1974)/46</t>
  </si>
  <si>
    <t>109,20</t>
  </si>
  <si>
    <t>235,0</t>
  </si>
  <si>
    <t>242,5</t>
  </si>
  <si>
    <t>245,0</t>
  </si>
  <si>
    <t>Сафин Максим</t>
  </si>
  <si>
    <t>Открытая (24.06.1983)/37</t>
  </si>
  <si>
    <t>108,40</t>
  </si>
  <si>
    <t>ВЕСОВАЯ КАТЕГОРИЯ   125</t>
  </si>
  <si>
    <t>280,0</t>
  </si>
  <si>
    <t>300,0</t>
  </si>
  <si>
    <t>Черствов Алексей</t>
  </si>
  <si>
    <t>Открытая (16.04.1981)/39</t>
  </si>
  <si>
    <t>122,90</t>
  </si>
  <si>
    <t>Василенко Дмитрий</t>
  </si>
  <si>
    <t>Открытая (03.06.1975)/45</t>
  </si>
  <si>
    <t>114,50</t>
  </si>
  <si>
    <t>Серегин Дмитрий</t>
  </si>
  <si>
    <t>118,60</t>
  </si>
  <si>
    <t>225,0</t>
  </si>
  <si>
    <t xml:space="preserve">Грудев А. </t>
  </si>
  <si>
    <t>125</t>
  </si>
  <si>
    <t>172,0810</t>
  </si>
  <si>
    <t>164,3700</t>
  </si>
  <si>
    <t>161,4575</t>
  </si>
  <si>
    <t>3</t>
  </si>
  <si>
    <t>Ракова Ольга</t>
  </si>
  <si>
    <t>51,40</t>
  </si>
  <si>
    <t>75,0</t>
  </si>
  <si>
    <t>Сергеев Дмитрий</t>
  </si>
  <si>
    <t>Открытая (12.02.1987)/33</t>
  </si>
  <si>
    <t>83,10</t>
  </si>
  <si>
    <t xml:space="preserve">Тукаев А. </t>
  </si>
  <si>
    <t>Сухарев Кирилл</t>
  </si>
  <si>
    <t>Открытая (21.12.1993)/26</t>
  </si>
  <si>
    <t>111,40</t>
  </si>
  <si>
    <t>Илюшин Руслан</t>
  </si>
  <si>
    <t>Открытая (25.02.1991)/29</t>
  </si>
  <si>
    <t>89,30</t>
  </si>
  <si>
    <t>307,5</t>
  </si>
  <si>
    <t>317,5</t>
  </si>
  <si>
    <t>322,5</t>
  </si>
  <si>
    <t xml:space="preserve">Ушков И. </t>
  </si>
  <si>
    <t>Шлепин Олег</t>
  </si>
  <si>
    <t>Открытая (08.07.1975)/45</t>
  </si>
  <si>
    <t>124,90</t>
  </si>
  <si>
    <t>305,0</t>
  </si>
  <si>
    <t>315,0</t>
  </si>
  <si>
    <t>-</t>
  </si>
  <si>
    <t>Гамаев Александр</t>
  </si>
  <si>
    <t>Открытая (06.02.1983)/37</t>
  </si>
  <si>
    <t>105,80</t>
  </si>
  <si>
    <t>190,0</t>
  </si>
  <si>
    <t>210,0</t>
  </si>
  <si>
    <t>Подъем на бицепс</t>
  </si>
  <si>
    <t>Свердлов Александр</t>
  </si>
  <si>
    <t>Открытая (11.02.1994)/26</t>
  </si>
  <si>
    <t>105,70</t>
  </si>
  <si>
    <t>72,5</t>
  </si>
  <si>
    <t>27,5</t>
  </si>
  <si>
    <t>30,0</t>
  </si>
  <si>
    <t>ВЕСОВАЯ КАТЕГОРИЯ   56</t>
  </si>
  <si>
    <t>Подолецкий Андрей</t>
  </si>
  <si>
    <t>54,20</t>
  </si>
  <si>
    <t>Серов Александр</t>
  </si>
  <si>
    <t>73,50</t>
  </si>
  <si>
    <t>Никитченко Сергей</t>
  </si>
  <si>
    <t>70,80</t>
  </si>
  <si>
    <t>62,5</t>
  </si>
  <si>
    <t>Харламов Руслан</t>
  </si>
  <si>
    <t>75,50</t>
  </si>
  <si>
    <t>57,5</t>
  </si>
  <si>
    <t xml:space="preserve">Москва </t>
  </si>
  <si>
    <t xml:space="preserve">Санкт-Петербург </t>
  </si>
  <si>
    <t xml:space="preserve">Витебск/Беларусь </t>
  </si>
  <si>
    <t>Всероссийский мастерский турнир "Созвездие силы"
СПР Строгий подъем штанги на бицепс ДК
Жуковский/Московская область, 17 октября 2020 года</t>
  </si>
  <si>
    <t>Всероссийский мастерский турнир "Созвездие силы"
СПР Строгий подъем штанги на бицепс
Жуковский/Московская область, 17 октября 2020 года</t>
  </si>
  <si>
    <t>Всероссийский мастерский турнир "Созвездие силы"
СПР Жим лежа в многопетельной софт экипировке ДК
Жуковский/Московская область, 17 октября 2020 года</t>
  </si>
  <si>
    <t>Всероссийский мастерский турнир "Созвездие силы"
СПР Жим лежа в многопетельной софт экипировке
Жуковский/Московская область, 17 октября 2020 года</t>
  </si>
  <si>
    <t>Всероссийский мастерский турнир "Созвездие силы"
СПР Жим лежа в однопетельной софт экипировке ДК
Жуковский/Московская область, 17 октября 2020 года</t>
  </si>
  <si>
    <t>Всероссийский мастерский турнир "Созвездие силы"
СПР Жим лежа в однопетельной софт экипировке
Жуковский/Московская область, 17 октября 2020 года</t>
  </si>
  <si>
    <t>Всероссийский мастерский турнир "Созвездие силы"
IPL Становая тяга без экипировки ДК
Жуковский/Московская область, 17 октября 2020 года</t>
  </si>
  <si>
    <t>Всероссийский мастерский турнир "Созвездие силы"
IPL Жим лежа без экипировки ДК
Жуковский/Московская область, 17 октября 2020 года</t>
  </si>
  <si>
    <t>Всероссийский мастерский турнир "Созвездие силы"
IPL Жим лежа без экипировки
Жуковский/Московская область, 17 октября 2020 года</t>
  </si>
  <si>
    <t>Национальный Кубок по жимовому двоеборью
ФЖД Софт экипировка многослойная двоеборье с ДК
Жуковский/Московская область, 17 октября 2020 года</t>
  </si>
  <si>
    <t>Национальный Кубок по жимовому двоеборью
ФЖД Софт экипировка многослойная двоеборье
Жуковский/Московская область, 17 октября 2020 года</t>
  </si>
  <si>
    <t>Национальный Кубок по жимовому двоеборью
ФЖД Софт экипировка однослойная двоеборье с ДК
Жуковский/Московская область, 17 октября 2020 года</t>
  </si>
  <si>
    <t>Национальный Кубок по жимовому двоеборью
ФЖД Любители с ДК жим на максимум
Жуковский/Московская область, 17 октября 2020 года</t>
  </si>
  <si>
    <t>Национальный Кубок по жимовому двоеборью
ФЖД Любители двоеборье
Жуковский/Московская область, 17 октября 2020 года</t>
  </si>
  <si>
    <t xml:space="preserve">Жуковский/Московская область </t>
  </si>
  <si>
    <t>Краснодар/Краснодарский край</t>
  </si>
  <si>
    <t>Бородий В.</t>
  </si>
  <si>
    <t>Петров С.</t>
  </si>
  <si>
    <t>Мастера 40-44 (08.10.1979)/41</t>
  </si>
  <si>
    <t>Юниоры 20-23 (01.09.1999)/21</t>
  </si>
  <si>
    <t>Мастера 45-49 (17.04.1971)/49</t>
  </si>
  <si>
    <t>Мастера 60-64 (17.12.1959)/60</t>
  </si>
  <si>
    <t>Мастера 40-49 (28.01.1977)/43</t>
  </si>
  <si>
    <t>Мастера 40-49 (30.04.1979)/41</t>
  </si>
  <si>
    <t>Мастера 40-49 (16.06.1975)/45</t>
  </si>
  <si>
    <t>Мастера 40-49 (31.03.1974)/46</t>
  </si>
  <si>
    <t>Мастера 40-49 (23.09.1979)/41</t>
  </si>
  <si>
    <t>Мастера 40-49 (08.07.1975)/45</t>
  </si>
  <si>
    <t>Мастера 40-49 (10.09.1978)/42</t>
  </si>
  <si>
    <t>Юниоры 20-23 (18.12.1996)/23</t>
  </si>
  <si>
    <t>Юниоры 20-23 (31.03.1997)/23</t>
  </si>
  <si>
    <t>Юниоры 20-23 (25.06.1997)/23</t>
  </si>
  <si>
    <t>Мастера 40-44 (19.10.1977)/42</t>
  </si>
  <si>
    <t>Берендеево/Ярославская область</t>
  </si>
  <si>
    <t xml:space="preserve"> Сергиев Посад/Московская область </t>
  </si>
  <si>
    <t xml:space="preserve">Берендеево/Ярославская область </t>
  </si>
  <si>
    <t>Бурлаков Б.</t>
  </si>
  <si>
    <t>Балашиха/Московская область</t>
  </si>
  <si>
    <t xml:space="preserve"> Чебоксары/Республика Чувашия </t>
  </si>
  <si>
    <t xml:space="preserve">  Сергиев Посад/Московская область </t>
  </si>
  <si>
    <t>Колыданов М.</t>
  </si>
  <si>
    <t>Иваново/Ивановская область</t>
  </si>
  <si>
    <t>Беловал Е.</t>
  </si>
  <si>
    <t>Весовая категория</t>
  </si>
  <si>
    <t>Серпухов/Московская область</t>
  </si>
  <si>
    <t>Люберцы/Московская область</t>
  </si>
  <si>
    <t xml:space="preserve">Иваново/Ивановская область </t>
  </si>
  <si>
    <t xml:space="preserve"> Лосино-Петровский/Московская область</t>
  </si>
  <si>
    <t xml:space="preserve"> Вербилки/Московская область</t>
  </si>
  <si>
    <t xml:space="preserve"> Сергиев Посад/Московская область  </t>
  </si>
  <si>
    <t xml:space="preserve"> Орехово-Зуево/Московская область </t>
  </si>
  <si>
    <t>Лосино-Петровский/Московская область</t>
  </si>
  <si>
    <t>Подольск/Московская область</t>
  </si>
  <si>
    <t>Бор/Нижегородская область</t>
  </si>
  <si>
    <t>Тула/Тульская область</t>
  </si>
  <si>
    <t>Многоповторный жим</t>
  </si>
  <si>
    <t>Емельянов Н.</t>
  </si>
  <si>
    <t>Клин/Московская область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</si>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</sst>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8" fillId="0" borderId="0" xfId="1" applyNumberFormat="1" applyAlignment="1">
      <alignment horizontal="center"/>
    </xf>
    <xf numFmtId="49" fontId="8" fillId="0" borderId="0" xfId="1" applyNumberFormat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8" fillId="0" borderId="11" xfId="1" applyNumberFormat="1" applyBorder="1" applyAlignment="1">
      <alignment horizontal="center" vertical="center"/>
    </xf>
    <xf numFmtId="49" fontId="1" fillId="0" borderId="11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1" fillId="2" borderId="11" xfId="1" applyNumberFormat="1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0" fontId="8" fillId="0" borderId="15" xfId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wrapText="1"/>
    </xf>
    <xf numFmtId="49" fontId="3" fillId="0" borderId="12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40CDB4A8-2EA6-9D41-83D7-A2E85B7E712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.5" style="5" bestFit="1" customWidth="1"/>
    <col min="14" max="16384" width="9.1640625" style="3"/>
  </cols>
  <sheetData>
    <row r="1" spans="1:13" s="2" customFormat="1" ht="29" customHeight="1">
      <c r="A1" s="47" t="s">
        <v>250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301</v>
      </c>
      <c r="B3" s="60" t="s">
        <v>0</v>
      </c>
      <c r="C3" s="57" t="s">
        <v>5</v>
      </c>
      <c r="D3" s="57" t="s">
        <v>9</v>
      </c>
      <c r="E3" s="59" t="s">
        <v>10</v>
      </c>
      <c r="F3" s="59" t="s">
        <v>6</v>
      </c>
      <c r="G3" s="59" t="s">
        <v>11</v>
      </c>
      <c r="H3" s="59"/>
      <c r="I3" s="59"/>
      <c r="J3" s="59"/>
      <c r="K3" s="59" t="s">
        <v>49</v>
      </c>
      <c r="L3" s="59" t="s">
        <v>3</v>
      </c>
      <c r="M3" s="62" t="s">
        <v>2</v>
      </c>
    </row>
    <row r="4" spans="1:13" s="1" customFormat="1" ht="21" customHeight="1" thickBot="1">
      <c r="A4" s="56"/>
      <c r="B4" s="61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117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8" t="s">
        <v>47</v>
      </c>
      <c r="B6" s="7" t="s">
        <v>118</v>
      </c>
      <c r="C6" s="7" t="s">
        <v>261</v>
      </c>
      <c r="D6" s="7" t="s">
        <v>119</v>
      </c>
      <c r="E6" s="7" t="str">
        <f>"1,3163"</f>
        <v>1,3163</v>
      </c>
      <c r="F6" s="7" t="s">
        <v>240</v>
      </c>
      <c r="G6" s="14" t="s">
        <v>100</v>
      </c>
      <c r="H6" s="15" t="s">
        <v>89</v>
      </c>
      <c r="I6" s="14" t="s">
        <v>120</v>
      </c>
      <c r="J6" s="8"/>
      <c r="K6" s="8" t="str">
        <f>"45,0"</f>
        <v>45,0</v>
      </c>
      <c r="L6" s="8" t="str">
        <f>"59,5297"</f>
        <v>59,5297</v>
      </c>
      <c r="M6" s="7" t="s">
        <v>259</v>
      </c>
    </row>
    <row r="7" spans="1:13">
      <c r="B7" s="5" t="s">
        <v>48</v>
      </c>
    </row>
    <row r="8" spans="1:13" ht="16">
      <c r="A8" s="66" t="s">
        <v>121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8" t="s">
        <v>47</v>
      </c>
      <c r="B9" s="7" t="s">
        <v>122</v>
      </c>
      <c r="C9" s="7" t="s">
        <v>262</v>
      </c>
      <c r="D9" s="7" t="s">
        <v>123</v>
      </c>
      <c r="E9" s="7" t="str">
        <f>"0,7710"</f>
        <v>0,7710</v>
      </c>
      <c r="F9" s="7" t="s">
        <v>258</v>
      </c>
      <c r="G9" s="15" t="s">
        <v>19</v>
      </c>
      <c r="H9" s="15" t="s">
        <v>124</v>
      </c>
      <c r="I9" s="15" t="s">
        <v>26</v>
      </c>
      <c r="J9" s="8"/>
      <c r="K9" s="8" t="str">
        <f>"100,0"</f>
        <v>100,0</v>
      </c>
      <c r="L9" s="8" t="str">
        <f>"77,1000"</f>
        <v>77,1000</v>
      </c>
      <c r="M9" s="7" t="s">
        <v>51</v>
      </c>
    </row>
    <row r="10" spans="1:13">
      <c r="B10" s="5" t="s">
        <v>48</v>
      </c>
    </row>
    <row r="11" spans="1:13" ht="16">
      <c r="A11" s="66" t="s">
        <v>104</v>
      </c>
      <c r="B11" s="66"/>
      <c r="C11" s="67"/>
      <c r="D11" s="67"/>
      <c r="E11" s="67"/>
      <c r="F11" s="67"/>
      <c r="G11" s="67"/>
      <c r="H11" s="67"/>
      <c r="I11" s="67"/>
      <c r="J11" s="67"/>
    </row>
    <row r="12" spans="1:13">
      <c r="A12" s="8" t="s">
        <v>47</v>
      </c>
      <c r="B12" s="7" t="s">
        <v>125</v>
      </c>
      <c r="C12" s="7" t="s">
        <v>126</v>
      </c>
      <c r="D12" s="7" t="s">
        <v>127</v>
      </c>
      <c r="E12" s="7" t="str">
        <f>"0,6724"</f>
        <v>0,6724</v>
      </c>
      <c r="F12" s="7" t="s">
        <v>240</v>
      </c>
      <c r="G12" s="15" t="s">
        <v>128</v>
      </c>
      <c r="H12" s="15" t="s">
        <v>57</v>
      </c>
      <c r="I12" s="14" t="s">
        <v>58</v>
      </c>
      <c r="J12" s="8"/>
      <c r="K12" s="8" t="str">
        <f>"125,0"</f>
        <v>125,0</v>
      </c>
      <c r="L12" s="8" t="str">
        <f>"84,0500"</f>
        <v>84,0500</v>
      </c>
      <c r="M12" s="7" t="s">
        <v>129</v>
      </c>
    </row>
    <row r="13" spans="1:13">
      <c r="B13" s="5" t="s">
        <v>48</v>
      </c>
    </row>
    <row r="14" spans="1:13" ht="16">
      <c r="A14" s="66" t="s">
        <v>12</v>
      </c>
      <c r="B14" s="66"/>
      <c r="C14" s="67"/>
      <c r="D14" s="67"/>
      <c r="E14" s="67"/>
      <c r="F14" s="67"/>
      <c r="G14" s="67"/>
      <c r="H14" s="67"/>
      <c r="I14" s="67"/>
      <c r="J14" s="67"/>
    </row>
    <row r="15" spans="1:13">
      <c r="A15" s="8" t="s">
        <v>47</v>
      </c>
      <c r="B15" s="7" t="s">
        <v>130</v>
      </c>
      <c r="C15" s="7" t="s">
        <v>131</v>
      </c>
      <c r="D15" s="7" t="s">
        <v>132</v>
      </c>
      <c r="E15" s="7" t="str">
        <f>"0,6528"</f>
        <v>0,6528</v>
      </c>
      <c r="F15" s="7" t="s">
        <v>276</v>
      </c>
      <c r="G15" s="15" t="s">
        <v>133</v>
      </c>
      <c r="H15" s="15" t="s">
        <v>134</v>
      </c>
      <c r="I15" s="14" t="s">
        <v>90</v>
      </c>
      <c r="J15" s="8"/>
      <c r="K15" s="8" t="str">
        <f>"152,5"</f>
        <v>152,5</v>
      </c>
      <c r="L15" s="8" t="str">
        <f>"99,5520"</f>
        <v>99,5520</v>
      </c>
      <c r="M15" s="7" t="s">
        <v>51</v>
      </c>
    </row>
    <row r="16" spans="1:13">
      <c r="B16" s="5" t="s">
        <v>48</v>
      </c>
    </row>
    <row r="17" spans="1:13" ht="16">
      <c r="A17" s="66" t="s">
        <v>20</v>
      </c>
      <c r="B17" s="66"/>
      <c r="C17" s="67"/>
      <c r="D17" s="67"/>
      <c r="E17" s="67"/>
      <c r="F17" s="67"/>
      <c r="G17" s="67"/>
      <c r="H17" s="67"/>
      <c r="I17" s="67"/>
      <c r="J17" s="67"/>
    </row>
    <row r="18" spans="1:13">
      <c r="A18" s="17" t="s">
        <v>47</v>
      </c>
      <c r="B18" s="16" t="s">
        <v>135</v>
      </c>
      <c r="C18" s="16" t="s">
        <v>136</v>
      </c>
      <c r="D18" s="16" t="s">
        <v>137</v>
      </c>
      <c r="E18" s="16" t="str">
        <f>"0,6254"</f>
        <v>0,6254</v>
      </c>
      <c r="F18" s="16" t="s">
        <v>277</v>
      </c>
      <c r="G18" s="20" t="s">
        <v>108</v>
      </c>
      <c r="H18" s="20" t="s">
        <v>138</v>
      </c>
      <c r="I18" s="21" t="s">
        <v>139</v>
      </c>
      <c r="J18" s="17"/>
      <c r="K18" s="17" t="str">
        <f>"162,5"</f>
        <v>162,5</v>
      </c>
      <c r="L18" s="17" t="str">
        <f>"101,6275"</f>
        <v>101,6275</v>
      </c>
      <c r="M18" s="16" t="s">
        <v>51</v>
      </c>
    </row>
    <row r="19" spans="1:13">
      <c r="A19" s="19" t="s">
        <v>80</v>
      </c>
      <c r="B19" s="18" t="s">
        <v>140</v>
      </c>
      <c r="C19" s="18" t="s">
        <v>141</v>
      </c>
      <c r="D19" s="18" t="s">
        <v>142</v>
      </c>
      <c r="E19" s="18" t="str">
        <f>"0,6116"</f>
        <v>0,6116</v>
      </c>
      <c r="F19" s="18" t="s">
        <v>257</v>
      </c>
      <c r="G19" s="22" t="s">
        <v>81</v>
      </c>
      <c r="H19" s="22" t="s">
        <v>16</v>
      </c>
      <c r="I19" s="22" t="s">
        <v>17</v>
      </c>
      <c r="J19" s="19"/>
      <c r="K19" s="19" t="str">
        <f>"145,0"</f>
        <v>145,0</v>
      </c>
      <c r="L19" s="19" t="str">
        <f>"88,6820"</f>
        <v>88,6820</v>
      </c>
      <c r="M19" s="18" t="s">
        <v>51</v>
      </c>
    </row>
    <row r="20" spans="1:13">
      <c r="B20" s="5" t="s">
        <v>48</v>
      </c>
    </row>
    <row r="21" spans="1:13" ht="16">
      <c r="A21" s="66" t="s">
        <v>27</v>
      </c>
      <c r="B21" s="66"/>
      <c r="C21" s="67"/>
      <c r="D21" s="67"/>
      <c r="E21" s="67"/>
      <c r="F21" s="67"/>
      <c r="G21" s="67"/>
      <c r="H21" s="67"/>
      <c r="I21" s="67"/>
      <c r="J21" s="67"/>
    </row>
    <row r="22" spans="1:13">
      <c r="A22" s="17" t="s">
        <v>47</v>
      </c>
      <c r="B22" s="16" t="s">
        <v>143</v>
      </c>
      <c r="C22" s="16" t="s">
        <v>144</v>
      </c>
      <c r="D22" s="16" t="s">
        <v>145</v>
      </c>
      <c r="E22" s="16" t="str">
        <f>"0,5972"</f>
        <v>0,5972</v>
      </c>
      <c r="F22" s="16" t="s">
        <v>278</v>
      </c>
      <c r="G22" s="20" t="s">
        <v>139</v>
      </c>
      <c r="H22" s="21" t="s">
        <v>146</v>
      </c>
      <c r="I22" s="20" t="s">
        <v>146</v>
      </c>
      <c r="J22" s="17"/>
      <c r="K22" s="17" t="str">
        <f>"175,0"</f>
        <v>175,0</v>
      </c>
      <c r="L22" s="17" t="str">
        <f>"104,5100"</f>
        <v>104,5100</v>
      </c>
      <c r="M22" s="16" t="s">
        <v>51</v>
      </c>
    </row>
    <row r="23" spans="1:13">
      <c r="A23" s="19" t="s">
        <v>47</v>
      </c>
      <c r="B23" s="18" t="s">
        <v>147</v>
      </c>
      <c r="C23" s="18" t="s">
        <v>263</v>
      </c>
      <c r="D23" s="18" t="s">
        <v>148</v>
      </c>
      <c r="E23" s="18" t="str">
        <f>"0,5885"</f>
        <v>0,5885</v>
      </c>
      <c r="F23" s="18" t="s">
        <v>240</v>
      </c>
      <c r="G23" s="22" t="s">
        <v>149</v>
      </c>
      <c r="H23" s="23" t="s">
        <v>18</v>
      </c>
      <c r="I23" s="23" t="s">
        <v>18</v>
      </c>
      <c r="J23" s="19"/>
      <c r="K23" s="19" t="str">
        <f>"142,5"</f>
        <v>142,5</v>
      </c>
      <c r="L23" s="19" t="str">
        <f>"94,9309"</f>
        <v>94,9309</v>
      </c>
      <c r="M23" s="18" t="s">
        <v>260</v>
      </c>
    </row>
    <row r="24" spans="1:13">
      <c r="B24" s="5" t="s">
        <v>48</v>
      </c>
    </row>
  </sheetData>
  <mergeCells count="17">
    <mergeCell ref="A21:J21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Лист5">
    <pageSetUpPr fitToPage="1"/>
  </sheetPr>
  <dimension ref="A1:O18"/>
  <sheetViews>
    <sheetView tabSelected="1" workbookViewId="0">
      <selection activeCell="E26" sqref="E26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8.5" style="5" bestFit="1" customWidth="1"/>
    <col min="4" max="4" width="21.5" style="5" bestFit="1" customWidth="1"/>
    <col min="5" max="5" width="15.164062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2" style="6" customWidth="1"/>
    <col min="12" max="12" width="15.83203125" style="45" customWidth="1"/>
    <col min="13" max="13" width="7.83203125" style="6" bestFit="1" customWidth="1"/>
    <col min="14" max="14" width="9.5" style="6" bestFit="1" customWidth="1"/>
    <col min="15" max="15" width="15.6640625" style="5" bestFit="1" customWidth="1"/>
    <col min="16" max="16384" width="9.1640625" style="3"/>
  </cols>
  <sheetData>
    <row r="1" spans="1:15" s="2" customFormat="1" ht="29" customHeight="1">
      <c r="A1" s="47" t="s">
        <v>256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</row>
    <row r="2" spans="1:15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</row>
    <row r="3" spans="1:15" s="1" customFormat="1" ht="12.75" customHeight="1">
      <c r="A3" s="55" t="s">
        <v>301</v>
      </c>
      <c r="B3" s="60" t="s">
        <v>0</v>
      </c>
      <c r="C3" s="57" t="s">
        <v>5</v>
      </c>
      <c r="D3" s="57" t="s">
        <v>9</v>
      </c>
      <c r="E3" s="59" t="s">
        <v>46</v>
      </c>
      <c r="F3" s="59" t="s">
        <v>6</v>
      </c>
      <c r="G3" s="59" t="s">
        <v>11</v>
      </c>
      <c r="H3" s="59"/>
      <c r="I3" s="59"/>
      <c r="J3" s="59"/>
      <c r="K3" s="59" t="s">
        <v>298</v>
      </c>
      <c r="L3" s="59"/>
      <c r="M3" s="59" t="s">
        <v>1</v>
      </c>
      <c r="N3" s="59" t="s">
        <v>3</v>
      </c>
      <c r="O3" s="62" t="s">
        <v>2</v>
      </c>
    </row>
    <row r="4" spans="1:15" s="1" customFormat="1" ht="21" customHeight="1" thickBot="1">
      <c r="A4" s="56"/>
      <c r="B4" s="61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 t="s">
        <v>7</v>
      </c>
      <c r="L4" s="42" t="s">
        <v>8</v>
      </c>
      <c r="M4" s="58"/>
      <c r="N4" s="58"/>
      <c r="O4" s="63"/>
    </row>
    <row r="5" spans="1:15" s="28" customFormat="1" ht="16">
      <c r="A5" s="74" t="s">
        <v>50</v>
      </c>
      <c r="B5" s="74"/>
      <c r="C5" s="74"/>
      <c r="D5" s="74"/>
      <c r="E5" s="74"/>
      <c r="F5" s="74"/>
      <c r="G5" s="74"/>
      <c r="H5" s="74"/>
      <c r="I5" s="74"/>
      <c r="J5" s="74"/>
      <c r="K5" s="30"/>
      <c r="L5" s="30"/>
      <c r="M5" s="29"/>
    </row>
    <row r="6" spans="1:15" s="28" customFormat="1" ht="14" thickBot="1">
      <c r="A6" s="32" t="s">
        <v>47</v>
      </c>
      <c r="B6" s="31" t="s">
        <v>54</v>
      </c>
      <c r="C6" s="31" t="s">
        <v>55</v>
      </c>
      <c r="D6" s="31" t="s">
        <v>56</v>
      </c>
      <c r="E6" s="31" t="str">
        <f>"0,6981"</f>
        <v>0,6981</v>
      </c>
      <c r="F6" s="31" t="s">
        <v>257</v>
      </c>
      <c r="G6" s="34" t="s">
        <v>24</v>
      </c>
      <c r="H6" s="34" t="s">
        <v>57</v>
      </c>
      <c r="I6" s="33" t="s">
        <v>58</v>
      </c>
      <c r="J6" s="32"/>
      <c r="K6" s="32" t="str">
        <f>"125,0"</f>
        <v>125,0</v>
      </c>
      <c r="L6" s="32" t="str">
        <f>"87,2625"</f>
        <v>87,2625</v>
      </c>
      <c r="M6" s="31" t="s">
        <v>51</v>
      </c>
    </row>
    <row r="7" spans="1:15" ht="16">
      <c r="A7" s="64" t="s">
        <v>12</v>
      </c>
      <c r="B7" s="64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5">
      <c r="A8" s="8" t="s">
        <v>47</v>
      </c>
      <c r="B8" s="7" t="s">
        <v>13</v>
      </c>
      <c r="C8" s="7" t="s">
        <v>14</v>
      </c>
      <c r="D8" s="7" t="s">
        <v>15</v>
      </c>
      <c r="E8" s="7" t="str">
        <f>"0,6601"</f>
        <v>0,6601</v>
      </c>
      <c r="F8" s="7" t="s">
        <v>240</v>
      </c>
      <c r="G8" s="14" t="s">
        <v>16</v>
      </c>
      <c r="H8" s="15" t="s">
        <v>17</v>
      </c>
      <c r="I8" s="15" t="s">
        <v>18</v>
      </c>
      <c r="J8" s="8"/>
      <c r="K8" s="8" t="s">
        <v>19</v>
      </c>
      <c r="L8" s="46">
        <v>21</v>
      </c>
      <c r="M8" s="8" t="str">
        <f>"2037,5"</f>
        <v>2037,5</v>
      </c>
      <c r="N8" s="8" t="str">
        <f>"6302,9647"</f>
        <v>6302,9647</v>
      </c>
      <c r="O8" s="7" t="s">
        <v>51</v>
      </c>
    </row>
    <row r="9" spans="1:15">
      <c r="B9" s="5" t="s">
        <v>48</v>
      </c>
    </row>
    <row r="10" spans="1:15" ht="16">
      <c r="A10" s="66" t="s">
        <v>20</v>
      </c>
      <c r="B10" s="66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5">
      <c r="A11" s="8" t="s">
        <v>47</v>
      </c>
      <c r="B11" s="7" t="s">
        <v>21</v>
      </c>
      <c r="C11" s="7" t="s">
        <v>22</v>
      </c>
      <c r="D11" s="7" t="s">
        <v>23</v>
      </c>
      <c r="E11" s="7" t="str">
        <f>"0,6123"</f>
        <v>0,6123</v>
      </c>
      <c r="F11" s="7" t="s">
        <v>240</v>
      </c>
      <c r="G11" s="15" t="s">
        <v>24</v>
      </c>
      <c r="H11" s="15" t="s">
        <v>25</v>
      </c>
      <c r="I11" s="14" t="s">
        <v>16</v>
      </c>
      <c r="J11" s="8"/>
      <c r="K11" s="8" t="s">
        <v>26</v>
      </c>
      <c r="L11" s="46">
        <v>15</v>
      </c>
      <c r="M11" s="8" t="str">
        <f>"1630,0"</f>
        <v>1630,0</v>
      </c>
      <c r="N11" s="8" t="str">
        <f>"5082,0898"</f>
        <v>5082,0898</v>
      </c>
      <c r="O11" s="7" t="s">
        <v>51</v>
      </c>
    </row>
    <row r="12" spans="1:15">
      <c r="B12" s="5" t="s">
        <v>48</v>
      </c>
    </row>
    <row r="13" spans="1:15" ht="16">
      <c r="A13" s="66" t="s">
        <v>27</v>
      </c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5">
      <c r="A14" s="8" t="s">
        <v>47</v>
      </c>
      <c r="B14" s="7" t="s">
        <v>28</v>
      </c>
      <c r="C14" s="7" t="s">
        <v>275</v>
      </c>
      <c r="D14" s="7" t="s">
        <v>29</v>
      </c>
      <c r="E14" s="7" t="str">
        <f>"0,6055"</f>
        <v>0,6055</v>
      </c>
      <c r="F14" s="7" t="s">
        <v>241</v>
      </c>
      <c r="G14" s="15" t="s">
        <v>30</v>
      </c>
      <c r="H14" s="15" t="s">
        <v>31</v>
      </c>
      <c r="I14" s="14" t="s">
        <v>32</v>
      </c>
      <c r="J14" s="8"/>
      <c r="K14" s="8" t="s">
        <v>33</v>
      </c>
      <c r="L14" s="46">
        <v>23</v>
      </c>
      <c r="M14" s="8" t="str">
        <f>"2700,0"</f>
        <v>2700,0</v>
      </c>
      <c r="N14" s="8" t="str">
        <f>"7061,6435"</f>
        <v>7061,6435</v>
      </c>
      <c r="O14" s="7" t="s">
        <v>51</v>
      </c>
    </row>
    <row r="15" spans="1:15">
      <c r="B15" s="5" t="s">
        <v>48</v>
      </c>
    </row>
    <row r="16" spans="1:15" ht="16">
      <c r="A16" s="66" t="s">
        <v>34</v>
      </c>
      <c r="B16" s="66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5">
      <c r="A17" s="8" t="s">
        <v>47</v>
      </c>
      <c r="B17" s="7" t="s">
        <v>35</v>
      </c>
      <c r="C17" s="7" t="s">
        <v>36</v>
      </c>
      <c r="D17" s="7" t="s">
        <v>37</v>
      </c>
      <c r="E17" s="7" t="str">
        <f>"0,5840"</f>
        <v>0,5840</v>
      </c>
      <c r="F17" s="7" t="s">
        <v>242</v>
      </c>
      <c r="G17" s="15" t="s">
        <v>38</v>
      </c>
      <c r="H17" s="14" t="s">
        <v>39</v>
      </c>
      <c r="I17" s="8"/>
      <c r="J17" s="8"/>
      <c r="K17" s="8" t="s">
        <v>24</v>
      </c>
      <c r="L17" s="46">
        <v>19</v>
      </c>
      <c r="M17" s="8" t="str">
        <f>"2465,0"</f>
        <v>2465,0</v>
      </c>
      <c r="N17" s="8" t="str">
        <f>"7132,9759"</f>
        <v>7132,9759</v>
      </c>
      <c r="O17" s="7" t="s">
        <v>40</v>
      </c>
    </row>
    <row r="18" spans="1:15">
      <c r="B18" s="5" t="s">
        <v>48</v>
      </c>
    </row>
  </sheetData>
  <mergeCells count="17">
    <mergeCell ref="A7:L7"/>
    <mergeCell ref="A10:L10"/>
    <mergeCell ref="A13:L13"/>
    <mergeCell ref="A16:L16"/>
    <mergeCell ref="B3:B4"/>
    <mergeCell ref="E3:E4"/>
    <mergeCell ref="A5:J5"/>
    <mergeCell ref="M3:M4"/>
    <mergeCell ref="N3:N4"/>
    <mergeCell ref="A1:O2"/>
    <mergeCell ref="G3:J3"/>
    <mergeCell ref="A3:A4"/>
    <mergeCell ref="C3:C4"/>
    <mergeCell ref="D3:D4"/>
    <mergeCell ref="O3:O4"/>
    <mergeCell ref="F3:F4"/>
    <mergeCell ref="K3:L3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O10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33.33203125" style="5" bestFit="1" customWidth="1"/>
    <col min="7" max="9" width="5.5" style="6" customWidth="1"/>
    <col min="10" max="10" width="4.83203125" style="6" customWidth="1"/>
    <col min="11" max="11" width="10.5" style="6" customWidth="1"/>
    <col min="12" max="12" width="15.33203125" style="45" customWidth="1"/>
    <col min="13" max="13" width="7.83203125" style="6" bestFit="1" customWidth="1"/>
    <col min="14" max="14" width="9.5" style="6" bestFit="1" customWidth="1"/>
    <col min="15" max="15" width="19.1640625" style="5" bestFit="1" customWidth="1"/>
    <col min="16" max="16384" width="9.1640625" style="3"/>
  </cols>
  <sheetData>
    <row r="1" spans="1:15" s="2" customFormat="1" ht="29" customHeight="1">
      <c r="A1" s="47" t="s">
        <v>254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</row>
    <row r="2" spans="1:15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</row>
    <row r="3" spans="1:15" s="1" customFormat="1" ht="12.75" customHeight="1">
      <c r="A3" s="55" t="s">
        <v>301</v>
      </c>
      <c r="B3" s="60" t="s">
        <v>0</v>
      </c>
      <c r="C3" s="57" t="s">
        <v>5</v>
      </c>
      <c r="D3" s="57" t="s">
        <v>9</v>
      </c>
      <c r="E3" s="59" t="s">
        <v>46</v>
      </c>
      <c r="F3" s="59" t="s">
        <v>6</v>
      </c>
      <c r="G3" s="59" t="s">
        <v>11</v>
      </c>
      <c r="H3" s="59"/>
      <c r="I3" s="59"/>
      <c r="J3" s="59"/>
      <c r="K3" s="59" t="s">
        <v>298</v>
      </c>
      <c r="L3" s="59"/>
      <c r="M3" s="59" t="s">
        <v>1</v>
      </c>
      <c r="N3" s="59" t="s">
        <v>3</v>
      </c>
      <c r="O3" s="62" t="s">
        <v>2</v>
      </c>
    </row>
    <row r="4" spans="1:15" s="1" customFormat="1" ht="21" customHeight="1" thickBot="1">
      <c r="A4" s="56"/>
      <c r="B4" s="61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 t="s">
        <v>7</v>
      </c>
      <c r="L4" s="42" t="s">
        <v>8</v>
      </c>
      <c r="M4" s="58"/>
      <c r="N4" s="58"/>
      <c r="O4" s="63"/>
    </row>
    <row r="5" spans="1:15" ht="16">
      <c r="A5" s="64" t="s">
        <v>59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5">
      <c r="A6" s="8" t="s">
        <v>47</v>
      </c>
      <c r="B6" s="7" t="s">
        <v>60</v>
      </c>
      <c r="C6" s="7" t="s">
        <v>61</v>
      </c>
      <c r="D6" s="7" t="s">
        <v>62</v>
      </c>
      <c r="E6" s="7" t="str">
        <f>"1,0195"</f>
        <v>1,0195</v>
      </c>
      <c r="F6" s="7" t="s">
        <v>300</v>
      </c>
      <c r="G6" s="15" t="s">
        <v>24</v>
      </c>
      <c r="H6" s="15" t="s">
        <v>57</v>
      </c>
      <c r="I6" s="14" t="s">
        <v>25</v>
      </c>
      <c r="J6" s="8"/>
      <c r="K6" s="8" t="s">
        <v>63</v>
      </c>
      <c r="L6" s="46">
        <v>34</v>
      </c>
      <c r="M6" s="8" t="str">
        <f>"2505,0"</f>
        <v>2505,0</v>
      </c>
      <c r="N6" s="8" t="str">
        <f>"8919,6057"</f>
        <v>8919,6057</v>
      </c>
      <c r="O6" s="7" t="s">
        <v>64</v>
      </c>
    </row>
    <row r="7" spans="1:15">
      <c r="B7" s="5" t="s">
        <v>48</v>
      </c>
    </row>
    <row r="8" spans="1:15" ht="16">
      <c r="A8" s="66" t="s">
        <v>50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5">
      <c r="A9" s="8" t="s">
        <v>47</v>
      </c>
      <c r="B9" s="7" t="s">
        <v>65</v>
      </c>
      <c r="C9" s="7" t="s">
        <v>66</v>
      </c>
      <c r="D9" s="7" t="s">
        <v>67</v>
      </c>
      <c r="E9" s="7" t="str">
        <f>"0,9283"</f>
        <v>0,9283</v>
      </c>
      <c r="F9" s="7" t="s">
        <v>294</v>
      </c>
      <c r="G9" s="15" t="s">
        <v>19</v>
      </c>
      <c r="H9" s="15" t="s">
        <v>26</v>
      </c>
      <c r="I9" s="8"/>
      <c r="J9" s="8"/>
      <c r="K9" s="8" t="s">
        <v>52</v>
      </c>
      <c r="L9" s="46">
        <v>15</v>
      </c>
      <c r="M9" s="8" t="str">
        <f>"1300,0"</f>
        <v>1300,0</v>
      </c>
      <c r="N9" s="8" t="str">
        <f>"5866,8561"</f>
        <v>5866,8561</v>
      </c>
      <c r="O9" s="7" t="s">
        <v>299</v>
      </c>
    </row>
    <row r="10" spans="1:15">
      <c r="B10" s="5" t="s">
        <v>48</v>
      </c>
    </row>
  </sheetData>
  <mergeCells count="14">
    <mergeCell ref="A8:L8"/>
    <mergeCell ref="B3:B4"/>
    <mergeCell ref="K3:L3"/>
    <mergeCell ref="M3:M4"/>
    <mergeCell ref="N3:N4"/>
    <mergeCell ref="O3:O4"/>
    <mergeCell ref="A5:L5"/>
    <mergeCell ref="A1:O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7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25" style="5" bestFit="1" customWidth="1"/>
    <col min="7" max="9" width="5.5" style="6" customWidth="1"/>
    <col min="10" max="10" width="4.83203125" style="6" customWidth="1"/>
    <col min="11" max="11" width="9.1640625" style="6" customWidth="1"/>
    <col min="12" max="12" width="16.5" style="6" customWidth="1"/>
    <col min="13" max="13" width="7.83203125" style="6" bestFit="1" customWidth="1"/>
    <col min="14" max="14" width="10.5" style="6" bestFit="1" customWidth="1"/>
    <col min="15" max="15" width="21.1640625" style="5" customWidth="1"/>
    <col min="16" max="16384" width="9.1640625" style="3"/>
  </cols>
  <sheetData>
    <row r="1" spans="1:15" s="2" customFormat="1" ht="29" customHeight="1">
      <c r="A1" s="47" t="s">
        <v>252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</row>
    <row r="2" spans="1:15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</row>
    <row r="3" spans="1:15" s="1" customFormat="1" ht="12.75" customHeight="1">
      <c r="A3" s="55" t="s">
        <v>301</v>
      </c>
      <c r="B3" s="60" t="s">
        <v>0</v>
      </c>
      <c r="C3" s="57" t="s">
        <v>5</v>
      </c>
      <c r="D3" s="57" t="s">
        <v>9</v>
      </c>
      <c r="E3" s="59" t="s">
        <v>46</v>
      </c>
      <c r="F3" s="59" t="s">
        <v>6</v>
      </c>
      <c r="G3" s="59" t="s">
        <v>11</v>
      </c>
      <c r="H3" s="59"/>
      <c r="I3" s="59"/>
      <c r="J3" s="59"/>
      <c r="K3" s="59" t="s">
        <v>298</v>
      </c>
      <c r="L3" s="59"/>
      <c r="M3" s="59" t="s">
        <v>1</v>
      </c>
      <c r="N3" s="59" t="s">
        <v>3</v>
      </c>
      <c r="O3" s="62" t="s">
        <v>2</v>
      </c>
    </row>
    <row r="4" spans="1:15" s="1" customFormat="1" ht="21" customHeight="1" thickBot="1">
      <c r="A4" s="56"/>
      <c r="B4" s="61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 t="s">
        <v>7</v>
      </c>
      <c r="L4" s="4" t="s">
        <v>8</v>
      </c>
      <c r="M4" s="58"/>
      <c r="N4" s="58"/>
      <c r="O4" s="63"/>
    </row>
    <row r="5" spans="1:15" ht="16">
      <c r="A5" s="64" t="s">
        <v>27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5">
      <c r="A6" s="8" t="s">
        <v>47</v>
      </c>
      <c r="B6" s="7" t="s">
        <v>84</v>
      </c>
      <c r="C6" s="7" t="s">
        <v>85</v>
      </c>
      <c r="D6" s="7" t="s">
        <v>86</v>
      </c>
      <c r="E6" s="7" t="str">
        <f>"0,5930"</f>
        <v>0,5930</v>
      </c>
      <c r="F6" s="7" t="s">
        <v>288</v>
      </c>
      <c r="G6" s="14" t="s">
        <v>87</v>
      </c>
      <c r="H6" s="15" t="s">
        <v>87</v>
      </c>
      <c r="I6" s="14" t="s">
        <v>88</v>
      </c>
      <c r="J6" s="8"/>
      <c r="K6" s="8" t="s">
        <v>30</v>
      </c>
      <c r="L6" s="46">
        <v>45</v>
      </c>
      <c r="M6" s="8" t="str">
        <f>"7780,0"</f>
        <v>7780,0</v>
      </c>
      <c r="N6" s="8" t="str">
        <f>"16029,5311"</f>
        <v>16029,5311</v>
      </c>
      <c r="O6" s="7" t="s">
        <v>51</v>
      </c>
    </row>
    <row r="7" spans="1:15">
      <c r="B7" s="5" t="s">
        <v>48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O8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17.5" style="5" bestFit="1" customWidth="1"/>
    <col min="7" max="10" width="5.5" style="6" customWidth="1"/>
    <col min="11" max="11" width="11.6640625" style="6" customWidth="1"/>
    <col min="12" max="12" width="14.83203125" style="45" customWidth="1"/>
    <col min="13" max="13" width="7.83203125" style="6" bestFit="1" customWidth="1"/>
    <col min="14" max="14" width="10.5" style="6" bestFit="1" customWidth="1"/>
    <col min="15" max="15" width="18" style="5" customWidth="1"/>
    <col min="16" max="16384" width="9.1640625" style="3"/>
  </cols>
  <sheetData>
    <row r="1" spans="1:15" s="2" customFormat="1" ht="29" customHeight="1">
      <c r="A1" s="47" t="s">
        <v>253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</row>
    <row r="2" spans="1:15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</row>
    <row r="3" spans="1:15" s="1" customFormat="1" ht="12.75" customHeight="1">
      <c r="A3" s="55" t="s">
        <v>301</v>
      </c>
      <c r="B3" s="60" t="s">
        <v>0</v>
      </c>
      <c r="C3" s="57" t="s">
        <v>5</v>
      </c>
      <c r="D3" s="57" t="s">
        <v>9</v>
      </c>
      <c r="E3" s="59" t="s">
        <v>46</v>
      </c>
      <c r="F3" s="59" t="s">
        <v>6</v>
      </c>
      <c r="G3" s="59" t="s">
        <v>11</v>
      </c>
      <c r="H3" s="59"/>
      <c r="I3" s="59"/>
      <c r="J3" s="59"/>
      <c r="K3" s="59" t="s">
        <v>298</v>
      </c>
      <c r="L3" s="59"/>
      <c r="M3" s="59" t="s">
        <v>1</v>
      </c>
      <c r="N3" s="59" t="s">
        <v>3</v>
      </c>
      <c r="O3" s="62" t="s">
        <v>2</v>
      </c>
    </row>
    <row r="4" spans="1:15" s="1" customFormat="1" ht="21" customHeight="1" thickBot="1">
      <c r="A4" s="56"/>
      <c r="B4" s="61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 t="s">
        <v>7</v>
      </c>
      <c r="L4" s="42" t="s">
        <v>8</v>
      </c>
      <c r="M4" s="58"/>
      <c r="N4" s="58"/>
      <c r="O4" s="63"/>
    </row>
    <row r="5" spans="1:15" ht="16">
      <c r="A5" s="64" t="s">
        <v>20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5">
      <c r="A6" s="17" t="s">
        <v>47</v>
      </c>
      <c r="B6" s="16" t="s">
        <v>68</v>
      </c>
      <c r="C6" s="16" t="s">
        <v>69</v>
      </c>
      <c r="D6" s="16" t="s">
        <v>70</v>
      </c>
      <c r="E6" s="16" t="str">
        <f>"0,6134"</f>
        <v>0,6134</v>
      </c>
      <c r="F6" s="16" t="s">
        <v>51</v>
      </c>
      <c r="G6" s="20" t="s">
        <v>71</v>
      </c>
      <c r="H6" s="21" t="s">
        <v>72</v>
      </c>
      <c r="I6" s="20" t="s">
        <v>72</v>
      </c>
      <c r="J6" s="20" t="s">
        <v>73</v>
      </c>
      <c r="K6" s="17" t="s">
        <v>74</v>
      </c>
      <c r="L6" s="43">
        <v>53</v>
      </c>
      <c r="M6" s="17" t="str">
        <f>"8290,0"</f>
        <v>8290,0</v>
      </c>
      <c r="N6" s="17" t="str">
        <f>"16279,6355"</f>
        <v>16279,6355</v>
      </c>
      <c r="O6" s="16" t="s">
        <v>51</v>
      </c>
    </row>
    <row r="7" spans="1:15">
      <c r="A7" s="19" t="s">
        <v>80</v>
      </c>
      <c r="B7" s="18" t="s">
        <v>75</v>
      </c>
      <c r="C7" s="18" t="s">
        <v>76</v>
      </c>
      <c r="D7" s="18" t="s">
        <v>77</v>
      </c>
      <c r="E7" s="18" t="str">
        <f>"0,6155"</f>
        <v>0,6155</v>
      </c>
      <c r="F7" s="18" t="s">
        <v>51</v>
      </c>
      <c r="G7" s="22" t="s">
        <v>78</v>
      </c>
      <c r="H7" s="22" t="s">
        <v>71</v>
      </c>
      <c r="I7" s="22" t="s">
        <v>79</v>
      </c>
      <c r="J7" s="23" t="s">
        <v>73</v>
      </c>
      <c r="K7" s="19" t="s">
        <v>74</v>
      </c>
      <c r="L7" s="44">
        <v>39</v>
      </c>
      <c r="M7" s="19" t="str">
        <f>"6185,0"</f>
        <v>6185,0</v>
      </c>
      <c r="N7" s="19" t="str">
        <f>"14630,4344"</f>
        <v>14630,4344</v>
      </c>
      <c r="O7" s="18" t="s">
        <v>51</v>
      </c>
    </row>
    <row r="8" spans="1:15">
      <c r="B8" s="5" t="s">
        <v>48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951F-6CE8-3045-AAC0-8CD6871810ED}">
  <dimension ref="A1:M7"/>
  <sheetViews>
    <sheetView workbookViewId="0">
      <selection activeCell="A5" sqref="A5:XFD6"/>
    </sheetView>
  </sheetViews>
  <sheetFormatPr baseColWidth="10" defaultColWidth="9.1640625" defaultRowHeight="13"/>
  <cols>
    <col min="1" max="1" width="7.5" style="29" bestFit="1" customWidth="1"/>
    <col min="2" max="2" width="20" style="29" bestFit="1" customWidth="1"/>
    <col min="3" max="3" width="26.33203125" style="29" bestFit="1" customWidth="1"/>
    <col min="4" max="4" width="21.5" style="29" bestFit="1" customWidth="1"/>
    <col min="5" max="5" width="10.5" style="29" bestFit="1" customWidth="1"/>
    <col min="6" max="6" width="26.6640625" style="29" bestFit="1" customWidth="1"/>
    <col min="7" max="9" width="5.5" style="30" customWidth="1"/>
    <col min="10" max="10" width="4.83203125" style="30" customWidth="1"/>
    <col min="11" max="11" width="10.5" style="30" bestFit="1" customWidth="1"/>
    <col min="12" max="12" width="7.5" style="30" bestFit="1" customWidth="1"/>
    <col min="13" max="13" width="15.5" style="29" bestFit="1" customWidth="1"/>
    <col min="14" max="16384" width="9.1640625" style="28"/>
  </cols>
  <sheetData>
    <row r="1" spans="1:13" s="37" customFormat="1" ht="29" customHeight="1">
      <c r="A1" s="77" t="s">
        <v>255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3" s="37" customFormat="1" ht="62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s="35" customFormat="1" ht="12.75" customHeight="1">
      <c r="A3" s="85" t="s">
        <v>301</v>
      </c>
      <c r="B3" s="75" t="s">
        <v>0</v>
      </c>
      <c r="C3" s="87" t="s">
        <v>5</v>
      </c>
      <c r="D3" s="87" t="s">
        <v>9</v>
      </c>
      <c r="E3" s="70" t="s">
        <v>10</v>
      </c>
      <c r="F3" s="70" t="s">
        <v>6</v>
      </c>
      <c r="G3" s="70" t="s">
        <v>11</v>
      </c>
      <c r="H3" s="70"/>
      <c r="I3" s="70"/>
      <c r="J3" s="70"/>
      <c r="K3" s="70" t="s">
        <v>49</v>
      </c>
      <c r="L3" s="70" t="s">
        <v>3</v>
      </c>
      <c r="M3" s="72" t="s">
        <v>2</v>
      </c>
    </row>
    <row r="4" spans="1:13" s="35" customFormat="1" ht="21" customHeight="1" thickBot="1">
      <c r="A4" s="86"/>
      <c r="B4" s="76"/>
      <c r="C4" s="71"/>
      <c r="D4" s="71"/>
      <c r="E4" s="71"/>
      <c r="F4" s="71"/>
      <c r="G4" s="36">
        <v>1</v>
      </c>
      <c r="H4" s="36">
        <v>2</v>
      </c>
      <c r="I4" s="36">
        <v>3</v>
      </c>
      <c r="J4" s="36" t="s">
        <v>4</v>
      </c>
      <c r="K4" s="71"/>
      <c r="L4" s="71"/>
      <c r="M4" s="73"/>
    </row>
    <row r="7" spans="1:13">
      <c r="B7" s="29" t="s">
        <v>48</v>
      </c>
    </row>
  </sheetData>
  <mergeCells count="11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5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7" t="s">
        <v>251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301</v>
      </c>
      <c r="B3" s="60" t="s">
        <v>0</v>
      </c>
      <c r="C3" s="57" t="s">
        <v>5</v>
      </c>
      <c r="D3" s="57" t="s">
        <v>9</v>
      </c>
      <c r="E3" s="59" t="s">
        <v>10</v>
      </c>
      <c r="F3" s="59" t="s">
        <v>6</v>
      </c>
      <c r="G3" s="59" t="s">
        <v>11</v>
      </c>
      <c r="H3" s="59"/>
      <c r="I3" s="59"/>
      <c r="J3" s="59"/>
      <c r="K3" s="59" t="s">
        <v>49</v>
      </c>
      <c r="L3" s="59" t="s">
        <v>3</v>
      </c>
      <c r="M3" s="62" t="s">
        <v>2</v>
      </c>
    </row>
    <row r="4" spans="1:13" s="1" customFormat="1" ht="21" customHeight="1" thickBot="1">
      <c r="A4" s="56"/>
      <c r="B4" s="61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104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17" t="s">
        <v>47</v>
      </c>
      <c r="B6" s="16" t="s">
        <v>105</v>
      </c>
      <c r="C6" s="16" t="s">
        <v>106</v>
      </c>
      <c r="D6" s="16" t="s">
        <v>107</v>
      </c>
      <c r="E6" s="16" t="str">
        <f>"0,6774"</f>
        <v>0,6774</v>
      </c>
      <c r="F6" s="16" t="s">
        <v>280</v>
      </c>
      <c r="G6" s="20" t="s">
        <v>16</v>
      </c>
      <c r="H6" s="20" t="s">
        <v>108</v>
      </c>
      <c r="I6" s="20" t="s">
        <v>109</v>
      </c>
      <c r="J6" s="17"/>
      <c r="K6" s="17" t="str">
        <f>"157,5"</f>
        <v>157,5</v>
      </c>
      <c r="L6" s="17" t="str">
        <f>"106,6905"</f>
        <v>106,6905</v>
      </c>
      <c r="M6" s="16" t="s">
        <v>51</v>
      </c>
    </row>
    <row r="7" spans="1:13">
      <c r="A7" s="19" t="s">
        <v>80</v>
      </c>
      <c r="B7" s="18" t="s">
        <v>110</v>
      </c>
      <c r="C7" s="18" t="s">
        <v>111</v>
      </c>
      <c r="D7" s="18" t="s">
        <v>112</v>
      </c>
      <c r="E7" s="18" t="str">
        <f>"0,6927"</f>
        <v>0,6927</v>
      </c>
      <c r="F7" s="18" t="s">
        <v>281</v>
      </c>
      <c r="G7" s="23" t="s">
        <v>81</v>
      </c>
      <c r="H7" s="23" t="s">
        <v>81</v>
      </c>
      <c r="I7" s="22" t="s">
        <v>81</v>
      </c>
      <c r="J7" s="19"/>
      <c r="K7" s="19" t="str">
        <f>"135,0"</f>
        <v>135,0</v>
      </c>
      <c r="L7" s="19" t="str">
        <f>"93,5145"</f>
        <v>93,5145</v>
      </c>
      <c r="M7" s="18" t="s">
        <v>279</v>
      </c>
    </row>
    <row r="8" spans="1:13">
      <c r="B8" s="5" t="s">
        <v>48</v>
      </c>
    </row>
    <row r="9" spans="1:13" ht="16">
      <c r="A9" s="66" t="s">
        <v>12</v>
      </c>
      <c r="B9" s="66"/>
      <c r="C9" s="67"/>
      <c r="D9" s="67"/>
      <c r="E9" s="67"/>
      <c r="F9" s="67"/>
      <c r="G9" s="67"/>
      <c r="H9" s="67"/>
      <c r="I9" s="67"/>
      <c r="J9" s="67"/>
    </row>
    <row r="10" spans="1:13">
      <c r="A10" s="17" t="s">
        <v>47</v>
      </c>
      <c r="B10" s="16" t="s">
        <v>113</v>
      </c>
      <c r="C10" s="16" t="s">
        <v>114</v>
      </c>
      <c r="D10" s="16" t="s">
        <v>115</v>
      </c>
      <c r="E10" s="16" t="str">
        <f>"0,6467"</f>
        <v>0,6467</v>
      </c>
      <c r="F10" s="16" t="s">
        <v>240</v>
      </c>
      <c r="G10" s="20" t="s">
        <v>31</v>
      </c>
      <c r="H10" s="20" t="s">
        <v>116</v>
      </c>
      <c r="I10" s="17"/>
      <c r="J10" s="17"/>
      <c r="K10" s="17" t="str">
        <f>"180,0"</f>
        <v>180,0</v>
      </c>
      <c r="L10" s="17" t="str">
        <f>"116,4060"</f>
        <v>116,4060</v>
      </c>
      <c r="M10" s="16" t="s">
        <v>51</v>
      </c>
    </row>
    <row r="11" spans="1:13">
      <c r="A11" s="19" t="s">
        <v>47</v>
      </c>
      <c r="B11" s="18" t="s">
        <v>82</v>
      </c>
      <c r="C11" s="18" t="s">
        <v>264</v>
      </c>
      <c r="D11" s="18" t="s">
        <v>83</v>
      </c>
      <c r="E11" s="18" t="str">
        <f>"0,6592"</f>
        <v>0,6592</v>
      </c>
      <c r="F11" s="18" t="s">
        <v>282</v>
      </c>
      <c r="G11" s="22" t="s">
        <v>81</v>
      </c>
      <c r="H11" s="22" t="s">
        <v>17</v>
      </c>
      <c r="I11" s="22" t="s">
        <v>74</v>
      </c>
      <c r="J11" s="19"/>
      <c r="K11" s="19" t="str">
        <f>"150,0"</f>
        <v>150,0</v>
      </c>
      <c r="L11" s="19" t="str">
        <f>"136,4544"</f>
        <v>136,4544</v>
      </c>
      <c r="M11" s="18" t="s">
        <v>51</v>
      </c>
    </row>
    <row r="12" spans="1:13">
      <c r="B12" s="5" t="s">
        <v>48</v>
      </c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2.5" style="5" customWidth="1"/>
    <col min="7" max="9" width="5.5" style="6" customWidth="1"/>
    <col min="10" max="10" width="4.83203125" style="6" customWidth="1"/>
    <col min="11" max="11" width="7.8320312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7" t="s">
        <v>247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301</v>
      </c>
      <c r="B3" s="60" t="s">
        <v>0</v>
      </c>
      <c r="C3" s="57" t="s">
        <v>5</v>
      </c>
      <c r="D3" s="57" t="s">
        <v>9</v>
      </c>
      <c r="E3" s="59" t="s">
        <v>94</v>
      </c>
      <c r="F3" s="59" t="s">
        <v>6</v>
      </c>
      <c r="G3" s="59" t="s">
        <v>11</v>
      </c>
      <c r="H3" s="59"/>
      <c r="I3" s="59"/>
      <c r="J3" s="59"/>
      <c r="K3" s="59" t="s">
        <v>49</v>
      </c>
      <c r="L3" s="59" t="s">
        <v>3</v>
      </c>
      <c r="M3" s="62" t="s">
        <v>2</v>
      </c>
    </row>
    <row r="4" spans="1:13" s="1" customFormat="1" ht="21" customHeight="1" thickBot="1">
      <c r="A4" s="56"/>
      <c r="B4" s="61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117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8" t="s">
        <v>47</v>
      </c>
      <c r="B6" s="7" t="s">
        <v>194</v>
      </c>
      <c r="C6" s="7" t="s">
        <v>265</v>
      </c>
      <c r="D6" s="7" t="s">
        <v>195</v>
      </c>
      <c r="E6" s="7" t="str">
        <f>"1,1178"</f>
        <v>1,1178</v>
      </c>
      <c r="F6" s="7" t="s">
        <v>284</v>
      </c>
      <c r="G6" s="15" t="s">
        <v>103</v>
      </c>
      <c r="H6" s="15" t="s">
        <v>63</v>
      </c>
      <c r="I6" s="15" t="s">
        <v>196</v>
      </c>
      <c r="J6" s="8"/>
      <c r="K6" s="8" t="str">
        <f>"75,0"</f>
        <v>75,0</v>
      </c>
      <c r="L6" s="8" t="str">
        <f>"86,4339"</f>
        <v>86,4339</v>
      </c>
      <c r="M6" s="7" t="s">
        <v>283</v>
      </c>
    </row>
    <row r="7" spans="1:13">
      <c r="B7" s="5" t="s">
        <v>48</v>
      </c>
    </row>
    <row r="8" spans="1:13" ht="16">
      <c r="A8" s="66" t="s">
        <v>12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8" t="s">
        <v>47</v>
      </c>
      <c r="B9" s="7" t="s">
        <v>197</v>
      </c>
      <c r="C9" s="7" t="s">
        <v>198</v>
      </c>
      <c r="D9" s="7" t="s">
        <v>199</v>
      </c>
      <c r="E9" s="7" t="str">
        <f>"0,6416"</f>
        <v>0,6416</v>
      </c>
      <c r="F9" s="7" t="s">
        <v>240</v>
      </c>
      <c r="G9" s="14" t="s">
        <v>30</v>
      </c>
      <c r="H9" s="15" t="s">
        <v>31</v>
      </c>
      <c r="I9" s="15" t="s">
        <v>146</v>
      </c>
      <c r="J9" s="8"/>
      <c r="K9" s="8" t="str">
        <f>"175,0"</f>
        <v>175,0</v>
      </c>
      <c r="L9" s="8" t="str">
        <f>"112,2800"</f>
        <v>112,2800</v>
      </c>
      <c r="M9" s="7" t="s">
        <v>200</v>
      </c>
    </row>
    <row r="10" spans="1:13">
      <c r="B10" s="5" t="s">
        <v>48</v>
      </c>
    </row>
    <row r="11" spans="1:13" ht="16">
      <c r="A11" s="66" t="s">
        <v>176</v>
      </c>
      <c r="B11" s="66"/>
      <c r="C11" s="67"/>
      <c r="D11" s="67"/>
      <c r="E11" s="67"/>
      <c r="F11" s="67"/>
      <c r="G11" s="67"/>
      <c r="H11" s="67"/>
      <c r="I11" s="67"/>
      <c r="J11" s="67"/>
    </row>
    <row r="12" spans="1:13">
      <c r="A12" s="8" t="s">
        <v>47</v>
      </c>
      <c r="B12" s="7" t="s">
        <v>201</v>
      </c>
      <c r="C12" s="7" t="s">
        <v>202</v>
      </c>
      <c r="D12" s="7" t="s">
        <v>203</v>
      </c>
      <c r="E12" s="7" t="str">
        <f>"0,5606"</f>
        <v>0,5606</v>
      </c>
      <c r="F12" s="7" t="s">
        <v>240</v>
      </c>
      <c r="G12" s="15" t="s">
        <v>161</v>
      </c>
      <c r="H12" s="14" t="s">
        <v>172</v>
      </c>
      <c r="I12" s="14" t="s">
        <v>156</v>
      </c>
      <c r="J12" s="8"/>
      <c r="K12" s="8" t="str">
        <f>"230,0"</f>
        <v>230,0</v>
      </c>
      <c r="L12" s="8" t="str">
        <f>"128,9380"</f>
        <v>128,9380</v>
      </c>
      <c r="M12" s="7" t="s">
        <v>51</v>
      </c>
    </row>
    <row r="13" spans="1:13">
      <c r="B13" s="5" t="s">
        <v>48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3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7.83203125" style="5" bestFit="1" customWidth="1"/>
    <col min="14" max="16384" width="9.1640625" style="3"/>
  </cols>
  <sheetData>
    <row r="1" spans="1:13" s="2" customFormat="1" ht="29" customHeight="1">
      <c r="A1" s="47" t="s">
        <v>248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301</v>
      </c>
      <c r="B3" s="60" t="s">
        <v>0</v>
      </c>
      <c r="C3" s="57" t="s">
        <v>5</v>
      </c>
      <c r="D3" s="57" t="s">
        <v>9</v>
      </c>
      <c r="E3" s="59" t="s">
        <v>94</v>
      </c>
      <c r="F3" s="59" t="s">
        <v>6</v>
      </c>
      <c r="G3" s="59" t="s">
        <v>11</v>
      </c>
      <c r="H3" s="59"/>
      <c r="I3" s="59"/>
      <c r="J3" s="59"/>
      <c r="K3" s="59" t="s">
        <v>49</v>
      </c>
      <c r="L3" s="59" t="s">
        <v>3</v>
      </c>
      <c r="M3" s="62" t="s">
        <v>2</v>
      </c>
    </row>
    <row r="4" spans="1:13" s="1" customFormat="1" ht="21" customHeight="1" thickBot="1">
      <c r="A4" s="56"/>
      <c r="B4" s="61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12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8" t="s">
        <v>47</v>
      </c>
      <c r="B6" s="7" t="s">
        <v>113</v>
      </c>
      <c r="C6" s="7" t="s">
        <v>114</v>
      </c>
      <c r="D6" s="7" t="s">
        <v>115</v>
      </c>
      <c r="E6" s="7" t="str">
        <f>"0,6205"</f>
        <v>0,6205</v>
      </c>
      <c r="F6" s="7" t="s">
        <v>240</v>
      </c>
      <c r="G6" s="15" t="s">
        <v>155</v>
      </c>
      <c r="H6" s="15" t="s">
        <v>156</v>
      </c>
      <c r="I6" s="14" t="s">
        <v>157</v>
      </c>
      <c r="J6" s="8"/>
      <c r="K6" s="8" t="str">
        <f>"250,0"</f>
        <v>250,0</v>
      </c>
      <c r="L6" s="8" t="str">
        <f>"155,1250"</f>
        <v>155,1250</v>
      </c>
      <c r="M6" s="7" t="s">
        <v>51</v>
      </c>
    </row>
    <row r="7" spans="1:13">
      <c r="B7" s="5" t="s">
        <v>48</v>
      </c>
    </row>
    <row r="8" spans="1:13" ht="16">
      <c r="A8" s="66" t="s">
        <v>20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8" t="s">
        <v>47</v>
      </c>
      <c r="B9" s="7" t="s">
        <v>158</v>
      </c>
      <c r="C9" s="7" t="s">
        <v>266</v>
      </c>
      <c r="D9" s="7" t="s">
        <v>159</v>
      </c>
      <c r="E9" s="7" t="str">
        <f>"0,5846"</f>
        <v>0,5846</v>
      </c>
      <c r="F9" s="7" t="s">
        <v>289</v>
      </c>
      <c r="G9" s="15" t="s">
        <v>160</v>
      </c>
      <c r="H9" s="14" t="s">
        <v>161</v>
      </c>
      <c r="I9" s="14" t="s">
        <v>155</v>
      </c>
      <c r="J9" s="8"/>
      <c r="K9" s="8" t="str">
        <f>"220,0"</f>
        <v>220,0</v>
      </c>
      <c r="L9" s="8" t="str">
        <f>"129,8870"</f>
        <v>129,8870</v>
      </c>
      <c r="M9" s="7" t="s">
        <v>285</v>
      </c>
    </row>
    <row r="10" spans="1:13">
      <c r="B10" s="5" t="s">
        <v>48</v>
      </c>
    </row>
    <row r="11" spans="1:13" ht="16">
      <c r="A11" s="66" t="s">
        <v>27</v>
      </c>
      <c r="B11" s="66"/>
      <c r="C11" s="67"/>
      <c r="D11" s="67"/>
      <c r="E11" s="67"/>
      <c r="F11" s="67"/>
      <c r="G11" s="67"/>
      <c r="H11" s="67"/>
      <c r="I11" s="67"/>
      <c r="J11" s="67"/>
    </row>
    <row r="12" spans="1:13">
      <c r="A12" s="17" t="s">
        <v>47</v>
      </c>
      <c r="B12" s="16" t="s">
        <v>162</v>
      </c>
      <c r="C12" s="16" t="s">
        <v>163</v>
      </c>
      <c r="D12" s="16" t="s">
        <v>164</v>
      </c>
      <c r="E12" s="16" t="str">
        <f>"0,5627"</f>
        <v>0,5627</v>
      </c>
      <c r="F12" s="16" t="s">
        <v>292</v>
      </c>
      <c r="G12" s="21" t="s">
        <v>165</v>
      </c>
      <c r="H12" s="20" t="s">
        <v>165</v>
      </c>
      <c r="I12" s="21" t="s">
        <v>166</v>
      </c>
      <c r="J12" s="17"/>
      <c r="K12" s="17" t="str">
        <f>"270,0"</f>
        <v>270,0</v>
      </c>
      <c r="L12" s="17" t="str">
        <f>"151,9425"</f>
        <v>151,9425</v>
      </c>
      <c r="M12" s="16" t="s">
        <v>51</v>
      </c>
    </row>
    <row r="13" spans="1:13">
      <c r="A13" s="25" t="s">
        <v>80</v>
      </c>
      <c r="B13" s="24" t="s">
        <v>167</v>
      </c>
      <c r="C13" s="24" t="s">
        <v>168</v>
      </c>
      <c r="D13" s="24" t="s">
        <v>169</v>
      </c>
      <c r="E13" s="24" t="str">
        <f>"0,5637"</f>
        <v>0,5637</v>
      </c>
      <c r="F13" s="24" t="s">
        <v>287</v>
      </c>
      <c r="G13" s="26" t="s">
        <v>170</v>
      </c>
      <c r="H13" s="26" t="s">
        <v>171</v>
      </c>
      <c r="I13" s="26" t="s">
        <v>172</v>
      </c>
      <c r="J13" s="25"/>
      <c r="K13" s="25" t="str">
        <f>"245,0"</f>
        <v>245,0</v>
      </c>
      <c r="L13" s="25" t="str">
        <f>"138,0943"</f>
        <v>138,0943</v>
      </c>
      <c r="M13" s="24" t="s">
        <v>188</v>
      </c>
    </row>
    <row r="14" spans="1:13">
      <c r="A14" s="25" t="s">
        <v>193</v>
      </c>
      <c r="B14" s="24" t="s">
        <v>173</v>
      </c>
      <c r="C14" s="24" t="s">
        <v>174</v>
      </c>
      <c r="D14" s="24" t="s">
        <v>175</v>
      </c>
      <c r="E14" s="24" t="str">
        <f>"0,5648"</f>
        <v>0,5648</v>
      </c>
      <c r="F14" s="24" t="s">
        <v>240</v>
      </c>
      <c r="G14" s="26" t="s">
        <v>161</v>
      </c>
      <c r="H14" s="27" t="s">
        <v>155</v>
      </c>
      <c r="I14" s="27" t="s">
        <v>172</v>
      </c>
      <c r="J14" s="25"/>
      <c r="K14" s="25" t="str">
        <f>"230,0"</f>
        <v>230,0</v>
      </c>
      <c r="L14" s="25" t="str">
        <f>"129,9155"</f>
        <v>129,9155</v>
      </c>
      <c r="M14" s="24" t="s">
        <v>51</v>
      </c>
    </row>
    <row r="15" spans="1:13">
      <c r="A15" s="25" t="s">
        <v>47</v>
      </c>
      <c r="B15" s="24" t="s">
        <v>162</v>
      </c>
      <c r="C15" s="24" t="s">
        <v>267</v>
      </c>
      <c r="D15" s="24" t="s">
        <v>164</v>
      </c>
      <c r="E15" s="24" t="str">
        <f>"0,5627"</f>
        <v>0,5627</v>
      </c>
      <c r="F15" s="24" t="s">
        <v>282</v>
      </c>
      <c r="G15" s="27" t="s">
        <v>165</v>
      </c>
      <c r="H15" s="26" t="s">
        <v>165</v>
      </c>
      <c r="I15" s="27" t="s">
        <v>166</v>
      </c>
      <c r="J15" s="25"/>
      <c r="K15" s="25" t="str">
        <f>"270,0"</f>
        <v>270,0</v>
      </c>
      <c r="L15" s="25" t="str">
        <f>"160,2993"</f>
        <v>160,2993</v>
      </c>
      <c r="M15" s="24" t="s">
        <v>51</v>
      </c>
    </row>
    <row r="16" spans="1:13">
      <c r="A16" s="19" t="s">
        <v>80</v>
      </c>
      <c r="B16" s="18" t="s">
        <v>167</v>
      </c>
      <c r="C16" s="18" t="s">
        <v>268</v>
      </c>
      <c r="D16" s="18" t="s">
        <v>169</v>
      </c>
      <c r="E16" s="18" t="str">
        <f>"0,5637"</f>
        <v>0,5637</v>
      </c>
      <c r="F16" s="18" t="s">
        <v>287</v>
      </c>
      <c r="G16" s="22" t="s">
        <v>170</v>
      </c>
      <c r="H16" s="22" t="s">
        <v>171</v>
      </c>
      <c r="I16" s="22" t="s">
        <v>172</v>
      </c>
      <c r="J16" s="19"/>
      <c r="K16" s="19" t="str">
        <f>"245,0"</f>
        <v>245,0</v>
      </c>
      <c r="L16" s="19" t="str">
        <f>"147,4847"</f>
        <v>147,4847</v>
      </c>
      <c r="M16" s="18" t="s">
        <v>188</v>
      </c>
    </row>
    <row r="17" spans="1:13">
      <c r="B17" s="5" t="s">
        <v>48</v>
      </c>
    </row>
    <row r="18" spans="1:13" ht="16">
      <c r="A18" s="66" t="s">
        <v>176</v>
      </c>
      <c r="B18" s="66"/>
      <c r="C18" s="67"/>
      <c r="D18" s="67"/>
      <c r="E18" s="67"/>
      <c r="F18" s="67"/>
      <c r="G18" s="67"/>
      <c r="H18" s="67"/>
      <c r="I18" s="67"/>
      <c r="J18" s="67"/>
    </row>
    <row r="19" spans="1:13">
      <c r="A19" s="17" t="s">
        <v>47</v>
      </c>
      <c r="B19" s="16" t="s">
        <v>91</v>
      </c>
      <c r="C19" s="16" t="s">
        <v>92</v>
      </c>
      <c r="D19" s="16" t="s">
        <v>93</v>
      </c>
      <c r="E19" s="16" t="str">
        <f>"0,5551"</f>
        <v>0,5551</v>
      </c>
      <c r="F19" s="16" t="s">
        <v>290</v>
      </c>
      <c r="G19" s="20" t="s">
        <v>177</v>
      </c>
      <c r="H19" s="20" t="s">
        <v>178</v>
      </c>
      <c r="I19" s="20" t="s">
        <v>78</v>
      </c>
      <c r="J19" s="17"/>
      <c r="K19" s="17" t="str">
        <f>"310,0"</f>
        <v>310,0</v>
      </c>
      <c r="L19" s="17" t="str">
        <f>"172,0810"</f>
        <v>172,0810</v>
      </c>
      <c r="M19" s="16" t="s">
        <v>51</v>
      </c>
    </row>
    <row r="20" spans="1:13">
      <c r="A20" s="25" t="s">
        <v>80</v>
      </c>
      <c r="B20" s="24" t="s">
        <v>179</v>
      </c>
      <c r="C20" s="24" t="s">
        <v>180</v>
      </c>
      <c r="D20" s="24" t="s">
        <v>181</v>
      </c>
      <c r="E20" s="24" t="str">
        <f>"0,5479"</f>
        <v>0,5479</v>
      </c>
      <c r="F20" s="24" t="s">
        <v>291</v>
      </c>
      <c r="G20" s="26" t="s">
        <v>177</v>
      </c>
      <c r="H20" s="26" t="s">
        <v>166</v>
      </c>
      <c r="I20" s="26" t="s">
        <v>178</v>
      </c>
      <c r="J20" s="25"/>
      <c r="K20" s="25" t="str">
        <f>"300,0"</f>
        <v>300,0</v>
      </c>
      <c r="L20" s="25" t="str">
        <f>"164,3700"</f>
        <v>164,3700</v>
      </c>
      <c r="M20" s="24" t="s">
        <v>51</v>
      </c>
    </row>
    <row r="21" spans="1:13">
      <c r="A21" s="25" t="s">
        <v>193</v>
      </c>
      <c r="B21" s="24" t="s">
        <v>182</v>
      </c>
      <c r="C21" s="24" t="s">
        <v>183</v>
      </c>
      <c r="D21" s="24" t="s">
        <v>184</v>
      </c>
      <c r="E21" s="24" t="str">
        <f>"0,5567"</f>
        <v>0,5567</v>
      </c>
      <c r="F21" s="24" t="s">
        <v>288</v>
      </c>
      <c r="G21" s="26" t="s">
        <v>156</v>
      </c>
      <c r="H21" s="26" t="s">
        <v>177</v>
      </c>
      <c r="I21" s="26" t="s">
        <v>166</v>
      </c>
      <c r="J21" s="25"/>
      <c r="K21" s="25" t="str">
        <f>"290,0"</f>
        <v>290,0</v>
      </c>
      <c r="L21" s="25" t="str">
        <f>"161,4575"</f>
        <v>161,4575</v>
      </c>
      <c r="M21" s="24" t="s">
        <v>51</v>
      </c>
    </row>
    <row r="22" spans="1:13">
      <c r="A22" s="19" t="s">
        <v>47</v>
      </c>
      <c r="B22" s="18" t="s">
        <v>185</v>
      </c>
      <c r="C22" s="18" t="s">
        <v>269</v>
      </c>
      <c r="D22" s="18" t="s">
        <v>186</v>
      </c>
      <c r="E22" s="18" t="str">
        <f>"0,5524"</f>
        <v>0,5524</v>
      </c>
      <c r="F22" s="18" t="s">
        <v>287</v>
      </c>
      <c r="G22" s="22" t="s">
        <v>187</v>
      </c>
      <c r="H22" s="22" t="s">
        <v>170</v>
      </c>
      <c r="I22" s="23" t="s">
        <v>156</v>
      </c>
      <c r="J22" s="19"/>
      <c r="K22" s="19" t="str">
        <f>"235,0"</f>
        <v>235,0</v>
      </c>
      <c r="L22" s="19" t="str">
        <f>"131,1121"</f>
        <v>131,1121</v>
      </c>
      <c r="M22" s="18" t="s">
        <v>188</v>
      </c>
    </row>
    <row r="23" spans="1:13">
      <c r="B23" s="5" t="s">
        <v>48</v>
      </c>
    </row>
    <row r="24" spans="1:13">
      <c r="B24" s="5" t="s">
        <v>48</v>
      </c>
    </row>
    <row r="25" spans="1:13">
      <c r="B25" s="5" t="s">
        <v>48</v>
      </c>
    </row>
    <row r="26" spans="1:13" ht="18">
      <c r="B26" s="9" t="s">
        <v>41</v>
      </c>
      <c r="C26" s="9"/>
      <c r="F26" s="3"/>
    </row>
    <row r="27" spans="1:13" ht="16">
      <c r="B27" s="10" t="s">
        <v>42</v>
      </c>
      <c r="C27" s="10"/>
      <c r="F27" s="3"/>
    </row>
    <row r="28" spans="1:13" ht="14">
      <c r="B28" s="11"/>
      <c r="C28" s="12" t="s">
        <v>43</v>
      </c>
      <c r="F28" s="3"/>
    </row>
    <row r="29" spans="1:13" ht="14">
      <c r="B29" s="13" t="s">
        <v>44</v>
      </c>
      <c r="C29" s="13" t="s">
        <v>45</v>
      </c>
      <c r="D29" s="13" t="s">
        <v>286</v>
      </c>
      <c r="E29" s="13" t="s">
        <v>53</v>
      </c>
      <c r="F29" s="13" t="s">
        <v>95</v>
      </c>
    </row>
    <row r="30" spans="1:13">
      <c r="B30" s="5" t="s">
        <v>91</v>
      </c>
      <c r="C30" s="5" t="s">
        <v>43</v>
      </c>
      <c r="D30" s="6" t="s">
        <v>189</v>
      </c>
      <c r="E30" s="6" t="s">
        <v>78</v>
      </c>
      <c r="F30" s="6" t="s">
        <v>190</v>
      </c>
    </row>
    <row r="31" spans="1:13">
      <c r="B31" s="5" t="s">
        <v>179</v>
      </c>
      <c r="C31" s="5" t="s">
        <v>43</v>
      </c>
      <c r="D31" s="6" t="s">
        <v>189</v>
      </c>
      <c r="E31" s="6" t="s">
        <v>178</v>
      </c>
      <c r="F31" s="6" t="s">
        <v>191</v>
      </c>
    </row>
    <row r="32" spans="1:13">
      <c r="B32" s="5" t="s">
        <v>182</v>
      </c>
      <c r="C32" s="5" t="s">
        <v>43</v>
      </c>
      <c r="D32" s="6" t="s">
        <v>189</v>
      </c>
      <c r="E32" s="6" t="s">
        <v>166</v>
      </c>
      <c r="F32" s="6" t="s">
        <v>192</v>
      </c>
    </row>
  </sheetData>
  <mergeCells count="15">
    <mergeCell ref="A8:J8"/>
    <mergeCell ref="A11:J11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7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1640625" style="5" customWidth="1"/>
    <col min="14" max="16384" width="9.1640625" style="3"/>
  </cols>
  <sheetData>
    <row r="1" spans="1:13" s="2" customFormat="1" ht="29" customHeight="1">
      <c r="A1" s="47" t="s">
        <v>245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301</v>
      </c>
      <c r="B3" s="60" t="s">
        <v>0</v>
      </c>
      <c r="C3" s="57" t="s">
        <v>5</v>
      </c>
      <c r="D3" s="57" t="s">
        <v>9</v>
      </c>
      <c r="E3" s="59" t="s">
        <v>94</v>
      </c>
      <c r="F3" s="59" t="s">
        <v>6</v>
      </c>
      <c r="G3" s="59" t="s">
        <v>11</v>
      </c>
      <c r="H3" s="59"/>
      <c r="I3" s="59"/>
      <c r="J3" s="59"/>
      <c r="K3" s="59" t="s">
        <v>49</v>
      </c>
      <c r="L3" s="59" t="s">
        <v>3</v>
      </c>
      <c r="M3" s="62" t="s">
        <v>2</v>
      </c>
    </row>
    <row r="4" spans="1:13" s="1" customFormat="1" ht="21" customHeight="1" thickBot="1">
      <c r="A4" s="56"/>
      <c r="B4" s="61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27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17" t="s">
        <v>47</v>
      </c>
      <c r="B6" s="16" t="s">
        <v>84</v>
      </c>
      <c r="C6" s="16" t="s">
        <v>85</v>
      </c>
      <c r="D6" s="16" t="s">
        <v>86</v>
      </c>
      <c r="E6" s="16" t="str">
        <f>"0,5664"</f>
        <v>0,5664</v>
      </c>
      <c r="F6" s="16" t="s">
        <v>288</v>
      </c>
      <c r="G6" s="21" t="s">
        <v>87</v>
      </c>
      <c r="H6" s="20" t="s">
        <v>87</v>
      </c>
      <c r="I6" s="21" t="s">
        <v>88</v>
      </c>
      <c r="J6" s="17"/>
      <c r="K6" s="17" t="str">
        <f>"355,0"</f>
        <v>355,0</v>
      </c>
      <c r="L6" s="17" t="str">
        <f>"201,0897"</f>
        <v>201,0897</v>
      </c>
      <c r="M6" s="16" t="s">
        <v>51</v>
      </c>
    </row>
    <row r="7" spans="1:13">
      <c r="A7" s="19" t="s">
        <v>80</v>
      </c>
      <c r="B7" s="18" t="s">
        <v>217</v>
      </c>
      <c r="C7" s="18" t="s">
        <v>218</v>
      </c>
      <c r="D7" s="18" t="s">
        <v>219</v>
      </c>
      <c r="E7" s="18" t="str">
        <f>"0,5692"</f>
        <v>0,5692</v>
      </c>
      <c r="F7" s="18" t="s">
        <v>240</v>
      </c>
      <c r="G7" s="22" t="s">
        <v>220</v>
      </c>
      <c r="H7" s="22" t="s">
        <v>39</v>
      </c>
      <c r="I7" s="23" t="s">
        <v>221</v>
      </c>
      <c r="J7" s="19"/>
      <c r="K7" s="19" t="str">
        <f>"200,0"</f>
        <v>200,0</v>
      </c>
      <c r="L7" s="19" t="str">
        <f>"113,8400"</f>
        <v>113,8400</v>
      </c>
      <c r="M7" s="18" t="s">
        <v>51</v>
      </c>
    </row>
    <row r="8" spans="1:13">
      <c r="B8" s="5" t="s">
        <v>48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6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6640625" style="5" bestFit="1" customWidth="1"/>
    <col min="7" max="9" width="5.5" style="6" customWidth="1"/>
    <col min="10" max="10" width="4.83203125" style="6" customWidth="1"/>
    <col min="11" max="11" width="10.5" style="38" bestFit="1" customWidth="1"/>
    <col min="12" max="12" width="8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47" t="s">
        <v>246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301</v>
      </c>
      <c r="B3" s="60" t="s">
        <v>0</v>
      </c>
      <c r="C3" s="57" t="s">
        <v>5</v>
      </c>
      <c r="D3" s="57" t="s">
        <v>9</v>
      </c>
      <c r="E3" s="59" t="s">
        <v>94</v>
      </c>
      <c r="F3" s="59" t="s">
        <v>6</v>
      </c>
      <c r="G3" s="59" t="s">
        <v>11</v>
      </c>
      <c r="H3" s="59"/>
      <c r="I3" s="59"/>
      <c r="J3" s="59"/>
      <c r="K3" s="68" t="s">
        <v>49</v>
      </c>
      <c r="L3" s="59" t="s">
        <v>3</v>
      </c>
      <c r="M3" s="62" t="s">
        <v>2</v>
      </c>
    </row>
    <row r="4" spans="1:13" s="1" customFormat="1" ht="21" customHeight="1" thickBot="1">
      <c r="A4" s="56"/>
      <c r="B4" s="61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69"/>
      <c r="L4" s="58"/>
      <c r="M4" s="63"/>
    </row>
    <row r="5" spans="1:13" ht="16">
      <c r="A5" s="64" t="s">
        <v>12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8" t="s">
        <v>47</v>
      </c>
      <c r="B6" s="7" t="s">
        <v>204</v>
      </c>
      <c r="C6" s="7" t="s">
        <v>205</v>
      </c>
      <c r="D6" s="7" t="s">
        <v>206</v>
      </c>
      <c r="E6" s="7" t="str">
        <f>"0,6145"</f>
        <v>0,6145</v>
      </c>
      <c r="F6" s="7" t="s">
        <v>293</v>
      </c>
      <c r="G6" s="15" t="s">
        <v>207</v>
      </c>
      <c r="H6" s="14" t="s">
        <v>208</v>
      </c>
      <c r="I6" s="14" t="s">
        <v>209</v>
      </c>
      <c r="J6" s="8"/>
      <c r="K6" s="39" t="str">
        <f>"307,5"</f>
        <v>307,5</v>
      </c>
      <c r="L6" s="8" t="str">
        <f>"188,9741"</f>
        <v>188,9741</v>
      </c>
      <c r="M6" s="7" t="s">
        <v>210</v>
      </c>
    </row>
    <row r="7" spans="1:13">
      <c r="B7" s="5" t="s">
        <v>48</v>
      </c>
    </row>
    <row r="8" spans="1:13" ht="16">
      <c r="A8" s="66" t="s">
        <v>176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17" t="s">
        <v>216</v>
      </c>
      <c r="B9" s="16" t="s">
        <v>211</v>
      </c>
      <c r="C9" s="16" t="s">
        <v>212</v>
      </c>
      <c r="D9" s="16" t="s">
        <v>213</v>
      </c>
      <c r="E9" s="16" t="str">
        <f>"0,5455"</f>
        <v>0,5455</v>
      </c>
      <c r="F9" s="16" t="s">
        <v>287</v>
      </c>
      <c r="G9" s="21" t="s">
        <v>214</v>
      </c>
      <c r="H9" s="21" t="s">
        <v>78</v>
      </c>
      <c r="I9" s="21" t="s">
        <v>215</v>
      </c>
      <c r="J9" s="17"/>
      <c r="K9" s="40">
        <v>0</v>
      </c>
      <c r="L9" s="17" t="str">
        <f>"0,0000"</f>
        <v>0,0000</v>
      </c>
      <c r="M9" s="16" t="s">
        <v>188</v>
      </c>
    </row>
    <row r="10" spans="1:13">
      <c r="A10" s="19" t="s">
        <v>216</v>
      </c>
      <c r="B10" s="18" t="s">
        <v>211</v>
      </c>
      <c r="C10" s="18" t="s">
        <v>270</v>
      </c>
      <c r="D10" s="18" t="s">
        <v>213</v>
      </c>
      <c r="E10" s="18" t="str">
        <f>"0,5455"</f>
        <v>0,5455</v>
      </c>
      <c r="F10" s="18" t="s">
        <v>287</v>
      </c>
      <c r="G10" s="23" t="s">
        <v>214</v>
      </c>
      <c r="H10" s="23" t="s">
        <v>78</v>
      </c>
      <c r="I10" s="23" t="s">
        <v>215</v>
      </c>
      <c r="J10" s="19"/>
      <c r="K10" s="41">
        <v>0</v>
      </c>
      <c r="L10" s="19" t="str">
        <f>"0,0000"</f>
        <v>0,0000</v>
      </c>
      <c r="M10" s="18" t="s">
        <v>188</v>
      </c>
    </row>
    <row r="11" spans="1:13">
      <c r="B11" s="5" t="s">
        <v>48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1.33203125" style="5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4.5" style="5" customWidth="1"/>
    <col min="14" max="16384" width="9.1640625" style="3"/>
  </cols>
  <sheetData>
    <row r="1" spans="1:13" s="2" customFormat="1" ht="29" customHeight="1">
      <c r="A1" s="47" t="s">
        <v>249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301</v>
      </c>
      <c r="B3" s="60" t="s">
        <v>0</v>
      </c>
      <c r="C3" s="57" t="s">
        <v>5</v>
      </c>
      <c r="D3" s="57" t="s">
        <v>9</v>
      </c>
      <c r="E3" s="59" t="s">
        <v>10</v>
      </c>
      <c r="F3" s="59" t="s">
        <v>6</v>
      </c>
      <c r="G3" s="59" t="s">
        <v>150</v>
      </c>
      <c r="H3" s="59"/>
      <c r="I3" s="59"/>
      <c r="J3" s="59"/>
      <c r="K3" s="59" t="s">
        <v>49</v>
      </c>
      <c r="L3" s="59" t="s">
        <v>3</v>
      </c>
      <c r="M3" s="62" t="s">
        <v>2</v>
      </c>
    </row>
    <row r="4" spans="1:13" s="1" customFormat="1" ht="21" customHeight="1" thickBot="1">
      <c r="A4" s="56"/>
      <c r="B4" s="61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117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8" t="s">
        <v>47</v>
      </c>
      <c r="B6" s="7" t="s">
        <v>151</v>
      </c>
      <c r="C6" s="7" t="s">
        <v>152</v>
      </c>
      <c r="D6" s="7" t="s">
        <v>153</v>
      </c>
      <c r="E6" s="7" t="str">
        <f>"1,2560"</f>
        <v>1,2560</v>
      </c>
      <c r="F6" s="7" t="s">
        <v>154</v>
      </c>
      <c r="G6" s="15" t="s">
        <v>103</v>
      </c>
      <c r="H6" s="14" t="s">
        <v>63</v>
      </c>
      <c r="I6" s="15" t="s">
        <v>63</v>
      </c>
      <c r="J6" s="8"/>
      <c r="K6" s="8" t="str">
        <f>"70,0"</f>
        <v>70,0</v>
      </c>
      <c r="L6" s="8" t="str">
        <f>"87,9200"</f>
        <v>87,9200</v>
      </c>
      <c r="M6" s="7" t="s">
        <v>51</v>
      </c>
    </row>
    <row r="7" spans="1:13">
      <c r="B7" s="5" t="s">
        <v>48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4.5" style="5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47" t="s">
        <v>243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301</v>
      </c>
      <c r="B3" s="60" t="s">
        <v>0</v>
      </c>
      <c r="C3" s="57" t="s">
        <v>5</v>
      </c>
      <c r="D3" s="57" t="s">
        <v>9</v>
      </c>
      <c r="E3" s="59" t="s">
        <v>94</v>
      </c>
      <c r="F3" s="59" t="s">
        <v>6</v>
      </c>
      <c r="G3" s="59" t="s">
        <v>222</v>
      </c>
      <c r="H3" s="59"/>
      <c r="I3" s="59"/>
      <c r="J3" s="59"/>
      <c r="K3" s="59" t="s">
        <v>49</v>
      </c>
      <c r="L3" s="59" t="s">
        <v>3</v>
      </c>
      <c r="M3" s="62" t="s">
        <v>2</v>
      </c>
    </row>
    <row r="4" spans="1:13" s="1" customFormat="1" ht="21" customHeight="1" thickBot="1">
      <c r="A4" s="56"/>
      <c r="B4" s="61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117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8" t="s">
        <v>47</v>
      </c>
      <c r="B6" s="7" t="s">
        <v>151</v>
      </c>
      <c r="C6" s="7" t="s">
        <v>152</v>
      </c>
      <c r="D6" s="7" t="s">
        <v>153</v>
      </c>
      <c r="E6" s="7" t="str">
        <f>"1,1161"</f>
        <v>1,1161</v>
      </c>
      <c r="F6" s="7" t="s">
        <v>295</v>
      </c>
      <c r="G6" s="15" t="s">
        <v>96</v>
      </c>
      <c r="H6" s="14" t="s">
        <v>227</v>
      </c>
      <c r="I6" s="15" t="s">
        <v>228</v>
      </c>
      <c r="J6" s="8"/>
      <c r="K6" s="8" t="str">
        <f>"30,0"</f>
        <v>30,0</v>
      </c>
      <c r="L6" s="8" t="str">
        <f>"33,4830"</f>
        <v>33,4830</v>
      </c>
      <c r="M6" s="7" t="s">
        <v>51</v>
      </c>
    </row>
    <row r="7" spans="1:13">
      <c r="B7" s="5" t="s">
        <v>48</v>
      </c>
    </row>
    <row r="8" spans="1:13" ht="16">
      <c r="A8" s="66" t="s">
        <v>229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8" t="s">
        <v>47</v>
      </c>
      <c r="B9" s="7" t="s">
        <v>230</v>
      </c>
      <c r="C9" s="7" t="s">
        <v>272</v>
      </c>
      <c r="D9" s="7" t="s">
        <v>231</v>
      </c>
      <c r="E9" s="7" t="str">
        <f>"0,9238"</f>
        <v>0,9238</v>
      </c>
      <c r="F9" s="7" t="s">
        <v>296</v>
      </c>
      <c r="G9" s="15" t="s">
        <v>100</v>
      </c>
      <c r="H9" s="15" t="s">
        <v>101</v>
      </c>
      <c r="I9" s="14" t="s">
        <v>120</v>
      </c>
      <c r="J9" s="8"/>
      <c r="K9" s="8" t="str">
        <f>"47,5"</f>
        <v>47,5</v>
      </c>
      <c r="L9" s="8" t="str">
        <f>"43,8829"</f>
        <v>43,8829</v>
      </c>
      <c r="M9" s="7" t="s">
        <v>51</v>
      </c>
    </row>
    <row r="10" spans="1:13">
      <c r="B10" s="5" t="s">
        <v>48</v>
      </c>
    </row>
    <row r="11" spans="1:13" ht="16">
      <c r="A11" s="66" t="s">
        <v>97</v>
      </c>
      <c r="B11" s="66"/>
      <c r="C11" s="67"/>
      <c r="D11" s="67"/>
      <c r="E11" s="67"/>
      <c r="F11" s="67"/>
      <c r="G11" s="67"/>
      <c r="H11" s="67"/>
      <c r="I11" s="67"/>
      <c r="J11" s="67"/>
    </row>
    <row r="12" spans="1:13">
      <c r="A12" s="17" t="s">
        <v>47</v>
      </c>
      <c r="B12" s="16" t="s">
        <v>232</v>
      </c>
      <c r="C12" s="16" t="s">
        <v>273</v>
      </c>
      <c r="D12" s="16" t="s">
        <v>233</v>
      </c>
      <c r="E12" s="16" t="str">
        <f>"0,6990"</f>
        <v>0,6990</v>
      </c>
      <c r="F12" s="16" t="s">
        <v>296</v>
      </c>
      <c r="G12" s="20" t="s">
        <v>98</v>
      </c>
      <c r="H12" s="20" t="s">
        <v>102</v>
      </c>
      <c r="I12" s="21" t="s">
        <v>99</v>
      </c>
      <c r="J12" s="17"/>
      <c r="K12" s="17" t="str">
        <f>"55,0"</f>
        <v>55,0</v>
      </c>
      <c r="L12" s="17" t="str">
        <f>"38,4450"</f>
        <v>38,4450</v>
      </c>
      <c r="M12" s="16" t="s">
        <v>51</v>
      </c>
    </row>
    <row r="13" spans="1:13">
      <c r="A13" s="19" t="s">
        <v>47</v>
      </c>
      <c r="B13" s="18" t="s">
        <v>234</v>
      </c>
      <c r="C13" s="18" t="s">
        <v>271</v>
      </c>
      <c r="D13" s="18" t="s">
        <v>235</v>
      </c>
      <c r="E13" s="18" t="str">
        <f>"0,7197"</f>
        <v>0,7197</v>
      </c>
      <c r="F13" s="18" t="s">
        <v>240</v>
      </c>
      <c r="G13" s="22" t="s">
        <v>99</v>
      </c>
      <c r="H13" s="22" t="s">
        <v>236</v>
      </c>
      <c r="I13" s="19"/>
      <c r="J13" s="19"/>
      <c r="K13" s="19" t="str">
        <f>"62,5"</f>
        <v>62,5</v>
      </c>
      <c r="L13" s="19" t="str">
        <f>"45,8809"</f>
        <v>45,8809</v>
      </c>
      <c r="M13" s="18" t="s">
        <v>51</v>
      </c>
    </row>
    <row r="14" spans="1:13">
      <c r="B14" s="5" t="s">
        <v>48</v>
      </c>
    </row>
    <row r="15" spans="1:13" ht="16">
      <c r="A15" s="66" t="s">
        <v>104</v>
      </c>
      <c r="B15" s="66"/>
      <c r="C15" s="67"/>
      <c r="D15" s="67"/>
      <c r="E15" s="67"/>
      <c r="F15" s="67"/>
      <c r="G15" s="67"/>
      <c r="H15" s="67"/>
      <c r="I15" s="67"/>
      <c r="J15" s="67"/>
    </row>
    <row r="16" spans="1:13">
      <c r="A16" s="8" t="s">
        <v>47</v>
      </c>
      <c r="B16" s="7" t="s">
        <v>237</v>
      </c>
      <c r="C16" s="7" t="s">
        <v>274</v>
      </c>
      <c r="D16" s="7" t="s">
        <v>238</v>
      </c>
      <c r="E16" s="7" t="str">
        <f>"0,6852"</f>
        <v>0,6852</v>
      </c>
      <c r="F16" s="7" t="s">
        <v>297</v>
      </c>
      <c r="G16" s="15" t="s">
        <v>239</v>
      </c>
      <c r="H16" s="15" t="s">
        <v>103</v>
      </c>
      <c r="I16" s="14" t="s">
        <v>196</v>
      </c>
      <c r="J16" s="8"/>
      <c r="K16" s="8" t="str">
        <f>"65,0"</f>
        <v>65,0</v>
      </c>
      <c r="L16" s="8" t="str">
        <f>"44,5348"</f>
        <v>44,5348</v>
      </c>
      <c r="M16" s="7" t="s">
        <v>51</v>
      </c>
    </row>
    <row r="17" spans="2:2">
      <c r="B17" s="5" t="s">
        <v>48</v>
      </c>
    </row>
  </sheetData>
  <mergeCells count="15">
    <mergeCell ref="A8:J8"/>
    <mergeCell ref="A11:J11"/>
    <mergeCell ref="A15:J15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7" t="s">
        <v>244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301</v>
      </c>
      <c r="B3" s="60" t="s">
        <v>0</v>
      </c>
      <c r="C3" s="57" t="s">
        <v>5</v>
      </c>
      <c r="D3" s="57" t="s">
        <v>9</v>
      </c>
      <c r="E3" s="59" t="s">
        <v>94</v>
      </c>
      <c r="F3" s="59" t="s">
        <v>6</v>
      </c>
      <c r="G3" s="59" t="s">
        <v>222</v>
      </c>
      <c r="H3" s="59"/>
      <c r="I3" s="59"/>
      <c r="J3" s="59"/>
      <c r="K3" s="59" t="s">
        <v>49</v>
      </c>
      <c r="L3" s="59" t="s">
        <v>3</v>
      </c>
      <c r="M3" s="62" t="s">
        <v>2</v>
      </c>
    </row>
    <row r="4" spans="1:13" s="1" customFormat="1" ht="21" customHeight="1" thickBot="1">
      <c r="A4" s="56"/>
      <c r="B4" s="61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27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8" t="s">
        <v>47</v>
      </c>
      <c r="B6" s="7" t="s">
        <v>223</v>
      </c>
      <c r="C6" s="7" t="s">
        <v>224</v>
      </c>
      <c r="D6" s="7" t="s">
        <v>225</v>
      </c>
      <c r="E6" s="7" t="str">
        <f>"0,5694"</f>
        <v>0,5694</v>
      </c>
      <c r="F6" s="7" t="s">
        <v>240</v>
      </c>
      <c r="G6" s="15" t="s">
        <v>102</v>
      </c>
      <c r="H6" s="15" t="s">
        <v>103</v>
      </c>
      <c r="I6" s="14" t="s">
        <v>226</v>
      </c>
      <c r="J6" s="8"/>
      <c r="K6" s="8" t="str">
        <f>"65,0"</f>
        <v>65,0</v>
      </c>
      <c r="L6" s="8" t="str">
        <f>"37,0110"</f>
        <v>37,0110</v>
      </c>
      <c r="M6" s="7" t="s">
        <v>51</v>
      </c>
    </row>
    <row r="7" spans="1:13">
      <c r="B7" s="5" t="s">
        <v>48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IPL Жим без экипировки ДК</vt:lpstr>
      <vt:lpstr>IPL Жим без экипировки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IPL Тяга без экипировки ДК</vt:lpstr>
      <vt:lpstr>СПР Подъем на бицепс ДК</vt:lpstr>
      <vt:lpstr>СПР Подъем на бицепс</vt:lpstr>
      <vt:lpstr>ФЖД ЖД Любители</vt:lpstr>
      <vt:lpstr>ФЖД ЖД Софт однослой ДК</vt:lpstr>
      <vt:lpstr>ФЖД ЖД Софт многослой ДК</vt:lpstr>
      <vt:lpstr>ФЖД ЖД Софт многослой</vt:lpstr>
      <vt:lpstr>ФЖД Любители жим на макс. ДК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2020-10-18T17:46:01Z</dcterms:modified>
</cp:coreProperties>
</file>