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Ноябрь/"/>
    </mc:Choice>
  </mc:AlternateContent>
  <xr:revisionPtr revIDLastSave="0" documentId="13_ncr:1_{E0EC884B-792B-8840-90B7-591D2858D7DD}" xr6:coauthVersionLast="45" xr6:coauthVersionMax="45" xr10:uidLastSave="{00000000-0000-0000-0000-000000000000}"/>
  <bookViews>
    <workbookView xWindow="0" yWindow="1120" windowWidth="28800" windowHeight="15440" firstSheet="6" activeTab="11" xr2:uid="{00000000-000D-0000-FFFF-FFFF00000000}"/>
  </bookViews>
  <sheets>
    <sheet name="WRPF ПЛ без экипировки ДК" sheetId="10" r:id="rId1"/>
    <sheet name="WRPF ПЛ без экипировки" sheetId="9" r:id="rId2"/>
    <sheet name="WRPF ПЛ в бинтах" sheetId="5" r:id="rId3"/>
    <sheet name="WRPF Двоеборье без экип" sheetId="29" r:id="rId4"/>
    <sheet name="WRPF Жим лежа без экип ДК" sheetId="16" r:id="rId5"/>
    <sheet name="WRPF Жим лежа без экип" sheetId="15" r:id="rId6"/>
    <sheet name="WEPF Жим софт многопетельная" sheetId="21" r:id="rId7"/>
    <sheet name="WRPF Тяга без экипировки ДК" sheetId="26" r:id="rId8"/>
    <sheet name="WRPF Тяга без экипировки" sheetId="25" r:id="rId9"/>
    <sheet name="WEPF Тяга экип" sheetId="27" r:id="rId10"/>
    <sheet name="WRPF Подъем на бицепс ДК" sheetId="34" r:id="rId11"/>
    <sheet name="WRPF Подъем на бицепс" sheetId="33" r:id="rId12"/>
  </sheets>
  <definedNames>
    <definedName name="_FilterDatabase" localSheetId="2" hidden="1">'WRPF ПЛ в бинтах'!$A$1:$S$3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6" i="16" l="1"/>
  <c r="K16" i="16"/>
  <c r="P6" i="29"/>
  <c r="L10" i="34"/>
  <c r="K10" i="34"/>
  <c r="L9" i="34"/>
  <c r="K9" i="34"/>
  <c r="L6" i="34"/>
  <c r="K6" i="34"/>
  <c r="L9" i="33"/>
  <c r="K9" i="33"/>
  <c r="L6" i="33"/>
  <c r="K6" i="33"/>
  <c r="L6" i="27"/>
  <c r="K6" i="27"/>
  <c r="L19" i="26"/>
  <c r="K19" i="26"/>
  <c r="L16" i="26"/>
  <c r="K16" i="26"/>
  <c r="L15" i="26"/>
  <c r="K15" i="26"/>
  <c r="L12" i="26"/>
  <c r="K12" i="26"/>
  <c r="L9" i="26"/>
  <c r="K9" i="26"/>
  <c r="L6" i="26"/>
  <c r="K6" i="26"/>
  <c r="L26" i="25"/>
  <c r="K26" i="25"/>
  <c r="L25" i="25"/>
  <c r="K25" i="25"/>
  <c r="L22" i="25"/>
  <c r="K22" i="25"/>
  <c r="L21" i="25"/>
  <c r="K21" i="25"/>
  <c r="L18" i="25"/>
  <c r="K18" i="25"/>
  <c r="L15" i="25"/>
  <c r="K15" i="25"/>
  <c r="L12" i="25"/>
  <c r="K12" i="25"/>
  <c r="L9" i="25"/>
  <c r="K9" i="25"/>
  <c r="L6" i="25"/>
  <c r="K6" i="25"/>
  <c r="L7" i="21"/>
  <c r="K7" i="21"/>
  <c r="L6" i="21"/>
  <c r="K6" i="21"/>
  <c r="L17" i="16"/>
  <c r="K17" i="16"/>
  <c r="L15" i="16"/>
  <c r="K15" i="16"/>
  <c r="L14" i="16"/>
  <c r="K14" i="16"/>
  <c r="L11" i="16"/>
  <c r="L10" i="16"/>
  <c r="K10" i="16"/>
  <c r="L9" i="16"/>
  <c r="K9" i="16"/>
  <c r="L6" i="16"/>
  <c r="K6" i="16"/>
  <c r="L20" i="15"/>
  <c r="K20" i="15"/>
  <c r="L19" i="15"/>
  <c r="K19" i="15"/>
  <c r="L16" i="15"/>
  <c r="K16" i="15"/>
  <c r="L13" i="15"/>
  <c r="K13" i="15"/>
  <c r="L12" i="15"/>
  <c r="K12" i="15"/>
  <c r="L9" i="15"/>
  <c r="K9" i="15"/>
  <c r="L6" i="15"/>
  <c r="K6" i="15"/>
  <c r="T19" i="10"/>
  <c r="S19" i="10"/>
  <c r="T16" i="10"/>
  <c r="S16" i="10"/>
  <c r="T15" i="10"/>
  <c r="S15" i="10"/>
  <c r="T12" i="10"/>
  <c r="S12" i="10"/>
  <c r="T9" i="10"/>
  <c r="S9" i="10"/>
  <c r="T6" i="10"/>
  <c r="S6" i="10"/>
  <c r="T25" i="9"/>
  <c r="S25" i="9"/>
  <c r="T22" i="9"/>
  <c r="S22" i="9"/>
  <c r="T21" i="9"/>
  <c r="S21" i="9"/>
  <c r="T18" i="9"/>
  <c r="S18" i="9"/>
  <c r="T17" i="9"/>
  <c r="S17" i="9"/>
  <c r="T14" i="9"/>
  <c r="S14" i="9"/>
  <c r="T13" i="9"/>
  <c r="S13" i="9"/>
  <c r="T10" i="9"/>
  <c r="S10" i="9"/>
  <c r="T9" i="9"/>
  <c r="S9" i="9"/>
  <c r="T6" i="9"/>
  <c r="S6" i="9"/>
  <c r="T13" i="5"/>
  <c r="S13" i="5"/>
  <c r="T12" i="5"/>
  <c r="S12" i="5"/>
  <c r="T9" i="5"/>
  <c r="S9" i="5"/>
  <c r="T6" i="5"/>
  <c r="S6" i="5"/>
</calcChain>
</file>

<file path=xl/sharedStrings.xml><?xml version="1.0" encoding="utf-8"?>
<sst xmlns="http://schemas.openxmlformats.org/spreadsheetml/2006/main" count="949" uniqueCount="317">
  <si>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</si>
  <si>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</si>
  <si>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</si>
  <si>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</si>
  <si>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</si>
  <si>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</si>
  <si>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</si>
  <si>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</si>
  <si>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</si>
  <si>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</si>
  <si>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82.5</t>
  </si>
  <si>
    <t>Морозова Марина</t>
  </si>
  <si>
    <t>Мастера 40-49 (10.10.1978)/44</t>
  </si>
  <si>
    <t>81,50</t>
  </si>
  <si>
    <t xml:space="preserve">Волгоград/Волгоградская область </t>
  </si>
  <si>
    <t>230,0</t>
  </si>
  <si>
    <t>245,0</t>
  </si>
  <si>
    <t>260,0</t>
  </si>
  <si>
    <t>90,0</t>
  </si>
  <si>
    <t>100,0</t>
  </si>
  <si>
    <t>205,0</t>
  </si>
  <si>
    <t>215,0</t>
  </si>
  <si>
    <t>ВЕСОВАЯ КАТЕГОРИЯ   100</t>
  </si>
  <si>
    <t>Воробьев Игорь</t>
  </si>
  <si>
    <t>Открытая (18.06.1994)/28</t>
  </si>
  <si>
    <t>100,00</t>
  </si>
  <si>
    <t>300,0</t>
  </si>
  <si>
    <t>315,0</t>
  </si>
  <si>
    <t>355,0</t>
  </si>
  <si>
    <t>175,0</t>
  </si>
  <si>
    <t>185,0</t>
  </si>
  <si>
    <t>195,0</t>
  </si>
  <si>
    <t>320,0</t>
  </si>
  <si>
    <t>335,0</t>
  </si>
  <si>
    <t>345,0</t>
  </si>
  <si>
    <t>ВЕСОВАЯ КАТЕГОРИЯ   110</t>
  </si>
  <si>
    <t>Асеев Сергей</t>
  </si>
  <si>
    <t>Открытая (14.06.1980)/42</t>
  </si>
  <si>
    <t>108,80</t>
  </si>
  <si>
    <t>200,0</t>
  </si>
  <si>
    <t>210,0</t>
  </si>
  <si>
    <t>140,0</t>
  </si>
  <si>
    <t>150,0</t>
  </si>
  <si>
    <t>160,0</t>
  </si>
  <si>
    <t>240,0</t>
  </si>
  <si>
    <t>250,0</t>
  </si>
  <si>
    <t>Мастера 40-49 (14.06.1980)/42</t>
  </si>
  <si>
    <t xml:space="preserve">Абсолютный зачёт </t>
  </si>
  <si>
    <t xml:space="preserve">ФИО </t>
  </si>
  <si>
    <t xml:space="preserve">Возрастная группа </t>
  </si>
  <si>
    <t xml:space="preserve">Сумма </t>
  </si>
  <si>
    <t xml:space="preserve">Wilks </t>
  </si>
  <si>
    <t>82.5</t>
  </si>
  <si>
    <t xml:space="preserve">Мужчины </t>
  </si>
  <si>
    <t xml:space="preserve">Открытая </t>
  </si>
  <si>
    <t>100</t>
  </si>
  <si>
    <t>110</t>
  </si>
  <si>
    <t>1</t>
  </si>
  <si>
    <t>Место</t>
  </si>
  <si>
    <t>ВЕСОВАЯ КАТЕГОРИЯ   60</t>
  </si>
  <si>
    <t>Миниахметова Карина</t>
  </si>
  <si>
    <t>Юниорки (30.09.2001)/21</t>
  </si>
  <si>
    <t>60,00</t>
  </si>
  <si>
    <t>107,5</t>
  </si>
  <si>
    <t>60,0</t>
  </si>
  <si>
    <t>62,5</t>
  </si>
  <si>
    <t>65,0</t>
  </si>
  <si>
    <t>120,0</t>
  </si>
  <si>
    <t>130,0</t>
  </si>
  <si>
    <t>Открытая (30.09.2001)/21</t>
  </si>
  <si>
    <t>Джумахметов Азамат</t>
  </si>
  <si>
    <t>Открытая (26.06.1987)/35</t>
  </si>
  <si>
    <t>56,80</t>
  </si>
  <si>
    <t>155,0</t>
  </si>
  <si>
    <t>110,0</t>
  </si>
  <si>
    <t>190,0</t>
  </si>
  <si>
    <t xml:space="preserve">Кудряшов Дмитрий </t>
  </si>
  <si>
    <t>ВЕСОВАЯ КАТЕГОРИЯ   75</t>
  </si>
  <si>
    <t>Прокопчук Иван</t>
  </si>
  <si>
    <t>Юноши 14-16 (03.08.2007)/15</t>
  </si>
  <si>
    <t>74,00</t>
  </si>
  <si>
    <t>87,5</t>
  </si>
  <si>
    <t>95,0</t>
  </si>
  <si>
    <t>72,5</t>
  </si>
  <si>
    <t>77,5</t>
  </si>
  <si>
    <t>80,0</t>
  </si>
  <si>
    <t>115,0</t>
  </si>
  <si>
    <t xml:space="preserve">Тюрина Вероника </t>
  </si>
  <si>
    <t>Стрельченко Игорь</t>
  </si>
  <si>
    <t>Открытая (10.10.1993)/29</t>
  </si>
  <si>
    <t>68,00</t>
  </si>
  <si>
    <t>70,0</t>
  </si>
  <si>
    <t>75,0</t>
  </si>
  <si>
    <t>125,0</t>
  </si>
  <si>
    <t>135,0</t>
  </si>
  <si>
    <t>ВЕСОВАЯ КАТЕГОРИЯ   90</t>
  </si>
  <si>
    <t>Корсунов Илья</t>
  </si>
  <si>
    <t>Открытая (27.06.1990)/32</t>
  </si>
  <si>
    <t>87,60</t>
  </si>
  <si>
    <t>167,5</t>
  </si>
  <si>
    <t>280,0</t>
  </si>
  <si>
    <t>290,0</t>
  </si>
  <si>
    <t>Садчиков Александр</t>
  </si>
  <si>
    <t>Открытая (20.06.1987)/35</t>
  </si>
  <si>
    <t>87,50</t>
  </si>
  <si>
    <t>145,0</t>
  </si>
  <si>
    <t>225,0</t>
  </si>
  <si>
    <t>232,5</t>
  </si>
  <si>
    <t>Ляликов Павел</t>
  </si>
  <si>
    <t>Открытая (05.07.1994)/28</t>
  </si>
  <si>
    <t>91,50</t>
  </si>
  <si>
    <t xml:space="preserve">Волжский/Волгоградская область </t>
  </si>
  <si>
    <t>235,0</t>
  </si>
  <si>
    <t>Лозыченко Константин</t>
  </si>
  <si>
    <t>Мастера 50-59 (11.01.1972)/50</t>
  </si>
  <si>
    <t>99,50</t>
  </si>
  <si>
    <t>220,0</t>
  </si>
  <si>
    <t>ВЕСОВАЯ КАТЕГОРИЯ   125</t>
  </si>
  <si>
    <t>Туманов Андрей</t>
  </si>
  <si>
    <t>Открытая (02.04.1995)/27</t>
  </si>
  <si>
    <t>113,60</t>
  </si>
  <si>
    <t>275,0</t>
  </si>
  <si>
    <t>75</t>
  </si>
  <si>
    <t>90</t>
  </si>
  <si>
    <t>125</t>
  </si>
  <si>
    <t>2</t>
  </si>
  <si>
    <t>ВЕСОВАЯ КАТЕГОРИЯ   48</t>
  </si>
  <si>
    <t>Анищенкова Юлия</t>
  </si>
  <si>
    <t>Открытая (01.11.1983)/39</t>
  </si>
  <si>
    <t>48,00</t>
  </si>
  <si>
    <t xml:space="preserve">Михайловка/Волгоградская область </t>
  </si>
  <si>
    <t>85,0</t>
  </si>
  <si>
    <t>45,0</t>
  </si>
  <si>
    <t>50,0</t>
  </si>
  <si>
    <t>ВЕСОВАЯ КАТЕГОРИЯ   67.5</t>
  </si>
  <si>
    <t>Акимова Татьяна</t>
  </si>
  <si>
    <t>Открытая (11.01.1981)/41</t>
  </si>
  <si>
    <t>66,20</t>
  </si>
  <si>
    <t>142,5</t>
  </si>
  <si>
    <t>165,0</t>
  </si>
  <si>
    <t>170,0</t>
  </si>
  <si>
    <t xml:space="preserve">Подолян Антон </t>
  </si>
  <si>
    <t>Крайнов Андрей</t>
  </si>
  <si>
    <t>Открытая (28.05.1985)/37</t>
  </si>
  <si>
    <t>75,00</t>
  </si>
  <si>
    <t>Жабунин Станислав</t>
  </si>
  <si>
    <t>Открытая (05.10.2000)/22</t>
  </si>
  <si>
    <t>82,10</t>
  </si>
  <si>
    <t>180,0</t>
  </si>
  <si>
    <t>187,5</t>
  </si>
  <si>
    <t>102,5</t>
  </si>
  <si>
    <t>Величко Андрей</t>
  </si>
  <si>
    <t>Открытая (31.08.1988)/34</t>
  </si>
  <si>
    <t>82,50</t>
  </si>
  <si>
    <t>Маслов Дмитрий</t>
  </si>
  <si>
    <t>Открытая (05.04.1992)/30</t>
  </si>
  <si>
    <t>88,00</t>
  </si>
  <si>
    <t>147,5</t>
  </si>
  <si>
    <t>Результат</t>
  </si>
  <si>
    <t>Анищенко Михаил</t>
  </si>
  <si>
    <t>Юноши 14-16 (19.02.2006)/16</t>
  </si>
  <si>
    <t>57,70</t>
  </si>
  <si>
    <t>82,5</t>
  </si>
  <si>
    <t>Калачев Максим</t>
  </si>
  <si>
    <t>Открытая (18.07.1984)/38</t>
  </si>
  <si>
    <t>84,00</t>
  </si>
  <si>
    <t xml:space="preserve">Дубовка/Волгоградская область </t>
  </si>
  <si>
    <t>Круглов Владимир</t>
  </si>
  <si>
    <t>Открытая (17.03.1983)/39</t>
  </si>
  <si>
    <t>99,00</t>
  </si>
  <si>
    <t>Николаев Евгений</t>
  </si>
  <si>
    <t>Открытая (09.02.1985)/37</t>
  </si>
  <si>
    <t>92,90</t>
  </si>
  <si>
    <t>157,5</t>
  </si>
  <si>
    <t>Мамонтов Артем</t>
  </si>
  <si>
    <t>Открытая (14.01.1991)/31</t>
  </si>
  <si>
    <t>109,60</t>
  </si>
  <si>
    <t>Тремасов Александр</t>
  </si>
  <si>
    <t>Открытая (24.10.2000)/22</t>
  </si>
  <si>
    <t>120,90</t>
  </si>
  <si>
    <t>Тепляков Евгений</t>
  </si>
  <si>
    <t>Открытая (01.09.1968)/54</t>
  </si>
  <si>
    <t>118,20</t>
  </si>
  <si>
    <t xml:space="preserve">Урюпинск/Волгоградская область </t>
  </si>
  <si>
    <t>182,5</t>
  </si>
  <si>
    <t xml:space="preserve">Результат </t>
  </si>
  <si>
    <t>Гончаров Александр</t>
  </si>
  <si>
    <t>Открытая (03.06.1985)/37</t>
  </si>
  <si>
    <t>81,30</t>
  </si>
  <si>
    <t xml:space="preserve">Иловля/Волгоградская область </t>
  </si>
  <si>
    <t>Попов Захар</t>
  </si>
  <si>
    <t>Открытая (02.02.1991)/31</t>
  </si>
  <si>
    <t>89,00</t>
  </si>
  <si>
    <t>Масягутов Дамир</t>
  </si>
  <si>
    <t>Открытая (30.03.1992)/30</t>
  </si>
  <si>
    <t>90,00</t>
  </si>
  <si>
    <t>132,5</t>
  </si>
  <si>
    <t>Сморчков Николай</t>
  </si>
  <si>
    <t>Открытая (04.08.1987)/35</t>
  </si>
  <si>
    <t>89,50</t>
  </si>
  <si>
    <t>152,5</t>
  </si>
  <si>
    <t>Мишура Максим</t>
  </si>
  <si>
    <t>Открытая (13.08.1987)/35</t>
  </si>
  <si>
    <t>99,90</t>
  </si>
  <si>
    <t>172,5</t>
  </si>
  <si>
    <t>177,5</t>
  </si>
  <si>
    <t>Ярмушев Сергей</t>
  </si>
  <si>
    <t>Открытая (20.06.1992)/30</t>
  </si>
  <si>
    <t>99,40</t>
  </si>
  <si>
    <t>Кордуб Сергей</t>
  </si>
  <si>
    <t>Открытая (27.01.1987)/35</t>
  </si>
  <si>
    <t>99,20</t>
  </si>
  <si>
    <t>Борщев Владимир</t>
  </si>
  <si>
    <t>Мастера 50-59 (11.12.1969)/52</t>
  </si>
  <si>
    <t>97,60</t>
  </si>
  <si>
    <t>162,5</t>
  </si>
  <si>
    <t>-</t>
  </si>
  <si>
    <t>3</t>
  </si>
  <si>
    <t>Хмелев Александр</t>
  </si>
  <si>
    <t>Открытая (19.09.1971)/51</t>
  </si>
  <si>
    <t>123,00</t>
  </si>
  <si>
    <t>375,0</t>
  </si>
  <si>
    <t>385,0</t>
  </si>
  <si>
    <t>395,0</t>
  </si>
  <si>
    <t>405,0</t>
  </si>
  <si>
    <t>Мастера 50-59 (19.09.1971)/51</t>
  </si>
  <si>
    <t>ВЕСОВАЯ КАТЕГОРИЯ   56</t>
  </si>
  <si>
    <t>Тюрина Вероника</t>
  </si>
  <si>
    <t>Юниорки (22.02.2001)/21</t>
  </si>
  <si>
    <t>54,30</t>
  </si>
  <si>
    <t xml:space="preserve">Чередниченко Александр </t>
  </si>
  <si>
    <t>Малиновская Виктория</t>
  </si>
  <si>
    <t>Открытая (05.10.1983)/39</t>
  </si>
  <si>
    <t>73,90</t>
  </si>
  <si>
    <t>237,5</t>
  </si>
  <si>
    <t>247,5</t>
  </si>
  <si>
    <t>Чередниченко Иван</t>
  </si>
  <si>
    <t>Открытая (11.09.1995)/27</t>
  </si>
  <si>
    <t>Амазян Давид</t>
  </si>
  <si>
    <t>Открытая (01.09.1988)/34</t>
  </si>
  <si>
    <t>77,30</t>
  </si>
  <si>
    <t>Открытая (04.02.1991)/31</t>
  </si>
  <si>
    <t>255,0</t>
  </si>
  <si>
    <t>270,0</t>
  </si>
  <si>
    <t>Костин Григорий</t>
  </si>
  <si>
    <t>Открытая (28.06.1994)/28</t>
  </si>
  <si>
    <t>98,30</t>
  </si>
  <si>
    <t>Благодырев Алексей</t>
  </si>
  <si>
    <t>Открытая (03.07.1991)/31</t>
  </si>
  <si>
    <t>340,0</t>
  </si>
  <si>
    <t>370,0</t>
  </si>
  <si>
    <t>Костина Александра</t>
  </si>
  <si>
    <t>Открытая (28.10.1989)/33</t>
  </si>
  <si>
    <t>122,5</t>
  </si>
  <si>
    <t>Дорофеев Герман</t>
  </si>
  <si>
    <t>Юноши 14-16 (18.02.2007)/15</t>
  </si>
  <si>
    <t>61,90</t>
  </si>
  <si>
    <t>127,5</t>
  </si>
  <si>
    <t>Ломанов Александр</t>
  </si>
  <si>
    <t>Открытая (18.09.1985)/37</t>
  </si>
  <si>
    <t>74,50</t>
  </si>
  <si>
    <t xml:space="preserve">Сухов Валерий </t>
  </si>
  <si>
    <t>Макаров Денис</t>
  </si>
  <si>
    <t>59,00</t>
  </si>
  <si>
    <t>40,0</t>
  </si>
  <si>
    <t>Кощеев Владислав</t>
  </si>
  <si>
    <t>62,20</t>
  </si>
  <si>
    <t>55,0</t>
  </si>
  <si>
    <t>Иванов Валерий</t>
  </si>
  <si>
    <t>Открытая (18.04.1992)/30</t>
  </si>
  <si>
    <t>98,60</t>
  </si>
  <si>
    <t xml:space="preserve">Логовское/Волгоградская область </t>
  </si>
  <si>
    <t>Рудых Вячеслав</t>
  </si>
  <si>
    <t xml:space="preserve">Новоаннинский/Волгоградская область </t>
  </si>
  <si>
    <t>67,5</t>
  </si>
  <si>
    <t xml:space="preserve">Леонов Антон </t>
  </si>
  <si>
    <t>Борщёв Владимир</t>
  </si>
  <si>
    <t xml:space="preserve">Кощеев Владислав </t>
  </si>
  <si>
    <t>Козырев Олег</t>
  </si>
  <si>
    <t>Череднченко Александр</t>
  </si>
  <si>
    <t xml:space="preserve">Козырев Олег </t>
  </si>
  <si>
    <t>Курносов Евгений</t>
  </si>
  <si>
    <t>Чередниченко Александр</t>
  </si>
  <si>
    <t>Бебенин Григорий</t>
  </si>
  <si>
    <t>Медведева Юлия</t>
  </si>
  <si>
    <t>Самостоятельно</t>
  </si>
  <si>
    <t>Весовая категория</t>
  </si>
  <si>
    <t>Всероссийский мастерский турнир «Brutal Weekend»
WRPF Пауэрлифтинг без экипировки ДК
Михайловка/Волгоградская область, 12 ноября 2022 года</t>
  </si>
  <si>
    <t>Всероссийский мастерский турнир «Brutal Weekend»
WRPF Пауэрлифтинг без экипировки
Михайловка/Волгоградская область, 12 ноября 2022 года</t>
  </si>
  <si>
    <t>Всероссийский мастерский турнир «Brutal Weekend»
WRPF Пауэрлифтинг классический в бинтах
Михайловка/Волгоградская область, 12 ноября 2022 года</t>
  </si>
  <si>
    <t>Всероссийский мастерский турнир «Brutal Weekend»
WRPF Силовое двоеборье без экипировки
Михайловка/Волгоградская область, 12 ноября 2022 года</t>
  </si>
  <si>
    <t>Всероссийский мастерский турнир «Brutal Weekend»
WRPF Жим лежа без экипировки ДК
Михайловка/Волгоградская область, 12 ноября 2022 года</t>
  </si>
  <si>
    <t>Всероссийский мастерский турнир «Brutal Weekend»
WRPF Жим лежа без экипировки
Михайловка/Волгоградская область, 12 ноября 2022 года</t>
  </si>
  <si>
    <t>Всероссийский мастерский турнир «Brutal Weekend»
WEPF Жим лежа в многопетельной софт экипировке
Михайловка/Волгоградская область, 12 ноября 2022 года</t>
  </si>
  <si>
    <t>Всероссийский мастерский турнир «Brutal Weekend»
WRPF Становая тяга без экипировки ДК
Михайловка/Волгоградская область, 12 ноября 2022 года</t>
  </si>
  <si>
    <t>Всероссийский мастерский турнир «Brutal Weekend»
WRPF Становая тяга без экипировки
Михайловка/Волгоградская область, 12 ноября 2022 года</t>
  </si>
  <si>
    <t>Всероссийский мастерский турнир «Brutal Weekend»
WEPF Становая тяга в экипировке
Михайловка/Волгоградская область, 12 ноября 2022 года</t>
  </si>
  <si>
    <t>Всероссийский мастерский турнир «Brutal Weekend»
WRPF Строгий подъем штанги на бицепс ДК
Михайловка/Волгоградская область, 12 ноября 2022 года</t>
  </si>
  <si>
    <t>Всероссийский мастерский турнир «Brutal Weekend»
WRPF Строгий подъем штанги на бицепс
Михайловка/Волгоградская область, 12 ноября 2022 года</t>
  </si>
  <si>
    <t xml:space="preserve">Амазян Давид </t>
  </si>
  <si>
    <t xml:space="preserve">Амазян Давид  </t>
  </si>
  <si>
    <t xml:space="preserve">Ярмушев Сергей </t>
  </si>
  <si>
    <t xml:space="preserve">Давтян Артур </t>
  </si>
  <si>
    <t>Мастера 50-59 (04.07.1971)/51</t>
  </si>
  <si>
    <t>Мастера 40-49 (28.11.1972)/49</t>
  </si>
  <si>
    <t>Юноши 13-19 (17.01.2007)/15</t>
  </si>
  <si>
    <t>Юниоры 20-23 (02.08.1999)/23</t>
  </si>
  <si>
    <t>Жим</t>
  </si>
  <si>
    <t xml:space="preserve"> </t>
  </si>
  <si>
    <t xml:space="preserve">
Дата рождения/Возраст</t>
  </si>
  <si>
    <t>Возрастная группа</t>
  </si>
  <si>
    <t>O</t>
  </si>
  <si>
    <t>J</t>
  </si>
  <si>
    <t>T1</t>
  </si>
  <si>
    <t>M2</t>
  </si>
  <si>
    <t>M1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</si>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</sst>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 indent="1"/>
    </xf>
    <xf numFmtId="49" fontId="7" fillId="0" borderId="0" xfId="0" applyNumberFormat="1" applyFont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9BDA8-1344-48DF-A35D-F69A40191A64}">
  <dimension ref="A1:U29"/>
  <sheetViews>
    <sheetView workbookViewId="0">
      <selection activeCell="E20" sqref="E20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6.33203125" style="5" bestFit="1" customWidth="1"/>
    <col min="4" max="4" width="21.5" style="5" bestFit="1" customWidth="1"/>
    <col min="5" max="5" width="10.5" style="17" bestFit="1" customWidth="1"/>
    <col min="6" max="6" width="33.33203125" style="5" bestFit="1" customWidth="1"/>
    <col min="7" max="9" width="5.5" style="25" customWidth="1"/>
    <col min="10" max="10" width="4.83203125" style="25" customWidth="1"/>
    <col min="11" max="13" width="5.5" style="25" customWidth="1"/>
    <col min="14" max="14" width="4.83203125" style="25" customWidth="1"/>
    <col min="15" max="17" width="5.5" style="25" customWidth="1"/>
    <col min="18" max="18" width="4.83203125" style="25" customWidth="1"/>
    <col min="19" max="19" width="7.83203125" style="6" bestFit="1" customWidth="1"/>
    <col min="20" max="20" width="8.5" style="6" bestFit="1" customWidth="1"/>
    <col min="21" max="21" width="24.1640625" style="5" customWidth="1"/>
    <col min="22" max="16384" width="9.1640625" style="3"/>
  </cols>
  <sheetData>
    <row r="1" spans="1:21" s="2" customFormat="1" ht="29" customHeight="1">
      <c r="A1" s="54" t="s">
        <v>287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7"/>
    </row>
    <row r="2" spans="1:21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1"/>
    </row>
    <row r="3" spans="1:21" s="1" customFormat="1" ht="12.75" customHeight="1">
      <c r="A3" s="62" t="s">
        <v>58</v>
      </c>
      <c r="B3" s="69" t="s">
        <v>0</v>
      </c>
      <c r="C3" s="64" t="s">
        <v>309</v>
      </c>
      <c r="D3" s="64" t="s">
        <v>6</v>
      </c>
      <c r="E3" s="48" t="s">
        <v>310</v>
      </c>
      <c r="F3" s="66" t="s">
        <v>5</v>
      </c>
      <c r="G3" s="66" t="s">
        <v>7</v>
      </c>
      <c r="H3" s="66"/>
      <c r="I3" s="66"/>
      <c r="J3" s="66"/>
      <c r="K3" s="66" t="s">
        <v>8</v>
      </c>
      <c r="L3" s="66"/>
      <c r="M3" s="66"/>
      <c r="N3" s="66"/>
      <c r="O3" s="66" t="s">
        <v>9</v>
      </c>
      <c r="P3" s="66"/>
      <c r="Q3" s="66"/>
      <c r="R3" s="66"/>
      <c r="S3" s="48" t="s">
        <v>1</v>
      </c>
      <c r="T3" s="48" t="s">
        <v>3</v>
      </c>
      <c r="U3" s="50" t="s">
        <v>2</v>
      </c>
    </row>
    <row r="4" spans="1:21" s="1" customFormat="1" ht="21" customHeight="1" thickBot="1">
      <c r="A4" s="63"/>
      <c r="B4" s="70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9"/>
      <c r="T4" s="49"/>
      <c r="U4" s="51"/>
    </row>
    <row r="5" spans="1:21" ht="16">
      <c r="A5" s="52" t="s">
        <v>126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21">
      <c r="A6" s="29" t="s">
        <v>57</v>
      </c>
      <c r="B6" s="7" t="s">
        <v>127</v>
      </c>
      <c r="C6" s="7" t="s">
        <v>128</v>
      </c>
      <c r="D6" s="7" t="s">
        <v>129</v>
      </c>
      <c r="E6" s="8" t="s">
        <v>311</v>
      </c>
      <c r="F6" s="7" t="s">
        <v>130</v>
      </c>
      <c r="G6" s="27" t="s">
        <v>91</v>
      </c>
      <c r="H6" s="28" t="s">
        <v>131</v>
      </c>
      <c r="I6" s="28" t="s">
        <v>131</v>
      </c>
      <c r="J6" s="29"/>
      <c r="K6" s="28" t="s">
        <v>132</v>
      </c>
      <c r="L6" s="27" t="s">
        <v>132</v>
      </c>
      <c r="M6" s="28" t="s">
        <v>133</v>
      </c>
      <c r="N6" s="29"/>
      <c r="O6" s="27" t="s">
        <v>19</v>
      </c>
      <c r="P6" s="27" t="s">
        <v>74</v>
      </c>
      <c r="Q6" s="28" t="s">
        <v>86</v>
      </c>
      <c r="R6" s="29"/>
      <c r="S6" s="9" t="str">
        <f>"225,0"</f>
        <v>225,0</v>
      </c>
      <c r="T6" s="9" t="str">
        <f>"297,9900"</f>
        <v>297,9900</v>
      </c>
      <c r="U6" s="7" t="s">
        <v>282</v>
      </c>
    </row>
    <row r="8" spans="1:21" ht="16">
      <c r="A8" s="67" t="s">
        <v>134</v>
      </c>
      <c r="B8" s="67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</row>
    <row r="9" spans="1:21">
      <c r="A9" s="29" t="s">
        <v>57</v>
      </c>
      <c r="B9" s="7" t="s">
        <v>135</v>
      </c>
      <c r="C9" s="7" t="s">
        <v>136</v>
      </c>
      <c r="D9" s="7" t="s">
        <v>137</v>
      </c>
      <c r="E9" s="8" t="s">
        <v>311</v>
      </c>
      <c r="F9" s="7" t="s">
        <v>14</v>
      </c>
      <c r="G9" s="27" t="s">
        <v>94</v>
      </c>
      <c r="H9" s="27" t="s">
        <v>138</v>
      </c>
      <c r="I9" s="27" t="s">
        <v>42</v>
      </c>
      <c r="J9" s="29"/>
      <c r="K9" s="27" t="s">
        <v>92</v>
      </c>
      <c r="L9" s="27" t="s">
        <v>85</v>
      </c>
      <c r="M9" s="27" t="s">
        <v>131</v>
      </c>
      <c r="N9" s="29"/>
      <c r="O9" s="27" t="s">
        <v>73</v>
      </c>
      <c r="P9" s="27" t="s">
        <v>139</v>
      </c>
      <c r="Q9" s="27" t="s">
        <v>140</v>
      </c>
      <c r="R9" s="29"/>
      <c r="S9" s="9" t="str">
        <f>"405,0"</f>
        <v>405,0</v>
      </c>
      <c r="T9" s="9" t="str">
        <f>"419,2155"</f>
        <v>419,2155</v>
      </c>
      <c r="U9" s="7" t="s">
        <v>141</v>
      </c>
    </row>
    <row r="11" spans="1:21" ht="16">
      <c r="A11" s="67" t="s">
        <v>77</v>
      </c>
      <c r="B11" s="67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1:21">
      <c r="A12" s="29" t="s">
        <v>57</v>
      </c>
      <c r="B12" s="7" t="s">
        <v>142</v>
      </c>
      <c r="C12" s="7" t="s">
        <v>143</v>
      </c>
      <c r="D12" s="7" t="s">
        <v>144</v>
      </c>
      <c r="E12" s="8" t="s">
        <v>311</v>
      </c>
      <c r="F12" s="7" t="s">
        <v>111</v>
      </c>
      <c r="G12" s="27" t="s">
        <v>42</v>
      </c>
      <c r="H12" s="27" t="s">
        <v>43</v>
      </c>
      <c r="I12" s="27" t="s">
        <v>140</v>
      </c>
      <c r="J12" s="29"/>
      <c r="K12" s="27" t="s">
        <v>86</v>
      </c>
      <c r="L12" s="28" t="s">
        <v>67</v>
      </c>
      <c r="M12" s="28" t="s">
        <v>67</v>
      </c>
      <c r="N12" s="29"/>
      <c r="O12" s="27" t="s">
        <v>75</v>
      </c>
      <c r="P12" s="27" t="s">
        <v>39</v>
      </c>
      <c r="Q12" s="28" t="s">
        <v>20</v>
      </c>
      <c r="R12" s="29"/>
      <c r="S12" s="9" t="str">
        <f>"485,0"</f>
        <v>485,0</v>
      </c>
      <c r="T12" s="9" t="str">
        <f>"345,6110"</f>
        <v>345,6110</v>
      </c>
      <c r="U12" s="7" t="s">
        <v>231</v>
      </c>
    </row>
    <row r="14" spans="1:21" ht="16">
      <c r="A14" s="67" t="s">
        <v>10</v>
      </c>
      <c r="B14" s="67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1:21">
      <c r="A15" s="32" t="s">
        <v>57</v>
      </c>
      <c r="B15" s="11" t="s">
        <v>145</v>
      </c>
      <c r="C15" s="11" t="s">
        <v>146</v>
      </c>
      <c r="D15" s="11" t="s">
        <v>147</v>
      </c>
      <c r="E15" s="12" t="s">
        <v>311</v>
      </c>
      <c r="F15" s="11" t="s">
        <v>14</v>
      </c>
      <c r="G15" s="30" t="s">
        <v>140</v>
      </c>
      <c r="H15" s="30" t="s">
        <v>148</v>
      </c>
      <c r="I15" s="30" t="s">
        <v>149</v>
      </c>
      <c r="J15" s="32"/>
      <c r="K15" s="30" t="s">
        <v>82</v>
      </c>
      <c r="L15" s="30" t="s">
        <v>150</v>
      </c>
      <c r="M15" s="31" t="s">
        <v>63</v>
      </c>
      <c r="N15" s="32"/>
      <c r="O15" s="30" t="s">
        <v>75</v>
      </c>
      <c r="P15" s="30" t="s">
        <v>40</v>
      </c>
      <c r="Q15" s="30" t="s">
        <v>116</v>
      </c>
      <c r="R15" s="32"/>
      <c r="S15" s="13" t="str">
        <f>"510,0"</f>
        <v>510,0</v>
      </c>
      <c r="T15" s="13" t="str">
        <f>"342,6690"</f>
        <v>342,6690</v>
      </c>
      <c r="U15" s="11" t="s">
        <v>238</v>
      </c>
    </row>
    <row r="16" spans="1:21">
      <c r="A16" s="35" t="s">
        <v>125</v>
      </c>
      <c r="B16" s="14" t="s">
        <v>151</v>
      </c>
      <c r="C16" s="14" t="s">
        <v>152</v>
      </c>
      <c r="D16" s="14" t="s">
        <v>153</v>
      </c>
      <c r="E16" s="15" t="s">
        <v>311</v>
      </c>
      <c r="F16" s="14" t="s">
        <v>130</v>
      </c>
      <c r="G16" s="33" t="s">
        <v>41</v>
      </c>
      <c r="H16" s="34" t="s">
        <v>42</v>
      </c>
      <c r="I16" s="34" t="s">
        <v>42</v>
      </c>
      <c r="J16" s="35"/>
      <c r="K16" s="33" t="s">
        <v>18</v>
      </c>
      <c r="L16" s="33" t="s">
        <v>82</v>
      </c>
      <c r="M16" s="33" t="s">
        <v>19</v>
      </c>
      <c r="N16" s="35"/>
      <c r="O16" s="33" t="s">
        <v>41</v>
      </c>
      <c r="P16" s="33" t="s">
        <v>73</v>
      </c>
      <c r="Q16" s="33" t="s">
        <v>140</v>
      </c>
      <c r="R16" s="35"/>
      <c r="S16" s="16" t="str">
        <f>"410,0"</f>
        <v>410,0</v>
      </c>
      <c r="T16" s="16" t="str">
        <f>"274,6590"</f>
        <v>274,6590</v>
      </c>
      <c r="U16" s="14"/>
    </row>
    <row r="18" spans="1:21" ht="16">
      <c r="A18" s="67" t="s">
        <v>95</v>
      </c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1:21">
      <c r="A19" s="29" t="s">
        <v>57</v>
      </c>
      <c r="B19" s="7" t="s">
        <v>154</v>
      </c>
      <c r="C19" s="7" t="s">
        <v>155</v>
      </c>
      <c r="D19" s="7" t="s">
        <v>156</v>
      </c>
      <c r="E19" s="8" t="s">
        <v>311</v>
      </c>
      <c r="F19" s="7" t="s">
        <v>14</v>
      </c>
      <c r="G19" s="27" t="s">
        <v>148</v>
      </c>
      <c r="H19" s="28" t="s">
        <v>31</v>
      </c>
      <c r="I19" s="27" t="s">
        <v>31</v>
      </c>
      <c r="J19" s="29"/>
      <c r="K19" s="27" t="s">
        <v>138</v>
      </c>
      <c r="L19" s="28" t="s">
        <v>157</v>
      </c>
      <c r="M19" s="29"/>
      <c r="N19" s="29"/>
      <c r="O19" s="27" t="s">
        <v>21</v>
      </c>
      <c r="P19" s="28" t="s">
        <v>116</v>
      </c>
      <c r="Q19" s="29"/>
      <c r="R19" s="29"/>
      <c r="S19" s="9" t="str">
        <f>"552,5"</f>
        <v>552,5</v>
      </c>
      <c r="T19" s="9" t="str">
        <f>"356,8598"</f>
        <v>356,8598</v>
      </c>
      <c r="U19" s="7" t="s">
        <v>283</v>
      </c>
    </row>
    <row r="21" spans="1:21">
      <c r="G21" s="5"/>
    </row>
    <row r="23" spans="1:21" ht="18">
      <c r="B23" s="19" t="s">
        <v>47</v>
      </c>
      <c r="C23" s="19"/>
      <c r="G23" s="3"/>
    </row>
    <row r="24" spans="1:21" ht="16">
      <c r="B24" s="10" t="s">
        <v>53</v>
      </c>
      <c r="C24" s="10"/>
      <c r="G24" s="3"/>
    </row>
    <row r="25" spans="1:21" ht="14">
      <c r="B25" s="20"/>
      <c r="C25" s="21" t="s">
        <v>54</v>
      </c>
      <c r="G25" s="3"/>
    </row>
    <row r="26" spans="1:21" ht="14">
      <c r="B26" s="22" t="s">
        <v>48</v>
      </c>
      <c r="C26" s="22" t="s">
        <v>49</v>
      </c>
      <c r="D26" s="22" t="s">
        <v>286</v>
      </c>
      <c r="E26" s="23" t="s">
        <v>50</v>
      </c>
      <c r="F26" s="22" t="s">
        <v>51</v>
      </c>
      <c r="G26" s="3"/>
    </row>
    <row r="27" spans="1:21">
      <c r="B27" s="5" t="s">
        <v>154</v>
      </c>
      <c r="C27" s="5" t="s">
        <v>54</v>
      </c>
      <c r="D27" s="25" t="s">
        <v>123</v>
      </c>
      <c r="E27" s="26">
        <v>552.5</v>
      </c>
      <c r="F27" s="24">
        <v>356.85975611209898</v>
      </c>
      <c r="G27" s="3"/>
    </row>
    <row r="28" spans="1:21">
      <c r="B28" s="5" t="s">
        <v>142</v>
      </c>
      <c r="C28" s="5" t="s">
        <v>54</v>
      </c>
      <c r="D28" s="25" t="s">
        <v>122</v>
      </c>
      <c r="E28" s="26">
        <v>485</v>
      </c>
      <c r="F28" s="24">
        <v>345.61099648475601</v>
      </c>
      <c r="G28" s="3"/>
    </row>
    <row r="29" spans="1:21">
      <c r="B29" s="5" t="s">
        <v>145</v>
      </c>
      <c r="C29" s="5" t="s">
        <v>54</v>
      </c>
      <c r="D29" s="25" t="s">
        <v>52</v>
      </c>
      <c r="E29" s="26">
        <v>510</v>
      </c>
      <c r="F29" s="24">
        <v>342.668986916542</v>
      </c>
      <c r="G29" s="5"/>
    </row>
  </sheetData>
  <mergeCells count="18">
    <mergeCell ref="A8:R8"/>
    <mergeCell ref="A11:R11"/>
    <mergeCell ref="A14:R14"/>
    <mergeCell ref="A18:R18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FD4F9-8A79-41F4-9A44-C84C7A869654}">
  <dimension ref="A1:U35"/>
  <sheetViews>
    <sheetView workbookViewId="0">
      <selection activeCell="E26" sqref="E26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7.5" style="5" bestFit="1" customWidth="1"/>
    <col min="4" max="4" width="21.5" style="5" bestFit="1" customWidth="1"/>
    <col min="5" max="5" width="10.5" style="17" bestFit="1" customWidth="1"/>
    <col min="6" max="6" width="31.6640625" style="5" bestFit="1" customWidth="1"/>
    <col min="7" max="9" width="5.5" style="25" customWidth="1"/>
    <col min="10" max="10" width="4.83203125" style="25" customWidth="1"/>
    <col min="11" max="13" width="5.5" style="25" customWidth="1"/>
    <col min="14" max="14" width="4.83203125" style="25" customWidth="1"/>
    <col min="15" max="17" width="5.5" style="25" customWidth="1"/>
    <col min="18" max="18" width="4.83203125" style="25" customWidth="1"/>
    <col min="19" max="19" width="7.83203125" style="6" bestFit="1" customWidth="1"/>
    <col min="20" max="20" width="8.5" style="6" bestFit="1" customWidth="1"/>
    <col min="21" max="21" width="18.5" style="5" bestFit="1" customWidth="1"/>
    <col min="22" max="16384" width="9.1640625" style="3"/>
  </cols>
  <sheetData>
    <row r="1" spans="1:21" s="2" customFormat="1" ht="29" customHeight="1">
      <c r="A1" s="54" t="s">
        <v>288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7"/>
    </row>
    <row r="2" spans="1:21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1"/>
    </row>
    <row r="3" spans="1:21" s="1" customFormat="1" ht="12.75" customHeight="1">
      <c r="A3" s="62" t="s">
        <v>58</v>
      </c>
      <c r="B3" s="69" t="s">
        <v>0</v>
      </c>
      <c r="C3" s="64" t="s">
        <v>309</v>
      </c>
      <c r="D3" s="64" t="s">
        <v>6</v>
      </c>
      <c r="E3" s="48" t="s">
        <v>310</v>
      </c>
      <c r="F3" s="66" t="s">
        <v>5</v>
      </c>
      <c r="G3" s="66" t="s">
        <v>7</v>
      </c>
      <c r="H3" s="66"/>
      <c r="I3" s="66"/>
      <c r="J3" s="66"/>
      <c r="K3" s="66" t="s">
        <v>8</v>
      </c>
      <c r="L3" s="66"/>
      <c r="M3" s="66"/>
      <c r="N3" s="66"/>
      <c r="O3" s="66" t="s">
        <v>9</v>
      </c>
      <c r="P3" s="66"/>
      <c r="Q3" s="66"/>
      <c r="R3" s="66"/>
      <c r="S3" s="48" t="s">
        <v>1</v>
      </c>
      <c r="T3" s="48" t="s">
        <v>3</v>
      </c>
      <c r="U3" s="50" t="s">
        <v>2</v>
      </c>
    </row>
    <row r="4" spans="1:21" s="1" customFormat="1" ht="21" customHeight="1" thickBot="1">
      <c r="A4" s="63"/>
      <c r="B4" s="70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9"/>
      <c r="T4" s="49"/>
      <c r="U4" s="51"/>
    </row>
    <row r="5" spans="1:21" ht="16">
      <c r="A5" s="52" t="s">
        <v>59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21">
      <c r="A6" s="29" t="s">
        <v>57</v>
      </c>
      <c r="B6" s="7" t="s">
        <v>60</v>
      </c>
      <c r="C6" s="7" t="s">
        <v>61</v>
      </c>
      <c r="D6" s="7" t="s">
        <v>62</v>
      </c>
      <c r="E6" s="8" t="s">
        <v>312</v>
      </c>
      <c r="F6" s="7" t="s">
        <v>14</v>
      </c>
      <c r="G6" s="27" t="s">
        <v>18</v>
      </c>
      <c r="H6" s="27" t="s">
        <v>19</v>
      </c>
      <c r="I6" s="28" t="s">
        <v>63</v>
      </c>
      <c r="J6" s="29"/>
      <c r="K6" s="27" t="s">
        <v>64</v>
      </c>
      <c r="L6" s="27" t="s">
        <v>65</v>
      </c>
      <c r="M6" s="27" t="s">
        <v>66</v>
      </c>
      <c r="N6" s="29"/>
      <c r="O6" s="27" t="s">
        <v>67</v>
      </c>
      <c r="P6" s="27" t="s">
        <v>68</v>
      </c>
      <c r="Q6" s="27" t="s">
        <v>41</v>
      </c>
      <c r="R6" s="29"/>
      <c r="S6" s="9" t="str">
        <f>"305,0"</f>
        <v>305,0</v>
      </c>
      <c r="T6" s="9" t="str">
        <f>"340,0445"</f>
        <v>340,0445</v>
      </c>
      <c r="U6" s="7" t="s">
        <v>299</v>
      </c>
    </row>
    <row r="8" spans="1:21" ht="16">
      <c r="A8" s="67" t="s">
        <v>59</v>
      </c>
      <c r="B8" s="67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</row>
    <row r="9" spans="1:21">
      <c r="A9" s="32" t="s">
        <v>57</v>
      </c>
      <c r="B9" s="11" t="s">
        <v>60</v>
      </c>
      <c r="C9" s="11" t="s">
        <v>69</v>
      </c>
      <c r="D9" s="11" t="s">
        <v>62</v>
      </c>
      <c r="E9" s="12" t="s">
        <v>311</v>
      </c>
      <c r="F9" s="11" t="s">
        <v>14</v>
      </c>
      <c r="G9" s="30" t="s">
        <v>18</v>
      </c>
      <c r="H9" s="30" t="s">
        <v>19</v>
      </c>
      <c r="I9" s="31" t="s">
        <v>63</v>
      </c>
      <c r="J9" s="32"/>
      <c r="K9" s="30" t="s">
        <v>64</v>
      </c>
      <c r="L9" s="30" t="s">
        <v>65</v>
      </c>
      <c r="M9" s="30" t="s">
        <v>66</v>
      </c>
      <c r="N9" s="32"/>
      <c r="O9" s="30" t="s">
        <v>67</v>
      </c>
      <c r="P9" s="30" t="s">
        <v>68</v>
      </c>
      <c r="Q9" s="30" t="s">
        <v>41</v>
      </c>
      <c r="R9" s="32"/>
      <c r="S9" s="13" t="str">
        <f>"305,0"</f>
        <v>305,0</v>
      </c>
      <c r="T9" s="13" t="str">
        <f>"260,1345"</f>
        <v>260,1345</v>
      </c>
      <c r="U9" s="11" t="s">
        <v>299</v>
      </c>
    </row>
    <row r="10" spans="1:21">
      <c r="A10" s="35" t="s">
        <v>125</v>
      </c>
      <c r="B10" s="14" t="s">
        <v>70</v>
      </c>
      <c r="C10" s="14" t="s">
        <v>71</v>
      </c>
      <c r="D10" s="14" t="s">
        <v>72</v>
      </c>
      <c r="E10" s="15" t="s">
        <v>311</v>
      </c>
      <c r="F10" s="14" t="s">
        <v>14</v>
      </c>
      <c r="G10" s="34" t="s">
        <v>42</v>
      </c>
      <c r="H10" s="34" t="s">
        <v>73</v>
      </c>
      <c r="I10" s="33" t="s">
        <v>73</v>
      </c>
      <c r="J10" s="35"/>
      <c r="K10" s="33" t="s">
        <v>19</v>
      </c>
      <c r="L10" s="34" t="s">
        <v>74</v>
      </c>
      <c r="M10" s="33" t="s">
        <v>74</v>
      </c>
      <c r="N10" s="35"/>
      <c r="O10" s="33" t="s">
        <v>75</v>
      </c>
      <c r="P10" s="33" t="s">
        <v>39</v>
      </c>
      <c r="Q10" s="34" t="s">
        <v>40</v>
      </c>
      <c r="R10" s="35"/>
      <c r="S10" s="16" t="str">
        <f>"465,0"</f>
        <v>465,0</v>
      </c>
      <c r="T10" s="16" t="str">
        <f>"417,5235"</f>
        <v>417,5235</v>
      </c>
      <c r="U10" s="14" t="s">
        <v>76</v>
      </c>
    </row>
    <row r="12" spans="1:21" ht="16">
      <c r="A12" s="67" t="s">
        <v>77</v>
      </c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1:21">
      <c r="A13" s="32" t="s">
        <v>57</v>
      </c>
      <c r="B13" s="11" t="s">
        <v>78</v>
      </c>
      <c r="C13" s="11" t="s">
        <v>79</v>
      </c>
      <c r="D13" s="11" t="s">
        <v>80</v>
      </c>
      <c r="E13" s="12" t="s">
        <v>313</v>
      </c>
      <c r="F13" s="11" t="s">
        <v>130</v>
      </c>
      <c r="G13" s="30" t="s">
        <v>81</v>
      </c>
      <c r="H13" s="30" t="s">
        <v>82</v>
      </c>
      <c r="I13" s="30" t="s">
        <v>19</v>
      </c>
      <c r="J13" s="32"/>
      <c r="K13" s="30" t="s">
        <v>83</v>
      </c>
      <c r="L13" s="30" t="s">
        <v>84</v>
      </c>
      <c r="M13" s="30" t="s">
        <v>85</v>
      </c>
      <c r="N13" s="32"/>
      <c r="O13" s="30" t="s">
        <v>86</v>
      </c>
      <c r="P13" s="30" t="s">
        <v>67</v>
      </c>
      <c r="Q13" s="30" t="s">
        <v>68</v>
      </c>
      <c r="R13" s="32"/>
      <c r="S13" s="13" t="str">
        <f>"310,0"</f>
        <v>310,0</v>
      </c>
      <c r="T13" s="13" t="str">
        <f>"222,9830"</f>
        <v>222,9830</v>
      </c>
      <c r="U13" s="11" t="s">
        <v>87</v>
      </c>
    </row>
    <row r="14" spans="1:21">
      <c r="A14" s="35" t="s">
        <v>57</v>
      </c>
      <c r="B14" s="14" t="s">
        <v>88</v>
      </c>
      <c r="C14" s="14" t="s">
        <v>89</v>
      </c>
      <c r="D14" s="14" t="s">
        <v>90</v>
      </c>
      <c r="E14" s="15" t="s">
        <v>311</v>
      </c>
      <c r="F14" s="14" t="s">
        <v>14</v>
      </c>
      <c r="G14" s="34" t="s">
        <v>74</v>
      </c>
      <c r="H14" s="34" t="s">
        <v>74</v>
      </c>
      <c r="I14" s="33" t="s">
        <v>74</v>
      </c>
      <c r="J14" s="35"/>
      <c r="K14" s="33" t="s">
        <v>91</v>
      </c>
      <c r="L14" s="34" t="s">
        <v>92</v>
      </c>
      <c r="M14" s="33" t="s">
        <v>92</v>
      </c>
      <c r="N14" s="35"/>
      <c r="O14" s="33" t="s">
        <v>86</v>
      </c>
      <c r="P14" s="33" t="s">
        <v>93</v>
      </c>
      <c r="Q14" s="33" t="s">
        <v>94</v>
      </c>
      <c r="R14" s="35"/>
      <c r="S14" s="16" t="str">
        <f>"320,0"</f>
        <v>320,0</v>
      </c>
      <c r="T14" s="16" t="str">
        <f>"245,2800"</f>
        <v>245,2800</v>
      </c>
      <c r="U14" s="14" t="s">
        <v>301</v>
      </c>
    </row>
    <row r="16" spans="1:21" ht="16">
      <c r="A16" s="67" t="s">
        <v>95</v>
      </c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1:21">
      <c r="A17" s="32" t="s">
        <v>57</v>
      </c>
      <c r="B17" s="11" t="s">
        <v>96</v>
      </c>
      <c r="C17" s="11" t="s">
        <v>97</v>
      </c>
      <c r="D17" s="11" t="s">
        <v>98</v>
      </c>
      <c r="E17" s="12" t="s">
        <v>311</v>
      </c>
      <c r="F17" s="11" t="s">
        <v>14</v>
      </c>
      <c r="G17" s="30" t="s">
        <v>44</v>
      </c>
      <c r="H17" s="31" t="s">
        <v>45</v>
      </c>
      <c r="I17" s="30" t="s">
        <v>45</v>
      </c>
      <c r="J17" s="32"/>
      <c r="K17" s="30" t="s">
        <v>42</v>
      </c>
      <c r="L17" s="30" t="s">
        <v>43</v>
      </c>
      <c r="M17" s="31" t="s">
        <v>99</v>
      </c>
      <c r="N17" s="32"/>
      <c r="O17" s="30" t="s">
        <v>100</v>
      </c>
      <c r="P17" s="31" t="s">
        <v>101</v>
      </c>
      <c r="Q17" s="31" t="s">
        <v>101</v>
      </c>
      <c r="R17" s="32"/>
      <c r="S17" s="13" t="str">
        <f>"690,0"</f>
        <v>690,0</v>
      </c>
      <c r="T17" s="13" t="str">
        <f>"446,7750"</f>
        <v>446,7750</v>
      </c>
      <c r="U17" s="11" t="s">
        <v>302</v>
      </c>
    </row>
    <row r="18" spans="1:21">
      <c r="A18" s="35" t="s">
        <v>125</v>
      </c>
      <c r="B18" s="14" t="s">
        <v>102</v>
      </c>
      <c r="C18" s="14" t="s">
        <v>103</v>
      </c>
      <c r="D18" s="14" t="s">
        <v>104</v>
      </c>
      <c r="E18" s="15" t="s">
        <v>311</v>
      </c>
      <c r="F18" s="14" t="s">
        <v>14</v>
      </c>
      <c r="G18" s="33" t="s">
        <v>20</v>
      </c>
      <c r="H18" s="33" t="s">
        <v>40</v>
      </c>
      <c r="I18" s="33" t="s">
        <v>21</v>
      </c>
      <c r="J18" s="35"/>
      <c r="K18" s="33" t="s">
        <v>68</v>
      </c>
      <c r="L18" s="33" t="s">
        <v>105</v>
      </c>
      <c r="M18" s="33" t="s">
        <v>73</v>
      </c>
      <c r="N18" s="35"/>
      <c r="O18" s="33" t="s">
        <v>40</v>
      </c>
      <c r="P18" s="33" t="s">
        <v>106</v>
      </c>
      <c r="Q18" s="33" t="s">
        <v>107</v>
      </c>
      <c r="R18" s="35"/>
      <c r="S18" s="16" t="str">
        <f>"602,5"</f>
        <v>602,5</v>
      </c>
      <c r="T18" s="16" t="str">
        <f>"390,3597"</f>
        <v>390,3597</v>
      </c>
      <c r="U18" s="14"/>
    </row>
    <row r="20" spans="1:21" ht="16">
      <c r="A20" s="67" t="s">
        <v>22</v>
      </c>
      <c r="B20" s="67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1:21">
      <c r="A21" s="32" t="s">
        <v>57</v>
      </c>
      <c r="B21" s="11" t="s">
        <v>108</v>
      </c>
      <c r="C21" s="11" t="s">
        <v>109</v>
      </c>
      <c r="D21" s="11" t="s">
        <v>110</v>
      </c>
      <c r="E21" s="12" t="s">
        <v>311</v>
      </c>
      <c r="F21" s="11" t="s">
        <v>111</v>
      </c>
      <c r="G21" s="30" t="s">
        <v>106</v>
      </c>
      <c r="H21" s="31" t="s">
        <v>112</v>
      </c>
      <c r="I21" s="30" t="s">
        <v>112</v>
      </c>
      <c r="J21" s="32"/>
      <c r="K21" s="30" t="s">
        <v>29</v>
      </c>
      <c r="L21" s="30" t="s">
        <v>30</v>
      </c>
      <c r="M21" s="31" t="s">
        <v>75</v>
      </c>
      <c r="N21" s="32"/>
      <c r="O21" s="31" t="s">
        <v>16</v>
      </c>
      <c r="P21" s="30" t="s">
        <v>16</v>
      </c>
      <c r="Q21" s="32"/>
      <c r="R21" s="32"/>
      <c r="S21" s="13" t="str">
        <f>"665,0"</f>
        <v>665,0</v>
      </c>
      <c r="T21" s="13" t="str">
        <f>"421,0115"</f>
        <v>421,0115</v>
      </c>
      <c r="U21" s="11"/>
    </row>
    <row r="22" spans="1:21">
      <c r="A22" s="35" t="s">
        <v>57</v>
      </c>
      <c r="B22" s="14" t="s">
        <v>113</v>
      </c>
      <c r="C22" s="14" t="s">
        <v>114</v>
      </c>
      <c r="D22" s="14" t="s">
        <v>115</v>
      </c>
      <c r="E22" s="15" t="s">
        <v>314</v>
      </c>
      <c r="F22" s="14" t="s">
        <v>14</v>
      </c>
      <c r="G22" s="33" t="s">
        <v>75</v>
      </c>
      <c r="H22" s="33" t="s">
        <v>39</v>
      </c>
      <c r="I22" s="33" t="s">
        <v>40</v>
      </c>
      <c r="J22" s="35"/>
      <c r="K22" s="33" t="s">
        <v>42</v>
      </c>
      <c r="L22" s="33" t="s">
        <v>43</v>
      </c>
      <c r="M22" s="34" t="s">
        <v>99</v>
      </c>
      <c r="N22" s="35"/>
      <c r="O22" s="33" t="s">
        <v>116</v>
      </c>
      <c r="P22" s="33" t="s">
        <v>112</v>
      </c>
      <c r="Q22" s="34" t="s">
        <v>16</v>
      </c>
      <c r="R22" s="35"/>
      <c r="S22" s="16" t="str">
        <f>"605,0"</f>
        <v>605,0</v>
      </c>
      <c r="T22" s="16" t="str">
        <f>"424,2683"</f>
        <v>424,2683</v>
      </c>
      <c r="U22" s="14"/>
    </row>
    <row r="24" spans="1:21" ht="16">
      <c r="A24" s="67" t="s">
        <v>117</v>
      </c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1:21">
      <c r="A25" s="29" t="s">
        <v>57</v>
      </c>
      <c r="B25" s="7" t="s">
        <v>118</v>
      </c>
      <c r="C25" s="7" t="s">
        <v>119</v>
      </c>
      <c r="D25" s="7" t="s">
        <v>120</v>
      </c>
      <c r="E25" s="8" t="s">
        <v>311</v>
      </c>
      <c r="F25" s="7" t="s">
        <v>14</v>
      </c>
      <c r="G25" s="27" t="s">
        <v>100</v>
      </c>
      <c r="H25" s="28" t="s">
        <v>26</v>
      </c>
      <c r="I25" s="28" t="s">
        <v>26</v>
      </c>
      <c r="J25" s="29"/>
      <c r="K25" s="27" t="s">
        <v>41</v>
      </c>
      <c r="L25" s="27" t="s">
        <v>42</v>
      </c>
      <c r="M25" s="27" t="s">
        <v>43</v>
      </c>
      <c r="N25" s="29"/>
      <c r="O25" s="27" t="s">
        <v>121</v>
      </c>
      <c r="P25" s="27" t="s">
        <v>101</v>
      </c>
      <c r="Q25" s="27" t="s">
        <v>26</v>
      </c>
      <c r="R25" s="29"/>
      <c r="S25" s="9" t="str">
        <f>"740,0"</f>
        <v>740,0</v>
      </c>
      <c r="T25" s="9" t="str">
        <f>"431,4200"</f>
        <v>431,4200</v>
      </c>
      <c r="U25" s="7" t="s">
        <v>300</v>
      </c>
    </row>
    <row r="29" spans="1:21" ht="18">
      <c r="B29" s="19" t="s">
        <v>47</v>
      </c>
      <c r="C29" s="19"/>
    </row>
    <row r="30" spans="1:21" ht="16">
      <c r="B30" s="42" t="s">
        <v>53</v>
      </c>
    </row>
    <row r="31" spans="1:21" ht="14">
      <c r="B31" s="20"/>
      <c r="C31" s="21" t="s">
        <v>54</v>
      </c>
    </row>
    <row r="32" spans="1:21" ht="14">
      <c r="B32" s="22" t="s">
        <v>48</v>
      </c>
      <c r="C32" s="22" t="s">
        <v>49</v>
      </c>
      <c r="D32" s="22" t="s">
        <v>286</v>
      </c>
      <c r="E32" s="23" t="s">
        <v>50</v>
      </c>
      <c r="F32" s="22" t="s">
        <v>51</v>
      </c>
    </row>
    <row r="33" spans="2:7">
      <c r="B33" s="5" t="s">
        <v>96</v>
      </c>
      <c r="C33" s="5" t="s">
        <v>54</v>
      </c>
      <c r="D33" s="25" t="s">
        <v>123</v>
      </c>
      <c r="E33" s="26">
        <v>690</v>
      </c>
      <c r="F33" s="24">
        <v>446.77498519420601</v>
      </c>
    </row>
    <row r="34" spans="2:7">
      <c r="B34" s="5" t="s">
        <v>118</v>
      </c>
      <c r="C34" s="5" t="s">
        <v>54</v>
      </c>
      <c r="D34" s="25" t="s">
        <v>124</v>
      </c>
      <c r="E34" s="26">
        <v>740</v>
      </c>
      <c r="F34" s="24">
        <v>431.42000317573502</v>
      </c>
      <c r="G34" s="5"/>
    </row>
    <row r="35" spans="2:7">
      <c r="B35" s="5" t="s">
        <v>108</v>
      </c>
      <c r="C35" s="5" t="s">
        <v>54</v>
      </c>
      <c r="D35" s="25" t="s">
        <v>55</v>
      </c>
      <c r="E35" s="26">
        <v>665</v>
      </c>
      <c r="F35" s="24">
        <v>421.011482179165</v>
      </c>
    </row>
  </sheetData>
  <mergeCells count="19">
    <mergeCell ref="A24:R24"/>
    <mergeCell ref="A5:R5"/>
    <mergeCell ref="A8:R8"/>
    <mergeCell ref="A12:R12"/>
    <mergeCell ref="A16:R16"/>
    <mergeCell ref="A20:R20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S3:S4"/>
    <mergeCell ref="T3:T4"/>
    <mergeCell ref="U3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15"/>
  <sheetViews>
    <sheetView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16.6640625" style="5" bestFit="1" customWidth="1"/>
    <col min="3" max="3" width="27.5" style="5" bestFit="1" customWidth="1"/>
    <col min="4" max="4" width="21.5" style="5" bestFit="1" customWidth="1"/>
    <col min="5" max="5" width="10.5" style="17" bestFit="1" customWidth="1"/>
    <col min="6" max="6" width="31.6640625" style="5" bestFit="1" customWidth="1"/>
    <col min="7" max="13" width="5.5" style="25" customWidth="1"/>
    <col min="14" max="14" width="4.83203125" style="25" customWidth="1"/>
    <col min="15" max="17" width="5.5" style="25" customWidth="1"/>
    <col min="18" max="18" width="4.83203125" style="25" customWidth="1"/>
    <col min="19" max="19" width="7.83203125" style="6" bestFit="1" customWidth="1"/>
    <col min="20" max="20" width="8.5" style="6" bestFit="1" customWidth="1"/>
    <col min="21" max="21" width="19.1640625" style="5" customWidth="1"/>
    <col min="22" max="16384" width="9.1640625" style="3"/>
  </cols>
  <sheetData>
    <row r="1" spans="1:21" s="2" customFormat="1" ht="29" customHeight="1">
      <c r="A1" s="54" t="s">
        <v>289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7"/>
    </row>
    <row r="2" spans="1:21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1"/>
    </row>
    <row r="3" spans="1:21" s="1" customFormat="1" ht="12.75" customHeight="1">
      <c r="A3" s="62" t="s">
        <v>58</v>
      </c>
      <c r="B3" s="69" t="s">
        <v>0</v>
      </c>
      <c r="C3" s="64" t="s">
        <v>309</v>
      </c>
      <c r="D3" s="64" t="s">
        <v>6</v>
      </c>
      <c r="E3" s="48" t="s">
        <v>310</v>
      </c>
      <c r="F3" s="66" t="s">
        <v>5</v>
      </c>
      <c r="G3" s="66" t="s">
        <v>7</v>
      </c>
      <c r="H3" s="66"/>
      <c r="I3" s="66"/>
      <c r="J3" s="66"/>
      <c r="K3" s="66" t="s">
        <v>8</v>
      </c>
      <c r="L3" s="66"/>
      <c r="M3" s="66"/>
      <c r="N3" s="66"/>
      <c r="O3" s="66" t="s">
        <v>9</v>
      </c>
      <c r="P3" s="66"/>
      <c r="Q3" s="66"/>
      <c r="R3" s="66"/>
      <c r="S3" s="48" t="s">
        <v>1</v>
      </c>
      <c r="T3" s="48" t="s">
        <v>3</v>
      </c>
      <c r="U3" s="50" t="s">
        <v>2</v>
      </c>
    </row>
    <row r="4" spans="1:21" s="1" customFormat="1" ht="21" customHeight="1" thickBot="1">
      <c r="A4" s="63"/>
      <c r="B4" s="70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9"/>
      <c r="T4" s="49"/>
      <c r="U4" s="51"/>
    </row>
    <row r="5" spans="1:21" ht="16">
      <c r="A5" s="52" t="s">
        <v>10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21">
      <c r="A6" s="29" t="s">
        <v>57</v>
      </c>
      <c r="B6" s="7" t="s">
        <v>11</v>
      </c>
      <c r="C6" s="7" t="s">
        <v>12</v>
      </c>
      <c r="D6" s="7" t="s">
        <v>13</v>
      </c>
      <c r="E6" s="8" t="s">
        <v>315</v>
      </c>
      <c r="F6" s="7" t="s">
        <v>14</v>
      </c>
      <c r="G6" s="27" t="s">
        <v>15</v>
      </c>
      <c r="H6" s="27" t="s">
        <v>16</v>
      </c>
      <c r="I6" s="28" t="s">
        <v>17</v>
      </c>
      <c r="J6" s="29"/>
      <c r="K6" s="27" t="s">
        <v>18</v>
      </c>
      <c r="L6" s="28" t="s">
        <v>19</v>
      </c>
      <c r="M6" s="28" t="s">
        <v>19</v>
      </c>
      <c r="N6" s="29"/>
      <c r="O6" s="27" t="s">
        <v>20</v>
      </c>
      <c r="P6" s="28" t="s">
        <v>21</v>
      </c>
      <c r="Q6" s="28" t="s">
        <v>21</v>
      </c>
      <c r="R6" s="29"/>
      <c r="S6" s="9" t="str">
        <f>"540,0"</f>
        <v>540,0</v>
      </c>
      <c r="T6" s="9" t="str">
        <f>"510,6538"</f>
        <v>510,6538</v>
      </c>
      <c r="U6" s="7" t="s">
        <v>284</v>
      </c>
    </row>
    <row r="8" spans="1:21" ht="16">
      <c r="A8" s="67" t="s">
        <v>22</v>
      </c>
      <c r="B8" s="67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</row>
    <row r="9" spans="1:21">
      <c r="A9" s="29" t="s">
        <v>57</v>
      </c>
      <c r="B9" s="7" t="s">
        <v>23</v>
      </c>
      <c r="C9" s="7" t="s">
        <v>24</v>
      </c>
      <c r="D9" s="7" t="s">
        <v>25</v>
      </c>
      <c r="E9" s="8" t="s">
        <v>311</v>
      </c>
      <c r="F9" s="7" t="s">
        <v>14</v>
      </c>
      <c r="G9" s="27" t="s">
        <v>26</v>
      </c>
      <c r="H9" s="28" t="s">
        <v>27</v>
      </c>
      <c r="I9" s="27" t="s">
        <v>27</v>
      </c>
      <c r="J9" s="28"/>
      <c r="K9" s="27" t="s">
        <v>29</v>
      </c>
      <c r="L9" s="27" t="s">
        <v>30</v>
      </c>
      <c r="M9" s="27" t="s">
        <v>31</v>
      </c>
      <c r="N9" s="29"/>
      <c r="O9" s="27" t="s">
        <v>32</v>
      </c>
      <c r="P9" s="27" t="s">
        <v>33</v>
      </c>
      <c r="Q9" s="27" t="s">
        <v>34</v>
      </c>
      <c r="R9" s="28" t="s">
        <v>28</v>
      </c>
      <c r="S9" s="9" t="str">
        <f>"855,0"</f>
        <v>855,0</v>
      </c>
      <c r="T9" s="9" t="str">
        <f>"520,3530"</f>
        <v>520,3530</v>
      </c>
      <c r="U9" s="7" t="s">
        <v>285</v>
      </c>
    </row>
    <row r="11" spans="1:21" ht="16">
      <c r="A11" s="67" t="s">
        <v>35</v>
      </c>
      <c r="B11" s="67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1:21">
      <c r="A12" s="32" t="s">
        <v>57</v>
      </c>
      <c r="B12" s="11" t="s">
        <v>36</v>
      </c>
      <c r="C12" s="11" t="s">
        <v>37</v>
      </c>
      <c r="D12" s="11" t="s">
        <v>38</v>
      </c>
      <c r="E12" s="12" t="s">
        <v>311</v>
      </c>
      <c r="F12" s="11" t="s">
        <v>14</v>
      </c>
      <c r="G12" s="30" t="s">
        <v>39</v>
      </c>
      <c r="H12" s="31" t="s">
        <v>40</v>
      </c>
      <c r="I12" s="31" t="s">
        <v>40</v>
      </c>
      <c r="J12" s="32"/>
      <c r="K12" s="30" t="s">
        <v>41</v>
      </c>
      <c r="L12" s="30" t="s">
        <v>42</v>
      </c>
      <c r="M12" s="30" t="s">
        <v>43</v>
      </c>
      <c r="N12" s="32"/>
      <c r="O12" s="30" t="s">
        <v>44</v>
      </c>
      <c r="P12" s="30" t="s">
        <v>45</v>
      </c>
      <c r="Q12" s="31" t="s">
        <v>17</v>
      </c>
      <c r="R12" s="32"/>
      <c r="S12" s="13" t="str">
        <f>"610,0"</f>
        <v>610,0</v>
      </c>
      <c r="T12" s="13" t="str">
        <f>"360,2050"</f>
        <v>360,2050</v>
      </c>
      <c r="U12" s="11"/>
    </row>
    <row r="13" spans="1:21">
      <c r="A13" s="35" t="s">
        <v>57</v>
      </c>
      <c r="B13" s="14" t="s">
        <v>36</v>
      </c>
      <c r="C13" s="14" t="s">
        <v>46</v>
      </c>
      <c r="D13" s="14" t="s">
        <v>38</v>
      </c>
      <c r="E13" s="15" t="s">
        <v>315</v>
      </c>
      <c r="F13" s="14" t="s">
        <v>14</v>
      </c>
      <c r="G13" s="33" t="s">
        <v>39</v>
      </c>
      <c r="H13" s="34" t="s">
        <v>40</v>
      </c>
      <c r="I13" s="34" t="s">
        <v>40</v>
      </c>
      <c r="J13" s="35"/>
      <c r="K13" s="33" t="s">
        <v>41</v>
      </c>
      <c r="L13" s="33" t="s">
        <v>42</v>
      </c>
      <c r="M13" s="33" t="s">
        <v>43</v>
      </c>
      <c r="N13" s="35"/>
      <c r="O13" s="33" t="s">
        <v>44</v>
      </c>
      <c r="P13" s="33" t="s">
        <v>45</v>
      </c>
      <c r="Q13" s="34" t="s">
        <v>17</v>
      </c>
      <c r="R13" s="35"/>
      <c r="S13" s="16" t="str">
        <f>"610,0"</f>
        <v>610,0</v>
      </c>
      <c r="T13" s="16" t="str">
        <f>"365,2479"</f>
        <v>365,2479</v>
      </c>
      <c r="U13" s="14"/>
    </row>
    <row r="15" spans="1:21">
      <c r="E15" s="5"/>
      <c r="F15" s="17"/>
      <c r="G15" s="5"/>
    </row>
  </sheetData>
  <mergeCells count="16">
    <mergeCell ref="A5:R5"/>
    <mergeCell ref="A8:R8"/>
    <mergeCell ref="A11:R11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A68F4-05EB-4689-A58A-672B9E5B204D}">
  <dimension ref="A1:Q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6.33203125" style="5" bestFit="1" customWidth="1"/>
    <col min="4" max="4" width="15.5" style="5" bestFit="1" customWidth="1"/>
    <col min="5" max="5" width="12" style="17" customWidth="1"/>
    <col min="6" max="6" width="31.5" style="5" bestFit="1" customWidth="1"/>
    <col min="7" max="9" width="5.5" style="25" customWidth="1"/>
    <col min="10" max="10" width="4.83203125" style="25" customWidth="1"/>
    <col min="11" max="11" width="5.83203125" style="25" customWidth="1"/>
    <col min="12" max="12" width="5.33203125" style="25" customWidth="1"/>
    <col min="13" max="13" width="5" style="25" customWidth="1"/>
    <col min="14" max="14" width="4.83203125" style="25" customWidth="1"/>
    <col min="15" max="15" width="7.83203125" style="6" bestFit="1" customWidth="1"/>
    <col min="16" max="16" width="8.1640625" style="6" customWidth="1"/>
    <col min="17" max="17" width="15.5" style="5" bestFit="1" customWidth="1"/>
    <col min="18" max="16384" width="9.1640625" style="3"/>
  </cols>
  <sheetData>
    <row r="1" spans="1:17" s="2" customFormat="1" ht="29" customHeight="1">
      <c r="A1" s="54" t="s">
        <v>290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7"/>
    </row>
    <row r="2" spans="1:17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1"/>
    </row>
    <row r="3" spans="1:17" s="1" customFormat="1" ht="12.75" customHeight="1">
      <c r="A3" s="62" t="s">
        <v>58</v>
      </c>
      <c r="B3" s="69" t="s">
        <v>0</v>
      </c>
      <c r="C3" s="64" t="s">
        <v>309</v>
      </c>
      <c r="D3" s="64" t="s">
        <v>6</v>
      </c>
      <c r="E3" s="48" t="s">
        <v>310</v>
      </c>
      <c r="F3" s="66" t="s">
        <v>5</v>
      </c>
      <c r="G3" s="66" t="s">
        <v>8</v>
      </c>
      <c r="H3" s="66"/>
      <c r="I3" s="66"/>
      <c r="J3" s="66"/>
      <c r="K3" s="66" t="s">
        <v>9</v>
      </c>
      <c r="L3" s="66"/>
      <c r="M3" s="66"/>
      <c r="N3" s="66"/>
      <c r="O3" s="48" t="s">
        <v>1</v>
      </c>
      <c r="P3" s="48" t="s">
        <v>3</v>
      </c>
      <c r="Q3" s="50" t="s">
        <v>2</v>
      </c>
    </row>
    <row r="4" spans="1:17" s="1" customFormat="1" ht="21" customHeight="1" thickBot="1">
      <c r="A4" s="63"/>
      <c r="B4" s="70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9"/>
      <c r="P4" s="49"/>
      <c r="Q4" s="51"/>
    </row>
    <row r="5" spans="1:17" ht="16">
      <c r="A5" s="52" t="s">
        <v>22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7">
      <c r="A6" s="29" t="s">
        <v>57</v>
      </c>
      <c r="B6" s="7" t="s">
        <v>247</v>
      </c>
      <c r="C6" s="7" t="s">
        <v>248</v>
      </c>
      <c r="D6" s="7" t="s">
        <v>25</v>
      </c>
      <c r="E6" s="8" t="s">
        <v>311</v>
      </c>
      <c r="F6" s="7" t="s">
        <v>130</v>
      </c>
      <c r="G6" s="27" t="s">
        <v>41</v>
      </c>
      <c r="H6" s="27" t="s">
        <v>42</v>
      </c>
      <c r="I6" s="27" t="s">
        <v>215</v>
      </c>
      <c r="J6" s="29"/>
      <c r="K6" s="27" t="s">
        <v>112</v>
      </c>
      <c r="L6" s="27" t="s">
        <v>16</v>
      </c>
      <c r="M6" s="28" t="s">
        <v>242</v>
      </c>
      <c r="N6" s="29"/>
      <c r="O6" s="9">
        <v>407.5</v>
      </c>
      <c r="P6" s="9" t="str">
        <f>"248,0045"</f>
        <v>248,0045</v>
      </c>
      <c r="Q6" s="7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42E02-B7CB-46EF-BDB1-BB1ECA236538}">
  <dimension ref="A1:M17"/>
  <sheetViews>
    <sheetView workbookViewId="0">
      <selection activeCell="E18" sqref="E18"/>
    </sheetView>
  </sheetViews>
  <sheetFormatPr baseColWidth="10" defaultColWidth="9.1640625" defaultRowHeight="13"/>
  <cols>
    <col min="1" max="1" width="7.5" style="5" bestFit="1" customWidth="1"/>
    <col min="2" max="2" width="19.1640625" style="5" bestFit="1" customWidth="1"/>
    <col min="3" max="3" width="27.5" style="5" bestFit="1" customWidth="1"/>
    <col min="4" max="4" width="21.5" style="5" bestFit="1" customWidth="1"/>
    <col min="5" max="5" width="10.5" style="17" bestFit="1" customWidth="1"/>
    <col min="6" max="6" width="31.6640625" style="5" bestFit="1" customWidth="1"/>
    <col min="7" max="9" width="5.5" style="25" customWidth="1"/>
    <col min="10" max="10" width="4.83203125" style="25" customWidth="1"/>
    <col min="11" max="11" width="10.5" style="6" bestFit="1" customWidth="1"/>
    <col min="12" max="12" width="8.5" style="6" bestFit="1" customWidth="1"/>
    <col min="13" max="13" width="26.83203125" style="5" bestFit="1" customWidth="1"/>
    <col min="14" max="16384" width="9.1640625" style="3"/>
  </cols>
  <sheetData>
    <row r="1" spans="1:13" s="2" customFormat="1" ht="29" customHeight="1">
      <c r="A1" s="54" t="s">
        <v>291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58</v>
      </c>
      <c r="B3" s="69" t="s">
        <v>0</v>
      </c>
      <c r="C3" s="64" t="s">
        <v>309</v>
      </c>
      <c r="D3" s="64" t="s">
        <v>6</v>
      </c>
      <c r="E3" s="48" t="s">
        <v>310</v>
      </c>
      <c r="F3" s="66" t="s">
        <v>5</v>
      </c>
      <c r="G3" s="66" t="s">
        <v>8</v>
      </c>
      <c r="H3" s="66"/>
      <c r="I3" s="66"/>
      <c r="J3" s="66"/>
      <c r="K3" s="48" t="s">
        <v>158</v>
      </c>
      <c r="L3" s="48" t="s">
        <v>3</v>
      </c>
      <c r="M3" s="50" t="s">
        <v>2</v>
      </c>
    </row>
    <row r="4" spans="1:13" s="1" customFormat="1" ht="21" customHeight="1" thickBot="1">
      <c r="A4" s="63"/>
      <c r="B4" s="70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1"/>
    </row>
    <row r="5" spans="1:13" ht="16">
      <c r="A5" s="52" t="s">
        <v>10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29" t="s">
        <v>57</v>
      </c>
      <c r="B6" s="7" t="s">
        <v>186</v>
      </c>
      <c r="C6" s="7" t="s">
        <v>187</v>
      </c>
      <c r="D6" s="7" t="s">
        <v>188</v>
      </c>
      <c r="E6" s="8" t="s">
        <v>311</v>
      </c>
      <c r="F6" s="7" t="s">
        <v>189</v>
      </c>
      <c r="G6" s="27" t="s">
        <v>41</v>
      </c>
      <c r="H6" s="28" t="s">
        <v>105</v>
      </c>
      <c r="I6" s="28" t="s">
        <v>105</v>
      </c>
      <c r="J6" s="29"/>
      <c r="K6" s="9" t="str">
        <f>"140,0"</f>
        <v>140,0</v>
      </c>
      <c r="L6" s="9" t="str">
        <f>"94,6260"</f>
        <v>94,6260</v>
      </c>
      <c r="M6" s="7"/>
    </row>
    <row r="8" spans="1:13" ht="16">
      <c r="A8" s="67" t="s">
        <v>95</v>
      </c>
      <c r="B8" s="67"/>
      <c r="C8" s="68"/>
      <c r="D8" s="68"/>
      <c r="E8" s="68"/>
      <c r="F8" s="68"/>
      <c r="G8" s="68"/>
      <c r="H8" s="68"/>
      <c r="I8" s="68"/>
      <c r="J8" s="68"/>
    </row>
    <row r="9" spans="1:13">
      <c r="A9" s="32" t="s">
        <v>57</v>
      </c>
      <c r="B9" s="11" t="s">
        <v>190</v>
      </c>
      <c r="C9" s="11" t="s">
        <v>191</v>
      </c>
      <c r="D9" s="11" t="s">
        <v>192</v>
      </c>
      <c r="E9" s="12" t="s">
        <v>311</v>
      </c>
      <c r="F9" s="11" t="s">
        <v>14</v>
      </c>
      <c r="G9" s="30" t="s">
        <v>94</v>
      </c>
      <c r="H9" s="30" t="s">
        <v>41</v>
      </c>
      <c r="I9" s="31" t="s">
        <v>105</v>
      </c>
      <c r="J9" s="32"/>
      <c r="K9" s="13" t="str">
        <f>"140,0"</f>
        <v>140,0</v>
      </c>
      <c r="L9" s="13" t="str">
        <f>"89,8940"</f>
        <v>89,8940</v>
      </c>
      <c r="M9" s="11"/>
    </row>
    <row r="10" spans="1:13">
      <c r="A10" s="39" t="s">
        <v>125</v>
      </c>
      <c r="B10" s="36" t="s">
        <v>193</v>
      </c>
      <c r="C10" s="36" t="s">
        <v>194</v>
      </c>
      <c r="D10" s="36" t="s">
        <v>195</v>
      </c>
      <c r="E10" s="37" t="s">
        <v>311</v>
      </c>
      <c r="F10" s="36" t="s">
        <v>166</v>
      </c>
      <c r="G10" s="40" t="s">
        <v>93</v>
      </c>
      <c r="H10" s="41" t="s">
        <v>196</v>
      </c>
      <c r="I10" s="40" t="s">
        <v>196</v>
      </c>
      <c r="J10" s="39"/>
      <c r="K10" s="38" t="str">
        <f>"132,5"</f>
        <v>132,5</v>
      </c>
      <c r="L10" s="38" t="str">
        <f>"84,5880"</f>
        <v>84,5880</v>
      </c>
      <c r="M10" s="36" t="s">
        <v>275</v>
      </c>
    </row>
    <row r="11" spans="1:13">
      <c r="A11" s="35" t="s">
        <v>216</v>
      </c>
      <c r="B11" s="14" t="s">
        <v>197</v>
      </c>
      <c r="C11" s="14" t="s">
        <v>198</v>
      </c>
      <c r="D11" s="14" t="s">
        <v>199</v>
      </c>
      <c r="E11" s="15" t="s">
        <v>311</v>
      </c>
      <c r="F11" s="14" t="s">
        <v>183</v>
      </c>
      <c r="G11" s="34" t="s">
        <v>200</v>
      </c>
      <c r="H11" s="34" t="s">
        <v>200</v>
      </c>
      <c r="I11" s="35"/>
      <c r="J11" s="35"/>
      <c r="K11" s="43">
        <v>0</v>
      </c>
      <c r="L11" s="16" t="str">
        <f>"0,0000"</f>
        <v>0,0000</v>
      </c>
      <c r="M11" s="14"/>
    </row>
    <row r="13" spans="1:13" ht="16">
      <c r="A13" s="67" t="s">
        <v>22</v>
      </c>
      <c r="B13" s="67"/>
      <c r="C13" s="68"/>
      <c r="D13" s="68"/>
      <c r="E13" s="68"/>
      <c r="F13" s="68"/>
      <c r="G13" s="68"/>
      <c r="H13" s="68"/>
      <c r="I13" s="68"/>
      <c r="J13" s="68"/>
    </row>
    <row r="14" spans="1:13">
      <c r="A14" s="32" t="s">
        <v>57</v>
      </c>
      <c r="B14" s="11" t="s">
        <v>201</v>
      </c>
      <c r="C14" s="11" t="s">
        <v>202</v>
      </c>
      <c r="D14" s="11" t="s">
        <v>203</v>
      </c>
      <c r="E14" s="12" t="s">
        <v>311</v>
      </c>
      <c r="F14" s="11" t="s">
        <v>130</v>
      </c>
      <c r="G14" s="30" t="s">
        <v>99</v>
      </c>
      <c r="H14" s="30" t="s">
        <v>204</v>
      </c>
      <c r="I14" s="31" t="s">
        <v>205</v>
      </c>
      <c r="J14" s="32"/>
      <c r="K14" s="13" t="str">
        <f>"172,5"</f>
        <v>172,5</v>
      </c>
      <c r="L14" s="13" t="str">
        <f>"105,0180"</f>
        <v>105,0180</v>
      </c>
      <c r="M14" s="11"/>
    </row>
    <row r="15" spans="1:13">
      <c r="A15" s="39" t="s">
        <v>125</v>
      </c>
      <c r="B15" s="36" t="s">
        <v>206</v>
      </c>
      <c r="C15" s="36" t="s">
        <v>207</v>
      </c>
      <c r="D15" s="36" t="s">
        <v>208</v>
      </c>
      <c r="E15" s="37" t="s">
        <v>311</v>
      </c>
      <c r="F15" s="36" t="s">
        <v>14</v>
      </c>
      <c r="G15" s="40" t="s">
        <v>105</v>
      </c>
      <c r="H15" s="40" t="s">
        <v>42</v>
      </c>
      <c r="I15" s="41" t="s">
        <v>73</v>
      </c>
      <c r="J15" s="39"/>
      <c r="K15" s="38" t="str">
        <f>"150,0"</f>
        <v>150,0</v>
      </c>
      <c r="L15" s="38" t="str">
        <f>"91,5150"</f>
        <v>91,5150</v>
      </c>
      <c r="M15" s="36" t="s">
        <v>141</v>
      </c>
    </row>
    <row r="16" spans="1:13">
      <c r="A16" s="39" t="s">
        <v>217</v>
      </c>
      <c r="B16" s="36" t="s">
        <v>209</v>
      </c>
      <c r="C16" s="36" t="s">
        <v>210</v>
      </c>
      <c r="D16" s="36" t="s">
        <v>211</v>
      </c>
      <c r="E16" s="37" t="s">
        <v>311</v>
      </c>
      <c r="F16" s="36" t="s">
        <v>189</v>
      </c>
      <c r="G16" s="40" t="s">
        <v>41</v>
      </c>
      <c r="H16" s="40" t="s">
        <v>138</v>
      </c>
      <c r="I16" s="39"/>
      <c r="J16" s="39"/>
      <c r="K16" s="38" t="str">
        <f>"142,5"</f>
        <v>142,5</v>
      </c>
      <c r="L16" s="38" t="str">
        <f>"87,07156"</f>
        <v>87,07156</v>
      </c>
      <c r="M16" s="36" t="s">
        <v>276</v>
      </c>
    </row>
    <row r="17" spans="1:13">
      <c r="A17" s="35" t="s">
        <v>57</v>
      </c>
      <c r="B17" s="14" t="s">
        <v>212</v>
      </c>
      <c r="C17" s="14" t="s">
        <v>213</v>
      </c>
      <c r="D17" s="14" t="s">
        <v>214</v>
      </c>
      <c r="E17" s="15" t="s">
        <v>314</v>
      </c>
      <c r="F17" s="14" t="s">
        <v>14</v>
      </c>
      <c r="G17" s="33" t="s">
        <v>42</v>
      </c>
      <c r="H17" s="33" t="s">
        <v>43</v>
      </c>
      <c r="I17" s="33" t="s">
        <v>215</v>
      </c>
      <c r="J17" s="35"/>
      <c r="K17" s="16" t="str">
        <f>"162,5"</f>
        <v>162,5</v>
      </c>
      <c r="L17" s="16" t="str">
        <f>"118,5679"</f>
        <v>118,5679</v>
      </c>
      <c r="M17" s="14"/>
    </row>
  </sheetData>
  <mergeCells count="14">
    <mergeCell ref="A8:J8"/>
    <mergeCell ref="A13:J13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4800D-7D5D-4AD6-99C7-B02DFDEE2437}">
  <dimension ref="A1:M30"/>
  <sheetViews>
    <sheetView workbookViewId="0">
      <selection activeCell="E21" sqref="E21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6.5" style="5" bestFit="1" customWidth="1"/>
    <col min="4" max="4" width="21.5" style="5" bestFit="1" customWidth="1"/>
    <col min="5" max="5" width="10.5" style="17" bestFit="1" customWidth="1"/>
    <col min="6" max="6" width="31.6640625" style="5" bestFit="1" customWidth="1"/>
    <col min="7" max="9" width="5.5" style="25" customWidth="1"/>
    <col min="10" max="10" width="4.83203125" style="25" customWidth="1"/>
    <col min="11" max="11" width="10.5" style="6" bestFit="1" customWidth="1"/>
    <col min="12" max="12" width="8.5" style="6" bestFit="1" customWidth="1"/>
    <col min="13" max="13" width="24.1640625" style="5" bestFit="1" customWidth="1"/>
    <col min="14" max="16384" width="9.1640625" style="3"/>
  </cols>
  <sheetData>
    <row r="1" spans="1:13" s="2" customFormat="1" ht="29" customHeight="1">
      <c r="A1" s="54" t="s">
        <v>292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58</v>
      </c>
      <c r="B3" s="69" t="s">
        <v>0</v>
      </c>
      <c r="C3" s="64" t="s">
        <v>309</v>
      </c>
      <c r="D3" s="64" t="s">
        <v>6</v>
      </c>
      <c r="E3" s="48" t="s">
        <v>310</v>
      </c>
      <c r="F3" s="66" t="s">
        <v>5</v>
      </c>
      <c r="G3" s="66" t="s">
        <v>8</v>
      </c>
      <c r="H3" s="66"/>
      <c r="I3" s="66"/>
      <c r="J3" s="66"/>
      <c r="K3" s="48" t="s">
        <v>158</v>
      </c>
      <c r="L3" s="48" t="s">
        <v>3</v>
      </c>
      <c r="M3" s="50" t="s">
        <v>2</v>
      </c>
    </row>
    <row r="4" spans="1:13" s="1" customFormat="1" ht="21" customHeight="1" thickBot="1">
      <c r="A4" s="63"/>
      <c r="B4" s="70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1"/>
    </row>
    <row r="5" spans="1:13" ht="16">
      <c r="A5" s="52" t="s">
        <v>59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29" t="s">
        <v>57</v>
      </c>
      <c r="B6" s="7" t="s">
        <v>159</v>
      </c>
      <c r="C6" s="7" t="s">
        <v>160</v>
      </c>
      <c r="D6" s="7" t="s">
        <v>161</v>
      </c>
      <c r="E6" s="8" t="s">
        <v>313</v>
      </c>
      <c r="F6" s="7" t="s">
        <v>130</v>
      </c>
      <c r="G6" s="28" t="s">
        <v>64</v>
      </c>
      <c r="H6" s="27" t="s">
        <v>92</v>
      </c>
      <c r="I6" s="27" t="s">
        <v>162</v>
      </c>
      <c r="J6" s="29"/>
      <c r="K6" s="9" t="str">
        <f>"82,5"</f>
        <v>82,5</v>
      </c>
      <c r="L6" s="9" t="str">
        <f>"72,9713"</f>
        <v>72,9713</v>
      </c>
      <c r="M6" s="7" t="s">
        <v>230</v>
      </c>
    </row>
    <row r="8" spans="1:13" ht="16">
      <c r="A8" s="67" t="s">
        <v>95</v>
      </c>
      <c r="B8" s="67"/>
      <c r="C8" s="68"/>
      <c r="D8" s="68"/>
      <c r="E8" s="68"/>
      <c r="F8" s="68"/>
      <c r="G8" s="68"/>
      <c r="H8" s="68"/>
      <c r="I8" s="68"/>
      <c r="J8" s="68"/>
    </row>
    <row r="9" spans="1:13">
      <c r="A9" s="29" t="s">
        <v>57</v>
      </c>
      <c r="B9" s="7" t="s">
        <v>163</v>
      </c>
      <c r="C9" s="7" t="s">
        <v>164</v>
      </c>
      <c r="D9" s="7" t="s">
        <v>165</v>
      </c>
      <c r="E9" s="8" t="s">
        <v>311</v>
      </c>
      <c r="F9" s="7" t="s">
        <v>166</v>
      </c>
      <c r="G9" s="27" t="s">
        <v>41</v>
      </c>
      <c r="H9" s="28" t="s">
        <v>105</v>
      </c>
      <c r="I9" s="28" t="s">
        <v>105</v>
      </c>
      <c r="J9" s="29"/>
      <c r="K9" s="9" t="str">
        <f>"140,0"</f>
        <v>140,0</v>
      </c>
      <c r="L9" s="9" t="str">
        <f>"92,7920"</f>
        <v>92,7920</v>
      </c>
      <c r="M9" s="7"/>
    </row>
    <row r="11" spans="1:13" ht="16">
      <c r="A11" s="67" t="s">
        <v>22</v>
      </c>
      <c r="B11" s="67"/>
      <c r="C11" s="68"/>
      <c r="D11" s="68"/>
      <c r="E11" s="68"/>
      <c r="F11" s="68"/>
      <c r="G11" s="68"/>
      <c r="H11" s="68"/>
      <c r="I11" s="68"/>
      <c r="J11" s="68"/>
    </row>
    <row r="12" spans="1:13">
      <c r="A12" s="32" t="s">
        <v>57</v>
      </c>
      <c r="B12" s="11" t="s">
        <v>167</v>
      </c>
      <c r="C12" s="11" t="s">
        <v>168</v>
      </c>
      <c r="D12" s="11" t="s">
        <v>169</v>
      </c>
      <c r="E12" s="12" t="s">
        <v>311</v>
      </c>
      <c r="F12" s="11" t="s">
        <v>14</v>
      </c>
      <c r="G12" s="30" t="s">
        <v>29</v>
      </c>
      <c r="H12" s="30" t="s">
        <v>30</v>
      </c>
      <c r="I12" s="31" t="s">
        <v>149</v>
      </c>
      <c r="J12" s="32"/>
      <c r="K12" s="13" t="str">
        <f>"185,0"</f>
        <v>185,0</v>
      </c>
      <c r="L12" s="13" t="str">
        <f>"113,0535"</f>
        <v>113,0535</v>
      </c>
      <c r="M12" s="11"/>
    </row>
    <row r="13" spans="1:13">
      <c r="A13" s="35" t="s">
        <v>125</v>
      </c>
      <c r="B13" s="14" t="s">
        <v>170</v>
      </c>
      <c r="C13" s="14" t="s">
        <v>171</v>
      </c>
      <c r="D13" s="14" t="s">
        <v>172</v>
      </c>
      <c r="E13" s="15" t="s">
        <v>311</v>
      </c>
      <c r="F13" s="14" t="s">
        <v>14</v>
      </c>
      <c r="G13" s="33" t="s">
        <v>42</v>
      </c>
      <c r="H13" s="34" t="s">
        <v>173</v>
      </c>
      <c r="I13" s="34" t="s">
        <v>173</v>
      </c>
      <c r="J13" s="35"/>
      <c r="K13" s="16" t="str">
        <f>"150,0"</f>
        <v>150,0</v>
      </c>
      <c r="L13" s="16" t="str">
        <f>"94,2750"</f>
        <v>94,2750</v>
      </c>
      <c r="M13" s="14"/>
    </row>
    <row r="15" spans="1:13" ht="16">
      <c r="A15" s="67" t="s">
        <v>35</v>
      </c>
      <c r="B15" s="67"/>
      <c r="C15" s="68"/>
      <c r="D15" s="68"/>
      <c r="E15" s="68"/>
      <c r="F15" s="68"/>
      <c r="G15" s="68"/>
      <c r="H15" s="68"/>
      <c r="I15" s="68"/>
      <c r="J15" s="68"/>
    </row>
    <row r="16" spans="1:13">
      <c r="A16" s="29" t="s">
        <v>57</v>
      </c>
      <c r="B16" s="7" t="s">
        <v>174</v>
      </c>
      <c r="C16" s="7" t="s">
        <v>175</v>
      </c>
      <c r="D16" s="7" t="s">
        <v>176</v>
      </c>
      <c r="E16" s="8" t="s">
        <v>311</v>
      </c>
      <c r="F16" s="7" t="s">
        <v>14</v>
      </c>
      <c r="G16" s="27" t="s">
        <v>75</v>
      </c>
      <c r="H16" s="28" t="s">
        <v>39</v>
      </c>
      <c r="I16" s="29"/>
      <c r="J16" s="29"/>
      <c r="K16" s="9" t="str">
        <f>"190,0"</f>
        <v>190,0</v>
      </c>
      <c r="L16" s="9" t="str">
        <f>"111,9480"</f>
        <v>111,9480</v>
      </c>
      <c r="M16" s="7" t="s">
        <v>281</v>
      </c>
    </row>
    <row r="18" spans="1:13" ht="16">
      <c r="A18" s="67" t="s">
        <v>117</v>
      </c>
      <c r="B18" s="67"/>
      <c r="C18" s="68"/>
      <c r="D18" s="68"/>
      <c r="E18" s="68"/>
      <c r="F18" s="68"/>
      <c r="G18" s="68"/>
      <c r="H18" s="68"/>
      <c r="I18" s="68"/>
      <c r="J18" s="68"/>
    </row>
    <row r="19" spans="1:13">
      <c r="A19" s="32" t="s">
        <v>57</v>
      </c>
      <c r="B19" s="11" t="s">
        <v>177</v>
      </c>
      <c r="C19" s="11" t="s">
        <v>178</v>
      </c>
      <c r="D19" s="11" t="s">
        <v>179</v>
      </c>
      <c r="E19" s="12" t="s">
        <v>311</v>
      </c>
      <c r="F19" s="11" t="s">
        <v>14</v>
      </c>
      <c r="G19" s="30" t="s">
        <v>15</v>
      </c>
      <c r="H19" s="30" t="s">
        <v>44</v>
      </c>
      <c r="I19" s="31" t="s">
        <v>45</v>
      </c>
      <c r="J19" s="32"/>
      <c r="K19" s="13" t="str">
        <f>"240,0"</f>
        <v>240,0</v>
      </c>
      <c r="L19" s="13" t="str">
        <f>"137,7360"</f>
        <v>137,7360</v>
      </c>
      <c r="M19" s="11"/>
    </row>
    <row r="20" spans="1:13">
      <c r="A20" s="35" t="s">
        <v>125</v>
      </c>
      <c r="B20" s="14" t="s">
        <v>180</v>
      </c>
      <c r="C20" s="14" t="s">
        <v>181</v>
      </c>
      <c r="D20" s="14" t="s">
        <v>182</v>
      </c>
      <c r="E20" s="15" t="s">
        <v>311</v>
      </c>
      <c r="F20" s="14" t="s">
        <v>183</v>
      </c>
      <c r="G20" s="33" t="s">
        <v>29</v>
      </c>
      <c r="H20" s="33" t="s">
        <v>148</v>
      </c>
      <c r="I20" s="33" t="s">
        <v>184</v>
      </c>
      <c r="J20" s="35"/>
      <c r="K20" s="16" t="str">
        <f>"182,5"</f>
        <v>182,5</v>
      </c>
      <c r="L20" s="16" t="str">
        <f>"105,3025"</f>
        <v>105,3025</v>
      </c>
      <c r="M20" s="14"/>
    </row>
    <row r="22" spans="1:13">
      <c r="G22" s="5"/>
      <c r="K22" s="25"/>
      <c r="M22" s="6"/>
    </row>
    <row r="23" spans="1:13">
      <c r="K23" s="25"/>
      <c r="M23" s="6"/>
    </row>
    <row r="24" spans="1:13" ht="18">
      <c r="B24" s="19" t="s">
        <v>47</v>
      </c>
      <c r="C24" s="19"/>
      <c r="K24" s="25"/>
      <c r="M24" s="6"/>
    </row>
    <row r="25" spans="1:13" ht="16">
      <c r="B25" s="10" t="s">
        <v>53</v>
      </c>
      <c r="C25" s="10"/>
      <c r="G25" s="3"/>
      <c r="K25" s="25"/>
      <c r="M25" s="6"/>
    </row>
    <row r="26" spans="1:13" ht="14">
      <c r="B26" s="20"/>
      <c r="C26" s="21" t="s">
        <v>54</v>
      </c>
      <c r="G26" s="3"/>
      <c r="K26" s="25"/>
      <c r="M26" s="6"/>
    </row>
    <row r="27" spans="1:13" ht="14">
      <c r="B27" s="22" t="s">
        <v>48</v>
      </c>
      <c r="C27" s="22" t="s">
        <v>49</v>
      </c>
      <c r="D27" s="22" t="s">
        <v>286</v>
      </c>
      <c r="E27" s="23" t="s">
        <v>185</v>
      </c>
      <c r="F27" s="22" t="s">
        <v>51</v>
      </c>
      <c r="G27" s="3"/>
      <c r="K27" s="25"/>
      <c r="M27" s="6"/>
    </row>
    <row r="28" spans="1:13">
      <c r="B28" s="5" t="s">
        <v>177</v>
      </c>
      <c r="C28" s="5" t="s">
        <v>54</v>
      </c>
      <c r="D28" s="25" t="s">
        <v>124</v>
      </c>
      <c r="E28" s="26">
        <v>240</v>
      </c>
      <c r="F28" s="24">
        <v>137.735996246338</v>
      </c>
      <c r="G28" s="3"/>
      <c r="K28" s="25"/>
      <c r="M28" s="6"/>
    </row>
    <row r="29" spans="1:13">
      <c r="B29" s="5" t="s">
        <v>167</v>
      </c>
      <c r="C29" s="5" t="s">
        <v>54</v>
      </c>
      <c r="D29" s="25" t="s">
        <v>55</v>
      </c>
      <c r="E29" s="26">
        <v>185</v>
      </c>
      <c r="F29" s="24">
        <v>113.05350333452201</v>
      </c>
      <c r="G29" s="3"/>
      <c r="K29" s="25"/>
      <c r="M29" s="6"/>
    </row>
    <row r="30" spans="1:13">
      <c r="B30" s="5" t="s">
        <v>174</v>
      </c>
      <c r="C30" s="5" t="s">
        <v>54</v>
      </c>
      <c r="D30" s="25" t="s">
        <v>56</v>
      </c>
      <c r="E30" s="26">
        <v>190</v>
      </c>
      <c r="F30" s="24">
        <v>111.948003768921</v>
      </c>
      <c r="G30" s="5"/>
      <c r="K30" s="25"/>
      <c r="M30" s="6"/>
    </row>
  </sheetData>
  <mergeCells count="16">
    <mergeCell ref="A8:J8"/>
    <mergeCell ref="A11:J11"/>
    <mergeCell ref="A15:J15"/>
    <mergeCell ref="A18:J1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29FE6-E733-44A7-8C38-55E21DD2F39D}">
  <dimension ref="A1:M7"/>
  <sheetViews>
    <sheetView workbookViewId="0">
      <selection activeCell="E8" sqref="E8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7.5" style="5" bestFit="1" customWidth="1"/>
    <col min="4" max="4" width="21.5" style="5" bestFit="1" customWidth="1"/>
    <col min="5" max="5" width="10.5" style="17" bestFit="1" customWidth="1"/>
    <col min="6" max="6" width="31.33203125" style="5" bestFit="1" customWidth="1"/>
    <col min="7" max="10" width="5.5" style="25" customWidth="1"/>
    <col min="11" max="11" width="10.5" style="6" bestFit="1" customWidth="1"/>
    <col min="12" max="12" width="8.5" style="6" bestFit="1" customWidth="1"/>
    <col min="13" max="13" width="18" style="5" customWidth="1"/>
    <col min="14" max="16384" width="9.1640625" style="3"/>
  </cols>
  <sheetData>
    <row r="1" spans="1:13" s="2" customFormat="1" ht="29" customHeight="1">
      <c r="A1" s="54" t="s">
        <v>293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58</v>
      </c>
      <c r="B3" s="69" t="s">
        <v>0</v>
      </c>
      <c r="C3" s="64" t="s">
        <v>309</v>
      </c>
      <c r="D3" s="64" t="s">
        <v>6</v>
      </c>
      <c r="E3" s="48" t="s">
        <v>310</v>
      </c>
      <c r="F3" s="66" t="s">
        <v>5</v>
      </c>
      <c r="G3" s="66" t="s">
        <v>8</v>
      </c>
      <c r="H3" s="66"/>
      <c r="I3" s="66"/>
      <c r="J3" s="66"/>
      <c r="K3" s="48" t="s">
        <v>158</v>
      </c>
      <c r="L3" s="48" t="s">
        <v>3</v>
      </c>
      <c r="M3" s="50" t="s">
        <v>2</v>
      </c>
    </row>
    <row r="4" spans="1:13" s="1" customFormat="1" ht="21" customHeight="1" thickBot="1">
      <c r="A4" s="63"/>
      <c r="B4" s="70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1"/>
    </row>
    <row r="5" spans="1:13" ht="16">
      <c r="A5" s="52" t="s">
        <v>117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32" t="s">
        <v>57</v>
      </c>
      <c r="B6" s="11" t="s">
        <v>218</v>
      </c>
      <c r="C6" s="11" t="s">
        <v>219</v>
      </c>
      <c r="D6" s="11" t="s">
        <v>220</v>
      </c>
      <c r="E6" s="12" t="s">
        <v>311</v>
      </c>
      <c r="F6" s="11" t="s">
        <v>111</v>
      </c>
      <c r="G6" s="30" t="s">
        <v>221</v>
      </c>
      <c r="H6" s="30" t="s">
        <v>222</v>
      </c>
      <c r="I6" s="30" t="s">
        <v>223</v>
      </c>
      <c r="J6" s="30" t="s">
        <v>224</v>
      </c>
      <c r="K6" s="13" t="str">
        <f>"395,0"</f>
        <v>395,0</v>
      </c>
      <c r="L6" s="13" t="str">
        <f>"216,3612"</f>
        <v>216,3612</v>
      </c>
      <c r="M6" s="11" t="s">
        <v>280</v>
      </c>
    </row>
    <row r="7" spans="1:13">
      <c r="A7" s="35" t="s">
        <v>57</v>
      </c>
      <c r="B7" s="14" t="s">
        <v>218</v>
      </c>
      <c r="C7" s="14" t="s">
        <v>225</v>
      </c>
      <c r="D7" s="14" t="s">
        <v>220</v>
      </c>
      <c r="E7" s="15" t="s">
        <v>314</v>
      </c>
      <c r="F7" s="14" t="s">
        <v>111</v>
      </c>
      <c r="G7" s="33" t="s">
        <v>221</v>
      </c>
      <c r="H7" s="33" t="s">
        <v>222</v>
      </c>
      <c r="I7" s="33" t="s">
        <v>223</v>
      </c>
      <c r="J7" s="33" t="s">
        <v>224</v>
      </c>
      <c r="K7" s="16" t="str">
        <f>"395,0"</f>
        <v>395,0</v>
      </c>
      <c r="L7" s="16" t="str">
        <f>"248,1664"</f>
        <v>248,1664</v>
      </c>
      <c r="M7" s="14" t="s">
        <v>278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20FE2-F593-407F-BC01-622551C65809}">
  <dimension ref="A1:M19"/>
  <sheetViews>
    <sheetView workbookViewId="0">
      <selection activeCell="E20" sqref="E20"/>
    </sheetView>
  </sheetViews>
  <sheetFormatPr baseColWidth="10" defaultColWidth="9.1640625" defaultRowHeight="13"/>
  <cols>
    <col min="1" max="1" width="7.5" style="5" bestFit="1" customWidth="1"/>
    <col min="2" max="2" width="19" style="5" bestFit="1" customWidth="1"/>
    <col min="3" max="3" width="26.5" style="5" bestFit="1" customWidth="1"/>
    <col min="4" max="4" width="21.5" style="5" bestFit="1" customWidth="1"/>
    <col min="5" max="5" width="10.5" style="17" bestFit="1" customWidth="1"/>
    <col min="6" max="6" width="33.33203125" style="5" bestFit="1" customWidth="1"/>
    <col min="7" max="9" width="5.5" style="25" customWidth="1"/>
    <col min="10" max="10" width="4.83203125" style="25" customWidth="1"/>
    <col min="11" max="11" width="10.5" style="6" bestFit="1" customWidth="1"/>
    <col min="12" max="12" width="8.5" style="6" bestFit="1" customWidth="1"/>
    <col min="13" max="13" width="27.5" style="5" customWidth="1"/>
    <col min="14" max="16384" width="9.1640625" style="3"/>
  </cols>
  <sheetData>
    <row r="1" spans="1:13" s="2" customFormat="1" ht="29" customHeight="1">
      <c r="A1" s="54" t="s">
        <v>294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58</v>
      </c>
      <c r="B3" s="69" t="s">
        <v>0</v>
      </c>
      <c r="C3" s="64" t="s">
        <v>309</v>
      </c>
      <c r="D3" s="64" t="s">
        <v>6</v>
      </c>
      <c r="E3" s="48" t="s">
        <v>310</v>
      </c>
      <c r="F3" s="66" t="s">
        <v>5</v>
      </c>
      <c r="G3" s="66" t="s">
        <v>9</v>
      </c>
      <c r="H3" s="66"/>
      <c r="I3" s="66"/>
      <c r="J3" s="66"/>
      <c r="K3" s="48" t="s">
        <v>158</v>
      </c>
      <c r="L3" s="48" t="s">
        <v>3</v>
      </c>
      <c r="M3" s="50" t="s">
        <v>2</v>
      </c>
    </row>
    <row r="4" spans="1:13" s="1" customFormat="1" ht="21" customHeight="1" thickBot="1">
      <c r="A4" s="63"/>
      <c r="B4" s="70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1"/>
    </row>
    <row r="5" spans="1:13" ht="16">
      <c r="A5" s="52" t="s">
        <v>126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29" t="s">
        <v>57</v>
      </c>
      <c r="B6" s="7" t="s">
        <v>127</v>
      </c>
      <c r="C6" s="7" t="s">
        <v>128</v>
      </c>
      <c r="D6" s="7" t="s">
        <v>129</v>
      </c>
      <c r="E6" s="8" t="s">
        <v>311</v>
      </c>
      <c r="F6" s="7" t="s">
        <v>130</v>
      </c>
      <c r="G6" s="27" t="s">
        <v>19</v>
      </c>
      <c r="H6" s="27" t="s">
        <v>74</v>
      </c>
      <c r="I6" s="28" t="s">
        <v>86</v>
      </c>
      <c r="J6" s="29"/>
      <c r="K6" s="9" t="str">
        <f>"110,0"</f>
        <v>110,0</v>
      </c>
      <c r="L6" s="9" t="str">
        <f>"145,6840"</f>
        <v>145,6840</v>
      </c>
      <c r="M6" s="7" t="s">
        <v>230</v>
      </c>
    </row>
    <row r="8" spans="1:13" ht="16">
      <c r="A8" s="67" t="s">
        <v>59</v>
      </c>
      <c r="B8" s="67"/>
      <c r="C8" s="68"/>
      <c r="D8" s="68"/>
      <c r="E8" s="68"/>
      <c r="F8" s="68"/>
      <c r="G8" s="68"/>
      <c r="H8" s="68"/>
      <c r="I8" s="68"/>
      <c r="J8" s="68"/>
    </row>
    <row r="9" spans="1:13">
      <c r="A9" s="29" t="s">
        <v>57</v>
      </c>
      <c r="B9" s="7" t="s">
        <v>251</v>
      </c>
      <c r="C9" s="7" t="s">
        <v>252</v>
      </c>
      <c r="D9" s="7" t="s">
        <v>62</v>
      </c>
      <c r="E9" s="8" t="s">
        <v>311</v>
      </c>
      <c r="F9" s="7" t="s">
        <v>14</v>
      </c>
      <c r="G9" s="27" t="s">
        <v>253</v>
      </c>
      <c r="H9" s="27" t="s">
        <v>196</v>
      </c>
      <c r="I9" s="29"/>
      <c r="J9" s="29"/>
      <c r="K9" s="9" t="str">
        <f>"132,5"</f>
        <v>132,5</v>
      </c>
      <c r="L9" s="9" t="str">
        <f>"147,7242"</f>
        <v>147,7242</v>
      </c>
      <c r="M9" s="7" t="s">
        <v>244</v>
      </c>
    </row>
    <row r="11" spans="1:13" ht="16">
      <c r="A11" s="67" t="s">
        <v>134</v>
      </c>
      <c r="B11" s="67"/>
      <c r="C11" s="68"/>
      <c r="D11" s="68"/>
      <c r="E11" s="68"/>
      <c r="F11" s="68"/>
      <c r="G11" s="68"/>
      <c r="H11" s="68"/>
      <c r="I11" s="68"/>
      <c r="J11" s="68"/>
    </row>
    <row r="12" spans="1:13">
      <c r="A12" s="29" t="s">
        <v>57</v>
      </c>
      <c r="B12" s="7" t="s">
        <v>254</v>
      </c>
      <c r="C12" s="7" t="s">
        <v>255</v>
      </c>
      <c r="D12" s="7" t="s">
        <v>256</v>
      </c>
      <c r="E12" s="8" t="s">
        <v>313</v>
      </c>
      <c r="F12" s="7" t="s">
        <v>130</v>
      </c>
      <c r="G12" s="27" t="s">
        <v>67</v>
      </c>
      <c r="H12" s="27" t="s">
        <v>257</v>
      </c>
      <c r="I12" s="28" t="s">
        <v>68</v>
      </c>
      <c r="J12" s="29"/>
      <c r="K12" s="9" t="str">
        <f>"127,5"</f>
        <v>127,5</v>
      </c>
      <c r="L12" s="9" t="str">
        <f>"105,7357"</f>
        <v>105,7357</v>
      </c>
      <c r="M12" s="7" t="s">
        <v>308</v>
      </c>
    </row>
    <row r="14" spans="1:13" ht="16">
      <c r="A14" s="67" t="s">
        <v>77</v>
      </c>
      <c r="B14" s="67"/>
      <c r="C14" s="68"/>
      <c r="D14" s="68"/>
      <c r="E14" s="68"/>
      <c r="F14" s="68"/>
      <c r="G14" s="68"/>
      <c r="H14" s="68"/>
      <c r="I14" s="68"/>
      <c r="J14" s="68"/>
    </row>
    <row r="15" spans="1:13">
      <c r="A15" s="32" t="s">
        <v>57</v>
      </c>
      <c r="B15" s="11" t="s">
        <v>142</v>
      </c>
      <c r="C15" s="11" t="s">
        <v>143</v>
      </c>
      <c r="D15" s="11" t="s">
        <v>144</v>
      </c>
      <c r="E15" s="12" t="s">
        <v>311</v>
      </c>
      <c r="F15" s="11" t="s">
        <v>111</v>
      </c>
      <c r="G15" s="30" t="s">
        <v>75</v>
      </c>
      <c r="H15" s="30" t="s">
        <v>39</v>
      </c>
      <c r="I15" s="31" t="s">
        <v>20</v>
      </c>
      <c r="J15" s="32"/>
      <c r="K15" s="13" t="str">
        <f>"200,0"</f>
        <v>200,0</v>
      </c>
      <c r="L15" s="13" t="str">
        <f>"142,5200"</f>
        <v>142,5200</v>
      </c>
      <c r="M15" s="11" t="s">
        <v>231</v>
      </c>
    </row>
    <row r="16" spans="1:13">
      <c r="A16" s="35" t="s">
        <v>125</v>
      </c>
      <c r="B16" s="14" t="s">
        <v>258</v>
      </c>
      <c r="C16" s="14" t="s">
        <v>259</v>
      </c>
      <c r="D16" s="14" t="s">
        <v>260</v>
      </c>
      <c r="E16" s="15" t="s">
        <v>311</v>
      </c>
      <c r="F16" s="14" t="s">
        <v>14</v>
      </c>
      <c r="G16" s="34" t="s">
        <v>43</v>
      </c>
      <c r="H16" s="33" t="s">
        <v>43</v>
      </c>
      <c r="I16" s="33" t="s">
        <v>29</v>
      </c>
      <c r="J16" s="35"/>
      <c r="K16" s="16" t="str">
        <f>"175,0"</f>
        <v>175,0</v>
      </c>
      <c r="L16" s="16" t="str">
        <f>"125,2825"</f>
        <v>125,2825</v>
      </c>
      <c r="M16" s="14" t="s">
        <v>261</v>
      </c>
    </row>
    <row r="18" spans="1:13" ht="16">
      <c r="A18" s="67" t="s">
        <v>10</v>
      </c>
      <c r="B18" s="67"/>
      <c r="C18" s="68"/>
      <c r="D18" s="68"/>
      <c r="E18" s="68"/>
      <c r="F18" s="68"/>
      <c r="G18" s="68"/>
      <c r="H18" s="68"/>
      <c r="I18" s="68"/>
      <c r="J18" s="68"/>
    </row>
    <row r="19" spans="1:13">
      <c r="A19" s="29" t="s">
        <v>57</v>
      </c>
      <c r="B19" s="7" t="s">
        <v>151</v>
      </c>
      <c r="C19" s="7" t="s">
        <v>152</v>
      </c>
      <c r="D19" s="7" t="s">
        <v>153</v>
      </c>
      <c r="E19" s="8" t="s">
        <v>311</v>
      </c>
      <c r="F19" s="7" t="s">
        <v>130</v>
      </c>
      <c r="G19" s="27" t="s">
        <v>41</v>
      </c>
      <c r="H19" s="27" t="s">
        <v>73</v>
      </c>
      <c r="I19" s="27" t="s">
        <v>140</v>
      </c>
      <c r="J19" s="29"/>
      <c r="K19" s="9" t="str">
        <f>"170,0"</f>
        <v>170,0</v>
      </c>
      <c r="L19" s="9" t="str">
        <f>"113,8830"</f>
        <v>113,8830</v>
      </c>
      <c r="M19" s="7"/>
    </row>
  </sheetData>
  <mergeCells count="16">
    <mergeCell ref="A8:J8"/>
    <mergeCell ref="A11:J11"/>
    <mergeCell ref="A14:J14"/>
    <mergeCell ref="A18:J1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C7325-4569-45A9-BEAB-00E08504654F}">
  <dimension ref="A1:M37"/>
  <sheetViews>
    <sheetView workbookViewId="0">
      <selection activeCell="E27" sqref="E27"/>
    </sheetView>
  </sheetViews>
  <sheetFormatPr baseColWidth="10" defaultColWidth="9.1640625" defaultRowHeight="13"/>
  <cols>
    <col min="1" max="1" width="7.5" style="5" bestFit="1" customWidth="1"/>
    <col min="2" max="2" width="22.33203125" style="5" bestFit="1" customWidth="1"/>
    <col min="3" max="3" width="26.33203125" style="5" bestFit="1" customWidth="1"/>
    <col min="4" max="4" width="21.5" style="5" bestFit="1" customWidth="1"/>
    <col min="5" max="5" width="10.5" style="17" bestFit="1" customWidth="1"/>
    <col min="6" max="6" width="33.33203125" style="5" bestFit="1" customWidth="1"/>
    <col min="7" max="9" width="5.5" style="25" customWidth="1"/>
    <col min="10" max="10" width="4.83203125" style="25" customWidth="1"/>
    <col min="11" max="11" width="10.5" style="6" bestFit="1" customWidth="1"/>
    <col min="12" max="12" width="8.5" style="6" bestFit="1" customWidth="1"/>
    <col min="13" max="13" width="24.1640625" style="5" bestFit="1" customWidth="1"/>
    <col min="14" max="16384" width="9.1640625" style="3"/>
  </cols>
  <sheetData>
    <row r="1" spans="1:13" s="2" customFormat="1" ht="29" customHeight="1">
      <c r="A1" s="54" t="s">
        <v>295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58</v>
      </c>
      <c r="B3" s="69" t="s">
        <v>0</v>
      </c>
      <c r="C3" s="64" t="s">
        <v>309</v>
      </c>
      <c r="D3" s="64" t="s">
        <v>6</v>
      </c>
      <c r="E3" s="48" t="s">
        <v>310</v>
      </c>
      <c r="F3" s="66" t="s">
        <v>5</v>
      </c>
      <c r="G3" s="66" t="s">
        <v>9</v>
      </c>
      <c r="H3" s="66"/>
      <c r="I3" s="66"/>
      <c r="J3" s="66"/>
      <c r="K3" s="48" t="s">
        <v>158</v>
      </c>
      <c r="L3" s="48" t="s">
        <v>3</v>
      </c>
      <c r="M3" s="50" t="s">
        <v>2</v>
      </c>
    </row>
    <row r="4" spans="1:13" s="1" customFormat="1" ht="21" customHeight="1" thickBot="1">
      <c r="A4" s="63"/>
      <c r="B4" s="70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1"/>
    </row>
    <row r="5" spans="1:13" ht="16">
      <c r="A5" s="52" t="s">
        <v>226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29" t="s">
        <v>57</v>
      </c>
      <c r="B6" s="7" t="s">
        <v>227</v>
      </c>
      <c r="C6" s="7" t="s">
        <v>228</v>
      </c>
      <c r="D6" s="7" t="s">
        <v>229</v>
      </c>
      <c r="E6" s="8" t="s">
        <v>312</v>
      </c>
      <c r="F6" s="7" t="s">
        <v>130</v>
      </c>
      <c r="G6" s="27" t="s">
        <v>81</v>
      </c>
      <c r="H6" s="27" t="s">
        <v>82</v>
      </c>
      <c r="I6" s="27" t="s">
        <v>19</v>
      </c>
      <c r="J6" s="29"/>
      <c r="K6" s="9" t="str">
        <f>"100,0"</f>
        <v>100,0</v>
      </c>
      <c r="L6" s="9" t="str">
        <f>"120,5400"</f>
        <v>120,5400</v>
      </c>
      <c r="M6" s="7" t="s">
        <v>230</v>
      </c>
    </row>
    <row r="8" spans="1:13" ht="16">
      <c r="A8" s="67" t="s">
        <v>77</v>
      </c>
      <c r="B8" s="67"/>
      <c r="C8" s="68"/>
      <c r="D8" s="68"/>
      <c r="E8" s="68"/>
      <c r="F8" s="68"/>
      <c r="G8" s="68"/>
      <c r="H8" s="68"/>
      <c r="I8" s="68"/>
      <c r="J8" s="68"/>
    </row>
    <row r="9" spans="1:13">
      <c r="A9" s="29" t="s">
        <v>57</v>
      </c>
      <c r="B9" s="7" t="s">
        <v>231</v>
      </c>
      <c r="C9" s="7" t="s">
        <v>232</v>
      </c>
      <c r="D9" s="7" t="s">
        <v>233</v>
      </c>
      <c r="E9" s="8" t="s">
        <v>311</v>
      </c>
      <c r="F9" s="7" t="s">
        <v>111</v>
      </c>
      <c r="G9" s="27" t="s">
        <v>234</v>
      </c>
      <c r="H9" s="28" t="s">
        <v>235</v>
      </c>
      <c r="I9" s="28" t="s">
        <v>235</v>
      </c>
      <c r="J9" s="29"/>
      <c r="K9" s="9" t="str">
        <f>"237,5"</f>
        <v>237,5</v>
      </c>
      <c r="L9" s="9" t="str">
        <f>"227,9050"</f>
        <v>227,9050</v>
      </c>
      <c r="M9" s="7" t="s">
        <v>278</v>
      </c>
    </row>
    <row r="11" spans="1:13" ht="16">
      <c r="A11" s="67" t="s">
        <v>77</v>
      </c>
      <c r="B11" s="67"/>
      <c r="C11" s="68"/>
      <c r="D11" s="68"/>
      <c r="E11" s="68"/>
      <c r="F11" s="68"/>
      <c r="G11" s="68"/>
      <c r="H11" s="68"/>
      <c r="I11" s="68"/>
      <c r="J11" s="68"/>
    </row>
    <row r="12" spans="1:13">
      <c r="A12" s="29" t="s">
        <v>57</v>
      </c>
      <c r="B12" s="7" t="s">
        <v>236</v>
      </c>
      <c r="C12" s="7" t="s">
        <v>237</v>
      </c>
      <c r="D12" s="7" t="s">
        <v>144</v>
      </c>
      <c r="E12" s="8" t="s">
        <v>311</v>
      </c>
      <c r="F12" s="7" t="s">
        <v>130</v>
      </c>
      <c r="G12" s="27" t="s">
        <v>39</v>
      </c>
      <c r="H12" s="28" t="s">
        <v>40</v>
      </c>
      <c r="I12" s="29"/>
      <c r="J12" s="29"/>
      <c r="K12" s="9" t="str">
        <f>"200,0"</f>
        <v>200,0</v>
      </c>
      <c r="L12" s="9" t="str">
        <f>"142,5200"</f>
        <v>142,5200</v>
      </c>
      <c r="M12" s="7"/>
    </row>
    <row r="14" spans="1:13" ht="16">
      <c r="A14" s="67" t="s">
        <v>10</v>
      </c>
      <c r="B14" s="67"/>
      <c r="C14" s="68"/>
      <c r="D14" s="68"/>
      <c r="E14" s="68"/>
      <c r="F14" s="68"/>
      <c r="G14" s="68"/>
      <c r="H14" s="68"/>
      <c r="I14" s="68"/>
      <c r="J14" s="68"/>
    </row>
    <row r="15" spans="1:13">
      <c r="A15" s="29" t="s">
        <v>57</v>
      </c>
      <c r="B15" s="7" t="s">
        <v>238</v>
      </c>
      <c r="C15" s="7" t="s">
        <v>239</v>
      </c>
      <c r="D15" s="7" t="s">
        <v>240</v>
      </c>
      <c r="E15" s="8" t="s">
        <v>311</v>
      </c>
      <c r="F15" s="7" t="s">
        <v>130</v>
      </c>
      <c r="G15" s="27" t="s">
        <v>15</v>
      </c>
      <c r="H15" s="27" t="s">
        <v>16</v>
      </c>
      <c r="I15" s="28" t="s">
        <v>45</v>
      </c>
      <c r="J15" s="29"/>
      <c r="K15" s="9" t="str">
        <f>"245,0"</f>
        <v>245,0</v>
      </c>
      <c r="L15" s="9" t="str">
        <f>"171,0345"</f>
        <v>171,0345</v>
      </c>
      <c r="M15" s="7"/>
    </row>
    <row r="17" spans="1:13" ht="16">
      <c r="A17" s="67" t="s">
        <v>95</v>
      </c>
      <c r="B17" s="67"/>
      <c r="C17" s="68"/>
      <c r="D17" s="68"/>
      <c r="E17" s="68"/>
      <c r="F17" s="68"/>
      <c r="G17" s="68"/>
      <c r="H17" s="68"/>
      <c r="I17" s="68"/>
      <c r="J17" s="68"/>
    </row>
    <row r="18" spans="1:13">
      <c r="A18" s="29" t="s">
        <v>57</v>
      </c>
      <c r="B18" s="7" t="s">
        <v>279</v>
      </c>
      <c r="C18" s="7" t="s">
        <v>241</v>
      </c>
      <c r="D18" s="7" t="s">
        <v>195</v>
      </c>
      <c r="E18" s="8" t="s">
        <v>311</v>
      </c>
      <c r="F18" s="7" t="s">
        <v>130</v>
      </c>
      <c r="G18" s="27" t="s">
        <v>44</v>
      </c>
      <c r="H18" s="27" t="s">
        <v>242</v>
      </c>
      <c r="I18" s="28" t="s">
        <v>243</v>
      </c>
      <c r="J18" s="29"/>
      <c r="K18" s="9" t="str">
        <f>"255,0"</f>
        <v>255,0</v>
      </c>
      <c r="L18" s="9" t="str">
        <f>"162,7920"</f>
        <v>162,7920</v>
      </c>
      <c r="M18" s="7" t="s">
        <v>308</v>
      </c>
    </row>
    <row r="20" spans="1:13" ht="16">
      <c r="A20" s="67" t="s">
        <v>22</v>
      </c>
      <c r="B20" s="67"/>
      <c r="C20" s="68"/>
      <c r="D20" s="68"/>
      <c r="E20" s="68"/>
      <c r="F20" s="68"/>
      <c r="G20" s="68"/>
      <c r="H20" s="68"/>
      <c r="I20" s="68"/>
      <c r="J20" s="68"/>
    </row>
    <row r="21" spans="1:13">
      <c r="A21" s="32" t="s">
        <v>57</v>
      </c>
      <c r="B21" s="11" t="s">
        <v>23</v>
      </c>
      <c r="C21" s="11" t="s">
        <v>24</v>
      </c>
      <c r="D21" s="11" t="s">
        <v>25</v>
      </c>
      <c r="E21" s="12" t="s">
        <v>311</v>
      </c>
      <c r="F21" s="11" t="s">
        <v>14</v>
      </c>
      <c r="G21" s="30" t="s">
        <v>19</v>
      </c>
      <c r="H21" s="30" t="s">
        <v>33</v>
      </c>
      <c r="I21" s="44" t="s">
        <v>34</v>
      </c>
      <c r="J21" s="31" t="s">
        <v>28</v>
      </c>
      <c r="K21" s="46" t="str">
        <f>"345,0"</f>
        <v>345,0</v>
      </c>
      <c r="L21" s="13" t="str">
        <f>"209,9670"</f>
        <v>209,9670</v>
      </c>
      <c r="M21" s="11" t="s">
        <v>308</v>
      </c>
    </row>
    <row r="22" spans="1:13">
      <c r="A22" s="35" t="s">
        <v>125</v>
      </c>
      <c r="B22" s="14" t="s">
        <v>244</v>
      </c>
      <c r="C22" s="14" t="s">
        <v>245</v>
      </c>
      <c r="D22" s="14" t="s">
        <v>246</v>
      </c>
      <c r="E22" s="15" t="s">
        <v>311</v>
      </c>
      <c r="F22" s="14" t="s">
        <v>14</v>
      </c>
      <c r="G22" s="33" t="s">
        <v>106</v>
      </c>
      <c r="H22" s="34" t="s">
        <v>45</v>
      </c>
      <c r="I22" s="45" t="s">
        <v>45</v>
      </c>
      <c r="J22" s="35"/>
      <c r="K22" s="47" t="str">
        <f>"250,0"</f>
        <v>250,0</v>
      </c>
      <c r="L22" s="16" t="str">
        <f>"153,2250"</f>
        <v>153,2250</v>
      </c>
      <c r="M22" s="14"/>
    </row>
    <row r="24" spans="1:13" ht="16">
      <c r="A24" s="67" t="s">
        <v>117</v>
      </c>
      <c r="B24" s="67"/>
      <c r="C24" s="68"/>
      <c r="D24" s="68"/>
      <c r="E24" s="68"/>
      <c r="F24" s="68"/>
      <c r="G24" s="68"/>
      <c r="H24" s="68"/>
      <c r="I24" s="68"/>
      <c r="J24" s="68"/>
    </row>
    <row r="25" spans="1:13">
      <c r="A25" s="32" t="s">
        <v>57</v>
      </c>
      <c r="B25" s="11" t="s">
        <v>177</v>
      </c>
      <c r="C25" s="11" t="s">
        <v>178</v>
      </c>
      <c r="D25" s="11" t="s">
        <v>179</v>
      </c>
      <c r="E25" s="12" t="s">
        <v>311</v>
      </c>
      <c r="F25" s="11" t="s">
        <v>14</v>
      </c>
      <c r="G25" s="30" t="s">
        <v>249</v>
      </c>
      <c r="H25" s="30" t="s">
        <v>250</v>
      </c>
      <c r="I25" s="32"/>
      <c r="J25" s="32"/>
      <c r="K25" s="13" t="str">
        <f>"370,0"</f>
        <v>370,0</v>
      </c>
      <c r="L25" s="13" t="str">
        <f>"212,3430"</f>
        <v>212,3430</v>
      </c>
      <c r="M25" s="11"/>
    </row>
    <row r="26" spans="1:13">
      <c r="A26" s="35" t="s">
        <v>125</v>
      </c>
      <c r="B26" s="14" t="s">
        <v>118</v>
      </c>
      <c r="C26" s="14" t="s">
        <v>119</v>
      </c>
      <c r="D26" s="14" t="s">
        <v>120</v>
      </c>
      <c r="E26" s="15" t="s">
        <v>311</v>
      </c>
      <c r="F26" s="14" t="s">
        <v>14</v>
      </c>
      <c r="G26" s="33" t="s">
        <v>121</v>
      </c>
      <c r="H26" s="33" t="s">
        <v>101</v>
      </c>
      <c r="I26" s="33" t="s">
        <v>26</v>
      </c>
      <c r="J26" s="35"/>
      <c r="K26" s="16" t="str">
        <f>"300,0"</f>
        <v>300,0</v>
      </c>
      <c r="L26" s="16" t="str">
        <f>"174,9000"</f>
        <v>174,9000</v>
      </c>
      <c r="M26" s="14" t="s">
        <v>238</v>
      </c>
    </row>
    <row r="28" spans="1:13" ht="16">
      <c r="F28" s="18"/>
      <c r="G28" s="5"/>
      <c r="K28" s="25"/>
      <c r="M28" s="6"/>
    </row>
    <row r="29" spans="1:13">
      <c r="G29" s="5"/>
      <c r="K29" s="25"/>
      <c r="M29" s="6"/>
    </row>
    <row r="30" spans="1:13" ht="18">
      <c r="B30" s="19" t="s">
        <v>47</v>
      </c>
      <c r="C30" s="19"/>
      <c r="K30" s="25"/>
      <c r="M30" s="6"/>
    </row>
    <row r="31" spans="1:13" ht="16">
      <c r="B31" s="10" t="s">
        <v>53</v>
      </c>
      <c r="C31" s="10"/>
      <c r="G31" s="3"/>
      <c r="K31" s="25"/>
      <c r="M31" s="6"/>
    </row>
    <row r="32" spans="1:13" ht="14">
      <c r="B32" s="20"/>
      <c r="C32" s="21" t="s">
        <v>54</v>
      </c>
      <c r="G32" s="3"/>
      <c r="K32" s="25"/>
      <c r="M32" s="6"/>
    </row>
    <row r="33" spans="2:13" ht="14">
      <c r="B33" s="22" t="s">
        <v>48</v>
      </c>
      <c r="C33" s="22" t="s">
        <v>49</v>
      </c>
      <c r="D33" s="22" t="s">
        <v>286</v>
      </c>
      <c r="E33" s="23" t="s">
        <v>185</v>
      </c>
      <c r="F33" s="22" t="s">
        <v>51</v>
      </c>
      <c r="G33" s="3"/>
      <c r="K33" s="25"/>
      <c r="M33" s="6"/>
    </row>
    <row r="34" spans="2:13">
      <c r="B34" s="5" t="s">
        <v>177</v>
      </c>
      <c r="C34" s="5" t="s">
        <v>54</v>
      </c>
      <c r="D34" s="25" t="s">
        <v>124</v>
      </c>
      <c r="E34" s="26">
        <v>370</v>
      </c>
      <c r="F34" s="24">
        <v>212.34299421310399</v>
      </c>
      <c r="G34" s="3"/>
      <c r="K34" s="25"/>
      <c r="M34" s="6"/>
    </row>
    <row r="35" spans="2:13">
      <c r="B35" s="5" t="s">
        <v>23</v>
      </c>
      <c r="C35" s="5" t="s">
        <v>54</v>
      </c>
      <c r="D35" s="25" t="s">
        <v>55</v>
      </c>
      <c r="E35" s="26">
        <v>345</v>
      </c>
      <c r="F35" s="24">
        <v>209.96700704097699</v>
      </c>
      <c r="G35" s="3"/>
      <c r="K35" s="25"/>
      <c r="M35" s="6"/>
    </row>
    <row r="36" spans="2:13">
      <c r="B36" s="5" t="s">
        <v>118</v>
      </c>
      <c r="C36" s="5" t="s">
        <v>54</v>
      </c>
      <c r="D36" s="25" t="s">
        <v>124</v>
      </c>
      <c r="E36" s="26">
        <v>300</v>
      </c>
      <c r="F36" s="24">
        <v>174.90000128745999</v>
      </c>
      <c r="G36" s="3"/>
      <c r="K36" s="25"/>
      <c r="M36" s="6"/>
    </row>
    <row r="37" spans="2:13">
      <c r="E37" s="5"/>
      <c r="F37" s="17"/>
      <c r="G37" s="5"/>
      <c r="K37" s="25"/>
      <c r="M37" s="6"/>
    </row>
  </sheetData>
  <mergeCells count="18">
    <mergeCell ref="A24:J24"/>
    <mergeCell ref="K3:K4"/>
    <mergeCell ref="L3:L4"/>
    <mergeCell ref="M3:M4"/>
    <mergeCell ref="A5:J5"/>
    <mergeCell ref="B3:B4"/>
    <mergeCell ref="A8:J8"/>
    <mergeCell ref="A11:J11"/>
    <mergeCell ref="A14:J14"/>
    <mergeCell ref="A17:J17"/>
    <mergeCell ref="A20:J20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8DDDB-A880-4C6B-98BA-FCBD14C850C2}">
  <dimension ref="A1:M8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1.1640625" style="5" bestFit="1" customWidth="1"/>
    <col min="3" max="3" width="26.33203125" style="5" bestFit="1" customWidth="1"/>
    <col min="4" max="4" width="21.5" style="5" bestFit="1" customWidth="1"/>
    <col min="5" max="5" width="10.5" style="17" bestFit="1" customWidth="1"/>
    <col min="6" max="6" width="31.33203125" style="5" bestFit="1" customWidth="1"/>
    <col min="7" max="9" width="5.5" style="25" customWidth="1"/>
    <col min="10" max="10" width="4.83203125" style="25" customWidth="1"/>
    <col min="11" max="11" width="10.5" style="6" bestFit="1" customWidth="1"/>
    <col min="12" max="12" width="8.5" style="6" bestFit="1" customWidth="1"/>
    <col min="13" max="13" width="17.5" style="5" customWidth="1"/>
    <col min="14" max="16384" width="9.1640625" style="3"/>
  </cols>
  <sheetData>
    <row r="1" spans="1:13" s="2" customFormat="1" ht="29" customHeight="1">
      <c r="A1" s="54" t="s">
        <v>296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58</v>
      </c>
      <c r="B3" s="69" t="s">
        <v>0</v>
      </c>
      <c r="C3" s="64" t="s">
        <v>309</v>
      </c>
      <c r="D3" s="64" t="s">
        <v>6</v>
      </c>
      <c r="E3" s="48" t="s">
        <v>310</v>
      </c>
      <c r="F3" s="66" t="s">
        <v>5</v>
      </c>
      <c r="G3" s="66" t="s">
        <v>9</v>
      </c>
      <c r="H3" s="66"/>
      <c r="I3" s="66"/>
      <c r="J3" s="66"/>
      <c r="K3" s="48" t="s">
        <v>158</v>
      </c>
      <c r="L3" s="48" t="s">
        <v>3</v>
      </c>
      <c r="M3" s="50" t="s">
        <v>2</v>
      </c>
    </row>
    <row r="4" spans="1:13" s="1" customFormat="1" ht="21" customHeight="1" thickBot="1">
      <c r="A4" s="63"/>
      <c r="B4" s="70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1"/>
    </row>
    <row r="5" spans="1:13" ht="16">
      <c r="A5" s="52" t="s">
        <v>77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29" t="s">
        <v>57</v>
      </c>
      <c r="B6" s="7" t="s">
        <v>231</v>
      </c>
      <c r="C6" s="7" t="s">
        <v>232</v>
      </c>
      <c r="D6" s="7" t="s">
        <v>233</v>
      </c>
      <c r="E6" s="8" t="s">
        <v>311</v>
      </c>
      <c r="F6" s="7" t="s">
        <v>111</v>
      </c>
      <c r="G6" s="27" t="s">
        <v>234</v>
      </c>
      <c r="H6" s="28" t="s">
        <v>235</v>
      </c>
      <c r="I6" s="28" t="s">
        <v>235</v>
      </c>
      <c r="J6" s="29"/>
      <c r="K6" s="9" t="str">
        <f>"237,5"</f>
        <v>237,5</v>
      </c>
      <c r="L6" s="9" t="str">
        <f>"227,9050"</f>
        <v>227,9050</v>
      </c>
      <c r="M6" s="7" t="s">
        <v>278</v>
      </c>
    </row>
    <row r="8" spans="1:13">
      <c r="E8" s="5"/>
      <c r="F8" s="17"/>
      <c r="G8" s="5"/>
      <c r="K8" s="25"/>
      <c r="M8" s="6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C8853-BF0C-4118-B170-36CE3A2D9B8D}">
  <dimension ref="A1:M10"/>
  <sheetViews>
    <sheetView workbookViewId="0">
      <selection activeCell="E11" sqref="E11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8.5" style="5" bestFit="1" customWidth="1"/>
    <col min="4" max="4" width="21.5" style="5" bestFit="1" customWidth="1"/>
    <col min="5" max="5" width="10.5" style="17" bestFit="1" customWidth="1"/>
    <col min="6" max="6" width="36.1640625" style="5" bestFit="1" customWidth="1"/>
    <col min="7" max="9" width="5.5" style="25" customWidth="1"/>
    <col min="10" max="10" width="4.83203125" style="25" customWidth="1"/>
    <col min="11" max="11" width="10.5" style="6" bestFit="1" customWidth="1"/>
    <col min="12" max="12" width="7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54" t="s">
        <v>297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58</v>
      </c>
      <c r="B3" s="69" t="s">
        <v>0</v>
      </c>
      <c r="C3" s="64" t="s">
        <v>309</v>
      </c>
      <c r="D3" s="64" t="s">
        <v>6</v>
      </c>
      <c r="E3" s="48" t="s">
        <v>310</v>
      </c>
      <c r="F3" s="66" t="s">
        <v>5</v>
      </c>
      <c r="G3" s="66" t="s">
        <v>307</v>
      </c>
      <c r="H3" s="66"/>
      <c r="I3" s="66"/>
      <c r="J3" s="66"/>
      <c r="K3" s="48" t="s">
        <v>158</v>
      </c>
      <c r="L3" s="48" t="s">
        <v>3</v>
      </c>
      <c r="M3" s="50" t="s">
        <v>2</v>
      </c>
    </row>
    <row r="4" spans="1:13" s="1" customFormat="1" ht="21" customHeight="1" thickBot="1">
      <c r="A4" s="63"/>
      <c r="B4" s="70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1"/>
    </row>
    <row r="5" spans="1:13" ht="16">
      <c r="A5" s="52" t="s">
        <v>95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29" t="s">
        <v>57</v>
      </c>
      <c r="B6" s="7" t="s">
        <v>268</v>
      </c>
      <c r="C6" s="7" t="s">
        <v>303</v>
      </c>
      <c r="D6" s="7" t="s">
        <v>199</v>
      </c>
      <c r="E6" s="8" t="s">
        <v>314</v>
      </c>
      <c r="F6" s="7" t="s">
        <v>14</v>
      </c>
      <c r="G6" s="27" t="s">
        <v>133</v>
      </c>
      <c r="H6" s="28" t="s">
        <v>267</v>
      </c>
      <c r="I6" s="28" t="s">
        <v>267</v>
      </c>
      <c r="J6" s="29"/>
      <c r="K6" s="9" t="str">
        <f>"50,0"</f>
        <v>50,0</v>
      </c>
      <c r="L6" s="9" t="str">
        <f>"35,1986"</f>
        <v>35,1986</v>
      </c>
      <c r="M6" s="7"/>
    </row>
    <row r="8" spans="1:13" ht="16">
      <c r="A8" s="67" t="s">
        <v>22</v>
      </c>
      <c r="B8" s="67"/>
      <c r="C8" s="68"/>
      <c r="D8" s="68"/>
      <c r="E8" s="68"/>
      <c r="F8" s="68"/>
      <c r="G8" s="68"/>
      <c r="H8" s="68"/>
      <c r="I8" s="68"/>
      <c r="J8" s="68"/>
    </row>
    <row r="9" spans="1:13">
      <c r="A9" s="32" t="s">
        <v>57</v>
      </c>
      <c r="B9" s="11" t="s">
        <v>212</v>
      </c>
      <c r="C9" s="11" t="s">
        <v>269</v>
      </c>
      <c r="D9" s="11" t="s">
        <v>270</v>
      </c>
      <c r="E9" s="12" t="s">
        <v>311</v>
      </c>
      <c r="F9" s="11" t="s">
        <v>271</v>
      </c>
      <c r="G9" s="30" t="s">
        <v>64</v>
      </c>
      <c r="H9" s="31" t="s">
        <v>92</v>
      </c>
      <c r="I9" s="31" t="s">
        <v>92</v>
      </c>
      <c r="J9" s="32"/>
      <c r="K9" s="13" t="str">
        <f>"60,0"</f>
        <v>60,0</v>
      </c>
      <c r="L9" s="13" t="str">
        <f>"35,0880"</f>
        <v>35,0880</v>
      </c>
      <c r="M9" s="11"/>
    </row>
    <row r="10" spans="1:13">
      <c r="A10" s="35" t="s">
        <v>57</v>
      </c>
      <c r="B10" s="14" t="s">
        <v>272</v>
      </c>
      <c r="C10" s="14" t="s">
        <v>304</v>
      </c>
      <c r="D10" s="14" t="s">
        <v>115</v>
      </c>
      <c r="E10" s="15" t="s">
        <v>315</v>
      </c>
      <c r="F10" s="14" t="s">
        <v>273</v>
      </c>
      <c r="G10" s="33" t="s">
        <v>64</v>
      </c>
      <c r="H10" s="33" t="s">
        <v>66</v>
      </c>
      <c r="I10" s="34" t="s">
        <v>274</v>
      </c>
      <c r="J10" s="35"/>
      <c r="K10" s="16" t="str">
        <f>"65,0"</f>
        <v>65,0</v>
      </c>
      <c r="L10" s="16" t="str">
        <f>"42,1446"</f>
        <v>42,1446</v>
      </c>
      <c r="M10" s="14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05B23-AED3-4E96-9320-0F8FF51A1925}">
  <dimension ref="A1:M9"/>
  <sheetViews>
    <sheetView tabSelected="1"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8.5" style="5" bestFit="1" customWidth="1"/>
    <col min="4" max="4" width="21.5" style="5" bestFit="1" customWidth="1"/>
    <col min="5" max="5" width="10.5" style="17" bestFit="1" customWidth="1"/>
    <col min="6" max="6" width="31.5" style="5" bestFit="1" customWidth="1"/>
    <col min="7" max="9" width="5.5" style="25" customWidth="1"/>
    <col min="10" max="10" width="4.83203125" style="25" customWidth="1"/>
    <col min="11" max="11" width="10.5" style="6" bestFit="1" customWidth="1"/>
    <col min="12" max="12" width="7.5" style="6" bestFit="1" customWidth="1"/>
    <col min="13" max="13" width="30" style="5" bestFit="1" customWidth="1"/>
    <col min="14" max="16384" width="9.1640625" style="3"/>
  </cols>
  <sheetData>
    <row r="1" spans="1:13" s="2" customFormat="1" ht="29" customHeight="1">
      <c r="A1" s="54" t="s">
        <v>298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58</v>
      </c>
      <c r="B3" s="69" t="s">
        <v>0</v>
      </c>
      <c r="C3" s="64" t="s">
        <v>309</v>
      </c>
      <c r="D3" s="64" t="s">
        <v>6</v>
      </c>
      <c r="E3" s="48" t="s">
        <v>310</v>
      </c>
      <c r="F3" s="66" t="s">
        <v>5</v>
      </c>
      <c r="G3" s="66" t="s">
        <v>307</v>
      </c>
      <c r="H3" s="66"/>
      <c r="I3" s="66"/>
      <c r="J3" s="66"/>
      <c r="K3" s="48" t="s">
        <v>158</v>
      </c>
      <c r="L3" s="48" t="s">
        <v>3</v>
      </c>
      <c r="M3" s="50" t="s">
        <v>2</v>
      </c>
    </row>
    <row r="4" spans="1:13" s="1" customFormat="1" ht="21" customHeight="1" thickBot="1">
      <c r="A4" s="63"/>
      <c r="B4" s="70"/>
      <c r="C4" s="65"/>
      <c r="D4" s="65"/>
      <c r="E4" s="49"/>
      <c r="F4" s="65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1"/>
    </row>
    <row r="5" spans="1:13" ht="16">
      <c r="A5" s="52" t="s">
        <v>59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29" t="s">
        <v>57</v>
      </c>
      <c r="B6" s="7" t="s">
        <v>262</v>
      </c>
      <c r="C6" s="7" t="s">
        <v>305</v>
      </c>
      <c r="D6" s="7" t="s">
        <v>263</v>
      </c>
      <c r="E6" s="8" t="s">
        <v>316</v>
      </c>
      <c r="F6" s="7" t="s">
        <v>130</v>
      </c>
      <c r="G6" s="28" t="s">
        <v>264</v>
      </c>
      <c r="H6" s="27" t="s">
        <v>264</v>
      </c>
      <c r="I6" s="28" t="s">
        <v>132</v>
      </c>
      <c r="J6" s="29"/>
      <c r="K6" s="9" t="str">
        <f>"40,0"</f>
        <v>40,0</v>
      </c>
      <c r="L6" s="9" t="str">
        <f>"33,8660"</f>
        <v>33,8660</v>
      </c>
      <c r="M6" s="7" t="s">
        <v>277</v>
      </c>
    </row>
    <row r="8" spans="1:13" ht="16">
      <c r="A8" s="67" t="s">
        <v>134</v>
      </c>
      <c r="B8" s="67"/>
      <c r="C8" s="68"/>
      <c r="D8" s="68"/>
      <c r="E8" s="68"/>
      <c r="F8" s="68"/>
      <c r="G8" s="68"/>
      <c r="H8" s="68"/>
      <c r="I8" s="68"/>
      <c r="J8" s="68"/>
    </row>
    <row r="9" spans="1:13">
      <c r="A9" s="29" t="s">
        <v>57</v>
      </c>
      <c r="B9" s="7" t="s">
        <v>265</v>
      </c>
      <c r="C9" s="7" t="s">
        <v>306</v>
      </c>
      <c r="D9" s="7" t="s">
        <v>266</v>
      </c>
      <c r="E9" s="8" t="s">
        <v>312</v>
      </c>
      <c r="F9" s="7" t="s">
        <v>130</v>
      </c>
      <c r="G9" s="27" t="s">
        <v>267</v>
      </c>
      <c r="H9" s="27" t="s">
        <v>64</v>
      </c>
      <c r="I9" s="28" t="s">
        <v>66</v>
      </c>
      <c r="J9" s="29"/>
      <c r="K9" s="9" t="str">
        <f>"60,0"</f>
        <v>60,0</v>
      </c>
      <c r="L9" s="9" t="str">
        <f>"48,2910"</f>
        <v>48,2910</v>
      </c>
      <c r="M9" s="7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WRPF ПЛ без экипировки ДК</vt:lpstr>
      <vt:lpstr>WRPF ПЛ без экипировки</vt:lpstr>
      <vt:lpstr>WRPF ПЛ в бинтах</vt:lpstr>
      <vt:lpstr>WRPF Двоеборье без экип</vt:lpstr>
      <vt:lpstr>WRPF Жим лежа без экип ДК</vt:lpstr>
      <vt:lpstr>WRPF Жим лежа без экип</vt:lpstr>
      <vt:lpstr>WEPF Жим софт многопетельная</vt:lpstr>
      <vt:lpstr>WRPF Тяга без экипировки ДК</vt:lpstr>
      <vt:lpstr>WRPF Тяга без экипировки</vt:lpstr>
      <vt:lpstr>WEPF Тяга экип</vt:lpstr>
      <vt:lpstr>WRPF Подъем на бицепс ДК</vt:lpstr>
      <vt:lpstr>WRPF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2022-11-16T19:17:00Z</dcterms:modified>
</cp:coreProperties>
</file>