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6F14066E-BCDA-394A-8448-01EED4C8325C}" xr6:coauthVersionLast="45" xr6:coauthVersionMax="45" xr10:uidLastSave="{00000000-0000-0000-0000-000000000000}"/>
  <bookViews>
    <workbookView xWindow="480" yWindow="460" windowWidth="27880" windowHeight="15940" firstSheet="3" activeTab="8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" sheetId="5" r:id="rId3"/>
    <sheet name="WRPF Жим лежа без экип ДК" sheetId="10" r:id="rId4"/>
    <sheet name="WRPF Жим лежа без экип" sheetId="9" r:id="rId5"/>
    <sheet name="WRPF Тяга без экипировки ДК" sheetId="12" r:id="rId6"/>
    <sheet name="WRPF Тяга без экипировки" sheetId="11" r:id="rId7"/>
    <sheet name="WRPF Подъем на бицепс ДК" sheetId="14" r:id="rId8"/>
    <sheet name="WRPF Подъем на бицепс" sheetId="13" r:id="rId9"/>
  </sheets>
  <definedNames>
    <definedName name="_FilterDatabase" localSheetId="2" hidden="1">'WRPF ПЛ в бинтах'!$A$1:$S$3</definedName>
  </definedNames>
  <calcPr calcId="145621" refMode="R1C1" calcCompleted="0"/>
</workbook>
</file>

<file path=xl/calcChain.xml><?xml version="1.0" encoding="utf-8"?>
<calcChain xmlns="http://schemas.openxmlformats.org/spreadsheetml/2006/main">
  <c r="L16" i="14" l="1"/>
  <c r="K16" i="14"/>
  <c r="L15" i="14"/>
  <c r="K15" i="14"/>
  <c r="L12" i="14"/>
  <c r="K12" i="14"/>
  <c r="L11" i="14"/>
  <c r="K11" i="14"/>
  <c r="L10" i="14"/>
  <c r="K10" i="14"/>
  <c r="L9" i="14"/>
  <c r="K9" i="14"/>
  <c r="L6" i="14"/>
  <c r="K6" i="14"/>
  <c r="L24" i="13"/>
  <c r="K24" i="13"/>
  <c r="L21" i="13"/>
  <c r="K21" i="13"/>
  <c r="L18" i="13"/>
  <c r="K18" i="13"/>
  <c r="L17" i="13"/>
  <c r="K17" i="13"/>
  <c r="L14" i="13"/>
  <c r="K14" i="13"/>
  <c r="L13" i="13"/>
  <c r="K13" i="13"/>
  <c r="L10" i="13"/>
  <c r="K10" i="13"/>
  <c r="L9" i="13"/>
  <c r="K9" i="13"/>
  <c r="L6" i="13"/>
  <c r="K6" i="13"/>
  <c r="L18" i="12"/>
  <c r="K18" i="12"/>
  <c r="L15" i="12"/>
  <c r="K15" i="12"/>
  <c r="L12" i="12"/>
  <c r="K12" i="12"/>
  <c r="L9" i="12"/>
  <c r="K9" i="12"/>
  <c r="L6" i="12"/>
  <c r="K6" i="12"/>
  <c r="L20" i="11"/>
  <c r="K20" i="11"/>
  <c r="L19" i="11"/>
  <c r="K19" i="11"/>
  <c r="L16" i="11"/>
  <c r="K16" i="11"/>
  <c r="L15" i="11"/>
  <c r="K15" i="11"/>
  <c r="L12" i="11"/>
  <c r="K12" i="11"/>
  <c r="L9" i="11"/>
  <c r="K9" i="11"/>
  <c r="L6" i="11"/>
  <c r="K6" i="11"/>
  <c r="L37" i="10"/>
  <c r="K37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18" i="10"/>
  <c r="K18" i="10"/>
  <c r="L17" i="10"/>
  <c r="K17" i="10"/>
  <c r="L16" i="10"/>
  <c r="K16" i="10"/>
  <c r="L15" i="10"/>
  <c r="K15" i="10"/>
  <c r="L12" i="10"/>
  <c r="K12" i="10"/>
  <c r="L9" i="10"/>
  <c r="K9" i="10"/>
  <c r="L6" i="10"/>
  <c r="K6" i="10"/>
  <c r="L37" i="9"/>
  <c r="K37" i="9"/>
  <c r="L36" i="9"/>
  <c r="K36" i="9"/>
  <c r="L35" i="9"/>
  <c r="K35" i="9"/>
  <c r="L32" i="9"/>
  <c r="K32" i="9"/>
  <c r="L31" i="9"/>
  <c r="K31" i="9"/>
  <c r="L28" i="9"/>
  <c r="K28" i="9"/>
  <c r="L27" i="9"/>
  <c r="K27" i="9"/>
  <c r="L26" i="9"/>
  <c r="K26" i="9"/>
  <c r="L25" i="9"/>
  <c r="K25" i="9"/>
  <c r="L22" i="9"/>
  <c r="K22" i="9"/>
  <c r="L21" i="9"/>
  <c r="K21" i="9"/>
  <c r="L18" i="9"/>
  <c r="K18" i="9"/>
  <c r="L15" i="9"/>
  <c r="K15" i="9"/>
  <c r="L12" i="9"/>
  <c r="K12" i="9"/>
  <c r="L9" i="9"/>
  <c r="K9" i="9"/>
  <c r="L6" i="9"/>
  <c r="K6" i="9"/>
  <c r="T27" i="8"/>
  <c r="S27" i="8"/>
  <c r="T24" i="8"/>
  <c r="T23" i="8"/>
  <c r="S23" i="8"/>
  <c r="T20" i="8"/>
  <c r="S20" i="8"/>
  <c r="T19" i="8"/>
  <c r="S19" i="8"/>
  <c r="T16" i="8"/>
  <c r="S16" i="8"/>
  <c r="T13" i="8"/>
  <c r="S13" i="8"/>
  <c r="T12" i="8"/>
  <c r="S12" i="8"/>
  <c r="T9" i="8"/>
  <c r="S9" i="8"/>
  <c r="T6" i="8"/>
  <c r="S6" i="8"/>
  <c r="T29" i="7"/>
  <c r="S29" i="7"/>
  <c r="T26" i="7"/>
  <c r="S26" i="7"/>
  <c r="T23" i="7"/>
  <c r="S23" i="7"/>
  <c r="T20" i="7"/>
  <c r="S20" i="7"/>
  <c r="T19" i="7"/>
  <c r="S19" i="7"/>
  <c r="T16" i="7"/>
  <c r="S16" i="7"/>
  <c r="T15" i="7"/>
  <c r="S15" i="7"/>
  <c r="T12" i="7"/>
  <c r="S12" i="7"/>
  <c r="T9" i="7"/>
  <c r="S9" i="7"/>
  <c r="T6" i="7"/>
  <c r="S6" i="7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<sst xmlns="http://schemas.openxmlformats.org/spreadsheetml/2006/main" count="1200" uniqueCount="378">
  <si>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</si>
  <si>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</si>
  <si>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</si>
  <si>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</si>
  <si>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</si>
  <si>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</si>
  <si>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</si>
  <si>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</si>
  <si>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</si>
  <si>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</si>
  <si>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</si>
  <si>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Лукашова Екатерина</t>
  </si>
  <si>
    <t>Открытая (25.03.1983)/39</t>
  </si>
  <si>
    <t>67,50</t>
  </si>
  <si>
    <t xml:space="preserve">Чита/Забайкальский край </t>
  </si>
  <si>
    <t>110,0</t>
  </si>
  <si>
    <t>115,0</t>
  </si>
  <si>
    <t>125,0</t>
  </si>
  <si>
    <t>60,0</t>
  </si>
  <si>
    <t>70,0</t>
  </si>
  <si>
    <t>120,0</t>
  </si>
  <si>
    <t>130,0</t>
  </si>
  <si>
    <t>ВЕСОВАЯ КАТЕГОРИЯ   75</t>
  </si>
  <si>
    <t>Макарова Елена</t>
  </si>
  <si>
    <t>Открытая (15.10.1984)/38</t>
  </si>
  <si>
    <t>72,70</t>
  </si>
  <si>
    <t>140,0</t>
  </si>
  <si>
    <t>50,0</t>
  </si>
  <si>
    <t>62,5</t>
  </si>
  <si>
    <t>65,0</t>
  </si>
  <si>
    <t>135,0</t>
  </si>
  <si>
    <t>150,0</t>
  </si>
  <si>
    <t>ВЕСОВАЯ КАТЕГОРИЯ   82.5</t>
  </si>
  <si>
    <t>Мик Сергей</t>
  </si>
  <si>
    <t>Открытая (22.01.1987)/35</t>
  </si>
  <si>
    <t>80,30</t>
  </si>
  <si>
    <t>200,0</t>
  </si>
  <si>
    <t>220,0</t>
  </si>
  <si>
    <t>240,0</t>
  </si>
  <si>
    <t>165,0</t>
  </si>
  <si>
    <t>175,0</t>
  </si>
  <si>
    <t>260,0</t>
  </si>
  <si>
    <t>280,0</t>
  </si>
  <si>
    <t>300,0</t>
  </si>
  <si>
    <t>ВЕСОВАЯ КАТЕГОРИЯ   125</t>
  </si>
  <si>
    <t>Белослюдцев Дмитрий</t>
  </si>
  <si>
    <t>Мастера 40-49 (25.12.1972)/49</t>
  </si>
  <si>
    <t>115,00</t>
  </si>
  <si>
    <t>170,0</t>
  </si>
  <si>
    <t>207,5</t>
  </si>
  <si>
    <t>160,0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</si>
  <si>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</si>
  <si>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</si>
  <si>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</si>
  <si>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</si>
  <si>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</si>
  <si>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75</t>
  </si>
  <si>
    <t>67.5</t>
  </si>
  <si>
    <t xml:space="preserve">Мужчины </t>
  </si>
  <si>
    <t>82.5</t>
  </si>
  <si>
    <t>1</t>
  </si>
  <si>
    <t>ВЕСОВАЯ КАТЕГОРИЯ   60</t>
  </si>
  <si>
    <t>Мохова Эльвира</t>
  </si>
  <si>
    <t>Мастера 50-59 (12.08.1972)/50</t>
  </si>
  <si>
    <t>59,20</t>
  </si>
  <si>
    <t>72,5</t>
  </si>
  <si>
    <t>77,5</t>
  </si>
  <si>
    <t>82,5</t>
  </si>
  <si>
    <t>45,0</t>
  </si>
  <si>
    <t>47,5</t>
  </si>
  <si>
    <t>Редикульцева Жанна</t>
  </si>
  <si>
    <t>Мастера 40-49 (21.08.1976)/46</t>
  </si>
  <si>
    <t>66,60</t>
  </si>
  <si>
    <t>80,0</t>
  </si>
  <si>
    <t>85,0</t>
  </si>
  <si>
    <t>57,5</t>
  </si>
  <si>
    <t>105,0</t>
  </si>
  <si>
    <t>Судаков Александр</t>
  </si>
  <si>
    <t>Юноши 14-16 (09.05.2007)/15</t>
  </si>
  <si>
    <t xml:space="preserve">Сретенск/Забайкальский край </t>
  </si>
  <si>
    <t>100,0</t>
  </si>
  <si>
    <t>75,0</t>
  </si>
  <si>
    <t>Дроботушенко Егор</t>
  </si>
  <si>
    <t>Юноши 17-19 (27.03.2005)/17</t>
  </si>
  <si>
    <t>180,0</t>
  </si>
  <si>
    <t>Леонтьев Илья</t>
  </si>
  <si>
    <t>Юноши 17-19 (11.09.2005)/17</t>
  </si>
  <si>
    <t>63,90</t>
  </si>
  <si>
    <t>90,0</t>
  </si>
  <si>
    <t>145,0</t>
  </si>
  <si>
    <t xml:space="preserve">Швецов Е </t>
  </si>
  <si>
    <t>ВЕСОВАЯ КАТЕГОРИЯ   90</t>
  </si>
  <si>
    <t>Степанов Максим</t>
  </si>
  <si>
    <t>Открытая (22.07.1988)/34</t>
  </si>
  <si>
    <t>89,50</t>
  </si>
  <si>
    <t>117,5</t>
  </si>
  <si>
    <t>127,5</t>
  </si>
  <si>
    <t>92,5</t>
  </si>
  <si>
    <t>Трубников Александр</t>
  </si>
  <si>
    <t>Мастера 50-59 (12.08.1969)/53</t>
  </si>
  <si>
    <t>88,50</t>
  </si>
  <si>
    <t>ВЕСОВАЯ КАТЕГОРИЯ   100</t>
  </si>
  <si>
    <t>Редикульцев Антон</t>
  </si>
  <si>
    <t>Мастера 40-49 (26.05.1975)/47</t>
  </si>
  <si>
    <t>99,40</t>
  </si>
  <si>
    <t>215,0</t>
  </si>
  <si>
    <t>225,0</t>
  </si>
  <si>
    <t>232,5</t>
  </si>
  <si>
    <t>167,5</t>
  </si>
  <si>
    <t>290,0</t>
  </si>
  <si>
    <t>ВЕСОВАЯ КАТЕГОРИЯ   110</t>
  </si>
  <si>
    <t>Русин Андрей</t>
  </si>
  <si>
    <t>Открытая (17.02.1984)/38</t>
  </si>
  <si>
    <t>105,20</t>
  </si>
  <si>
    <t>190,0</t>
  </si>
  <si>
    <t>152,5</t>
  </si>
  <si>
    <t>285,0</t>
  </si>
  <si>
    <t>Кузнецов Дмитрий</t>
  </si>
  <si>
    <t>Открытая (19.06.1987)/35</t>
  </si>
  <si>
    <t>114,00</t>
  </si>
  <si>
    <t>137,5</t>
  </si>
  <si>
    <t>122,5</t>
  </si>
  <si>
    <t>195,0</t>
  </si>
  <si>
    <t>205,0</t>
  </si>
  <si>
    <t>110</t>
  </si>
  <si>
    <t>90</t>
  </si>
  <si>
    <t>2</t>
  </si>
  <si>
    <t>ВЕСОВАЯ КАТЕГОРИЯ   48</t>
  </si>
  <si>
    <t>Открытая (28.03.1996)/26</t>
  </si>
  <si>
    <t>47,50</t>
  </si>
  <si>
    <t>40,0</t>
  </si>
  <si>
    <t>ВЕСОВАЯ КАТЕГОРИЯ   52</t>
  </si>
  <si>
    <t>Аствацатрян Екатерина</t>
  </si>
  <si>
    <t>Открытая (09.05.1988)/34</t>
  </si>
  <si>
    <t>51,60</t>
  </si>
  <si>
    <t>42,5</t>
  </si>
  <si>
    <t>95,0</t>
  </si>
  <si>
    <t>Носкова Валерия</t>
  </si>
  <si>
    <t>Юниорки (13.09.2000)/22</t>
  </si>
  <si>
    <t>65,60</t>
  </si>
  <si>
    <t>Базалеева Оксана</t>
  </si>
  <si>
    <t>Мастера 40-49 (03.08.1982)/40</t>
  </si>
  <si>
    <t>63,30</t>
  </si>
  <si>
    <t>102,5</t>
  </si>
  <si>
    <t>107,5</t>
  </si>
  <si>
    <t>Кокарев Егор</t>
  </si>
  <si>
    <t>Юноши 14-16 (27.07.2006)/16</t>
  </si>
  <si>
    <t>68,50</t>
  </si>
  <si>
    <t>Баженов Максим</t>
  </si>
  <si>
    <t>Открытая (06.05.1998)/24</t>
  </si>
  <si>
    <t>81,70</t>
  </si>
  <si>
    <t>Капустин Николай</t>
  </si>
  <si>
    <t>Мастера 40-49 (15.01.1976)/46</t>
  </si>
  <si>
    <t>81,80</t>
  </si>
  <si>
    <t>Болдырев Андрей</t>
  </si>
  <si>
    <t>Юноши 17-19 (29.04.2003)/19</t>
  </si>
  <si>
    <t>84,00</t>
  </si>
  <si>
    <t>185,0</t>
  </si>
  <si>
    <t>132,5</t>
  </si>
  <si>
    <t>Беломестнов Владислав</t>
  </si>
  <si>
    <t>Открытая (30.03.1995)/27</t>
  </si>
  <si>
    <t>89,30</t>
  </si>
  <si>
    <t>210,0</t>
  </si>
  <si>
    <t>Лосев Даниил</t>
  </si>
  <si>
    <t>Открытая (05.10.1991)/31</t>
  </si>
  <si>
    <t>114,50</t>
  </si>
  <si>
    <t>172,5</t>
  </si>
  <si>
    <t>182,5</t>
  </si>
  <si>
    <t>-</t>
  </si>
  <si>
    <t>Щелканова Инна</t>
  </si>
  <si>
    <t>Мастера 50-59 (11.11.1967)/55</t>
  </si>
  <si>
    <t>49,30</t>
  </si>
  <si>
    <t>Номероцкая Юлия</t>
  </si>
  <si>
    <t>Мастера 50-59 (12.01.1971)/51</t>
  </si>
  <si>
    <t>74,30</t>
  </si>
  <si>
    <t>ВЕСОВАЯ КАТЕГОРИЯ   56</t>
  </si>
  <si>
    <t>Аранин Алексей</t>
  </si>
  <si>
    <t>Юноши 17-19 (21.09.2005)/17</t>
  </si>
  <si>
    <t>53,30</t>
  </si>
  <si>
    <t>Петухов Андрей</t>
  </si>
  <si>
    <t>Юниоры (23.02.2001)/21</t>
  </si>
  <si>
    <t>62,90</t>
  </si>
  <si>
    <t xml:space="preserve">Кокуй/Забайкальский край </t>
  </si>
  <si>
    <t>Лахнов Арсений</t>
  </si>
  <si>
    <t>Юноши 14-16 (10.02.2007)/15</t>
  </si>
  <si>
    <t>72,80</t>
  </si>
  <si>
    <t>Пермяков Алексей</t>
  </si>
  <si>
    <t>Юноши 17-19 (23.07.2005)/17</t>
  </si>
  <si>
    <t>89,00</t>
  </si>
  <si>
    <t>Чернаков Денис</t>
  </si>
  <si>
    <t>Открытая (09.11.1994)/28</t>
  </si>
  <si>
    <t>88,70</t>
  </si>
  <si>
    <t>147,5</t>
  </si>
  <si>
    <t>Чеканов Евгений</t>
  </si>
  <si>
    <t>Открытая (02.01.1991)/31</t>
  </si>
  <si>
    <t>99,50</t>
  </si>
  <si>
    <t>Малофеев Сергей</t>
  </si>
  <si>
    <t>Открытая (23.05.1988)/34</t>
  </si>
  <si>
    <t>99,00</t>
  </si>
  <si>
    <t>Варванский Сергей</t>
  </si>
  <si>
    <t>Открытая (30.09.1992)/30</t>
  </si>
  <si>
    <t>95,00</t>
  </si>
  <si>
    <t xml:space="preserve"> </t>
  </si>
  <si>
    <t>Войтенко Владимир</t>
  </si>
  <si>
    <t>Мастера 60-69 (26.07.1956)/66</t>
  </si>
  <si>
    <t>92,20</t>
  </si>
  <si>
    <t>Зубричев Алексей</t>
  </si>
  <si>
    <t>Мастера 50-59 (01.03.1972)/50</t>
  </si>
  <si>
    <t>109,40</t>
  </si>
  <si>
    <t>Цильке Николай</t>
  </si>
  <si>
    <t>Мастера 50-59 (23.05.1965)/57</t>
  </si>
  <si>
    <t>105,00</t>
  </si>
  <si>
    <t>Ануфриев Захар</t>
  </si>
  <si>
    <t>Юноши 17-19 (29.03.2005)/17</t>
  </si>
  <si>
    <t>113,20</t>
  </si>
  <si>
    <t>Савин Андрей</t>
  </si>
  <si>
    <t>Открытая (22.02.1990)/32</t>
  </si>
  <si>
    <t>113,50</t>
  </si>
  <si>
    <t xml:space="preserve">Могоча/Забайкальский край </t>
  </si>
  <si>
    <t>202,5</t>
  </si>
  <si>
    <t xml:space="preserve">Результат </t>
  </si>
  <si>
    <t>Результат</t>
  </si>
  <si>
    <t>3</t>
  </si>
  <si>
    <t>Бакланова Екатерина</t>
  </si>
  <si>
    <t>Открытая (24.11.1989)/33</t>
  </si>
  <si>
    <t>50,60</t>
  </si>
  <si>
    <t>55,0</t>
  </si>
  <si>
    <t>Красноштанова Зинаида</t>
  </si>
  <si>
    <t>Открытая (28.09.1989)/33</t>
  </si>
  <si>
    <t>55,30</t>
  </si>
  <si>
    <t>Волокитин Антон</t>
  </si>
  <si>
    <t>Юноши 14-16 (18.05.2006)/16</t>
  </si>
  <si>
    <t>73,40</t>
  </si>
  <si>
    <t>87,5</t>
  </si>
  <si>
    <t>Гордеев Егор</t>
  </si>
  <si>
    <t>Юноши 17-19 (18.08.2004)/18</t>
  </si>
  <si>
    <t>97,5</t>
  </si>
  <si>
    <t>Телешов Алексей</t>
  </si>
  <si>
    <t>Открытая (14.01.1992)/30</t>
  </si>
  <si>
    <t>72,30</t>
  </si>
  <si>
    <t>Карпов Евгений</t>
  </si>
  <si>
    <t>Открытая (05.01.1992)/30</t>
  </si>
  <si>
    <t>Соколов Никита</t>
  </si>
  <si>
    <t>Юниоры (13.08.2002)/20</t>
  </si>
  <si>
    <t>81,00</t>
  </si>
  <si>
    <t>112,5</t>
  </si>
  <si>
    <t>Шестаков Александр</t>
  </si>
  <si>
    <t>Открытая (07.08.1995)/27</t>
  </si>
  <si>
    <t>81,50</t>
  </si>
  <si>
    <t xml:space="preserve">Сковородино/Амурская область </t>
  </si>
  <si>
    <t>Гудков Николай</t>
  </si>
  <si>
    <t>Открытая (07.11.1988)/34</t>
  </si>
  <si>
    <t>82,20</t>
  </si>
  <si>
    <t>Серазитинов Александр</t>
  </si>
  <si>
    <t>Открытая (19.05.1990)/32</t>
  </si>
  <si>
    <t>82,40</t>
  </si>
  <si>
    <t>Кравцов Виктор</t>
  </si>
  <si>
    <t>Открытая (24.07.1993)/29</t>
  </si>
  <si>
    <t>81,60</t>
  </si>
  <si>
    <t>Омельченко Евгений</t>
  </si>
  <si>
    <t>Открытая (07.06.1992)/30</t>
  </si>
  <si>
    <t>78,50</t>
  </si>
  <si>
    <t>Арапов Владислав</t>
  </si>
  <si>
    <t>Юниоры (25.04.1999)/23</t>
  </si>
  <si>
    <t>87,30</t>
  </si>
  <si>
    <t>Открытая (25.04.1999)/23</t>
  </si>
  <si>
    <t>Устюжанин Александр</t>
  </si>
  <si>
    <t>Открытая (31.01.1987)/35</t>
  </si>
  <si>
    <t>86,00</t>
  </si>
  <si>
    <t>Рынчаковский Николай</t>
  </si>
  <si>
    <t>Открытая (14.04.1981)/41</t>
  </si>
  <si>
    <t>88,40</t>
  </si>
  <si>
    <t>Мастера 40-49 (14.04.1981)/41</t>
  </si>
  <si>
    <t>Тараканов Юрий</t>
  </si>
  <si>
    <t>Открытая (29.11.1983)/38</t>
  </si>
  <si>
    <t>92,70</t>
  </si>
  <si>
    <t>4</t>
  </si>
  <si>
    <t>5</t>
  </si>
  <si>
    <t>Прокопьева Татьяна</t>
  </si>
  <si>
    <t>Открытая (18.09.1985)/37</t>
  </si>
  <si>
    <t>55,50</t>
  </si>
  <si>
    <t>Самойлов Андрей</t>
  </si>
  <si>
    <t>Юноши 14-16 (09.08.2007)/15</t>
  </si>
  <si>
    <t>60,00</t>
  </si>
  <si>
    <t>Петушков Евгений</t>
  </si>
  <si>
    <t>Открытая (26.07.1986)/36</t>
  </si>
  <si>
    <t>78,90</t>
  </si>
  <si>
    <t>ВЕСОВАЯ КАТЕГОРИЯ   44</t>
  </si>
  <si>
    <t>Войтюк Галина</t>
  </si>
  <si>
    <t>Открытая (18.03.1985)/37</t>
  </si>
  <si>
    <t>43,70</t>
  </si>
  <si>
    <t>Емеличев Дмитрий</t>
  </si>
  <si>
    <t>Юноши 17-19 (08.11.2005)/17</t>
  </si>
  <si>
    <t>58,20</t>
  </si>
  <si>
    <t>Бурд Константин</t>
  </si>
  <si>
    <t>Открытая (09.03.1987)/35</t>
  </si>
  <si>
    <t>90,00</t>
  </si>
  <si>
    <t>Дашинимаев Билиг</t>
  </si>
  <si>
    <t>53,40</t>
  </si>
  <si>
    <t>35,0</t>
  </si>
  <si>
    <t>Таракановский Михаил</t>
  </si>
  <si>
    <t>66,20</t>
  </si>
  <si>
    <t>67,5</t>
  </si>
  <si>
    <t>Открытая (07.11.2004)/18</t>
  </si>
  <si>
    <t>Иванов Владимир</t>
  </si>
  <si>
    <t>73,30</t>
  </si>
  <si>
    <t>Нимаев Александр</t>
  </si>
  <si>
    <t>73,60</t>
  </si>
  <si>
    <t>78,45</t>
  </si>
  <si>
    <t>Николаев Иван</t>
  </si>
  <si>
    <t>Открытая (24.10.1989)/33</t>
  </si>
  <si>
    <t>104,50</t>
  </si>
  <si>
    <t xml:space="preserve">Gloss </t>
  </si>
  <si>
    <t>Арефьев Артем</t>
  </si>
  <si>
    <t>Открытая (18.10.1998)/24</t>
  </si>
  <si>
    <t>82,00</t>
  </si>
  <si>
    <t>Васечкин Владимир</t>
  </si>
  <si>
    <t>Открытая (13.03.1991)/31</t>
  </si>
  <si>
    <t>80,20</t>
  </si>
  <si>
    <t>Юниоры 20 - 23 (25.04.1999)/23</t>
  </si>
  <si>
    <t>52,5</t>
  </si>
  <si>
    <t>Ловцов И.</t>
  </si>
  <si>
    <t xml:space="preserve">Ягодин К. </t>
  </si>
  <si>
    <t xml:space="preserve">Ильченко В. </t>
  </si>
  <si>
    <t>Непотюк А.</t>
  </si>
  <si>
    <t xml:space="preserve">Кузнецов В. </t>
  </si>
  <si>
    <t>Мик С.</t>
  </si>
  <si>
    <t xml:space="preserve">Непотюк А. </t>
  </si>
  <si>
    <t>Швецов Е.</t>
  </si>
  <si>
    <t>Балданов Б.</t>
  </si>
  <si>
    <t>Трухин В.</t>
  </si>
  <si>
    <t>Писарев Н.</t>
  </si>
  <si>
    <t>Редикульцев А.</t>
  </si>
  <si>
    <t xml:space="preserve">Никитин Д. </t>
  </si>
  <si>
    <t>Ляпин А.</t>
  </si>
  <si>
    <t>Ильченко В.</t>
  </si>
  <si>
    <t>Ягодин К.</t>
  </si>
  <si>
    <t xml:space="preserve">Калга/Забайкальский край </t>
  </si>
  <si>
    <t>Открытый мастерский турнир «Best of the Best»
WRPF Строгий подъем штанги на бицепс ДК
Чита/Забайкальский край, 26 ноября 2022 года</t>
  </si>
  <si>
    <t>Открытый мастерский турнир «Best of the Best»
WRPF Строгий подъем штанги на бицепс
Чита/Забайкальский край, 26 ноября 2022 года</t>
  </si>
  <si>
    <t>Открытый мастерский турнир «Best of the Best»
WRPF Становая тяга без экипировки ДК
Чита/Забайкальский край, 26 ноября 2022 года</t>
  </si>
  <si>
    <t>Открытый мастерский турнир «Best of the Best»
WRPF Становая тяга без экипировки
Чита/Забайкальский край, 26 ноября 2022 года</t>
  </si>
  <si>
    <t>Открытый мастерский турнир «Best of the Best»
WRPF Жим лежа без экипировки ДК
Чита/Забайкальский край, 26 ноября 2022 года</t>
  </si>
  <si>
    <t>Открытый мастерский турнир «Best of the Best»
WRPF Жим лежа без экипировки
Чита/Забайкальский край, 26 ноября 2022 года</t>
  </si>
  <si>
    <t>Открытый мастерский турнир «Best of the Best»
WRPF Пауэрлифтинг без экипировки ДК
Чита/Забайкальский край, 26 ноября 2022 года</t>
  </si>
  <si>
    <t>Открытый мастерский турнир «Best of the Best»
WRPF Пауэрлифтинг без экипировки
Чита/Забайкальский край, 26 ноября 2022 года</t>
  </si>
  <si>
    <t>Открытый мастерский турнир «Best of the Best»
WRPF Пауэрлифтинг классический в бинтах
Чита/Забайкальский край, 26 ноября 2022 года</t>
  </si>
  <si>
    <t xml:space="preserve">Писарев Н. </t>
  </si>
  <si>
    <t xml:space="preserve">Носков Е. </t>
  </si>
  <si>
    <t xml:space="preserve">Трухин В. </t>
  </si>
  <si>
    <t xml:space="preserve">Швецов Е. </t>
  </si>
  <si>
    <t xml:space="preserve">Александрова Н. </t>
  </si>
  <si>
    <t xml:space="preserve">Фрей М. </t>
  </si>
  <si>
    <t>Кочмарева Анна</t>
  </si>
  <si>
    <t xml:space="preserve">Темников М. </t>
  </si>
  <si>
    <t xml:space="preserve">Ловцов И. </t>
  </si>
  <si>
    <t xml:space="preserve">Балданов Б. </t>
  </si>
  <si>
    <t>Весовая категория</t>
  </si>
  <si>
    <t xml:space="preserve">Приаргунск/Забайкальский край </t>
  </si>
  <si>
    <t xml:space="preserve">Телешев А. </t>
  </si>
  <si>
    <t>Юниоры 20-23 (13.08.2002)/20</t>
  </si>
  <si>
    <t>Даурия/Забайкальский край</t>
  </si>
  <si>
    <t>Юноши 13-19 (15.03.2005)/17</t>
  </si>
  <si>
    <t>Юноши 13-19 (07.11.2004)/18</t>
  </si>
  <si>
    <t>Юноши 13-19 (02.06.2006)/16</t>
  </si>
  <si>
    <t>Юноши 13-19 (25.02.2006)/16</t>
  </si>
  <si>
    <t>Жим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</si>
  <si>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</si>
  <si>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</si>
  <si>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</si>
  <si>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</si>
  <si>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</si>
  <si>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</si>
  <si>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T1</t>
  </si>
  <si>
    <t>T2</t>
  </si>
  <si>
    <t>M2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</si>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</sst>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3.8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20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57" t="s">
        <v>344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47" t="s">
        <v>1</v>
      </c>
      <c r="T3" s="49" t="s">
        <v>3</v>
      </c>
      <c r="U3" s="51" t="s">
        <v>2</v>
      </c>
    </row>
    <row r="4" spans="1:21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50"/>
      <c r="U4" s="52"/>
    </row>
    <row r="5" spans="1:21" ht="16">
      <c r="A5" s="53" t="s">
        <v>127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2" t="s">
        <v>60</v>
      </c>
      <c r="B6" s="7" t="s">
        <v>353</v>
      </c>
      <c r="C6" s="7" t="s">
        <v>128</v>
      </c>
      <c r="D6" s="7" t="s">
        <v>129</v>
      </c>
      <c r="E6" s="8" t="s">
        <v>370</v>
      </c>
      <c r="F6" s="7" t="s">
        <v>14</v>
      </c>
      <c r="G6" s="21" t="s">
        <v>81</v>
      </c>
      <c r="H6" s="23" t="s">
        <v>73</v>
      </c>
      <c r="I6" s="21" t="s">
        <v>73</v>
      </c>
      <c r="J6" s="22"/>
      <c r="K6" s="21" t="s">
        <v>130</v>
      </c>
      <c r="L6" s="21" t="s">
        <v>68</v>
      </c>
      <c r="M6" s="23" t="s">
        <v>27</v>
      </c>
      <c r="N6" s="22"/>
      <c r="O6" s="21" t="s">
        <v>73</v>
      </c>
      <c r="P6" s="21" t="s">
        <v>88</v>
      </c>
      <c r="Q6" s="21" t="s">
        <v>80</v>
      </c>
      <c r="R6" s="22"/>
      <c r="S6" s="42" t="str">
        <f>"225,0"</f>
        <v>225,0</v>
      </c>
      <c r="T6" s="9" t="str">
        <f>"300,2850"</f>
        <v>300,2850</v>
      </c>
      <c r="U6" s="7" t="s">
        <v>347</v>
      </c>
    </row>
    <row r="8" spans="1:21" ht="16">
      <c r="A8" s="45" t="s">
        <v>131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22" t="s">
        <v>60</v>
      </c>
      <c r="B9" s="7" t="s">
        <v>132</v>
      </c>
      <c r="C9" s="7" t="s">
        <v>133</v>
      </c>
      <c r="D9" s="7" t="s">
        <v>134</v>
      </c>
      <c r="E9" s="8" t="s">
        <v>370</v>
      </c>
      <c r="F9" s="7" t="s">
        <v>14</v>
      </c>
      <c r="G9" s="21" t="s">
        <v>73</v>
      </c>
      <c r="H9" s="21" t="s">
        <v>88</v>
      </c>
      <c r="I9" s="23" t="s">
        <v>80</v>
      </c>
      <c r="J9" s="22"/>
      <c r="K9" s="21" t="s">
        <v>135</v>
      </c>
      <c r="L9" s="21" t="s">
        <v>69</v>
      </c>
      <c r="M9" s="23" t="s">
        <v>27</v>
      </c>
      <c r="N9" s="22"/>
      <c r="O9" s="21" t="s">
        <v>74</v>
      </c>
      <c r="P9" s="21" t="s">
        <v>136</v>
      </c>
      <c r="Q9" s="23" t="s">
        <v>76</v>
      </c>
      <c r="R9" s="22"/>
      <c r="S9" s="42" t="str">
        <f>"232,5"</f>
        <v>232,5</v>
      </c>
      <c r="T9" s="9" t="str">
        <f>"291,5782"</f>
        <v>291,5782</v>
      </c>
      <c r="U9" s="7"/>
    </row>
    <row r="11" spans="1:21" ht="16">
      <c r="A11" s="45" t="s">
        <v>10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32" t="s">
        <v>60</v>
      </c>
      <c r="B12" s="24" t="s">
        <v>137</v>
      </c>
      <c r="C12" s="24" t="s">
        <v>138</v>
      </c>
      <c r="D12" s="24" t="s">
        <v>139</v>
      </c>
      <c r="E12" s="25" t="s">
        <v>371</v>
      </c>
      <c r="F12" s="24" t="s">
        <v>14</v>
      </c>
      <c r="G12" s="30" t="s">
        <v>88</v>
      </c>
      <c r="H12" s="30" t="s">
        <v>76</v>
      </c>
      <c r="I12" s="30" t="s">
        <v>15</v>
      </c>
      <c r="J12" s="32"/>
      <c r="K12" s="30" t="s">
        <v>27</v>
      </c>
      <c r="L12" s="30" t="s">
        <v>18</v>
      </c>
      <c r="M12" s="30" t="s">
        <v>28</v>
      </c>
      <c r="N12" s="32"/>
      <c r="O12" s="30" t="s">
        <v>76</v>
      </c>
      <c r="P12" s="30" t="s">
        <v>16</v>
      </c>
      <c r="Q12" s="30" t="s">
        <v>20</v>
      </c>
      <c r="R12" s="32"/>
      <c r="S12" s="43" t="str">
        <f>"292,5"</f>
        <v>292,5</v>
      </c>
      <c r="T12" s="26" t="str">
        <f>"304,7850"</f>
        <v>304,7850</v>
      </c>
      <c r="U12" s="24" t="s">
        <v>348</v>
      </c>
    </row>
    <row r="13" spans="1:21">
      <c r="A13" s="34" t="s">
        <v>60</v>
      </c>
      <c r="B13" s="27" t="s">
        <v>140</v>
      </c>
      <c r="C13" s="27" t="s">
        <v>141</v>
      </c>
      <c r="D13" s="27" t="s">
        <v>142</v>
      </c>
      <c r="E13" s="28" t="s">
        <v>372</v>
      </c>
      <c r="F13" s="27" t="s">
        <v>14</v>
      </c>
      <c r="G13" s="33" t="s">
        <v>136</v>
      </c>
      <c r="H13" s="33" t="s">
        <v>143</v>
      </c>
      <c r="I13" s="33" t="s">
        <v>144</v>
      </c>
      <c r="J13" s="34"/>
      <c r="K13" s="33" t="s">
        <v>135</v>
      </c>
      <c r="L13" s="33" t="s">
        <v>69</v>
      </c>
      <c r="M13" s="33" t="s">
        <v>27</v>
      </c>
      <c r="N13" s="34"/>
      <c r="O13" s="33" t="s">
        <v>80</v>
      </c>
      <c r="P13" s="33" t="s">
        <v>144</v>
      </c>
      <c r="Q13" s="33" t="s">
        <v>16</v>
      </c>
      <c r="R13" s="34"/>
      <c r="S13" s="44" t="str">
        <f>"272,5"</f>
        <v>272,5</v>
      </c>
      <c r="T13" s="29" t="str">
        <f>"291,6022"</f>
        <v>291,6022</v>
      </c>
      <c r="U13" s="27" t="s">
        <v>349</v>
      </c>
    </row>
    <row r="15" spans="1:21" ht="16">
      <c r="A15" s="45" t="s">
        <v>22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1">
      <c r="A16" s="22" t="s">
        <v>60</v>
      </c>
      <c r="B16" s="7" t="s">
        <v>145</v>
      </c>
      <c r="C16" s="7" t="s">
        <v>146</v>
      </c>
      <c r="D16" s="7" t="s">
        <v>147</v>
      </c>
      <c r="E16" s="8" t="s">
        <v>373</v>
      </c>
      <c r="F16" s="7" t="s">
        <v>14</v>
      </c>
      <c r="G16" s="21" t="s">
        <v>15</v>
      </c>
      <c r="H16" s="21" t="s">
        <v>16</v>
      </c>
      <c r="I16" s="21" t="s">
        <v>17</v>
      </c>
      <c r="J16" s="22"/>
      <c r="K16" s="21" t="s">
        <v>29</v>
      </c>
      <c r="L16" s="23" t="s">
        <v>65</v>
      </c>
      <c r="M16" s="21" t="s">
        <v>81</v>
      </c>
      <c r="N16" s="22"/>
      <c r="O16" s="21" t="s">
        <v>16</v>
      </c>
      <c r="P16" s="21" t="s">
        <v>17</v>
      </c>
      <c r="Q16" s="21" t="s">
        <v>21</v>
      </c>
      <c r="R16" s="22"/>
      <c r="S16" s="42" t="str">
        <f>"330,0"</f>
        <v>330,0</v>
      </c>
      <c r="T16" s="9" t="str">
        <f>"251,4930"</f>
        <v>251,4930</v>
      </c>
      <c r="U16" s="7" t="s">
        <v>332</v>
      </c>
    </row>
    <row r="18" spans="1:21" ht="16">
      <c r="A18" s="45" t="s">
        <v>32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21">
      <c r="A19" s="32" t="s">
        <v>60</v>
      </c>
      <c r="B19" s="24" t="s">
        <v>148</v>
      </c>
      <c r="C19" s="24" t="s">
        <v>149</v>
      </c>
      <c r="D19" s="24" t="s">
        <v>150</v>
      </c>
      <c r="E19" s="25" t="s">
        <v>370</v>
      </c>
      <c r="F19" s="24" t="s">
        <v>14</v>
      </c>
      <c r="G19" s="30" t="s">
        <v>96</v>
      </c>
      <c r="H19" s="30" t="s">
        <v>120</v>
      </c>
      <c r="I19" s="30" t="s">
        <v>31</v>
      </c>
      <c r="J19" s="32"/>
      <c r="K19" s="30" t="s">
        <v>88</v>
      </c>
      <c r="L19" s="30" t="s">
        <v>136</v>
      </c>
      <c r="M19" s="30" t="s">
        <v>80</v>
      </c>
      <c r="N19" s="32"/>
      <c r="O19" s="30" t="s">
        <v>48</v>
      </c>
      <c r="P19" s="30" t="s">
        <v>84</v>
      </c>
      <c r="Q19" s="30" t="s">
        <v>114</v>
      </c>
      <c r="R19" s="32"/>
      <c r="S19" s="43" t="str">
        <f>"440,0"</f>
        <v>440,0</v>
      </c>
      <c r="T19" s="26" t="str">
        <f>"296,5160"</f>
        <v>296,5160</v>
      </c>
      <c r="U19" s="24" t="s">
        <v>350</v>
      </c>
    </row>
    <row r="20" spans="1:21">
      <c r="A20" s="34" t="s">
        <v>60</v>
      </c>
      <c r="B20" s="27" t="s">
        <v>151</v>
      </c>
      <c r="C20" s="27" t="s">
        <v>152</v>
      </c>
      <c r="D20" s="27" t="s">
        <v>153</v>
      </c>
      <c r="E20" s="28" t="s">
        <v>372</v>
      </c>
      <c r="F20" s="27" t="s">
        <v>14</v>
      </c>
      <c r="G20" s="33" t="s">
        <v>31</v>
      </c>
      <c r="H20" s="33" t="s">
        <v>50</v>
      </c>
      <c r="I20" s="35" t="s">
        <v>108</v>
      </c>
      <c r="J20" s="34"/>
      <c r="K20" s="33" t="s">
        <v>143</v>
      </c>
      <c r="L20" s="33" t="s">
        <v>144</v>
      </c>
      <c r="M20" s="35" t="s">
        <v>15</v>
      </c>
      <c r="N20" s="34"/>
      <c r="O20" s="33" t="s">
        <v>36</v>
      </c>
      <c r="P20" s="33" t="s">
        <v>37</v>
      </c>
      <c r="Q20" s="35" t="s">
        <v>106</v>
      </c>
      <c r="R20" s="34"/>
      <c r="S20" s="44" t="str">
        <f>"487,5"</f>
        <v>487,5</v>
      </c>
      <c r="T20" s="29" t="str">
        <f>"353,8885"</f>
        <v>353,8885</v>
      </c>
      <c r="U20" s="27"/>
    </row>
    <row r="22" spans="1:21" ht="16">
      <c r="A22" s="45" t="s">
        <v>91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21">
      <c r="A23" s="32" t="s">
        <v>60</v>
      </c>
      <c r="B23" s="24" t="s">
        <v>154</v>
      </c>
      <c r="C23" s="24" t="s">
        <v>155</v>
      </c>
      <c r="D23" s="24" t="s">
        <v>156</v>
      </c>
      <c r="E23" s="25" t="s">
        <v>374</v>
      </c>
      <c r="F23" s="24" t="s">
        <v>14</v>
      </c>
      <c r="G23" s="30" t="s">
        <v>157</v>
      </c>
      <c r="H23" s="30" t="s">
        <v>114</v>
      </c>
      <c r="I23" s="30" t="s">
        <v>122</v>
      </c>
      <c r="J23" s="32"/>
      <c r="K23" s="30" t="s">
        <v>17</v>
      </c>
      <c r="L23" s="30" t="s">
        <v>158</v>
      </c>
      <c r="M23" s="30" t="s">
        <v>120</v>
      </c>
      <c r="N23" s="32"/>
      <c r="O23" s="30" t="s">
        <v>48</v>
      </c>
      <c r="P23" s="30" t="s">
        <v>84</v>
      </c>
      <c r="Q23" s="31" t="s">
        <v>114</v>
      </c>
      <c r="R23" s="32"/>
      <c r="S23" s="43" t="str">
        <f>"512,5"</f>
        <v>512,5</v>
      </c>
      <c r="T23" s="26" t="str">
        <f>"339,6850"</f>
        <v>339,6850</v>
      </c>
      <c r="U23" s="24" t="s">
        <v>321</v>
      </c>
    </row>
    <row r="24" spans="1:21">
      <c r="A24" s="34" t="s">
        <v>168</v>
      </c>
      <c r="B24" s="27" t="s">
        <v>159</v>
      </c>
      <c r="C24" s="27" t="s">
        <v>160</v>
      </c>
      <c r="D24" s="27" t="s">
        <v>161</v>
      </c>
      <c r="E24" s="28" t="s">
        <v>370</v>
      </c>
      <c r="F24" s="27" t="s">
        <v>14</v>
      </c>
      <c r="G24" s="35" t="s">
        <v>114</v>
      </c>
      <c r="H24" s="35" t="s">
        <v>114</v>
      </c>
      <c r="I24" s="35" t="s">
        <v>114</v>
      </c>
      <c r="J24" s="34"/>
      <c r="K24" s="34"/>
      <c r="L24" s="34"/>
      <c r="M24" s="35"/>
      <c r="N24" s="34"/>
      <c r="O24" s="35"/>
      <c r="P24" s="34"/>
      <c r="Q24" s="34"/>
      <c r="R24" s="34"/>
      <c r="S24" s="44">
        <v>0</v>
      </c>
      <c r="T24" s="29" t="str">
        <f>"0,0000"</f>
        <v>0,0000</v>
      </c>
      <c r="U24" s="27" t="s">
        <v>351</v>
      </c>
    </row>
    <row r="26" spans="1:21" ht="16">
      <c r="A26" s="45" t="s">
        <v>44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21">
      <c r="A27" s="22" t="s">
        <v>60</v>
      </c>
      <c r="B27" s="7" t="s">
        <v>163</v>
      </c>
      <c r="C27" s="7" t="s">
        <v>164</v>
      </c>
      <c r="D27" s="7" t="s">
        <v>165</v>
      </c>
      <c r="E27" s="8" t="s">
        <v>370</v>
      </c>
      <c r="F27" s="7" t="s">
        <v>14</v>
      </c>
      <c r="G27" s="21" t="s">
        <v>50</v>
      </c>
      <c r="H27" s="21" t="s">
        <v>166</v>
      </c>
      <c r="I27" s="21" t="s">
        <v>167</v>
      </c>
      <c r="J27" s="22"/>
      <c r="K27" s="21" t="s">
        <v>144</v>
      </c>
      <c r="L27" s="21" t="s">
        <v>16</v>
      </c>
      <c r="M27" s="21" t="s">
        <v>20</v>
      </c>
      <c r="N27" s="22"/>
      <c r="O27" s="21" t="s">
        <v>50</v>
      </c>
      <c r="P27" s="21" t="s">
        <v>166</v>
      </c>
      <c r="Q27" s="21" t="s">
        <v>84</v>
      </c>
      <c r="R27" s="22"/>
      <c r="S27" s="42" t="str">
        <f>"482,5"</f>
        <v>482,5</v>
      </c>
      <c r="T27" s="9" t="str">
        <f>"280,6703"</f>
        <v>280,6703</v>
      </c>
      <c r="U27" s="7" t="s">
        <v>352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6:R26"/>
    <mergeCell ref="S3:S4"/>
    <mergeCell ref="T3:T4"/>
    <mergeCell ref="U3:U4"/>
    <mergeCell ref="A5:R5"/>
    <mergeCell ref="B3:B4"/>
    <mergeCell ref="A8:R8"/>
    <mergeCell ref="A11:R11"/>
    <mergeCell ref="A15:R15"/>
    <mergeCell ref="A18:R18"/>
    <mergeCell ref="A22:R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1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9.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8.6640625" style="5" bestFit="1" customWidth="1"/>
    <col min="22" max="16384" width="9.1640625" style="3"/>
  </cols>
  <sheetData>
    <row r="1" spans="1:21" s="2" customFormat="1" ht="29" customHeight="1">
      <c r="A1" s="57" t="s">
        <v>345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61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2" t="s">
        <v>60</v>
      </c>
      <c r="B6" s="7" t="s">
        <v>62</v>
      </c>
      <c r="C6" s="7" t="s">
        <v>63</v>
      </c>
      <c r="D6" s="7" t="s">
        <v>64</v>
      </c>
      <c r="E6" s="8" t="s">
        <v>375</v>
      </c>
      <c r="F6" s="7" t="s">
        <v>14</v>
      </c>
      <c r="G6" s="21" t="s">
        <v>65</v>
      </c>
      <c r="H6" s="21" t="s">
        <v>66</v>
      </c>
      <c r="I6" s="23" t="s">
        <v>67</v>
      </c>
      <c r="J6" s="22"/>
      <c r="K6" s="21" t="s">
        <v>68</v>
      </c>
      <c r="L6" s="21" t="s">
        <v>69</v>
      </c>
      <c r="M6" s="23" t="s">
        <v>27</v>
      </c>
      <c r="N6" s="22"/>
      <c r="O6" s="21" t="s">
        <v>21</v>
      </c>
      <c r="P6" s="21" t="s">
        <v>30</v>
      </c>
      <c r="Q6" s="23" t="s">
        <v>26</v>
      </c>
      <c r="R6" s="22"/>
      <c r="S6" s="9" t="str">
        <f>"260,0"</f>
        <v>260,0</v>
      </c>
      <c r="T6" s="9" t="str">
        <f>"336,8534"</f>
        <v>336,8534</v>
      </c>
      <c r="U6" s="7" t="s">
        <v>328</v>
      </c>
    </row>
    <row r="8" spans="1:21" ht="16">
      <c r="A8" s="45" t="s">
        <v>10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22" t="s">
        <v>60</v>
      </c>
      <c r="B9" s="7" t="s">
        <v>70</v>
      </c>
      <c r="C9" s="7" t="s">
        <v>71</v>
      </c>
      <c r="D9" s="7" t="s">
        <v>72</v>
      </c>
      <c r="E9" s="8" t="s">
        <v>372</v>
      </c>
      <c r="F9" s="7" t="s">
        <v>14</v>
      </c>
      <c r="G9" s="21" t="s">
        <v>19</v>
      </c>
      <c r="H9" s="21" t="s">
        <v>73</v>
      </c>
      <c r="I9" s="21" t="s">
        <v>74</v>
      </c>
      <c r="J9" s="22"/>
      <c r="K9" s="21" t="s">
        <v>75</v>
      </c>
      <c r="L9" s="21" t="s">
        <v>28</v>
      </c>
      <c r="M9" s="21" t="s">
        <v>29</v>
      </c>
      <c r="N9" s="22"/>
      <c r="O9" s="21" t="s">
        <v>76</v>
      </c>
      <c r="P9" s="21" t="s">
        <v>15</v>
      </c>
      <c r="Q9" s="21" t="s">
        <v>16</v>
      </c>
      <c r="R9" s="22"/>
      <c r="S9" s="9" t="str">
        <f>"265,0"</f>
        <v>265,0</v>
      </c>
      <c r="T9" s="9" t="str">
        <f>"294,4115"</f>
        <v>294,4115</v>
      </c>
      <c r="U9" s="7" t="s">
        <v>332</v>
      </c>
    </row>
    <row r="11" spans="1:21" ht="16">
      <c r="A11" s="45" t="s">
        <v>61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22" t="s">
        <v>60</v>
      </c>
      <c r="B12" s="7" t="s">
        <v>77</v>
      </c>
      <c r="C12" s="7" t="s">
        <v>78</v>
      </c>
      <c r="D12" s="7" t="s">
        <v>64</v>
      </c>
      <c r="E12" s="8" t="s">
        <v>373</v>
      </c>
      <c r="F12" s="7" t="s">
        <v>79</v>
      </c>
      <c r="G12" s="21" t="s">
        <v>80</v>
      </c>
      <c r="H12" s="21" t="s">
        <v>16</v>
      </c>
      <c r="I12" s="23" t="s">
        <v>20</v>
      </c>
      <c r="J12" s="22"/>
      <c r="K12" s="21" t="s">
        <v>29</v>
      </c>
      <c r="L12" s="21" t="s">
        <v>65</v>
      </c>
      <c r="M12" s="21" t="s">
        <v>81</v>
      </c>
      <c r="N12" s="22"/>
      <c r="O12" s="21" t="s">
        <v>20</v>
      </c>
      <c r="P12" s="21" t="s">
        <v>21</v>
      </c>
      <c r="Q12" s="23" t="s">
        <v>26</v>
      </c>
      <c r="R12" s="22"/>
      <c r="S12" s="9" t="str">
        <f>"320,0"</f>
        <v>320,0</v>
      </c>
      <c r="T12" s="9" t="str">
        <f>"276,3200"</f>
        <v>276,3200</v>
      </c>
      <c r="U12" s="7" t="s">
        <v>323</v>
      </c>
    </row>
    <row r="14" spans="1:21" ht="16">
      <c r="A14" s="45" t="s">
        <v>10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32" t="s">
        <v>60</v>
      </c>
      <c r="B15" s="24" t="s">
        <v>82</v>
      </c>
      <c r="C15" s="24" t="s">
        <v>83</v>
      </c>
      <c r="D15" s="24" t="s">
        <v>13</v>
      </c>
      <c r="E15" s="25" t="s">
        <v>374</v>
      </c>
      <c r="F15" s="24" t="s">
        <v>14</v>
      </c>
      <c r="G15" s="30" t="s">
        <v>17</v>
      </c>
      <c r="H15" s="31" t="s">
        <v>21</v>
      </c>
      <c r="I15" s="30" t="s">
        <v>21</v>
      </c>
      <c r="J15" s="32"/>
      <c r="K15" s="30" t="s">
        <v>81</v>
      </c>
      <c r="L15" s="30" t="s">
        <v>73</v>
      </c>
      <c r="M15" s="32"/>
      <c r="N15" s="32"/>
      <c r="O15" s="30" t="s">
        <v>50</v>
      </c>
      <c r="P15" s="30" t="s">
        <v>48</v>
      </c>
      <c r="Q15" s="31" t="s">
        <v>84</v>
      </c>
      <c r="R15" s="32"/>
      <c r="S15" s="26" t="str">
        <f>"380,0"</f>
        <v>380,0</v>
      </c>
      <c r="T15" s="26" t="str">
        <f>"292,9800"</f>
        <v>292,9800</v>
      </c>
      <c r="U15" s="24" t="s">
        <v>328</v>
      </c>
    </row>
    <row r="16" spans="1:21">
      <c r="A16" s="34" t="s">
        <v>126</v>
      </c>
      <c r="B16" s="27" t="s">
        <v>85</v>
      </c>
      <c r="C16" s="27" t="s">
        <v>86</v>
      </c>
      <c r="D16" s="27" t="s">
        <v>87</v>
      </c>
      <c r="E16" s="28" t="s">
        <v>374</v>
      </c>
      <c r="F16" s="27" t="s">
        <v>14</v>
      </c>
      <c r="G16" s="33" t="s">
        <v>76</v>
      </c>
      <c r="H16" s="33" t="s">
        <v>16</v>
      </c>
      <c r="I16" s="33" t="s">
        <v>17</v>
      </c>
      <c r="J16" s="34"/>
      <c r="K16" s="33" t="s">
        <v>81</v>
      </c>
      <c r="L16" s="33" t="s">
        <v>74</v>
      </c>
      <c r="M16" s="35" t="s">
        <v>88</v>
      </c>
      <c r="N16" s="34"/>
      <c r="O16" s="33" t="s">
        <v>30</v>
      </c>
      <c r="P16" s="33" t="s">
        <v>89</v>
      </c>
      <c r="Q16" s="33" t="s">
        <v>31</v>
      </c>
      <c r="R16" s="34"/>
      <c r="S16" s="29" t="str">
        <f>"360,0"</f>
        <v>360,0</v>
      </c>
      <c r="T16" s="29" t="str">
        <f>"290,4120"</f>
        <v>290,4120</v>
      </c>
      <c r="U16" s="27" t="s">
        <v>328</v>
      </c>
    </row>
    <row r="18" spans="1:21" ht="16">
      <c r="A18" s="45" t="s">
        <v>91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21">
      <c r="A19" s="32" t="s">
        <v>60</v>
      </c>
      <c r="B19" s="24" t="s">
        <v>92</v>
      </c>
      <c r="C19" s="24" t="s">
        <v>93</v>
      </c>
      <c r="D19" s="24" t="s">
        <v>94</v>
      </c>
      <c r="E19" s="25" t="s">
        <v>370</v>
      </c>
      <c r="F19" s="24" t="s">
        <v>14</v>
      </c>
      <c r="G19" s="30" t="s">
        <v>95</v>
      </c>
      <c r="H19" s="30" t="s">
        <v>96</v>
      </c>
      <c r="I19" s="30" t="s">
        <v>30</v>
      </c>
      <c r="J19" s="32"/>
      <c r="K19" s="30" t="s">
        <v>74</v>
      </c>
      <c r="L19" s="31" t="s">
        <v>97</v>
      </c>
      <c r="M19" s="31" t="s">
        <v>97</v>
      </c>
      <c r="N19" s="32"/>
      <c r="O19" s="30" t="s">
        <v>50</v>
      </c>
      <c r="P19" s="31" t="s">
        <v>48</v>
      </c>
      <c r="Q19" s="31" t="s">
        <v>48</v>
      </c>
      <c r="R19" s="32"/>
      <c r="S19" s="26" t="str">
        <f>"380,0"</f>
        <v>380,0</v>
      </c>
      <c r="T19" s="26" t="str">
        <f>"243,2760"</f>
        <v>243,2760</v>
      </c>
      <c r="U19" s="24" t="s">
        <v>90</v>
      </c>
    </row>
    <row r="20" spans="1:21">
      <c r="A20" s="34" t="s">
        <v>60</v>
      </c>
      <c r="B20" s="27" t="s">
        <v>98</v>
      </c>
      <c r="C20" s="27" t="s">
        <v>99</v>
      </c>
      <c r="D20" s="27" t="s">
        <v>100</v>
      </c>
      <c r="E20" s="28" t="s">
        <v>375</v>
      </c>
      <c r="F20" s="27" t="s">
        <v>14</v>
      </c>
      <c r="G20" s="33" t="s">
        <v>26</v>
      </c>
      <c r="H20" s="33" t="s">
        <v>31</v>
      </c>
      <c r="I20" s="35" t="s">
        <v>50</v>
      </c>
      <c r="J20" s="34"/>
      <c r="K20" s="33" t="s">
        <v>80</v>
      </c>
      <c r="L20" s="33" t="s">
        <v>76</v>
      </c>
      <c r="M20" s="35" t="s">
        <v>15</v>
      </c>
      <c r="N20" s="34"/>
      <c r="O20" s="33" t="s">
        <v>50</v>
      </c>
      <c r="P20" s="33" t="s">
        <v>48</v>
      </c>
      <c r="Q20" s="35" t="s">
        <v>84</v>
      </c>
      <c r="R20" s="34"/>
      <c r="S20" s="29" t="str">
        <f>"425,0"</f>
        <v>425,0</v>
      </c>
      <c r="T20" s="29" t="str">
        <f>"330,3559"</f>
        <v>330,3559</v>
      </c>
      <c r="U20" s="27" t="s">
        <v>328</v>
      </c>
    </row>
    <row r="22" spans="1:21" ht="16">
      <c r="A22" s="45" t="s">
        <v>101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21">
      <c r="A23" s="22" t="s">
        <v>60</v>
      </c>
      <c r="B23" s="7" t="s">
        <v>102</v>
      </c>
      <c r="C23" s="7" t="s">
        <v>103</v>
      </c>
      <c r="D23" s="7" t="s">
        <v>104</v>
      </c>
      <c r="E23" s="8" t="s">
        <v>372</v>
      </c>
      <c r="F23" s="7" t="s">
        <v>337</v>
      </c>
      <c r="G23" s="21" t="s">
        <v>105</v>
      </c>
      <c r="H23" s="21" t="s">
        <v>106</v>
      </c>
      <c r="I23" s="21" t="s">
        <v>107</v>
      </c>
      <c r="J23" s="22"/>
      <c r="K23" s="21" t="s">
        <v>50</v>
      </c>
      <c r="L23" s="21" t="s">
        <v>108</v>
      </c>
      <c r="M23" s="21" t="s">
        <v>48</v>
      </c>
      <c r="N23" s="22"/>
      <c r="O23" s="21" t="s">
        <v>41</v>
      </c>
      <c r="P23" s="21" t="s">
        <v>42</v>
      </c>
      <c r="Q23" s="21" t="s">
        <v>109</v>
      </c>
      <c r="R23" s="22"/>
      <c r="S23" s="9" t="str">
        <f>"692,5"</f>
        <v>692,5</v>
      </c>
      <c r="T23" s="9" t="str">
        <f>"463,0537"</f>
        <v>463,0537</v>
      </c>
      <c r="U23" s="7"/>
    </row>
    <row r="25" spans="1:21" ht="16">
      <c r="A25" s="45" t="s">
        <v>110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21">
      <c r="A26" s="22" t="s">
        <v>60</v>
      </c>
      <c r="B26" s="7" t="s">
        <v>111</v>
      </c>
      <c r="C26" s="7" t="s">
        <v>112</v>
      </c>
      <c r="D26" s="7" t="s">
        <v>113</v>
      </c>
      <c r="E26" s="8" t="s">
        <v>370</v>
      </c>
      <c r="F26" s="7" t="s">
        <v>14</v>
      </c>
      <c r="G26" s="21" t="s">
        <v>40</v>
      </c>
      <c r="H26" s="21" t="s">
        <v>114</v>
      </c>
      <c r="I26" s="21" t="s">
        <v>36</v>
      </c>
      <c r="J26" s="22"/>
      <c r="K26" s="21" t="s">
        <v>89</v>
      </c>
      <c r="L26" s="21" t="s">
        <v>115</v>
      </c>
      <c r="M26" s="21" t="s">
        <v>50</v>
      </c>
      <c r="N26" s="22"/>
      <c r="O26" s="21" t="s">
        <v>41</v>
      </c>
      <c r="P26" s="21" t="s">
        <v>116</v>
      </c>
      <c r="Q26" s="23" t="s">
        <v>43</v>
      </c>
      <c r="R26" s="22"/>
      <c r="S26" s="9" t="str">
        <f>"645,0"</f>
        <v>645,0</v>
      </c>
      <c r="T26" s="9" t="str">
        <f>"385,1940"</f>
        <v>385,1940</v>
      </c>
      <c r="U26" s="7"/>
    </row>
    <row r="28" spans="1:21" ht="16">
      <c r="A28" s="45" t="s">
        <v>44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21">
      <c r="A29" s="22" t="s">
        <v>60</v>
      </c>
      <c r="B29" s="7" t="s">
        <v>117</v>
      </c>
      <c r="C29" s="7" t="s">
        <v>118</v>
      </c>
      <c r="D29" s="7" t="s">
        <v>119</v>
      </c>
      <c r="E29" s="8" t="s">
        <v>370</v>
      </c>
      <c r="F29" s="7" t="s">
        <v>14</v>
      </c>
      <c r="G29" s="21" t="s">
        <v>120</v>
      </c>
      <c r="H29" s="21" t="s">
        <v>89</v>
      </c>
      <c r="I29" s="21" t="s">
        <v>31</v>
      </c>
      <c r="J29" s="22"/>
      <c r="K29" s="21" t="s">
        <v>121</v>
      </c>
      <c r="L29" s="21" t="s">
        <v>96</v>
      </c>
      <c r="M29" s="21" t="s">
        <v>21</v>
      </c>
      <c r="N29" s="22"/>
      <c r="O29" s="21" t="s">
        <v>40</v>
      </c>
      <c r="P29" s="21" t="s">
        <v>122</v>
      </c>
      <c r="Q29" s="23" t="s">
        <v>123</v>
      </c>
      <c r="R29" s="22"/>
      <c r="S29" s="9" t="str">
        <f>"475,0"</f>
        <v>475,0</v>
      </c>
      <c r="T29" s="9" t="str">
        <f>"276,6400"</f>
        <v>276,6400</v>
      </c>
      <c r="U29" s="7"/>
    </row>
    <row r="31" spans="1:21">
      <c r="E31" s="5"/>
      <c r="F31" s="10"/>
      <c r="G31" s="5"/>
    </row>
  </sheetData>
  <mergeCells count="21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8:R28"/>
    <mergeCell ref="B3:B4"/>
    <mergeCell ref="A8:R8"/>
    <mergeCell ref="A11:R11"/>
    <mergeCell ref="A14:R14"/>
    <mergeCell ref="A18:R18"/>
    <mergeCell ref="A22:R22"/>
    <mergeCell ref="A25:R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5">
    <pageSetUpPr fitToPage="1"/>
  </sheetPr>
  <dimension ref="A1:U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3.8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57" t="s">
        <v>346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2" t="s">
        <v>60</v>
      </c>
      <c r="B6" s="7" t="s">
        <v>11</v>
      </c>
      <c r="C6" s="7" t="s">
        <v>12</v>
      </c>
      <c r="D6" s="7" t="s">
        <v>13</v>
      </c>
      <c r="E6" s="8" t="s">
        <v>370</v>
      </c>
      <c r="F6" s="7" t="s">
        <v>14</v>
      </c>
      <c r="G6" s="21" t="s">
        <v>15</v>
      </c>
      <c r="H6" s="21" t="s">
        <v>16</v>
      </c>
      <c r="I6" s="21" t="s">
        <v>17</v>
      </c>
      <c r="J6" s="22"/>
      <c r="K6" s="21" t="s">
        <v>18</v>
      </c>
      <c r="L6" s="23" t="s">
        <v>19</v>
      </c>
      <c r="M6" s="23" t="s">
        <v>19</v>
      </c>
      <c r="N6" s="22"/>
      <c r="O6" s="21" t="s">
        <v>15</v>
      </c>
      <c r="P6" s="21" t="s">
        <v>20</v>
      </c>
      <c r="Q6" s="21" t="s">
        <v>21</v>
      </c>
      <c r="R6" s="22"/>
      <c r="S6" s="9" t="str">
        <f>"315,0"</f>
        <v>315,0</v>
      </c>
      <c r="T6" s="9" t="str">
        <f>"321,4890"</f>
        <v>321,4890</v>
      </c>
      <c r="U6" s="7" t="s">
        <v>336</v>
      </c>
    </row>
    <row r="8" spans="1:21" ht="16">
      <c r="A8" s="45" t="s">
        <v>22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22" t="s">
        <v>60</v>
      </c>
      <c r="B9" s="7" t="s">
        <v>23</v>
      </c>
      <c r="C9" s="7" t="s">
        <v>24</v>
      </c>
      <c r="D9" s="7" t="s">
        <v>25</v>
      </c>
      <c r="E9" s="8" t="s">
        <v>370</v>
      </c>
      <c r="F9" s="7" t="s">
        <v>14</v>
      </c>
      <c r="G9" s="21" t="s">
        <v>20</v>
      </c>
      <c r="H9" s="21" t="s">
        <v>21</v>
      </c>
      <c r="I9" s="21" t="s">
        <v>26</v>
      </c>
      <c r="J9" s="22"/>
      <c r="K9" s="21" t="s">
        <v>27</v>
      </c>
      <c r="L9" s="21" t="s">
        <v>28</v>
      </c>
      <c r="M9" s="23" t="s">
        <v>29</v>
      </c>
      <c r="N9" s="22"/>
      <c r="O9" s="21" t="s">
        <v>20</v>
      </c>
      <c r="P9" s="21" t="s">
        <v>30</v>
      </c>
      <c r="Q9" s="21" t="s">
        <v>31</v>
      </c>
      <c r="R9" s="22"/>
      <c r="S9" s="9" t="str">
        <f>"352,5"</f>
        <v>352,5</v>
      </c>
      <c r="T9" s="9" t="str">
        <f>"341,8545"</f>
        <v>341,8545</v>
      </c>
      <c r="U9" s="7" t="s">
        <v>336</v>
      </c>
    </row>
    <row r="11" spans="1:21" ht="16">
      <c r="A11" s="45" t="s">
        <v>32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22" t="s">
        <v>60</v>
      </c>
      <c r="B12" s="7" t="s">
        <v>33</v>
      </c>
      <c r="C12" s="7" t="s">
        <v>34</v>
      </c>
      <c r="D12" s="7" t="s">
        <v>35</v>
      </c>
      <c r="E12" s="8" t="s">
        <v>370</v>
      </c>
      <c r="F12" s="7" t="s">
        <v>14</v>
      </c>
      <c r="G12" s="21" t="s">
        <v>36</v>
      </c>
      <c r="H12" s="21" t="s">
        <v>37</v>
      </c>
      <c r="I12" s="21" t="s">
        <v>38</v>
      </c>
      <c r="J12" s="22"/>
      <c r="K12" s="21" t="s">
        <v>31</v>
      </c>
      <c r="L12" s="21" t="s">
        <v>39</v>
      </c>
      <c r="M12" s="21" t="s">
        <v>40</v>
      </c>
      <c r="N12" s="22"/>
      <c r="O12" s="21" t="s">
        <v>41</v>
      </c>
      <c r="P12" s="21" t="s">
        <v>42</v>
      </c>
      <c r="Q12" s="23" t="s">
        <v>43</v>
      </c>
      <c r="R12" s="22"/>
      <c r="S12" s="9" t="str">
        <f>"695,0"</f>
        <v>695,0</v>
      </c>
      <c r="T12" s="9" t="str">
        <f>"473,3645"</f>
        <v>473,3645</v>
      </c>
      <c r="U12" s="7"/>
    </row>
    <row r="14" spans="1:21" ht="16">
      <c r="A14" s="45" t="s">
        <v>44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22" t="s">
        <v>60</v>
      </c>
      <c r="B15" s="7" t="s">
        <v>45</v>
      </c>
      <c r="C15" s="7" t="s">
        <v>46</v>
      </c>
      <c r="D15" s="7" t="s">
        <v>47</v>
      </c>
      <c r="E15" s="8" t="s">
        <v>372</v>
      </c>
      <c r="F15" s="7" t="s">
        <v>14</v>
      </c>
      <c r="G15" s="21" t="s">
        <v>48</v>
      </c>
      <c r="H15" s="21" t="s">
        <v>36</v>
      </c>
      <c r="I15" s="21" t="s">
        <v>49</v>
      </c>
      <c r="J15" s="22"/>
      <c r="K15" s="21" t="s">
        <v>26</v>
      </c>
      <c r="L15" s="21" t="s">
        <v>31</v>
      </c>
      <c r="M15" s="21" t="s">
        <v>50</v>
      </c>
      <c r="N15" s="22"/>
      <c r="O15" s="21" t="s">
        <v>48</v>
      </c>
      <c r="P15" s="21" t="s">
        <v>36</v>
      </c>
      <c r="Q15" s="21" t="s">
        <v>49</v>
      </c>
      <c r="R15" s="22"/>
      <c r="S15" s="9" t="str">
        <f>"575,0"</f>
        <v>575,0</v>
      </c>
      <c r="T15" s="9" t="str">
        <f>"378,2380"</f>
        <v>378,2380</v>
      </c>
      <c r="U15" s="7"/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1:R11"/>
    <mergeCell ref="A14:R14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9"/>
  <sheetViews>
    <sheetView topLeftCell="A13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5.33203125" style="5" bestFit="1" customWidth="1"/>
    <col min="14" max="16384" width="9.1640625" style="3"/>
  </cols>
  <sheetData>
    <row r="1" spans="1:13" s="2" customFormat="1" ht="29" customHeight="1">
      <c r="A1" s="57" t="s">
        <v>342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8</v>
      </c>
      <c r="H3" s="69"/>
      <c r="I3" s="69"/>
      <c r="J3" s="69"/>
      <c r="K3" s="49" t="s">
        <v>221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127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60</v>
      </c>
      <c r="B6" s="7" t="s">
        <v>353</v>
      </c>
      <c r="C6" s="7" t="s">
        <v>128</v>
      </c>
      <c r="D6" s="7" t="s">
        <v>129</v>
      </c>
      <c r="E6" s="8" t="s">
        <v>370</v>
      </c>
      <c r="F6" s="7" t="s">
        <v>14</v>
      </c>
      <c r="G6" s="21" t="s">
        <v>130</v>
      </c>
      <c r="H6" s="21" t="s">
        <v>68</v>
      </c>
      <c r="I6" s="23" t="s">
        <v>27</v>
      </c>
      <c r="J6" s="22"/>
      <c r="K6" s="9" t="str">
        <f>"45,0"</f>
        <v>45,0</v>
      </c>
      <c r="L6" s="9" t="str">
        <f>"60,0570"</f>
        <v>60,0570</v>
      </c>
      <c r="M6" s="7" t="s">
        <v>331</v>
      </c>
    </row>
    <row r="8" spans="1:13" ht="16">
      <c r="A8" s="45" t="s">
        <v>131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60</v>
      </c>
      <c r="B9" s="7" t="s">
        <v>223</v>
      </c>
      <c r="C9" s="7" t="s">
        <v>224</v>
      </c>
      <c r="D9" s="7" t="s">
        <v>225</v>
      </c>
      <c r="E9" s="8" t="s">
        <v>370</v>
      </c>
      <c r="F9" s="7" t="s">
        <v>14</v>
      </c>
      <c r="G9" s="21" t="s">
        <v>27</v>
      </c>
      <c r="H9" s="23" t="s">
        <v>226</v>
      </c>
      <c r="I9" s="23" t="s">
        <v>226</v>
      </c>
      <c r="J9" s="22"/>
      <c r="K9" s="9" t="str">
        <f>"50,0"</f>
        <v>50,0</v>
      </c>
      <c r="L9" s="9" t="str">
        <f>"63,6500"</f>
        <v>63,6500</v>
      </c>
      <c r="M9" s="7" t="s">
        <v>330</v>
      </c>
    </row>
    <row r="11" spans="1:13" ht="16">
      <c r="A11" s="45" t="s">
        <v>175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22" t="s">
        <v>60</v>
      </c>
      <c r="B12" s="7" t="s">
        <v>227</v>
      </c>
      <c r="C12" s="7" t="s">
        <v>228</v>
      </c>
      <c r="D12" s="7" t="s">
        <v>229</v>
      </c>
      <c r="E12" s="8" t="s">
        <v>370</v>
      </c>
      <c r="F12" s="7" t="s">
        <v>14</v>
      </c>
      <c r="G12" s="21" t="s">
        <v>75</v>
      </c>
      <c r="H12" s="21" t="s">
        <v>28</v>
      </c>
      <c r="I12" s="23" t="s">
        <v>29</v>
      </c>
      <c r="J12" s="22"/>
      <c r="K12" s="9" t="str">
        <f>"62,5"</f>
        <v>62,5</v>
      </c>
      <c r="L12" s="9" t="str">
        <f>"74,2688"</f>
        <v>74,2688</v>
      </c>
      <c r="M12" s="7"/>
    </row>
    <row r="14" spans="1:13" ht="16">
      <c r="A14" s="45" t="s">
        <v>22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32" t="s">
        <v>60</v>
      </c>
      <c r="B15" s="24" t="s">
        <v>230</v>
      </c>
      <c r="C15" s="24" t="s">
        <v>231</v>
      </c>
      <c r="D15" s="24" t="s">
        <v>232</v>
      </c>
      <c r="E15" s="25" t="s">
        <v>373</v>
      </c>
      <c r="F15" s="24" t="s">
        <v>14</v>
      </c>
      <c r="G15" s="30" t="s">
        <v>67</v>
      </c>
      <c r="H15" s="31" t="s">
        <v>233</v>
      </c>
      <c r="I15" s="31" t="s">
        <v>88</v>
      </c>
      <c r="J15" s="32"/>
      <c r="K15" s="26" t="str">
        <f>"82,5"</f>
        <v>82,5</v>
      </c>
      <c r="L15" s="26" t="str">
        <f>"59,6888"</f>
        <v>59,6888</v>
      </c>
      <c r="M15" s="24" t="s">
        <v>332</v>
      </c>
    </row>
    <row r="16" spans="1:13">
      <c r="A16" s="39" t="s">
        <v>60</v>
      </c>
      <c r="B16" s="36" t="s">
        <v>234</v>
      </c>
      <c r="C16" s="36" t="s">
        <v>235</v>
      </c>
      <c r="D16" s="36" t="s">
        <v>232</v>
      </c>
      <c r="E16" s="37" t="s">
        <v>374</v>
      </c>
      <c r="F16" s="36" t="s">
        <v>14</v>
      </c>
      <c r="G16" s="40" t="s">
        <v>236</v>
      </c>
      <c r="H16" s="40" t="s">
        <v>76</v>
      </c>
      <c r="I16" s="40" t="s">
        <v>144</v>
      </c>
      <c r="J16" s="39"/>
      <c r="K16" s="38" t="str">
        <f>"107,5"</f>
        <v>107,5</v>
      </c>
      <c r="L16" s="38" t="str">
        <f>"77,7763"</f>
        <v>77,7763</v>
      </c>
      <c r="M16" s="36" t="s">
        <v>359</v>
      </c>
    </row>
    <row r="17" spans="1:13">
      <c r="A17" s="39" t="s">
        <v>60</v>
      </c>
      <c r="B17" s="36" t="s">
        <v>237</v>
      </c>
      <c r="C17" s="36" t="s">
        <v>238</v>
      </c>
      <c r="D17" s="36" t="s">
        <v>239</v>
      </c>
      <c r="E17" s="37" t="s">
        <v>370</v>
      </c>
      <c r="F17" s="36" t="s">
        <v>14</v>
      </c>
      <c r="G17" s="40" t="s">
        <v>17</v>
      </c>
      <c r="H17" s="40" t="s">
        <v>30</v>
      </c>
      <c r="I17" s="39"/>
      <c r="J17" s="39"/>
      <c r="K17" s="38" t="str">
        <f>"135,0"</f>
        <v>135,0</v>
      </c>
      <c r="L17" s="38" t="str">
        <f>"98,7525"</f>
        <v>98,7525</v>
      </c>
      <c r="M17" s="36" t="s">
        <v>202</v>
      </c>
    </row>
    <row r="18" spans="1:13">
      <c r="A18" s="34" t="s">
        <v>126</v>
      </c>
      <c r="B18" s="27" t="s">
        <v>240</v>
      </c>
      <c r="C18" s="27" t="s">
        <v>241</v>
      </c>
      <c r="D18" s="27" t="s">
        <v>232</v>
      </c>
      <c r="E18" s="28" t="s">
        <v>370</v>
      </c>
      <c r="F18" s="27" t="s">
        <v>14</v>
      </c>
      <c r="G18" s="33" t="s">
        <v>74</v>
      </c>
      <c r="H18" s="35" t="s">
        <v>136</v>
      </c>
      <c r="I18" s="35" t="s">
        <v>136</v>
      </c>
      <c r="J18" s="34"/>
      <c r="K18" s="29" t="str">
        <f>"85,0"</f>
        <v>85,0</v>
      </c>
      <c r="L18" s="29" t="str">
        <f>"61,4975"</f>
        <v>61,4975</v>
      </c>
      <c r="M18" s="27"/>
    </row>
    <row r="20" spans="1:13" ht="16">
      <c r="A20" s="45" t="s">
        <v>32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32" t="s">
        <v>60</v>
      </c>
      <c r="B21" s="24" t="s">
        <v>242</v>
      </c>
      <c r="C21" s="24" t="s">
        <v>243</v>
      </c>
      <c r="D21" s="24" t="s">
        <v>244</v>
      </c>
      <c r="E21" s="25" t="s">
        <v>371</v>
      </c>
      <c r="F21" s="24" t="s">
        <v>14</v>
      </c>
      <c r="G21" s="30" t="s">
        <v>136</v>
      </c>
      <c r="H21" s="30" t="s">
        <v>76</v>
      </c>
      <c r="I21" s="30" t="s">
        <v>245</v>
      </c>
      <c r="J21" s="32"/>
      <c r="K21" s="26" t="str">
        <f>"112,5"</f>
        <v>112,5</v>
      </c>
      <c r="L21" s="26" t="str">
        <f>"76,2075"</f>
        <v>76,2075</v>
      </c>
      <c r="M21" s="24" t="s">
        <v>326</v>
      </c>
    </row>
    <row r="22" spans="1:13">
      <c r="A22" s="39" t="s">
        <v>60</v>
      </c>
      <c r="B22" s="36" t="s">
        <v>246</v>
      </c>
      <c r="C22" s="36" t="s">
        <v>247</v>
      </c>
      <c r="D22" s="36" t="s">
        <v>248</v>
      </c>
      <c r="E22" s="37" t="s">
        <v>370</v>
      </c>
      <c r="F22" s="36" t="s">
        <v>249</v>
      </c>
      <c r="G22" s="40" t="s">
        <v>50</v>
      </c>
      <c r="H22" s="40" t="s">
        <v>39</v>
      </c>
      <c r="I22" s="41" t="s">
        <v>48</v>
      </c>
      <c r="J22" s="39"/>
      <c r="K22" s="38" t="str">
        <f>"165,0"</f>
        <v>165,0</v>
      </c>
      <c r="L22" s="38" t="str">
        <f>"111,3585"</f>
        <v>111,3585</v>
      </c>
      <c r="M22" s="36"/>
    </row>
    <row r="23" spans="1:13">
      <c r="A23" s="39" t="s">
        <v>126</v>
      </c>
      <c r="B23" s="36" t="s">
        <v>250</v>
      </c>
      <c r="C23" s="36" t="s">
        <v>251</v>
      </c>
      <c r="D23" s="36" t="s">
        <v>252</v>
      </c>
      <c r="E23" s="37" t="s">
        <v>370</v>
      </c>
      <c r="F23" s="36" t="s">
        <v>14</v>
      </c>
      <c r="G23" s="40" t="s">
        <v>26</v>
      </c>
      <c r="H23" s="40" t="s">
        <v>89</v>
      </c>
      <c r="I23" s="41" t="s">
        <v>115</v>
      </c>
      <c r="J23" s="39"/>
      <c r="K23" s="38" t="str">
        <f>"145,0"</f>
        <v>145,0</v>
      </c>
      <c r="L23" s="38" t="str">
        <f>"97,3530"</f>
        <v>97,3530</v>
      </c>
      <c r="M23" s="36" t="s">
        <v>202</v>
      </c>
    </row>
    <row r="24" spans="1:13">
      <c r="A24" s="39" t="s">
        <v>222</v>
      </c>
      <c r="B24" s="36" t="s">
        <v>253</v>
      </c>
      <c r="C24" s="36" t="s">
        <v>254</v>
      </c>
      <c r="D24" s="36" t="s">
        <v>255</v>
      </c>
      <c r="E24" s="37" t="s">
        <v>370</v>
      </c>
      <c r="F24" s="36" t="s">
        <v>14</v>
      </c>
      <c r="G24" s="40" t="s">
        <v>26</v>
      </c>
      <c r="H24" s="40" t="s">
        <v>89</v>
      </c>
      <c r="I24" s="41" t="s">
        <v>31</v>
      </c>
      <c r="J24" s="39"/>
      <c r="K24" s="38" t="str">
        <f>"145,0"</f>
        <v>145,0</v>
      </c>
      <c r="L24" s="38" t="str">
        <f>"97,2080"</f>
        <v>97,2080</v>
      </c>
      <c r="M24" s="36" t="s">
        <v>334</v>
      </c>
    </row>
    <row r="25" spans="1:13">
      <c r="A25" s="39" t="s">
        <v>276</v>
      </c>
      <c r="B25" s="36" t="s">
        <v>256</v>
      </c>
      <c r="C25" s="36" t="s">
        <v>257</v>
      </c>
      <c r="D25" s="36" t="s">
        <v>258</v>
      </c>
      <c r="E25" s="37" t="s">
        <v>370</v>
      </c>
      <c r="F25" s="36" t="s">
        <v>14</v>
      </c>
      <c r="G25" s="40" t="s">
        <v>21</v>
      </c>
      <c r="H25" s="41" t="s">
        <v>30</v>
      </c>
      <c r="I25" s="41" t="s">
        <v>30</v>
      </c>
      <c r="J25" s="39"/>
      <c r="K25" s="38" t="str">
        <f>"130,0"</f>
        <v>130,0</v>
      </c>
      <c r="L25" s="38" t="str">
        <f>"87,6720"</f>
        <v>87,6720</v>
      </c>
      <c r="M25" s="36"/>
    </row>
    <row r="26" spans="1:13">
      <c r="A26" s="34" t="s">
        <v>277</v>
      </c>
      <c r="B26" s="27" t="s">
        <v>259</v>
      </c>
      <c r="C26" s="27" t="s">
        <v>260</v>
      </c>
      <c r="D26" s="27" t="s">
        <v>261</v>
      </c>
      <c r="E26" s="28" t="s">
        <v>370</v>
      </c>
      <c r="F26" s="27" t="s">
        <v>14</v>
      </c>
      <c r="G26" s="33" t="s">
        <v>20</v>
      </c>
      <c r="H26" s="35" t="s">
        <v>121</v>
      </c>
      <c r="I26" s="35" t="s">
        <v>121</v>
      </c>
      <c r="J26" s="34"/>
      <c r="K26" s="29" t="str">
        <f>"120,0"</f>
        <v>120,0</v>
      </c>
      <c r="L26" s="29" t="str">
        <f>"82,9200"</f>
        <v>82,9200</v>
      </c>
      <c r="M26" s="27"/>
    </row>
    <row r="28" spans="1:13" ht="16">
      <c r="A28" s="45" t="s">
        <v>91</v>
      </c>
      <c r="B28" s="45"/>
      <c r="C28" s="46"/>
      <c r="D28" s="46"/>
      <c r="E28" s="46"/>
      <c r="F28" s="46"/>
      <c r="G28" s="46"/>
      <c r="H28" s="46"/>
      <c r="I28" s="46"/>
      <c r="J28" s="46"/>
    </row>
    <row r="29" spans="1:13">
      <c r="A29" s="32" t="s">
        <v>60</v>
      </c>
      <c r="B29" s="24" t="s">
        <v>154</v>
      </c>
      <c r="C29" s="24" t="s">
        <v>155</v>
      </c>
      <c r="D29" s="24" t="s">
        <v>156</v>
      </c>
      <c r="E29" s="25" t="s">
        <v>374</v>
      </c>
      <c r="F29" s="24" t="s">
        <v>14</v>
      </c>
      <c r="G29" s="30" t="s">
        <v>17</v>
      </c>
      <c r="H29" s="30" t="s">
        <v>158</v>
      </c>
      <c r="I29" s="30" t="s">
        <v>120</v>
      </c>
      <c r="J29" s="32"/>
      <c r="K29" s="26" t="str">
        <f>"137,5"</f>
        <v>137,5</v>
      </c>
      <c r="L29" s="26" t="str">
        <f>"91,1350"</f>
        <v>91,1350</v>
      </c>
      <c r="M29" s="24" t="s">
        <v>321</v>
      </c>
    </row>
    <row r="30" spans="1:13">
      <c r="A30" s="39" t="s">
        <v>60</v>
      </c>
      <c r="B30" s="36" t="s">
        <v>262</v>
      </c>
      <c r="C30" s="36" t="s">
        <v>263</v>
      </c>
      <c r="D30" s="36" t="s">
        <v>264</v>
      </c>
      <c r="E30" s="37" t="s">
        <v>371</v>
      </c>
      <c r="F30" s="36" t="s">
        <v>14</v>
      </c>
      <c r="G30" s="40" t="s">
        <v>26</v>
      </c>
      <c r="H30" s="40" t="s">
        <v>115</v>
      </c>
      <c r="I30" s="40" t="s">
        <v>50</v>
      </c>
      <c r="J30" s="39"/>
      <c r="K30" s="38" t="str">
        <f>"160,0"</f>
        <v>160,0</v>
      </c>
      <c r="L30" s="38" t="str">
        <f>"103,7920"</f>
        <v>103,7920</v>
      </c>
      <c r="M30" s="36" t="s">
        <v>202</v>
      </c>
    </row>
    <row r="31" spans="1:13">
      <c r="A31" s="39" t="s">
        <v>60</v>
      </c>
      <c r="B31" s="36" t="s">
        <v>262</v>
      </c>
      <c r="C31" s="36" t="s">
        <v>265</v>
      </c>
      <c r="D31" s="36" t="s">
        <v>264</v>
      </c>
      <c r="E31" s="37" t="s">
        <v>370</v>
      </c>
      <c r="F31" s="36" t="s">
        <v>14</v>
      </c>
      <c r="G31" s="40" t="s">
        <v>26</v>
      </c>
      <c r="H31" s="40" t="s">
        <v>115</v>
      </c>
      <c r="I31" s="40" t="s">
        <v>50</v>
      </c>
      <c r="J31" s="39"/>
      <c r="K31" s="38" t="str">
        <f>"160,0"</f>
        <v>160,0</v>
      </c>
      <c r="L31" s="38" t="str">
        <f>"103,7920"</f>
        <v>103,7920</v>
      </c>
      <c r="M31" s="36" t="s">
        <v>202</v>
      </c>
    </row>
    <row r="32" spans="1:13">
      <c r="A32" s="39" t="s">
        <v>126</v>
      </c>
      <c r="B32" s="36" t="s">
        <v>266</v>
      </c>
      <c r="C32" s="36" t="s">
        <v>267</v>
      </c>
      <c r="D32" s="36" t="s">
        <v>268</v>
      </c>
      <c r="E32" s="37" t="s">
        <v>370</v>
      </c>
      <c r="F32" s="36" t="s">
        <v>358</v>
      </c>
      <c r="G32" s="41" t="s">
        <v>30</v>
      </c>
      <c r="H32" s="40" t="s">
        <v>30</v>
      </c>
      <c r="I32" s="40" t="s">
        <v>120</v>
      </c>
      <c r="J32" s="39"/>
      <c r="K32" s="38" t="str">
        <f>"137,5"</f>
        <v>137,5</v>
      </c>
      <c r="L32" s="38" t="str">
        <f>"89,9250"</f>
        <v>89,9250</v>
      </c>
      <c r="M32" s="36"/>
    </row>
    <row r="33" spans="1:13">
      <c r="A33" s="39" t="s">
        <v>222</v>
      </c>
      <c r="B33" s="36" t="s">
        <v>269</v>
      </c>
      <c r="C33" s="36" t="s">
        <v>270</v>
      </c>
      <c r="D33" s="36" t="s">
        <v>271</v>
      </c>
      <c r="E33" s="37" t="s">
        <v>370</v>
      </c>
      <c r="F33" s="36" t="s">
        <v>14</v>
      </c>
      <c r="G33" s="40" t="s">
        <v>20</v>
      </c>
      <c r="H33" s="40" t="s">
        <v>158</v>
      </c>
      <c r="I33" s="40" t="s">
        <v>30</v>
      </c>
      <c r="J33" s="39"/>
      <c r="K33" s="38" t="str">
        <f>"135,0"</f>
        <v>135,0</v>
      </c>
      <c r="L33" s="38" t="str">
        <f>"86,9940"</f>
        <v>86,9940</v>
      </c>
      <c r="M33" s="36"/>
    </row>
    <row r="34" spans="1:13">
      <c r="A34" s="34" t="s">
        <v>60</v>
      </c>
      <c r="B34" s="27" t="s">
        <v>269</v>
      </c>
      <c r="C34" s="27" t="s">
        <v>272</v>
      </c>
      <c r="D34" s="27" t="s">
        <v>271</v>
      </c>
      <c r="E34" s="28" t="s">
        <v>372</v>
      </c>
      <c r="F34" s="27" t="s">
        <v>14</v>
      </c>
      <c r="G34" s="33" t="s">
        <v>20</v>
      </c>
      <c r="H34" s="33" t="s">
        <v>158</v>
      </c>
      <c r="I34" s="33" t="s">
        <v>30</v>
      </c>
      <c r="J34" s="34"/>
      <c r="K34" s="29" t="str">
        <f>"135,0"</f>
        <v>135,0</v>
      </c>
      <c r="L34" s="29" t="str">
        <f>"87,4290"</f>
        <v>87,4290</v>
      </c>
      <c r="M34" s="27"/>
    </row>
    <row r="36" spans="1:13" ht="16">
      <c r="A36" s="45" t="s">
        <v>101</v>
      </c>
      <c r="B36" s="45"/>
      <c r="C36" s="46"/>
      <c r="D36" s="46"/>
      <c r="E36" s="46"/>
      <c r="F36" s="46"/>
      <c r="G36" s="46"/>
      <c r="H36" s="46"/>
      <c r="I36" s="46"/>
      <c r="J36" s="46"/>
    </row>
    <row r="37" spans="1:13">
      <c r="A37" s="22" t="s">
        <v>60</v>
      </c>
      <c r="B37" s="7" t="s">
        <v>273</v>
      </c>
      <c r="C37" s="7" t="s">
        <v>274</v>
      </c>
      <c r="D37" s="7" t="s">
        <v>275</v>
      </c>
      <c r="E37" s="8" t="s">
        <v>370</v>
      </c>
      <c r="F37" s="7" t="s">
        <v>14</v>
      </c>
      <c r="G37" s="21" t="s">
        <v>26</v>
      </c>
      <c r="H37" s="21" t="s">
        <v>89</v>
      </c>
      <c r="I37" s="23" t="s">
        <v>31</v>
      </c>
      <c r="J37" s="22"/>
      <c r="K37" s="9" t="str">
        <f>"145,0"</f>
        <v>145,0</v>
      </c>
      <c r="L37" s="9" t="str">
        <f>"91,2340"</f>
        <v>91,2340</v>
      </c>
      <c r="M37" s="7" t="s">
        <v>333</v>
      </c>
    </row>
    <row r="39" spans="1:13" ht="16">
      <c r="F39" s="11"/>
      <c r="G39" s="5"/>
      <c r="K39" s="19"/>
      <c r="M39" s="6"/>
    </row>
    <row r="40" spans="1:13">
      <c r="G40" s="5"/>
      <c r="K40" s="19"/>
      <c r="M40" s="6"/>
    </row>
    <row r="41" spans="1:13" ht="18">
      <c r="B41" s="12" t="s">
        <v>51</v>
      </c>
      <c r="C41" s="12"/>
      <c r="G41" s="3"/>
      <c r="K41" s="19"/>
      <c r="M41" s="6"/>
    </row>
    <row r="42" spans="1:13" ht="16">
      <c r="B42" s="13" t="s">
        <v>58</v>
      </c>
      <c r="C42" s="13"/>
      <c r="G42" s="3"/>
      <c r="K42" s="19"/>
      <c r="M42" s="6"/>
    </row>
    <row r="43" spans="1:13" ht="14">
      <c r="B43" s="14"/>
      <c r="C43" s="15" t="s">
        <v>52</v>
      </c>
      <c r="G43" s="3"/>
      <c r="K43" s="19"/>
      <c r="M43" s="6"/>
    </row>
    <row r="44" spans="1:13" ht="14">
      <c r="B44" s="16" t="s">
        <v>53</v>
      </c>
      <c r="C44" s="16" t="s">
        <v>54</v>
      </c>
      <c r="D44" s="16" t="s">
        <v>357</v>
      </c>
      <c r="E44" s="17" t="s">
        <v>220</v>
      </c>
      <c r="F44" s="16" t="s">
        <v>55</v>
      </c>
      <c r="G44" s="3"/>
      <c r="K44" s="19"/>
      <c r="M44" s="6"/>
    </row>
    <row r="45" spans="1:13">
      <c r="B45" s="5" t="s">
        <v>246</v>
      </c>
      <c r="C45" s="5" t="s">
        <v>52</v>
      </c>
      <c r="D45" s="19" t="s">
        <v>59</v>
      </c>
      <c r="E45" s="20">
        <v>165</v>
      </c>
      <c r="F45" s="18">
        <v>111.358499228954</v>
      </c>
      <c r="G45" s="3"/>
      <c r="K45" s="19"/>
      <c r="M45" s="6"/>
    </row>
    <row r="46" spans="1:13">
      <c r="B46" s="5" t="s">
        <v>262</v>
      </c>
      <c r="C46" s="5" t="s">
        <v>52</v>
      </c>
      <c r="D46" s="19" t="s">
        <v>125</v>
      </c>
      <c r="E46" s="20">
        <v>160</v>
      </c>
      <c r="F46" s="18">
        <v>103.791999816895</v>
      </c>
      <c r="G46" s="3"/>
      <c r="K46" s="19"/>
      <c r="M46" s="6"/>
    </row>
    <row r="47" spans="1:13">
      <c r="B47" s="5" t="s">
        <v>237</v>
      </c>
      <c r="C47" s="5" t="s">
        <v>52</v>
      </c>
      <c r="D47" s="19" t="s">
        <v>56</v>
      </c>
      <c r="E47" s="20">
        <v>135</v>
      </c>
      <c r="F47" s="18">
        <v>98.752503991127</v>
      </c>
      <c r="G47" s="3"/>
      <c r="K47" s="19"/>
      <c r="M47" s="6"/>
    </row>
    <row r="48" spans="1:13">
      <c r="E48" s="5"/>
      <c r="F48" s="10"/>
      <c r="G48" s="5"/>
      <c r="K48" s="19"/>
      <c r="M48" s="6"/>
    </row>
    <row r="49" spans="5:13">
      <c r="E49" s="5"/>
      <c r="F49" s="10"/>
      <c r="G49" s="5"/>
      <c r="K49" s="19"/>
      <c r="M49" s="6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36:J36"/>
    <mergeCell ref="K3:K4"/>
    <mergeCell ref="L3:L4"/>
    <mergeCell ref="M3:M4"/>
    <mergeCell ref="A5:J5"/>
    <mergeCell ref="B3:B4"/>
    <mergeCell ref="A8:J8"/>
    <mergeCell ref="A11:J11"/>
    <mergeCell ref="A14:J14"/>
    <mergeCell ref="A20:J20"/>
    <mergeCell ref="A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9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7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57" t="s">
        <v>343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8</v>
      </c>
      <c r="H3" s="69"/>
      <c r="I3" s="69"/>
      <c r="J3" s="69"/>
      <c r="K3" s="49" t="s">
        <v>221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131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60</v>
      </c>
      <c r="B6" s="7" t="s">
        <v>169</v>
      </c>
      <c r="C6" s="7" t="s">
        <v>170</v>
      </c>
      <c r="D6" s="7" t="s">
        <v>171</v>
      </c>
      <c r="E6" s="8" t="s">
        <v>375</v>
      </c>
      <c r="F6" s="7" t="s">
        <v>14</v>
      </c>
      <c r="G6" s="21" t="s">
        <v>68</v>
      </c>
      <c r="H6" s="21" t="s">
        <v>69</v>
      </c>
      <c r="I6" s="23" t="s">
        <v>27</v>
      </c>
      <c r="J6" s="22"/>
      <c r="K6" s="9" t="str">
        <f>"47,5"</f>
        <v>47,5</v>
      </c>
      <c r="L6" s="9" t="str">
        <f>"77,0925"</f>
        <v>77,0925</v>
      </c>
      <c r="M6" s="7" t="s">
        <v>325</v>
      </c>
    </row>
    <row r="8" spans="1:13" ht="16">
      <c r="A8" s="45" t="s">
        <v>22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60</v>
      </c>
      <c r="B9" s="7" t="s">
        <v>172</v>
      </c>
      <c r="C9" s="7" t="s">
        <v>173</v>
      </c>
      <c r="D9" s="7" t="s">
        <v>174</v>
      </c>
      <c r="E9" s="8" t="s">
        <v>375</v>
      </c>
      <c r="F9" s="7" t="s">
        <v>14</v>
      </c>
      <c r="G9" s="23" t="s">
        <v>18</v>
      </c>
      <c r="H9" s="21" t="s">
        <v>28</v>
      </c>
      <c r="I9" s="23" t="s">
        <v>29</v>
      </c>
      <c r="J9" s="22"/>
      <c r="K9" s="9" t="str">
        <f>"62,5"</f>
        <v>62,5</v>
      </c>
      <c r="L9" s="9" t="str">
        <f>"69,8099"</f>
        <v>69,8099</v>
      </c>
      <c r="M9" s="7"/>
    </row>
    <row r="11" spans="1:13" ht="16">
      <c r="A11" s="45" t="s">
        <v>175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22" t="s">
        <v>60</v>
      </c>
      <c r="B12" s="7" t="s">
        <v>176</v>
      </c>
      <c r="C12" s="7" t="s">
        <v>177</v>
      </c>
      <c r="D12" s="7" t="s">
        <v>178</v>
      </c>
      <c r="E12" s="8" t="s">
        <v>374</v>
      </c>
      <c r="F12" s="7" t="s">
        <v>79</v>
      </c>
      <c r="G12" s="21" t="s">
        <v>81</v>
      </c>
      <c r="H12" s="21" t="s">
        <v>67</v>
      </c>
      <c r="I12" s="23" t="s">
        <v>88</v>
      </c>
      <c r="J12" s="22"/>
      <c r="K12" s="9" t="str">
        <f>"82,5"</f>
        <v>82,5</v>
      </c>
      <c r="L12" s="9" t="str">
        <f>"78,9112"</f>
        <v>78,9112</v>
      </c>
      <c r="M12" s="7" t="s">
        <v>323</v>
      </c>
    </row>
    <row r="14" spans="1:13" ht="16">
      <c r="A14" s="45" t="s">
        <v>10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22" t="s">
        <v>60</v>
      </c>
      <c r="B15" s="7" t="s">
        <v>179</v>
      </c>
      <c r="C15" s="7" t="s">
        <v>180</v>
      </c>
      <c r="D15" s="7" t="s">
        <v>181</v>
      </c>
      <c r="E15" s="8" t="s">
        <v>371</v>
      </c>
      <c r="F15" s="7" t="s">
        <v>182</v>
      </c>
      <c r="G15" s="21" t="s">
        <v>80</v>
      </c>
      <c r="H15" s="21" t="s">
        <v>15</v>
      </c>
      <c r="I15" s="21" t="s">
        <v>16</v>
      </c>
      <c r="J15" s="22"/>
      <c r="K15" s="9" t="str">
        <f>"115,0"</f>
        <v>115,0</v>
      </c>
      <c r="L15" s="9" t="str">
        <f>"94,0470"</f>
        <v>94,0470</v>
      </c>
      <c r="M15" s="7" t="s">
        <v>335</v>
      </c>
    </row>
    <row r="17" spans="1:13" ht="16">
      <c r="A17" s="45" t="s">
        <v>22</v>
      </c>
      <c r="B17" s="45"/>
      <c r="C17" s="46"/>
      <c r="D17" s="46"/>
      <c r="E17" s="46"/>
      <c r="F17" s="46"/>
      <c r="G17" s="46"/>
      <c r="H17" s="46"/>
      <c r="I17" s="46"/>
      <c r="J17" s="46"/>
    </row>
    <row r="18" spans="1:13">
      <c r="A18" s="22" t="s">
        <v>60</v>
      </c>
      <c r="B18" s="7" t="s">
        <v>183</v>
      </c>
      <c r="C18" s="7" t="s">
        <v>184</v>
      </c>
      <c r="D18" s="7" t="s">
        <v>185</v>
      </c>
      <c r="E18" s="8" t="s">
        <v>373</v>
      </c>
      <c r="F18" s="7" t="s">
        <v>14</v>
      </c>
      <c r="G18" s="21" t="s">
        <v>19</v>
      </c>
      <c r="H18" s="21" t="s">
        <v>73</v>
      </c>
      <c r="I18" s="21" t="s">
        <v>74</v>
      </c>
      <c r="J18" s="22"/>
      <c r="K18" s="9" t="str">
        <f>"85,0"</f>
        <v>85,0</v>
      </c>
      <c r="L18" s="9" t="str">
        <f>"61,8630"</f>
        <v>61,8630</v>
      </c>
      <c r="M18" s="7" t="s">
        <v>356</v>
      </c>
    </row>
    <row r="20" spans="1:13" ht="16">
      <c r="A20" s="45" t="s">
        <v>91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32" t="s">
        <v>60</v>
      </c>
      <c r="B21" s="24" t="s">
        <v>186</v>
      </c>
      <c r="C21" s="24" t="s">
        <v>187</v>
      </c>
      <c r="D21" s="24" t="s">
        <v>188</v>
      </c>
      <c r="E21" s="25" t="s">
        <v>374</v>
      </c>
      <c r="F21" s="24" t="s">
        <v>14</v>
      </c>
      <c r="G21" s="30" t="s">
        <v>76</v>
      </c>
      <c r="H21" s="30" t="s">
        <v>15</v>
      </c>
      <c r="I21" s="31" t="s">
        <v>16</v>
      </c>
      <c r="J21" s="32"/>
      <c r="K21" s="26" t="str">
        <f>"110,0"</f>
        <v>110,0</v>
      </c>
      <c r="L21" s="26" t="str">
        <f>"70,6310"</f>
        <v>70,6310</v>
      </c>
      <c r="M21" s="24" t="s">
        <v>355</v>
      </c>
    </row>
    <row r="22" spans="1:13">
      <c r="A22" s="34" t="s">
        <v>60</v>
      </c>
      <c r="B22" s="27" t="s">
        <v>189</v>
      </c>
      <c r="C22" s="27" t="s">
        <v>190</v>
      </c>
      <c r="D22" s="27" t="s">
        <v>191</v>
      </c>
      <c r="E22" s="28" t="s">
        <v>370</v>
      </c>
      <c r="F22" s="27" t="s">
        <v>14</v>
      </c>
      <c r="G22" s="33" t="s">
        <v>21</v>
      </c>
      <c r="H22" s="33" t="s">
        <v>26</v>
      </c>
      <c r="I22" s="35" t="s">
        <v>192</v>
      </c>
      <c r="J22" s="34"/>
      <c r="K22" s="29" t="str">
        <f>"140,0"</f>
        <v>140,0</v>
      </c>
      <c r="L22" s="29" t="str">
        <f>"90,0480"</f>
        <v>90,0480</v>
      </c>
      <c r="M22" s="27" t="s">
        <v>336</v>
      </c>
    </row>
    <row r="24" spans="1:13" ht="16">
      <c r="A24" s="45" t="s">
        <v>101</v>
      </c>
      <c r="B24" s="45"/>
      <c r="C24" s="46"/>
      <c r="D24" s="46"/>
      <c r="E24" s="46"/>
      <c r="F24" s="46"/>
      <c r="G24" s="46"/>
      <c r="H24" s="46"/>
      <c r="I24" s="46"/>
      <c r="J24" s="46"/>
    </row>
    <row r="25" spans="1:13">
      <c r="A25" s="32" t="s">
        <v>60</v>
      </c>
      <c r="B25" s="24" t="s">
        <v>193</v>
      </c>
      <c r="C25" s="24" t="s">
        <v>194</v>
      </c>
      <c r="D25" s="24" t="s">
        <v>195</v>
      </c>
      <c r="E25" s="25" t="s">
        <v>370</v>
      </c>
      <c r="F25" s="24" t="s">
        <v>14</v>
      </c>
      <c r="G25" s="30" t="s">
        <v>31</v>
      </c>
      <c r="H25" s="30" t="s">
        <v>50</v>
      </c>
      <c r="I25" s="30" t="s">
        <v>48</v>
      </c>
      <c r="J25" s="32"/>
      <c r="K25" s="26" t="str">
        <f>"170,0"</f>
        <v>170,0</v>
      </c>
      <c r="L25" s="26" t="str">
        <f>"103,6660"</f>
        <v>103,6660</v>
      </c>
      <c r="M25" s="24" t="s">
        <v>355</v>
      </c>
    </row>
    <row r="26" spans="1:13">
      <c r="A26" s="39" t="s">
        <v>126</v>
      </c>
      <c r="B26" s="36" t="s">
        <v>196</v>
      </c>
      <c r="C26" s="36" t="s">
        <v>197</v>
      </c>
      <c r="D26" s="36" t="s">
        <v>198</v>
      </c>
      <c r="E26" s="37" t="s">
        <v>370</v>
      </c>
      <c r="F26" s="36" t="s">
        <v>14</v>
      </c>
      <c r="G26" s="40" t="s">
        <v>95</v>
      </c>
      <c r="H26" s="40" t="s">
        <v>17</v>
      </c>
      <c r="I26" s="41" t="s">
        <v>158</v>
      </c>
      <c r="J26" s="39"/>
      <c r="K26" s="38" t="str">
        <f>"125,0"</f>
        <v>125,0</v>
      </c>
      <c r="L26" s="38" t="str">
        <f>"76,3875"</f>
        <v>76,3875</v>
      </c>
      <c r="M26" s="36"/>
    </row>
    <row r="27" spans="1:13">
      <c r="A27" s="39" t="s">
        <v>222</v>
      </c>
      <c r="B27" s="36" t="s">
        <v>199</v>
      </c>
      <c r="C27" s="36" t="s">
        <v>200</v>
      </c>
      <c r="D27" s="36" t="s">
        <v>201</v>
      </c>
      <c r="E27" s="37" t="s">
        <v>370</v>
      </c>
      <c r="F27" s="36" t="s">
        <v>14</v>
      </c>
      <c r="G27" s="40" t="s">
        <v>76</v>
      </c>
      <c r="H27" s="40" t="s">
        <v>16</v>
      </c>
      <c r="I27" s="40" t="s">
        <v>20</v>
      </c>
      <c r="J27" s="39"/>
      <c r="K27" s="38" t="str">
        <f>"120,0"</f>
        <v>120,0</v>
      </c>
      <c r="L27" s="38" t="str">
        <f>"74,6400"</f>
        <v>74,6400</v>
      </c>
      <c r="M27" s="36"/>
    </row>
    <row r="28" spans="1:13">
      <c r="A28" s="34" t="s">
        <v>60</v>
      </c>
      <c r="B28" s="27" t="s">
        <v>203</v>
      </c>
      <c r="C28" s="27" t="s">
        <v>204</v>
      </c>
      <c r="D28" s="27" t="s">
        <v>205</v>
      </c>
      <c r="E28" s="28" t="s">
        <v>376</v>
      </c>
      <c r="F28" s="27" t="s">
        <v>14</v>
      </c>
      <c r="G28" s="33" t="s">
        <v>21</v>
      </c>
      <c r="H28" s="33" t="s">
        <v>26</v>
      </c>
      <c r="I28" s="34"/>
      <c r="J28" s="34"/>
      <c r="K28" s="29" t="str">
        <f>"140,0"</f>
        <v>140,0</v>
      </c>
      <c r="L28" s="29" t="str">
        <f>"138,2083"</f>
        <v>138,2083</v>
      </c>
      <c r="M28" s="27"/>
    </row>
    <row r="30" spans="1:13" ht="16">
      <c r="A30" s="45" t="s">
        <v>110</v>
      </c>
      <c r="B30" s="45"/>
      <c r="C30" s="46"/>
      <c r="D30" s="46"/>
      <c r="E30" s="46"/>
      <c r="F30" s="46"/>
      <c r="G30" s="46"/>
      <c r="H30" s="46"/>
      <c r="I30" s="46"/>
      <c r="J30" s="46"/>
    </row>
    <row r="31" spans="1:13">
      <c r="A31" s="32" t="s">
        <v>60</v>
      </c>
      <c r="B31" s="24" t="s">
        <v>206</v>
      </c>
      <c r="C31" s="24" t="s">
        <v>207</v>
      </c>
      <c r="D31" s="24" t="s">
        <v>208</v>
      </c>
      <c r="E31" s="25" t="s">
        <v>375</v>
      </c>
      <c r="F31" s="24" t="s">
        <v>14</v>
      </c>
      <c r="G31" s="30" t="s">
        <v>21</v>
      </c>
      <c r="H31" s="30" t="s">
        <v>26</v>
      </c>
      <c r="I31" s="30" t="s">
        <v>192</v>
      </c>
      <c r="J31" s="32"/>
      <c r="K31" s="26" t="str">
        <f>"147,5"</f>
        <v>147,5</v>
      </c>
      <c r="L31" s="26" t="str">
        <f>"99,9939"</f>
        <v>99,9939</v>
      </c>
      <c r="M31" s="24"/>
    </row>
    <row r="32" spans="1:13">
      <c r="A32" s="34" t="s">
        <v>126</v>
      </c>
      <c r="B32" s="27" t="s">
        <v>209</v>
      </c>
      <c r="C32" s="27" t="s">
        <v>210</v>
      </c>
      <c r="D32" s="27" t="s">
        <v>211</v>
      </c>
      <c r="E32" s="28" t="s">
        <v>375</v>
      </c>
      <c r="F32" s="27" t="s">
        <v>14</v>
      </c>
      <c r="G32" s="33" t="s">
        <v>121</v>
      </c>
      <c r="H32" s="33" t="s">
        <v>96</v>
      </c>
      <c r="I32" s="35" t="s">
        <v>158</v>
      </c>
      <c r="J32" s="34"/>
      <c r="K32" s="29" t="str">
        <f>"127,5"</f>
        <v>127,5</v>
      </c>
      <c r="L32" s="29" t="str">
        <f>"98,8236"</f>
        <v>98,8236</v>
      </c>
      <c r="M32" s="27" t="s">
        <v>321</v>
      </c>
    </row>
    <row r="34" spans="1:13" ht="16">
      <c r="A34" s="45" t="s">
        <v>44</v>
      </c>
      <c r="B34" s="45"/>
      <c r="C34" s="46"/>
      <c r="D34" s="46"/>
      <c r="E34" s="46"/>
      <c r="F34" s="46"/>
      <c r="G34" s="46"/>
      <c r="H34" s="46"/>
      <c r="I34" s="46"/>
      <c r="J34" s="46"/>
    </row>
    <row r="35" spans="1:13">
      <c r="A35" s="32" t="s">
        <v>60</v>
      </c>
      <c r="B35" s="24" t="s">
        <v>212</v>
      </c>
      <c r="C35" s="24" t="s">
        <v>213</v>
      </c>
      <c r="D35" s="24" t="s">
        <v>214</v>
      </c>
      <c r="E35" s="25" t="s">
        <v>374</v>
      </c>
      <c r="F35" s="24" t="s">
        <v>14</v>
      </c>
      <c r="G35" s="30" t="s">
        <v>136</v>
      </c>
      <c r="H35" s="30" t="s">
        <v>143</v>
      </c>
      <c r="I35" s="30" t="s">
        <v>15</v>
      </c>
      <c r="J35" s="32"/>
      <c r="K35" s="26" t="str">
        <f>"110,0"</f>
        <v>110,0</v>
      </c>
      <c r="L35" s="26" t="str">
        <f>"64,1960"</f>
        <v>64,1960</v>
      </c>
      <c r="M35" s="24"/>
    </row>
    <row r="36" spans="1:13">
      <c r="A36" s="39" t="s">
        <v>60</v>
      </c>
      <c r="B36" s="36" t="s">
        <v>215</v>
      </c>
      <c r="C36" s="36" t="s">
        <v>216</v>
      </c>
      <c r="D36" s="36" t="s">
        <v>217</v>
      </c>
      <c r="E36" s="37" t="s">
        <v>370</v>
      </c>
      <c r="F36" s="36" t="s">
        <v>218</v>
      </c>
      <c r="G36" s="40" t="s">
        <v>157</v>
      </c>
      <c r="H36" s="40" t="s">
        <v>114</v>
      </c>
      <c r="I36" s="41" t="s">
        <v>219</v>
      </c>
      <c r="J36" s="39"/>
      <c r="K36" s="38" t="str">
        <f>"190,0"</f>
        <v>190,0</v>
      </c>
      <c r="L36" s="38" t="str">
        <f>"110,7890"</f>
        <v>110,7890</v>
      </c>
      <c r="M36" s="36" t="s">
        <v>354</v>
      </c>
    </row>
    <row r="37" spans="1:13">
      <c r="A37" s="34" t="s">
        <v>60</v>
      </c>
      <c r="B37" s="27" t="s">
        <v>45</v>
      </c>
      <c r="C37" s="27" t="s">
        <v>46</v>
      </c>
      <c r="D37" s="27" t="s">
        <v>47</v>
      </c>
      <c r="E37" s="28" t="s">
        <v>372</v>
      </c>
      <c r="F37" s="27" t="s">
        <v>14</v>
      </c>
      <c r="G37" s="33" t="s">
        <v>26</v>
      </c>
      <c r="H37" s="33" t="s">
        <v>31</v>
      </c>
      <c r="I37" s="33" t="s">
        <v>50</v>
      </c>
      <c r="J37" s="34"/>
      <c r="K37" s="29" t="str">
        <f>"160,0"</f>
        <v>160,0</v>
      </c>
      <c r="L37" s="29" t="str">
        <f>"105,2488"</f>
        <v>105,2488</v>
      </c>
      <c r="M37" s="27"/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A34:J34"/>
    <mergeCell ref="B3:B4"/>
    <mergeCell ref="A8:J8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9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8.83203125" style="5" bestFit="1" customWidth="1"/>
    <col min="14" max="16384" width="9.1640625" style="3"/>
  </cols>
  <sheetData>
    <row r="1" spans="1:13" s="2" customFormat="1" ht="29" customHeight="1">
      <c r="A1" s="57" t="s">
        <v>340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9</v>
      </c>
      <c r="H3" s="69"/>
      <c r="I3" s="69"/>
      <c r="J3" s="69"/>
      <c r="K3" s="49" t="s">
        <v>221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287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60</v>
      </c>
      <c r="B6" s="7" t="s">
        <v>288</v>
      </c>
      <c r="C6" s="7" t="s">
        <v>289</v>
      </c>
      <c r="D6" s="7" t="s">
        <v>290</v>
      </c>
      <c r="E6" s="8" t="s">
        <v>370</v>
      </c>
      <c r="F6" s="7" t="s">
        <v>14</v>
      </c>
      <c r="G6" s="21" t="s">
        <v>80</v>
      </c>
      <c r="H6" s="21" t="s">
        <v>15</v>
      </c>
      <c r="I6" s="23" t="s">
        <v>16</v>
      </c>
      <c r="J6" s="22"/>
      <c r="K6" s="9" t="str">
        <f>"110,0"</f>
        <v>110,0</v>
      </c>
      <c r="L6" s="9" t="str">
        <f>"155,5950"</f>
        <v>155,5950</v>
      </c>
      <c r="M6" s="7" t="s">
        <v>322</v>
      </c>
    </row>
    <row r="8" spans="1:13" ht="16">
      <c r="A8" s="45" t="s">
        <v>61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60</v>
      </c>
      <c r="B9" s="7" t="s">
        <v>291</v>
      </c>
      <c r="C9" s="7" t="s">
        <v>292</v>
      </c>
      <c r="D9" s="7" t="s">
        <v>293</v>
      </c>
      <c r="E9" s="8" t="s">
        <v>374</v>
      </c>
      <c r="F9" s="7" t="s">
        <v>182</v>
      </c>
      <c r="G9" s="21" t="s">
        <v>39</v>
      </c>
      <c r="H9" s="21" t="s">
        <v>40</v>
      </c>
      <c r="I9" s="21" t="s">
        <v>157</v>
      </c>
      <c r="J9" s="22"/>
      <c r="K9" s="9" t="str">
        <f>"185,0"</f>
        <v>185,0</v>
      </c>
      <c r="L9" s="9" t="str">
        <f>"162,3005"</f>
        <v>162,3005</v>
      </c>
      <c r="M9" s="7" t="s">
        <v>323</v>
      </c>
    </row>
    <row r="11" spans="1:13" ht="16">
      <c r="A11" s="45" t="s">
        <v>22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22" t="s">
        <v>60</v>
      </c>
      <c r="B12" s="7" t="s">
        <v>240</v>
      </c>
      <c r="C12" s="7" t="s">
        <v>241</v>
      </c>
      <c r="D12" s="7" t="s">
        <v>232</v>
      </c>
      <c r="E12" s="8" t="s">
        <v>370</v>
      </c>
      <c r="F12" s="7" t="s">
        <v>14</v>
      </c>
      <c r="G12" s="21" t="s">
        <v>31</v>
      </c>
      <c r="H12" s="23" t="s">
        <v>50</v>
      </c>
      <c r="I12" s="21" t="s">
        <v>50</v>
      </c>
      <c r="J12" s="22"/>
      <c r="K12" s="9" t="str">
        <f>"160,0"</f>
        <v>160,0</v>
      </c>
      <c r="L12" s="9" t="str">
        <f>"115,7600"</f>
        <v>115,7600</v>
      </c>
      <c r="M12" s="7"/>
    </row>
    <row r="14" spans="1:13" ht="16">
      <c r="A14" s="45" t="s">
        <v>32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22" t="s">
        <v>60</v>
      </c>
      <c r="B15" s="7" t="s">
        <v>151</v>
      </c>
      <c r="C15" s="7" t="s">
        <v>152</v>
      </c>
      <c r="D15" s="7" t="s">
        <v>153</v>
      </c>
      <c r="E15" s="8" t="s">
        <v>372</v>
      </c>
      <c r="F15" s="7" t="s">
        <v>14</v>
      </c>
      <c r="G15" s="21" t="s">
        <v>36</v>
      </c>
      <c r="H15" s="21" t="s">
        <v>37</v>
      </c>
      <c r="I15" s="23" t="s">
        <v>106</v>
      </c>
      <c r="J15" s="22"/>
      <c r="K15" s="9" t="str">
        <f>"220,0"</f>
        <v>220,0</v>
      </c>
      <c r="L15" s="9" t="str">
        <f>"159,7035"</f>
        <v>159,7035</v>
      </c>
      <c r="M15" s="7"/>
    </row>
    <row r="17" spans="1:13" ht="16">
      <c r="A17" s="45" t="s">
        <v>91</v>
      </c>
      <c r="B17" s="45"/>
      <c r="C17" s="46"/>
      <c r="D17" s="46"/>
      <c r="E17" s="46"/>
      <c r="F17" s="46"/>
      <c r="G17" s="46"/>
      <c r="H17" s="46"/>
      <c r="I17" s="46"/>
      <c r="J17" s="46"/>
    </row>
    <row r="18" spans="1:13">
      <c r="A18" s="22" t="s">
        <v>60</v>
      </c>
      <c r="B18" s="7" t="s">
        <v>294</v>
      </c>
      <c r="C18" s="7" t="s">
        <v>295</v>
      </c>
      <c r="D18" s="7" t="s">
        <v>296</v>
      </c>
      <c r="E18" s="8" t="s">
        <v>370</v>
      </c>
      <c r="F18" s="7" t="s">
        <v>14</v>
      </c>
      <c r="G18" s="21" t="s">
        <v>114</v>
      </c>
      <c r="H18" s="21" t="s">
        <v>162</v>
      </c>
      <c r="I18" s="21" t="s">
        <v>37</v>
      </c>
      <c r="J18" s="22"/>
      <c r="K18" s="9" t="str">
        <f>"220,0"</f>
        <v>220,0</v>
      </c>
      <c r="L18" s="9" t="str">
        <f>"140,4480"</f>
        <v>140,4480</v>
      </c>
      <c r="M18" s="7" t="s">
        <v>324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7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7" t="s">
        <v>341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9</v>
      </c>
      <c r="H3" s="69"/>
      <c r="I3" s="69"/>
      <c r="J3" s="69"/>
      <c r="K3" s="49" t="s">
        <v>221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175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60</v>
      </c>
      <c r="B6" s="7" t="s">
        <v>278</v>
      </c>
      <c r="C6" s="7" t="s">
        <v>279</v>
      </c>
      <c r="D6" s="7" t="s">
        <v>280</v>
      </c>
      <c r="E6" s="8" t="s">
        <v>370</v>
      </c>
      <c r="F6" s="7" t="s">
        <v>14</v>
      </c>
      <c r="G6" s="21" t="s">
        <v>21</v>
      </c>
      <c r="H6" s="23" t="s">
        <v>26</v>
      </c>
      <c r="I6" s="21" t="s">
        <v>26</v>
      </c>
      <c r="J6" s="22"/>
      <c r="K6" s="9" t="str">
        <f>"140,0"</f>
        <v>140,0</v>
      </c>
      <c r="L6" s="9" t="str">
        <f>"165,8860"</f>
        <v>165,8860</v>
      </c>
      <c r="M6" s="7" t="s">
        <v>328</v>
      </c>
    </row>
    <row r="8" spans="1:13" ht="16">
      <c r="A8" s="45" t="s">
        <v>61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60</v>
      </c>
      <c r="B9" s="7" t="s">
        <v>281</v>
      </c>
      <c r="C9" s="7" t="s">
        <v>282</v>
      </c>
      <c r="D9" s="7" t="s">
        <v>283</v>
      </c>
      <c r="E9" s="8" t="s">
        <v>373</v>
      </c>
      <c r="F9" s="7" t="s">
        <v>79</v>
      </c>
      <c r="G9" s="21" t="s">
        <v>20</v>
      </c>
      <c r="H9" s="21" t="s">
        <v>21</v>
      </c>
      <c r="I9" s="21" t="s">
        <v>26</v>
      </c>
      <c r="J9" s="22"/>
      <c r="K9" s="9" t="str">
        <f>"140,0"</f>
        <v>140,0</v>
      </c>
      <c r="L9" s="9" t="str">
        <f>"119,4060"</f>
        <v>119,4060</v>
      </c>
      <c r="M9" s="7" t="s">
        <v>323</v>
      </c>
    </row>
    <row r="11" spans="1:13" ht="16">
      <c r="A11" s="45" t="s">
        <v>22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22" t="s">
        <v>60</v>
      </c>
      <c r="B12" s="7" t="s">
        <v>183</v>
      </c>
      <c r="C12" s="7" t="s">
        <v>184</v>
      </c>
      <c r="D12" s="7" t="s">
        <v>185</v>
      </c>
      <c r="E12" s="8" t="s">
        <v>373</v>
      </c>
      <c r="F12" s="7" t="s">
        <v>14</v>
      </c>
      <c r="G12" s="21" t="s">
        <v>16</v>
      </c>
      <c r="H12" s="21" t="s">
        <v>21</v>
      </c>
      <c r="I12" s="23" t="s">
        <v>89</v>
      </c>
      <c r="J12" s="22"/>
      <c r="K12" s="9" t="str">
        <f>"130,0"</f>
        <v>130,0</v>
      </c>
      <c r="L12" s="9" t="str">
        <f>"94,6140"</f>
        <v>94,6140</v>
      </c>
      <c r="M12" s="7" t="s">
        <v>329</v>
      </c>
    </row>
    <row r="14" spans="1:13" ht="16">
      <c r="A14" s="45" t="s">
        <v>32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32" t="s">
        <v>60</v>
      </c>
      <c r="B15" s="24" t="s">
        <v>33</v>
      </c>
      <c r="C15" s="24" t="s">
        <v>34</v>
      </c>
      <c r="D15" s="24" t="s">
        <v>35</v>
      </c>
      <c r="E15" s="25" t="s">
        <v>370</v>
      </c>
      <c r="F15" s="24" t="s">
        <v>14</v>
      </c>
      <c r="G15" s="30" t="s">
        <v>41</v>
      </c>
      <c r="H15" s="30" t="s">
        <v>42</v>
      </c>
      <c r="I15" s="31" t="s">
        <v>43</v>
      </c>
      <c r="J15" s="32"/>
      <c r="K15" s="26" t="str">
        <f>"280,0"</f>
        <v>280,0</v>
      </c>
      <c r="L15" s="26" t="str">
        <f>"190,7080"</f>
        <v>190,7080</v>
      </c>
      <c r="M15" s="24"/>
    </row>
    <row r="16" spans="1:13">
      <c r="A16" s="34" t="s">
        <v>126</v>
      </c>
      <c r="B16" s="27" t="s">
        <v>284</v>
      </c>
      <c r="C16" s="27" t="s">
        <v>285</v>
      </c>
      <c r="D16" s="27" t="s">
        <v>286</v>
      </c>
      <c r="E16" s="28" t="s">
        <v>370</v>
      </c>
      <c r="F16" s="27" t="s">
        <v>14</v>
      </c>
      <c r="G16" s="33" t="s">
        <v>50</v>
      </c>
      <c r="H16" s="33" t="s">
        <v>48</v>
      </c>
      <c r="I16" s="35" t="s">
        <v>84</v>
      </c>
      <c r="J16" s="34"/>
      <c r="K16" s="29" t="str">
        <f>"170,0"</f>
        <v>170,0</v>
      </c>
      <c r="L16" s="29" t="str">
        <f>"117,0960"</f>
        <v>117,0960</v>
      </c>
      <c r="M16" s="27"/>
    </row>
    <row r="18" spans="1:13" ht="16">
      <c r="A18" s="45" t="s">
        <v>110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3">
      <c r="A19" s="32" t="s">
        <v>60</v>
      </c>
      <c r="B19" s="24" t="s">
        <v>111</v>
      </c>
      <c r="C19" s="24" t="s">
        <v>112</v>
      </c>
      <c r="D19" s="24" t="s">
        <v>113</v>
      </c>
      <c r="E19" s="25" t="s">
        <v>370</v>
      </c>
      <c r="F19" s="24" t="s">
        <v>14</v>
      </c>
      <c r="G19" s="30" t="s">
        <v>41</v>
      </c>
      <c r="H19" s="30" t="s">
        <v>116</v>
      </c>
      <c r="I19" s="31" t="s">
        <v>43</v>
      </c>
      <c r="J19" s="32"/>
      <c r="K19" s="26" t="str">
        <f>"285,0"</f>
        <v>285,0</v>
      </c>
      <c r="L19" s="26" t="str">
        <f>"170,2020"</f>
        <v>170,2020</v>
      </c>
      <c r="M19" s="24"/>
    </row>
    <row r="20" spans="1:13">
      <c r="A20" s="34" t="s">
        <v>60</v>
      </c>
      <c r="B20" s="27" t="s">
        <v>206</v>
      </c>
      <c r="C20" s="27" t="s">
        <v>207</v>
      </c>
      <c r="D20" s="27" t="s">
        <v>208</v>
      </c>
      <c r="E20" s="28" t="s">
        <v>375</v>
      </c>
      <c r="F20" s="27" t="s">
        <v>14</v>
      </c>
      <c r="G20" s="33" t="s">
        <v>31</v>
      </c>
      <c r="H20" s="33" t="s">
        <v>50</v>
      </c>
      <c r="I20" s="33" t="s">
        <v>48</v>
      </c>
      <c r="J20" s="34"/>
      <c r="K20" s="29" t="str">
        <f>"170,0"</f>
        <v>170,0</v>
      </c>
      <c r="L20" s="29" t="str">
        <f>"115,2473"</f>
        <v>115,2473</v>
      </c>
      <c r="M20" s="27"/>
    </row>
    <row r="22" spans="1:13" ht="16">
      <c r="F22" s="11"/>
      <c r="G22" s="5"/>
      <c r="K22" s="19"/>
      <c r="M22" s="6"/>
    </row>
    <row r="23" spans="1:13">
      <c r="G23" s="5"/>
      <c r="K23" s="19"/>
      <c r="M23" s="6"/>
    </row>
    <row r="24" spans="1:13" ht="18">
      <c r="B24" s="12" t="s">
        <v>51</v>
      </c>
      <c r="C24" s="12"/>
      <c r="G24" s="3"/>
      <c r="K24" s="19"/>
      <c r="M24" s="6"/>
    </row>
    <row r="25" spans="1:13" ht="16">
      <c r="B25" s="13" t="s">
        <v>58</v>
      </c>
      <c r="C25" s="13"/>
      <c r="G25" s="3"/>
      <c r="K25" s="19"/>
      <c r="M25" s="6"/>
    </row>
    <row r="26" spans="1:13" ht="14">
      <c r="B26" s="14"/>
      <c r="C26" s="15" t="s">
        <v>52</v>
      </c>
      <c r="G26" s="3"/>
      <c r="K26" s="19"/>
      <c r="M26" s="6"/>
    </row>
    <row r="27" spans="1:13" ht="14">
      <c r="B27" s="16" t="s">
        <v>53</v>
      </c>
      <c r="C27" s="16" t="s">
        <v>54</v>
      </c>
      <c r="D27" s="16" t="s">
        <v>357</v>
      </c>
      <c r="E27" s="17" t="s">
        <v>220</v>
      </c>
      <c r="F27" s="16" t="s">
        <v>55</v>
      </c>
      <c r="G27" s="3"/>
      <c r="K27" s="19"/>
      <c r="M27" s="6"/>
    </row>
    <row r="28" spans="1:13">
      <c r="B28" s="5" t="s">
        <v>33</v>
      </c>
      <c r="C28" s="5" t="s">
        <v>52</v>
      </c>
      <c r="D28" s="19" t="s">
        <v>59</v>
      </c>
      <c r="E28" s="20">
        <v>280</v>
      </c>
      <c r="F28" s="18">
        <v>190.70800304412799</v>
      </c>
      <c r="G28" s="3"/>
      <c r="K28" s="19"/>
      <c r="M28" s="6"/>
    </row>
    <row r="29" spans="1:13">
      <c r="B29" s="5" t="s">
        <v>111</v>
      </c>
      <c r="C29" s="5" t="s">
        <v>52</v>
      </c>
      <c r="D29" s="19" t="s">
        <v>124</v>
      </c>
      <c r="E29" s="20">
        <v>285</v>
      </c>
      <c r="F29" s="18">
        <v>170.20199328660999</v>
      </c>
      <c r="G29" s="3"/>
      <c r="K29" s="19"/>
      <c r="M29" s="6"/>
    </row>
    <row r="30" spans="1:13">
      <c r="B30" s="5" t="s">
        <v>284</v>
      </c>
      <c r="C30" s="5" t="s">
        <v>52</v>
      </c>
      <c r="D30" s="19" t="s">
        <v>59</v>
      </c>
      <c r="E30" s="20">
        <v>170</v>
      </c>
      <c r="F30" s="18">
        <v>117.095996141434</v>
      </c>
      <c r="G30" s="3"/>
      <c r="K30" s="19"/>
      <c r="M30" s="6"/>
    </row>
    <row r="31" spans="1:13">
      <c r="E31" s="5"/>
      <c r="F31" s="10"/>
      <c r="G31" s="5"/>
      <c r="K31" s="19"/>
      <c r="M31" s="6"/>
    </row>
    <row r="32" spans="1:13">
      <c r="E32" s="5"/>
      <c r="F32" s="10"/>
      <c r="G32" s="5"/>
      <c r="K32" s="19"/>
      <c r="M32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8:J18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9.6640625" style="6" customWidth="1"/>
    <col min="13" max="13" width="19" style="5" bestFit="1" customWidth="1"/>
    <col min="14" max="16384" width="9.1640625" style="3"/>
  </cols>
  <sheetData>
    <row r="1" spans="1:13" s="2" customFormat="1" ht="29" customHeight="1">
      <c r="A1" s="57" t="s">
        <v>338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366</v>
      </c>
      <c r="H3" s="69"/>
      <c r="I3" s="69"/>
      <c r="J3" s="69"/>
      <c r="K3" s="49" t="s">
        <v>221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60</v>
      </c>
      <c r="B6" s="7" t="s">
        <v>240</v>
      </c>
      <c r="C6" s="7" t="s">
        <v>241</v>
      </c>
      <c r="D6" s="7" t="s">
        <v>232</v>
      </c>
      <c r="E6" s="8" t="s">
        <v>370</v>
      </c>
      <c r="F6" s="7" t="s">
        <v>14</v>
      </c>
      <c r="G6" s="21" t="s">
        <v>68</v>
      </c>
      <c r="H6" s="21" t="s">
        <v>27</v>
      </c>
      <c r="I6" s="21" t="s">
        <v>226</v>
      </c>
      <c r="J6" s="22"/>
      <c r="K6" s="9" t="str">
        <f>"55,0"</f>
        <v>55,0</v>
      </c>
      <c r="L6" s="9" t="str">
        <f>"38,4863"</f>
        <v>38,4863</v>
      </c>
      <c r="M6" s="7"/>
    </row>
    <row r="8" spans="1:13" ht="16">
      <c r="A8" s="45" t="s">
        <v>32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32" t="s">
        <v>60</v>
      </c>
      <c r="B9" s="24" t="s">
        <v>242</v>
      </c>
      <c r="C9" s="24" t="s">
        <v>360</v>
      </c>
      <c r="D9" s="24" t="s">
        <v>244</v>
      </c>
      <c r="E9" s="25" t="s">
        <v>371</v>
      </c>
      <c r="F9" s="24" t="s">
        <v>14</v>
      </c>
      <c r="G9" s="30" t="s">
        <v>130</v>
      </c>
      <c r="H9" s="30" t="s">
        <v>27</v>
      </c>
      <c r="I9" s="31" t="s">
        <v>18</v>
      </c>
      <c r="J9" s="32"/>
      <c r="K9" s="26" t="str">
        <f>"50,0"</f>
        <v>50,0</v>
      </c>
      <c r="L9" s="26" t="str">
        <f>"32,6175"</f>
        <v>32,6175</v>
      </c>
      <c r="M9" s="24" t="s">
        <v>326</v>
      </c>
    </row>
    <row r="10" spans="1:13">
      <c r="A10" s="39" t="s">
        <v>60</v>
      </c>
      <c r="B10" s="36" t="s">
        <v>246</v>
      </c>
      <c r="C10" s="36" t="s">
        <v>247</v>
      </c>
      <c r="D10" s="36" t="s">
        <v>248</v>
      </c>
      <c r="E10" s="37" t="s">
        <v>370</v>
      </c>
      <c r="F10" s="36" t="s">
        <v>249</v>
      </c>
      <c r="G10" s="40" t="s">
        <v>18</v>
      </c>
      <c r="H10" s="40" t="s">
        <v>28</v>
      </c>
      <c r="I10" s="40" t="s">
        <v>29</v>
      </c>
      <c r="J10" s="39"/>
      <c r="K10" s="38" t="str">
        <f>"65,0"</f>
        <v>65,0</v>
      </c>
      <c r="L10" s="38" t="str">
        <f>"42,2337"</f>
        <v>42,2337</v>
      </c>
      <c r="M10" s="36"/>
    </row>
    <row r="11" spans="1:13">
      <c r="A11" s="39" t="s">
        <v>126</v>
      </c>
      <c r="B11" s="36" t="s">
        <v>313</v>
      </c>
      <c r="C11" s="36" t="s">
        <v>314</v>
      </c>
      <c r="D11" s="36" t="s">
        <v>315</v>
      </c>
      <c r="E11" s="37" t="s">
        <v>370</v>
      </c>
      <c r="F11" s="36" t="s">
        <v>14</v>
      </c>
      <c r="G11" s="40" t="s">
        <v>226</v>
      </c>
      <c r="H11" s="41" t="s">
        <v>28</v>
      </c>
      <c r="I11" s="40" t="s">
        <v>29</v>
      </c>
      <c r="J11" s="39"/>
      <c r="K11" s="38" t="str">
        <f>"65,0"</f>
        <v>65,0</v>
      </c>
      <c r="L11" s="38" t="str">
        <f>"42,0647"</f>
        <v>42,0647</v>
      </c>
      <c r="M11" s="36"/>
    </row>
    <row r="12" spans="1:13">
      <c r="A12" s="34" t="s">
        <v>222</v>
      </c>
      <c r="B12" s="27" t="s">
        <v>316</v>
      </c>
      <c r="C12" s="27" t="s">
        <v>317</v>
      </c>
      <c r="D12" s="27" t="s">
        <v>318</v>
      </c>
      <c r="E12" s="28" t="s">
        <v>370</v>
      </c>
      <c r="F12" s="27" t="s">
        <v>14</v>
      </c>
      <c r="G12" s="33" t="s">
        <v>226</v>
      </c>
      <c r="H12" s="35" t="s">
        <v>28</v>
      </c>
      <c r="I12" s="35" t="s">
        <v>28</v>
      </c>
      <c r="J12" s="34"/>
      <c r="K12" s="29" t="str">
        <f>"55,0"</f>
        <v>55,0</v>
      </c>
      <c r="L12" s="29" t="str">
        <f>"36,1185"</f>
        <v>36,1185</v>
      </c>
      <c r="M12" s="27"/>
    </row>
    <row r="14" spans="1:13" ht="16">
      <c r="A14" s="45" t="s">
        <v>91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32" t="s">
        <v>60</v>
      </c>
      <c r="B15" s="24" t="s">
        <v>262</v>
      </c>
      <c r="C15" s="24" t="s">
        <v>319</v>
      </c>
      <c r="D15" s="24" t="s">
        <v>264</v>
      </c>
      <c r="E15" s="25" t="s">
        <v>371</v>
      </c>
      <c r="F15" s="24" t="s">
        <v>14</v>
      </c>
      <c r="G15" s="30" t="s">
        <v>68</v>
      </c>
      <c r="H15" s="30" t="s">
        <v>75</v>
      </c>
      <c r="I15" s="30" t="s">
        <v>302</v>
      </c>
      <c r="J15" s="32"/>
      <c r="K15" s="26" t="str">
        <f>"67,5"</f>
        <v>67,5</v>
      </c>
      <c r="L15" s="26" t="str">
        <f>"42,0255"</f>
        <v>42,0255</v>
      </c>
      <c r="M15" s="24" t="s">
        <v>202</v>
      </c>
    </row>
    <row r="16" spans="1:13">
      <c r="A16" s="34" t="s">
        <v>60</v>
      </c>
      <c r="B16" s="27" t="s">
        <v>294</v>
      </c>
      <c r="C16" s="27" t="s">
        <v>295</v>
      </c>
      <c r="D16" s="27" t="s">
        <v>296</v>
      </c>
      <c r="E16" s="28" t="s">
        <v>370</v>
      </c>
      <c r="F16" s="27" t="s">
        <v>14</v>
      </c>
      <c r="G16" s="33" t="s">
        <v>130</v>
      </c>
      <c r="H16" s="33" t="s">
        <v>69</v>
      </c>
      <c r="I16" s="33" t="s">
        <v>320</v>
      </c>
      <c r="J16" s="34"/>
      <c r="K16" s="29" t="str">
        <f>"52,5"</f>
        <v>52,5</v>
      </c>
      <c r="L16" s="29" t="str">
        <f>"32,1221"</f>
        <v>32,1221</v>
      </c>
      <c r="M16" s="27" t="s">
        <v>327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4:J14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tabSelected="1"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0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10.33203125" style="6" customWidth="1"/>
    <col min="13" max="13" width="18.33203125" style="5" customWidth="1"/>
    <col min="14" max="16384" width="9.1640625" style="3"/>
  </cols>
  <sheetData>
    <row r="1" spans="1:13" s="2" customFormat="1" ht="29" customHeight="1">
      <c r="A1" s="57" t="s">
        <v>339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367</v>
      </c>
      <c r="B3" s="55" t="s">
        <v>0</v>
      </c>
      <c r="C3" s="67" t="s">
        <v>368</v>
      </c>
      <c r="D3" s="67" t="s">
        <v>6</v>
      </c>
      <c r="E3" s="49" t="s">
        <v>369</v>
      </c>
      <c r="F3" s="69" t="s">
        <v>5</v>
      </c>
      <c r="G3" s="69" t="s">
        <v>366</v>
      </c>
      <c r="H3" s="69"/>
      <c r="I3" s="69"/>
      <c r="J3" s="69"/>
      <c r="K3" s="49" t="s">
        <v>221</v>
      </c>
      <c r="L3" s="49" t="s">
        <v>3</v>
      </c>
      <c r="M3" s="51" t="s">
        <v>2</v>
      </c>
    </row>
    <row r="4" spans="1:13" s="1" customFormat="1" ht="21" customHeight="1" thickBot="1">
      <c r="A4" s="66"/>
      <c r="B4" s="56"/>
      <c r="C4" s="68"/>
      <c r="D4" s="68"/>
      <c r="E4" s="50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175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60</v>
      </c>
      <c r="B6" s="7" t="s">
        <v>297</v>
      </c>
      <c r="C6" s="7" t="s">
        <v>362</v>
      </c>
      <c r="D6" s="7" t="s">
        <v>298</v>
      </c>
      <c r="E6" s="8" t="s">
        <v>377</v>
      </c>
      <c r="F6" s="7" t="s">
        <v>14</v>
      </c>
      <c r="G6" s="23" t="s">
        <v>299</v>
      </c>
      <c r="H6" s="21" t="s">
        <v>130</v>
      </c>
      <c r="I6" s="21" t="s">
        <v>68</v>
      </c>
      <c r="J6" s="22"/>
      <c r="K6" s="9" t="str">
        <f>"45,0"</f>
        <v>45,0</v>
      </c>
      <c r="L6" s="9" t="str">
        <f>"42,2415"</f>
        <v>42,2415</v>
      </c>
      <c r="M6" s="7"/>
    </row>
    <row r="8" spans="1:13" ht="16">
      <c r="A8" s="45" t="s">
        <v>10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32" t="s">
        <v>60</v>
      </c>
      <c r="B9" s="24" t="s">
        <v>300</v>
      </c>
      <c r="C9" s="24" t="s">
        <v>363</v>
      </c>
      <c r="D9" s="24" t="s">
        <v>301</v>
      </c>
      <c r="E9" s="25" t="s">
        <v>377</v>
      </c>
      <c r="F9" s="24" t="s">
        <v>361</v>
      </c>
      <c r="G9" s="30" t="s">
        <v>75</v>
      </c>
      <c r="H9" s="30" t="s">
        <v>28</v>
      </c>
      <c r="I9" s="31" t="s">
        <v>302</v>
      </c>
      <c r="J9" s="32"/>
      <c r="K9" s="26" t="str">
        <f>"62,5"</f>
        <v>62,5</v>
      </c>
      <c r="L9" s="26" t="str">
        <f>"47,5594"</f>
        <v>47,5594</v>
      </c>
      <c r="M9" s="24"/>
    </row>
    <row r="10" spans="1:13">
      <c r="A10" s="34" t="s">
        <v>60</v>
      </c>
      <c r="B10" s="27" t="s">
        <v>300</v>
      </c>
      <c r="C10" s="27" t="s">
        <v>303</v>
      </c>
      <c r="D10" s="27" t="s">
        <v>301</v>
      </c>
      <c r="E10" s="28" t="s">
        <v>370</v>
      </c>
      <c r="F10" s="27" t="s">
        <v>361</v>
      </c>
      <c r="G10" s="33" t="s">
        <v>75</v>
      </c>
      <c r="H10" s="33" t="s">
        <v>28</v>
      </c>
      <c r="I10" s="35" t="s">
        <v>302</v>
      </c>
      <c r="J10" s="34"/>
      <c r="K10" s="29" t="str">
        <f>"62,5"</f>
        <v>62,5</v>
      </c>
      <c r="L10" s="29" t="str">
        <f>"47,5594"</f>
        <v>47,5594</v>
      </c>
      <c r="M10" s="27"/>
    </row>
    <row r="12" spans="1:13" ht="16">
      <c r="A12" s="45" t="s">
        <v>22</v>
      </c>
      <c r="B12" s="45"/>
      <c r="C12" s="46"/>
      <c r="D12" s="46"/>
      <c r="E12" s="46"/>
      <c r="F12" s="46"/>
      <c r="G12" s="46"/>
      <c r="H12" s="46"/>
      <c r="I12" s="46"/>
      <c r="J12" s="46"/>
    </row>
    <row r="13" spans="1:13">
      <c r="A13" s="32" t="s">
        <v>60</v>
      </c>
      <c r="B13" s="24" t="s">
        <v>304</v>
      </c>
      <c r="C13" s="24" t="s">
        <v>364</v>
      </c>
      <c r="D13" s="24" t="s">
        <v>305</v>
      </c>
      <c r="E13" s="25" t="s">
        <v>377</v>
      </c>
      <c r="F13" s="24" t="s">
        <v>14</v>
      </c>
      <c r="G13" s="30" t="s">
        <v>226</v>
      </c>
      <c r="H13" s="31" t="s">
        <v>28</v>
      </c>
      <c r="I13" s="31" t="s">
        <v>28</v>
      </c>
      <c r="J13" s="32"/>
      <c r="K13" s="26" t="str">
        <f>"55,0"</f>
        <v>55,0</v>
      </c>
      <c r="L13" s="26" t="str">
        <f>"38,5248"</f>
        <v>38,5248</v>
      </c>
      <c r="M13" s="24"/>
    </row>
    <row r="14" spans="1:13">
      <c r="A14" s="34" t="s">
        <v>126</v>
      </c>
      <c r="B14" s="27" t="s">
        <v>306</v>
      </c>
      <c r="C14" s="27" t="s">
        <v>365</v>
      </c>
      <c r="D14" s="27" t="s">
        <v>307</v>
      </c>
      <c r="E14" s="28" t="s">
        <v>377</v>
      </c>
      <c r="F14" s="27" t="s">
        <v>14</v>
      </c>
      <c r="G14" s="33" t="s">
        <v>299</v>
      </c>
      <c r="H14" s="33" t="s">
        <v>130</v>
      </c>
      <c r="I14" s="33" t="s">
        <v>68</v>
      </c>
      <c r="J14" s="34"/>
      <c r="K14" s="29" t="str">
        <f>"45,0"</f>
        <v>45,0</v>
      </c>
      <c r="L14" s="29" t="str">
        <f>"31,4235"</f>
        <v>31,4235</v>
      </c>
      <c r="M14" s="27"/>
    </row>
    <row r="16" spans="1:13" ht="16">
      <c r="A16" s="45" t="s">
        <v>32</v>
      </c>
      <c r="B16" s="45"/>
      <c r="C16" s="46"/>
      <c r="D16" s="46"/>
      <c r="E16" s="46"/>
      <c r="F16" s="46"/>
      <c r="G16" s="46"/>
      <c r="H16" s="46"/>
      <c r="I16" s="46"/>
      <c r="J16" s="46"/>
    </row>
    <row r="17" spans="1:13">
      <c r="A17" s="32" t="s">
        <v>60</v>
      </c>
      <c r="B17" s="24" t="s">
        <v>259</v>
      </c>
      <c r="C17" s="24" t="s">
        <v>260</v>
      </c>
      <c r="D17" s="24" t="s">
        <v>308</v>
      </c>
      <c r="E17" s="25" t="s">
        <v>370</v>
      </c>
      <c r="F17" s="24" t="s">
        <v>14</v>
      </c>
      <c r="G17" s="30" t="s">
        <v>130</v>
      </c>
      <c r="H17" s="30" t="s">
        <v>226</v>
      </c>
      <c r="I17" s="30" t="s">
        <v>28</v>
      </c>
      <c r="J17" s="32"/>
      <c r="K17" s="26" t="str">
        <f>"62,5"</f>
        <v>62,5</v>
      </c>
      <c r="L17" s="26" t="str">
        <f>"41,6688"</f>
        <v>41,6688</v>
      </c>
      <c r="M17" s="24"/>
    </row>
    <row r="18" spans="1:13">
      <c r="A18" s="34" t="s">
        <v>126</v>
      </c>
      <c r="B18" s="27" t="s">
        <v>284</v>
      </c>
      <c r="C18" s="27" t="s">
        <v>285</v>
      </c>
      <c r="D18" s="27" t="s">
        <v>286</v>
      </c>
      <c r="E18" s="28" t="s">
        <v>370</v>
      </c>
      <c r="F18" s="27" t="s">
        <v>14</v>
      </c>
      <c r="G18" s="33" t="s">
        <v>130</v>
      </c>
      <c r="H18" s="33" t="s">
        <v>68</v>
      </c>
      <c r="I18" s="35" t="s">
        <v>27</v>
      </c>
      <c r="J18" s="34"/>
      <c r="K18" s="29" t="str">
        <f>"45,0"</f>
        <v>45,0</v>
      </c>
      <c r="L18" s="29" t="str">
        <f>"29,8845"</f>
        <v>29,8845</v>
      </c>
      <c r="M18" s="27"/>
    </row>
    <row r="20" spans="1:13" ht="16">
      <c r="A20" s="45" t="s">
        <v>91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22" t="s">
        <v>60</v>
      </c>
      <c r="B21" s="7" t="s">
        <v>189</v>
      </c>
      <c r="C21" s="7" t="s">
        <v>190</v>
      </c>
      <c r="D21" s="7" t="s">
        <v>191</v>
      </c>
      <c r="E21" s="8" t="s">
        <v>370</v>
      </c>
      <c r="F21" s="7" t="s">
        <v>14</v>
      </c>
      <c r="G21" s="21" t="s">
        <v>27</v>
      </c>
      <c r="H21" s="21" t="s">
        <v>18</v>
      </c>
      <c r="I21" s="23" t="s">
        <v>302</v>
      </c>
      <c r="J21" s="22"/>
      <c r="K21" s="9" t="str">
        <f>"60,0"</f>
        <v>60,0</v>
      </c>
      <c r="L21" s="9" t="str">
        <f>"37,0110"</f>
        <v>37,0110</v>
      </c>
      <c r="M21" s="7" t="s">
        <v>322</v>
      </c>
    </row>
    <row r="23" spans="1:13" ht="16">
      <c r="A23" s="45" t="s">
        <v>110</v>
      </c>
      <c r="B23" s="45"/>
      <c r="C23" s="46"/>
      <c r="D23" s="46"/>
      <c r="E23" s="46"/>
      <c r="F23" s="46"/>
      <c r="G23" s="46"/>
      <c r="H23" s="46"/>
      <c r="I23" s="46"/>
      <c r="J23" s="46"/>
    </row>
    <row r="24" spans="1:13">
      <c r="A24" s="22" t="s">
        <v>60</v>
      </c>
      <c r="B24" s="7" t="s">
        <v>309</v>
      </c>
      <c r="C24" s="7" t="s">
        <v>310</v>
      </c>
      <c r="D24" s="7" t="s">
        <v>311</v>
      </c>
      <c r="E24" s="8" t="s">
        <v>370</v>
      </c>
      <c r="F24" s="7" t="s">
        <v>14</v>
      </c>
      <c r="G24" s="21" t="s">
        <v>18</v>
      </c>
      <c r="H24" s="21" t="s">
        <v>29</v>
      </c>
      <c r="I24" s="21" t="s">
        <v>19</v>
      </c>
      <c r="J24" s="22"/>
      <c r="K24" s="9" t="str">
        <f>"70,0"</f>
        <v>70,0</v>
      </c>
      <c r="L24" s="9" t="str">
        <f>"40,0120"</f>
        <v>40,0120</v>
      </c>
      <c r="M24" s="7"/>
    </row>
    <row r="26" spans="1:13" ht="16">
      <c r="F26" s="11"/>
      <c r="G26" s="5"/>
      <c r="K26" s="19"/>
      <c r="M26" s="6"/>
    </row>
    <row r="27" spans="1:13">
      <c r="G27" s="5"/>
      <c r="K27" s="19"/>
      <c r="M27" s="6"/>
    </row>
    <row r="28" spans="1:13" ht="18">
      <c r="B28" s="12" t="s">
        <v>51</v>
      </c>
      <c r="C28" s="12"/>
      <c r="G28" s="3"/>
      <c r="K28" s="19"/>
      <c r="M28" s="6"/>
    </row>
    <row r="29" spans="1:13" ht="16">
      <c r="B29" s="13" t="s">
        <v>58</v>
      </c>
      <c r="C29" s="13"/>
      <c r="G29" s="3"/>
      <c r="K29" s="19"/>
      <c r="M29" s="6"/>
    </row>
    <row r="30" spans="1:13" ht="14">
      <c r="B30" s="14"/>
      <c r="C30" s="15" t="s">
        <v>52</v>
      </c>
      <c r="G30" s="3"/>
      <c r="K30" s="19"/>
      <c r="M30" s="6"/>
    </row>
    <row r="31" spans="1:13" ht="14">
      <c r="B31" s="16" t="s">
        <v>53</v>
      </c>
      <c r="C31" s="16" t="s">
        <v>54</v>
      </c>
      <c r="D31" s="16" t="s">
        <v>357</v>
      </c>
      <c r="E31" s="17" t="s">
        <v>220</v>
      </c>
      <c r="F31" s="16" t="s">
        <v>312</v>
      </c>
      <c r="G31" s="3"/>
      <c r="K31" s="19"/>
      <c r="M31" s="6"/>
    </row>
    <row r="32" spans="1:13">
      <c r="B32" s="5" t="s">
        <v>300</v>
      </c>
      <c r="C32" s="5" t="s">
        <v>52</v>
      </c>
      <c r="D32" s="19" t="s">
        <v>57</v>
      </c>
      <c r="E32" s="20">
        <v>62.5</v>
      </c>
      <c r="F32" s="18">
        <v>47.559376806020701</v>
      </c>
      <c r="G32" s="3"/>
      <c r="K32" s="19"/>
      <c r="M32" s="6"/>
    </row>
    <row r="33" spans="2:13">
      <c r="B33" s="5" t="s">
        <v>259</v>
      </c>
      <c r="C33" s="5" t="s">
        <v>52</v>
      </c>
      <c r="D33" s="19" t="s">
        <v>59</v>
      </c>
      <c r="E33" s="20">
        <v>62.5</v>
      </c>
      <c r="F33" s="18">
        <v>41.668750345706897</v>
      </c>
      <c r="G33" s="3"/>
      <c r="K33" s="19"/>
      <c r="M33" s="6"/>
    </row>
    <row r="34" spans="2:13">
      <c r="B34" s="5" t="s">
        <v>309</v>
      </c>
      <c r="C34" s="5" t="s">
        <v>52</v>
      </c>
      <c r="D34" s="19" t="s">
        <v>124</v>
      </c>
      <c r="E34" s="20">
        <v>70</v>
      </c>
      <c r="F34" s="18">
        <v>40.012001395225496</v>
      </c>
      <c r="G34" s="3"/>
      <c r="K34" s="19"/>
      <c r="M34" s="6"/>
    </row>
    <row r="35" spans="2:13">
      <c r="E35" s="5"/>
      <c r="F35" s="10"/>
      <c r="G35" s="5"/>
      <c r="K35" s="19"/>
      <c r="M35" s="6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2:J12"/>
    <mergeCell ref="A16:J16"/>
    <mergeCell ref="A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ПЛ в бинтах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2022-11-29T17:12:45Z</dcterms:modified>
</cp:coreProperties>
</file>