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3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/Users/ekaterinaseveleva/Documents/СПР/Протоколы/2022/Декабрь/"/>
    </mc:Choice>
  </mc:AlternateContent>
  <xr:revisionPtr revIDLastSave="0" documentId="13_ncr:1_{10193A64-6945-3245-8257-0E8294A86BAF}" xr6:coauthVersionLast="45" xr6:coauthVersionMax="45" xr10:uidLastSave="{00000000-0000-0000-0000-000000000000}"/>
  <bookViews>
    <workbookView xWindow="820" yWindow="460" windowWidth="27620" windowHeight="16120" firstSheet="13" activeTab="19" xr2:uid="{00000000-000D-0000-FFFF-FFFF00000000}"/>
  </bookViews>
  <sheets>
    <sheet name="IPL ПЛ без экипировки ДК" sheetId="10" r:id="rId1"/>
    <sheet name="IPL ПЛ без экипировки" sheetId="9" r:id="rId2"/>
    <sheet name="IPL Двоеборье без экип ДК" sheetId="34" r:id="rId3"/>
    <sheet name="IPL Двоеборье без экип" sheetId="33" r:id="rId4"/>
    <sheet name="IPL Присед без экипировки ДК" sheetId="30" r:id="rId5"/>
    <sheet name="IPL Жим без экипировки ДК" sheetId="14" r:id="rId6"/>
    <sheet name="IPL Жим без экипировки" sheetId="13" r:id="rId7"/>
    <sheet name="IPL Жим однослой ДК" sheetId="16" r:id="rId8"/>
    <sheet name="IPL Жим однослой" sheetId="15" r:id="rId9"/>
    <sheet name="СПР Жим софт однопетельная ДК" sheetId="38" r:id="rId10"/>
    <sheet name="СПР Жим софт однопетельная" sheetId="37" r:id="rId11"/>
    <sheet name="IPL Тяга без экипировки ДК" sheetId="20" r:id="rId12"/>
    <sheet name="IPL Тяга без экипировки" sheetId="19" r:id="rId13"/>
    <sheet name="IPL Тяга однослой ДК" sheetId="24" r:id="rId14"/>
    <sheet name="IPL Тяга однослой" sheetId="23" r:id="rId15"/>
    <sheet name="СПР Пауэрспорт ДК" sheetId="46" r:id="rId16"/>
    <sheet name="СПР Жим стоя ДК" sheetId="42" r:id="rId17"/>
    <sheet name="СПР Жим стоя" sheetId="41" r:id="rId18"/>
    <sheet name="СПР Подъем на бицепс ДК" sheetId="44" r:id="rId19"/>
    <sheet name="СПР Подъем на бицепс" sheetId="43" r:id="rId20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15" i="46" l="1"/>
  <c r="O15" i="46"/>
  <c r="P12" i="46"/>
  <c r="O12" i="46"/>
  <c r="P9" i="46"/>
  <c r="O9" i="46"/>
  <c r="P6" i="46"/>
  <c r="O6" i="46"/>
  <c r="L36" i="44"/>
  <c r="K36" i="44"/>
  <c r="L33" i="44"/>
  <c r="K33" i="44"/>
  <c r="L30" i="44"/>
  <c r="K30" i="44"/>
  <c r="L29" i="44"/>
  <c r="K29" i="44"/>
  <c r="L28" i="44"/>
  <c r="K28" i="44"/>
  <c r="L27" i="44"/>
  <c r="K27" i="44"/>
  <c r="L24" i="44"/>
  <c r="K24" i="44"/>
  <c r="L23" i="44"/>
  <c r="K23" i="44"/>
  <c r="L20" i="44"/>
  <c r="K20" i="44"/>
  <c r="L19" i="44"/>
  <c r="K19" i="44"/>
  <c r="L16" i="44"/>
  <c r="K16" i="44"/>
  <c r="L13" i="44"/>
  <c r="K13" i="44"/>
  <c r="L10" i="44"/>
  <c r="K10" i="44"/>
  <c r="L9" i="44"/>
  <c r="K9" i="44"/>
  <c r="L6" i="44"/>
  <c r="K6" i="44"/>
  <c r="L12" i="43"/>
  <c r="K12" i="43"/>
  <c r="L9" i="43"/>
  <c r="K9" i="43"/>
  <c r="L6" i="43"/>
  <c r="K6" i="43"/>
  <c r="L6" i="42"/>
  <c r="K6" i="42"/>
  <c r="L6" i="41"/>
  <c r="K6" i="41"/>
  <c r="L40" i="38"/>
  <c r="K40" i="38"/>
  <c r="L37" i="38"/>
  <c r="K37" i="38"/>
  <c r="L36" i="38"/>
  <c r="K36" i="38"/>
  <c r="L35" i="38"/>
  <c r="K35" i="38"/>
  <c r="L32" i="38"/>
  <c r="K32" i="38"/>
  <c r="L31" i="38"/>
  <c r="K31" i="38"/>
  <c r="L28" i="38"/>
  <c r="K28" i="38"/>
  <c r="L27" i="38"/>
  <c r="K27" i="38"/>
  <c r="L26" i="38"/>
  <c r="K26" i="38"/>
  <c r="L25" i="38"/>
  <c r="K25" i="38"/>
  <c r="L24" i="38"/>
  <c r="K24" i="38"/>
  <c r="L23" i="38"/>
  <c r="K23" i="38"/>
  <c r="L20" i="38"/>
  <c r="L19" i="38"/>
  <c r="K19" i="38"/>
  <c r="L16" i="38"/>
  <c r="K16" i="38"/>
  <c r="L15" i="38"/>
  <c r="K15" i="38"/>
  <c r="L14" i="38"/>
  <c r="K14" i="38"/>
  <c r="L11" i="38"/>
  <c r="K11" i="38"/>
  <c r="L8" i="38"/>
  <c r="L7" i="38"/>
  <c r="K7" i="38"/>
  <c r="L6" i="38"/>
  <c r="L10" i="37"/>
  <c r="K10" i="37"/>
  <c r="L9" i="37"/>
  <c r="K9" i="37"/>
  <c r="L6" i="37"/>
  <c r="K6" i="37"/>
  <c r="P30" i="34"/>
  <c r="O30" i="34"/>
  <c r="P27" i="34"/>
  <c r="O27" i="34"/>
  <c r="P26" i="34"/>
  <c r="O26" i="34"/>
  <c r="P23" i="34"/>
  <c r="O23" i="34"/>
  <c r="P20" i="34"/>
  <c r="O20" i="34"/>
  <c r="P19" i="34"/>
  <c r="O19" i="34"/>
  <c r="P16" i="34"/>
  <c r="O16" i="34"/>
  <c r="P13" i="34"/>
  <c r="O13" i="34"/>
  <c r="P10" i="34"/>
  <c r="O10" i="34"/>
  <c r="P9" i="34"/>
  <c r="O9" i="34"/>
  <c r="P6" i="34"/>
  <c r="O6" i="34"/>
  <c r="P9" i="33"/>
  <c r="O9" i="33"/>
  <c r="P6" i="33"/>
  <c r="O6" i="33"/>
  <c r="L13" i="30"/>
  <c r="K13" i="30"/>
  <c r="L10" i="30"/>
  <c r="K10" i="30"/>
  <c r="L7" i="30"/>
  <c r="K7" i="30"/>
  <c r="L6" i="30"/>
  <c r="K6" i="30"/>
  <c r="L6" i="24"/>
  <c r="K6" i="24"/>
  <c r="L6" i="23"/>
  <c r="K6" i="23"/>
  <c r="L49" i="20"/>
  <c r="K49" i="20"/>
  <c r="L46" i="20"/>
  <c r="K46" i="20"/>
  <c r="L45" i="20"/>
  <c r="K45" i="20"/>
  <c r="L44" i="20"/>
  <c r="K44" i="20"/>
  <c r="L43" i="20"/>
  <c r="K43" i="20"/>
  <c r="L40" i="20"/>
  <c r="K40" i="20"/>
  <c r="L39" i="20"/>
  <c r="K39" i="20"/>
  <c r="L38" i="20"/>
  <c r="K38" i="20"/>
  <c r="L35" i="20"/>
  <c r="K35" i="20"/>
  <c r="L34" i="20"/>
  <c r="K34" i="20"/>
  <c r="L31" i="20"/>
  <c r="K31" i="20"/>
  <c r="L30" i="20"/>
  <c r="K30" i="20"/>
  <c r="L27" i="20"/>
  <c r="K27" i="20"/>
  <c r="L26" i="20"/>
  <c r="K26" i="20"/>
  <c r="L23" i="20"/>
  <c r="K23" i="20"/>
  <c r="L20" i="20"/>
  <c r="K20" i="20"/>
  <c r="L17" i="20"/>
  <c r="K17" i="20"/>
  <c r="L14" i="20"/>
  <c r="K14" i="20"/>
  <c r="L11" i="20"/>
  <c r="K11" i="20"/>
  <c r="L10" i="20"/>
  <c r="K10" i="20"/>
  <c r="L7" i="20"/>
  <c r="K7" i="20"/>
  <c r="L6" i="20"/>
  <c r="K6" i="20"/>
  <c r="L20" i="19"/>
  <c r="K20" i="19"/>
  <c r="L17" i="19"/>
  <c r="K17" i="19"/>
  <c r="L16" i="19"/>
  <c r="K16" i="19"/>
  <c r="L13" i="19"/>
  <c r="K13" i="19"/>
  <c r="L12" i="19"/>
  <c r="K12" i="19"/>
  <c r="L9" i="19"/>
  <c r="K9" i="19"/>
  <c r="L6" i="19"/>
  <c r="K6" i="19"/>
  <c r="L6" i="16"/>
  <c r="K6" i="16"/>
  <c r="L6" i="15"/>
  <c r="K6" i="15"/>
  <c r="L85" i="14"/>
  <c r="K85" i="14"/>
  <c r="L84" i="14"/>
  <c r="K84" i="14"/>
  <c r="L83" i="14"/>
  <c r="K83" i="14"/>
  <c r="L82" i="14"/>
  <c r="K82" i="14"/>
  <c r="L79" i="14"/>
  <c r="K79" i="14"/>
  <c r="L78" i="14"/>
  <c r="K78" i="14"/>
  <c r="L75" i="14"/>
  <c r="K75" i="14"/>
  <c r="L74" i="14"/>
  <c r="K74" i="14"/>
  <c r="L73" i="14"/>
  <c r="K73" i="14"/>
  <c r="L72" i="14"/>
  <c r="K72" i="14"/>
  <c r="L71" i="14"/>
  <c r="K71" i="14"/>
  <c r="L70" i="14"/>
  <c r="K70" i="14"/>
  <c r="L69" i="14"/>
  <c r="K69" i="14"/>
  <c r="L68" i="14"/>
  <c r="K68" i="14"/>
  <c r="L67" i="14"/>
  <c r="K67" i="14"/>
  <c r="L64" i="14"/>
  <c r="K64" i="14"/>
  <c r="L63" i="14"/>
  <c r="K63" i="14"/>
  <c r="L62" i="14"/>
  <c r="K62" i="14"/>
  <c r="L61" i="14"/>
  <c r="K61" i="14"/>
  <c r="L60" i="14"/>
  <c r="K60" i="14"/>
  <c r="L59" i="14"/>
  <c r="K59" i="14"/>
  <c r="L58" i="14"/>
  <c r="K58" i="14"/>
  <c r="L57" i="14"/>
  <c r="K57" i="14"/>
  <c r="L56" i="14"/>
  <c r="K56" i="14"/>
  <c r="L55" i="14"/>
  <c r="K55" i="14"/>
  <c r="L54" i="14"/>
  <c r="K54" i="14"/>
  <c r="L53" i="14"/>
  <c r="K53" i="14"/>
  <c r="L52" i="14"/>
  <c r="K52" i="14"/>
  <c r="L49" i="14"/>
  <c r="K49" i="14"/>
  <c r="L48" i="14"/>
  <c r="K48" i="14"/>
  <c r="L47" i="14"/>
  <c r="K47" i="14"/>
  <c r="L46" i="14"/>
  <c r="K46" i="14"/>
  <c r="L45" i="14"/>
  <c r="K45" i="14"/>
  <c r="L44" i="14"/>
  <c r="K44" i="14"/>
  <c r="L43" i="14"/>
  <c r="K43" i="14"/>
  <c r="L42" i="14"/>
  <c r="K42" i="14"/>
  <c r="L39" i="14"/>
  <c r="K39" i="14"/>
  <c r="L38" i="14"/>
  <c r="K38" i="14"/>
  <c r="L37" i="14"/>
  <c r="K37" i="14"/>
  <c r="L36" i="14"/>
  <c r="K36" i="14"/>
  <c r="L35" i="14"/>
  <c r="K35" i="14"/>
  <c r="L34" i="14"/>
  <c r="K34" i="14"/>
  <c r="L33" i="14"/>
  <c r="K33" i="14"/>
  <c r="L32" i="14"/>
  <c r="K32" i="14"/>
  <c r="L29" i="14"/>
  <c r="K29" i="14"/>
  <c r="L26" i="14"/>
  <c r="K26" i="14"/>
  <c r="L23" i="14"/>
  <c r="K23" i="14"/>
  <c r="L20" i="14"/>
  <c r="K20" i="14"/>
  <c r="L17" i="14"/>
  <c r="K17" i="14"/>
  <c r="L14" i="14"/>
  <c r="K14" i="14"/>
  <c r="L13" i="14"/>
  <c r="K13" i="14"/>
  <c r="L12" i="14"/>
  <c r="K12" i="14"/>
  <c r="L11" i="14"/>
  <c r="K11" i="14"/>
  <c r="L10" i="14"/>
  <c r="K10" i="14"/>
  <c r="L7" i="14"/>
  <c r="K7" i="14"/>
  <c r="L6" i="14"/>
  <c r="K6" i="14"/>
  <c r="L37" i="13"/>
  <c r="K37" i="13"/>
  <c r="L36" i="13"/>
  <c r="K36" i="13"/>
  <c r="L35" i="13"/>
  <c r="K35" i="13"/>
  <c r="L34" i="13"/>
  <c r="K34" i="13"/>
  <c r="L33" i="13"/>
  <c r="K33" i="13"/>
  <c r="L30" i="13"/>
  <c r="K30" i="13"/>
  <c r="L29" i="13"/>
  <c r="K29" i="13"/>
  <c r="L28" i="13"/>
  <c r="K28" i="13"/>
  <c r="L25" i="13"/>
  <c r="L24" i="13"/>
  <c r="K24" i="13"/>
  <c r="L23" i="13"/>
  <c r="K23" i="13"/>
  <c r="L20" i="13"/>
  <c r="K20" i="13"/>
  <c r="L19" i="13"/>
  <c r="K19" i="13"/>
  <c r="L18" i="13"/>
  <c r="K18" i="13"/>
  <c r="L15" i="13"/>
  <c r="K15" i="13"/>
  <c r="L14" i="13"/>
  <c r="K14" i="13"/>
  <c r="L13" i="13"/>
  <c r="K13" i="13"/>
  <c r="L10" i="13"/>
  <c r="K10" i="13"/>
  <c r="L9" i="13"/>
  <c r="K9" i="13"/>
  <c r="L6" i="13"/>
  <c r="K6" i="13"/>
  <c r="T74" i="10"/>
  <c r="S74" i="10"/>
  <c r="T71" i="10"/>
  <c r="S71" i="10"/>
  <c r="T70" i="10"/>
  <c r="S70" i="10"/>
  <c r="T69" i="10"/>
  <c r="S69" i="10"/>
  <c r="T66" i="10"/>
  <c r="S66" i="10"/>
  <c r="T65" i="10"/>
  <c r="S65" i="10"/>
  <c r="T64" i="10"/>
  <c r="S64" i="10"/>
  <c r="T63" i="10"/>
  <c r="S63" i="10"/>
  <c r="T62" i="10"/>
  <c r="S62" i="10"/>
  <c r="T61" i="10"/>
  <c r="S61" i="10"/>
  <c r="T58" i="10"/>
  <c r="S58" i="10"/>
  <c r="T57" i="10"/>
  <c r="S57" i="10"/>
  <c r="T56" i="10"/>
  <c r="S56" i="10"/>
  <c r="T55" i="10"/>
  <c r="S55" i="10"/>
  <c r="T54" i="10"/>
  <c r="S54" i="10"/>
  <c r="T51" i="10"/>
  <c r="S51" i="10"/>
  <c r="T50" i="10"/>
  <c r="S50" i="10"/>
  <c r="T49" i="10"/>
  <c r="S49" i="10"/>
  <c r="T48" i="10"/>
  <c r="S48" i="10"/>
  <c r="T47" i="10"/>
  <c r="S47" i="10"/>
  <c r="T46" i="10"/>
  <c r="S46" i="10"/>
  <c r="T45" i="10"/>
  <c r="S45" i="10"/>
  <c r="T42" i="10"/>
  <c r="S42" i="10"/>
  <c r="T41" i="10"/>
  <c r="S41" i="10"/>
  <c r="T38" i="10"/>
  <c r="S38" i="10"/>
  <c r="T37" i="10"/>
  <c r="S37" i="10"/>
  <c r="T36" i="10"/>
  <c r="S36" i="10"/>
  <c r="T35" i="10"/>
  <c r="S35" i="10"/>
  <c r="T32" i="10"/>
  <c r="S32" i="10"/>
  <c r="T31" i="10"/>
  <c r="S31" i="10"/>
  <c r="T28" i="10"/>
  <c r="S28" i="10"/>
  <c r="T25" i="10"/>
  <c r="S25" i="10"/>
  <c r="T24" i="10"/>
  <c r="S24" i="10"/>
  <c r="T23" i="10"/>
  <c r="S23" i="10"/>
  <c r="T20" i="10"/>
  <c r="S20" i="10"/>
  <c r="T19" i="10"/>
  <c r="S19" i="10"/>
  <c r="T18" i="10"/>
  <c r="S18" i="10"/>
  <c r="T17" i="10"/>
  <c r="S17" i="10"/>
  <c r="T16" i="10"/>
  <c r="S16" i="10"/>
  <c r="T13" i="10"/>
  <c r="S13" i="10"/>
  <c r="T12" i="10"/>
  <c r="S12" i="10"/>
  <c r="T11" i="10"/>
  <c r="S11" i="10"/>
  <c r="T8" i="10"/>
  <c r="S8" i="10"/>
  <c r="T7" i="10"/>
  <c r="S7" i="10"/>
  <c r="T6" i="10"/>
  <c r="S6" i="10"/>
  <c r="T17" i="9"/>
  <c r="S17" i="9"/>
  <c r="T14" i="9"/>
  <c r="S14" i="9"/>
  <c r="T13" i="9"/>
  <c r="S13" i="9"/>
  <c r="T10" i="9"/>
  <c r="S10" i="9"/>
  <c r="T9" i="9"/>
  <c r="S9" i="9"/>
  <c r="T6" i="9"/>
  <c r="S6" i="9"/>
</calcChain>
</file>

<file path=xl/sharedStrings.xml><?xml version="1.0" encoding="utf-8"?>
<sst xmlns="http://schemas.openxmlformats.org/spreadsheetml/2006/main" count="3002" uniqueCount="694">
  <si>
    <t>ФИО</t>
  </si>
  <si>
    <t>Сумма</t>
  </si>
  <si>
    <t>Тренер</t>
  </si>
  <si>
    <t>Очки</t>
  </si>
  <si>
    <t>Рек</t>
  </si>
  <si>
    <t>Город/Область</t>
  </si>
  <si>
    <t>Собственный 
вес</t>
  </si>
  <si>
    <t xml:space="preserve">Абсолютный зачёт </t>
  </si>
  <si>
    <t>Приседание</t>
  </si>
  <si>
    <t>Жим лёжа</t>
  </si>
  <si>
    <t>Становая тяга</t>
  </si>
  <si>
    <t>ВЕСОВАЯ КАТЕГОРИЯ   100</t>
  </si>
  <si>
    <t xml:space="preserve">Иркутск/Иркутская область </t>
  </si>
  <si>
    <t>100,0</t>
  </si>
  <si>
    <t>190,0</t>
  </si>
  <si>
    <t>270,0</t>
  </si>
  <si>
    <t>-</t>
  </si>
  <si>
    <t>ВЕСОВАЯ КАТЕГОРИЯ   56</t>
  </si>
  <si>
    <t>Ситова Татьяна</t>
  </si>
  <si>
    <t>Открытая (19.08.1979)/43</t>
  </si>
  <si>
    <t>55,70</t>
  </si>
  <si>
    <t xml:space="preserve">Братск/Иркутская область </t>
  </si>
  <si>
    <t>105,0</t>
  </si>
  <si>
    <t>110,0</t>
  </si>
  <si>
    <t>112,5</t>
  </si>
  <si>
    <t>52,5</t>
  </si>
  <si>
    <t>55,0</t>
  </si>
  <si>
    <t>57,5</t>
  </si>
  <si>
    <t>115,0</t>
  </si>
  <si>
    <t>120,0</t>
  </si>
  <si>
    <t>125,0</t>
  </si>
  <si>
    <t>ВЕСОВАЯ КАТЕГОРИЯ   90</t>
  </si>
  <si>
    <t>Нурутдинов Максим</t>
  </si>
  <si>
    <t>Открытая (28.07.1982)/40</t>
  </si>
  <si>
    <t>90,00</t>
  </si>
  <si>
    <t>305,0</t>
  </si>
  <si>
    <t>320,0</t>
  </si>
  <si>
    <t>327,5</t>
  </si>
  <si>
    <t>175,0</t>
  </si>
  <si>
    <t>180,0</t>
  </si>
  <si>
    <t>225,0</t>
  </si>
  <si>
    <t>240,0</t>
  </si>
  <si>
    <t>Доманских Максим</t>
  </si>
  <si>
    <t>Открытая (22.01.1983)/39</t>
  </si>
  <si>
    <t>89,80</t>
  </si>
  <si>
    <t>205,0</t>
  </si>
  <si>
    <t>210,0</t>
  </si>
  <si>
    <t>170,0</t>
  </si>
  <si>
    <t>172,5</t>
  </si>
  <si>
    <t>230,0</t>
  </si>
  <si>
    <t>252,5</t>
  </si>
  <si>
    <t>260,0</t>
  </si>
  <si>
    <t xml:space="preserve">Гинтов Дмитрий </t>
  </si>
  <si>
    <t>Сосновский Никита</t>
  </si>
  <si>
    <t>Открытая (15.12.1987)/34</t>
  </si>
  <si>
    <t>99,50</t>
  </si>
  <si>
    <t>235,0</t>
  </si>
  <si>
    <t>247,5</t>
  </si>
  <si>
    <t>255,0</t>
  </si>
  <si>
    <t>160,0</t>
  </si>
  <si>
    <t>280,0</t>
  </si>
  <si>
    <t xml:space="preserve">Нурутдинов Максим </t>
  </si>
  <si>
    <t>Ершов Максим</t>
  </si>
  <si>
    <t>Открытая (21.05.1991)/31</t>
  </si>
  <si>
    <t>100,00</t>
  </si>
  <si>
    <t xml:space="preserve">Норильск/Красноярский край </t>
  </si>
  <si>
    <t>215,0</t>
  </si>
  <si>
    <t>272,5</t>
  </si>
  <si>
    <t>277,5</t>
  </si>
  <si>
    <t xml:space="preserve">Спыну Игорь </t>
  </si>
  <si>
    <t xml:space="preserve">Ангарск/Иркутская область </t>
  </si>
  <si>
    <t xml:space="preserve">Вяхирев Илья </t>
  </si>
  <si>
    <t>ВЕСОВАЯ КАТЕГОРИЯ   110</t>
  </si>
  <si>
    <t>Середин Андрей</t>
  </si>
  <si>
    <t>Открытая (02.02.1988)/34</t>
  </si>
  <si>
    <t>106,40</t>
  </si>
  <si>
    <t>135,0</t>
  </si>
  <si>
    <t>145,0</t>
  </si>
  <si>
    <t>200,0</t>
  </si>
  <si>
    <t>220,0</t>
  </si>
  <si>
    <t xml:space="preserve">Женщины </t>
  </si>
  <si>
    <t xml:space="preserve">Открытая </t>
  </si>
  <si>
    <t xml:space="preserve">ФИО </t>
  </si>
  <si>
    <t xml:space="preserve">Возрастная группа </t>
  </si>
  <si>
    <t xml:space="preserve">Весовая </t>
  </si>
  <si>
    <t xml:space="preserve">Сумма </t>
  </si>
  <si>
    <t xml:space="preserve">Wilks </t>
  </si>
  <si>
    <t>56</t>
  </si>
  <si>
    <t xml:space="preserve">Мужчины </t>
  </si>
  <si>
    <t>90</t>
  </si>
  <si>
    <t>100</t>
  </si>
  <si>
    <t>1</t>
  </si>
  <si>
    <t>2</t>
  </si>
  <si>
    <t>ВЕСОВАЯ КАТЕГОРИЯ   52</t>
  </si>
  <si>
    <t>Сизых Лариса</t>
  </si>
  <si>
    <t>Открытая (01.05.1979)/43</t>
  </si>
  <si>
    <t>50,40</t>
  </si>
  <si>
    <t>80,0</t>
  </si>
  <si>
    <t>87,5</t>
  </si>
  <si>
    <t>90,0</t>
  </si>
  <si>
    <t>37,5</t>
  </si>
  <si>
    <t>40,0</t>
  </si>
  <si>
    <t>42,5</t>
  </si>
  <si>
    <t>132,5</t>
  </si>
  <si>
    <t>Тыщенко Екатерина</t>
  </si>
  <si>
    <t>51,10</t>
  </si>
  <si>
    <t>77,5</t>
  </si>
  <si>
    <t>82,5</t>
  </si>
  <si>
    <t>95,0</t>
  </si>
  <si>
    <t xml:space="preserve">Санжиева Сэсэг </t>
  </si>
  <si>
    <t>Чин-Чи-Мин Кристина</t>
  </si>
  <si>
    <t>Открытая (11.10.1996)/26</t>
  </si>
  <si>
    <t>53,80</t>
  </si>
  <si>
    <t>92,5</t>
  </si>
  <si>
    <t>97,5</t>
  </si>
  <si>
    <t>47,5</t>
  </si>
  <si>
    <t>50,0</t>
  </si>
  <si>
    <t xml:space="preserve">Свобода Евгений </t>
  </si>
  <si>
    <t>Карнаухова Анастасия</t>
  </si>
  <si>
    <t>Открытая (23.10.1997)/25</t>
  </si>
  <si>
    <t>53,90</t>
  </si>
  <si>
    <t>70,0</t>
  </si>
  <si>
    <t>75,0</t>
  </si>
  <si>
    <t>45,0</t>
  </si>
  <si>
    <t>107,5</t>
  </si>
  <si>
    <t>Сорока Александра</t>
  </si>
  <si>
    <t>Открытая (15.03.1995)/27</t>
  </si>
  <si>
    <t>55,90</t>
  </si>
  <si>
    <t>67,5</t>
  </si>
  <si>
    <t>72,5</t>
  </si>
  <si>
    <t>35,0</t>
  </si>
  <si>
    <t>85,0</t>
  </si>
  <si>
    <t xml:space="preserve">Кривоносов Владислав </t>
  </si>
  <si>
    <t>ВЕСОВАЯ КАТЕГОРИЯ   60</t>
  </si>
  <si>
    <t>Перкова Мария</t>
  </si>
  <si>
    <t>Девушки 15-19 (08.02.2005)/17</t>
  </si>
  <si>
    <t>59,00</t>
  </si>
  <si>
    <t>60,0</t>
  </si>
  <si>
    <t>65,0</t>
  </si>
  <si>
    <t>Москвитина Диана</t>
  </si>
  <si>
    <t>59,60</t>
  </si>
  <si>
    <t xml:space="preserve">Герасимович Иван </t>
  </si>
  <si>
    <t>Энгельгард Ольга</t>
  </si>
  <si>
    <t>Открытая (11.03.1985)/37</t>
  </si>
  <si>
    <t>59,90</t>
  </si>
  <si>
    <t>62,5</t>
  </si>
  <si>
    <t>130,0</t>
  </si>
  <si>
    <t>Андриянова Мария</t>
  </si>
  <si>
    <t>Открытая (13.02.1993)/29</t>
  </si>
  <si>
    <t>60,00</t>
  </si>
  <si>
    <t>102,5</t>
  </si>
  <si>
    <t>Открытая (08.02.2005)/17</t>
  </si>
  <si>
    <t>ВЕСОВАЯ КАТЕГОРИЯ   67.5</t>
  </si>
  <si>
    <t>Пуртова Вероника</t>
  </si>
  <si>
    <t>66,50</t>
  </si>
  <si>
    <t>122,5</t>
  </si>
  <si>
    <t>127,5</t>
  </si>
  <si>
    <t>Открытая (21.03.2001)/21</t>
  </si>
  <si>
    <t>Демова Ольга</t>
  </si>
  <si>
    <t>Открытая (04.04.1995)/27</t>
  </si>
  <si>
    <t>64,30</t>
  </si>
  <si>
    <t xml:space="preserve">Белоусов Александр </t>
  </si>
  <si>
    <t>ВЕСОВАЯ КАТЕГОРИЯ   75</t>
  </si>
  <si>
    <t>Бодина Анна</t>
  </si>
  <si>
    <t>73,70</t>
  </si>
  <si>
    <t xml:space="preserve">Лавреньтьев Никита </t>
  </si>
  <si>
    <t>Нурутдинов Руслан</t>
  </si>
  <si>
    <t>Юноши 15-19 (04.01.2008)/14</t>
  </si>
  <si>
    <t>55,10</t>
  </si>
  <si>
    <t>Рахимов Шерозджон</t>
  </si>
  <si>
    <t>Открытая (20.04.2000)/22</t>
  </si>
  <si>
    <t>55,30</t>
  </si>
  <si>
    <t>150,0</t>
  </si>
  <si>
    <t>162,5</t>
  </si>
  <si>
    <t xml:space="preserve">Орлов Александр </t>
  </si>
  <si>
    <t>Михайлов Федор</t>
  </si>
  <si>
    <t>Юноши 15-19 (12.02.2006)/16</t>
  </si>
  <si>
    <t>59,80</t>
  </si>
  <si>
    <t>Пахомов Дмитрий</t>
  </si>
  <si>
    <t>Юноши 15-19 (16.04.2006)/16</t>
  </si>
  <si>
    <t xml:space="preserve">Гертель Яков </t>
  </si>
  <si>
    <t>Вагин Александр</t>
  </si>
  <si>
    <t>Юноши 15-19 (16.04.2008)/14</t>
  </si>
  <si>
    <t>Открытая (16.04.2008)/14</t>
  </si>
  <si>
    <t>Астахов Владислав</t>
  </si>
  <si>
    <t>Юноши 15-19 (28.11.2005)/17</t>
  </si>
  <si>
    <t>60,30</t>
  </si>
  <si>
    <t>Сорока Иван</t>
  </si>
  <si>
    <t>Открытая (30.06.1994)/28</t>
  </si>
  <si>
    <t>66,70</t>
  </si>
  <si>
    <t>Доровских Захар</t>
  </si>
  <si>
    <t>Юноши 15-19 (08.11.2011)/11</t>
  </si>
  <si>
    <t>72,60</t>
  </si>
  <si>
    <t>Филимонов Сергей</t>
  </si>
  <si>
    <t>Открытая (18.02.1972)/50</t>
  </si>
  <si>
    <t>71,70</t>
  </si>
  <si>
    <t>157,5</t>
  </si>
  <si>
    <t>140,0</t>
  </si>
  <si>
    <t>142,5</t>
  </si>
  <si>
    <t>187,5</t>
  </si>
  <si>
    <t>Пак Константин</t>
  </si>
  <si>
    <t>Открытая (23.07.1992)/30</t>
  </si>
  <si>
    <t>74,50</t>
  </si>
  <si>
    <t>155,0</t>
  </si>
  <si>
    <t xml:space="preserve">Ниязиев Энвер </t>
  </si>
  <si>
    <t>Крупельницкий Рустам</t>
  </si>
  <si>
    <t>Открытая (15.01.1989)/33</t>
  </si>
  <si>
    <t>73,60</t>
  </si>
  <si>
    <t>Тренихин Артём</t>
  </si>
  <si>
    <t>Открытая (31.03.1994)/28</t>
  </si>
  <si>
    <t>73,40</t>
  </si>
  <si>
    <t xml:space="preserve">Пантелеев Дмитрий </t>
  </si>
  <si>
    <t>Гуров Кирилл</t>
  </si>
  <si>
    <t>Открытая (30.09.1990)/32</t>
  </si>
  <si>
    <t>74,40</t>
  </si>
  <si>
    <t>75,00</t>
  </si>
  <si>
    <t>ВЕСОВАЯ КАТЕГОРИЯ   82.5</t>
  </si>
  <si>
    <t>Струневский Артем</t>
  </si>
  <si>
    <t>Юноши 15-19 (12.08.2007)/15</t>
  </si>
  <si>
    <t>76,40</t>
  </si>
  <si>
    <t>Чулков Иван</t>
  </si>
  <si>
    <t>81,60</t>
  </si>
  <si>
    <t>117,5</t>
  </si>
  <si>
    <t>177,5</t>
  </si>
  <si>
    <t xml:space="preserve">Вилков Денис </t>
  </si>
  <si>
    <t>Искаков Руслан</t>
  </si>
  <si>
    <t>82,30</t>
  </si>
  <si>
    <t xml:space="preserve">Усолье-Сибирское/Иркутская область </t>
  </si>
  <si>
    <t>185,0</t>
  </si>
  <si>
    <t>Ковалев Андрей</t>
  </si>
  <si>
    <t>Открытая (11.02.1991)/31</t>
  </si>
  <si>
    <t>82,20</t>
  </si>
  <si>
    <t>165,0</t>
  </si>
  <si>
    <t>147,5</t>
  </si>
  <si>
    <t>232,5</t>
  </si>
  <si>
    <t>Кобылкин Алексей</t>
  </si>
  <si>
    <t>Открытая (20.04.1990)/32</t>
  </si>
  <si>
    <t>79,60</t>
  </si>
  <si>
    <t>182,5</t>
  </si>
  <si>
    <t>Власевский Алексей</t>
  </si>
  <si>
    <t>86,80</t>
  </si>
  <si>
    <t xml:space="preserve">Тамбовцев Дмитрий </t>
  </si>
  <si>
    <t>Кривоносов Владислав</t>
  </si>
  <si>
    <t>Открытая (24.10.1987)/35</t>
  </si>
  <si>
    <t>89,10</t>
  </si>
  <si>
    <t>222,5</t>
  </si>
  <si>
    <t>285,0</t>
  </si>
  <si>
    <t>300,0</t>
  </si>
  <si>
    <t>Тамбовцев Дмитрий</t>
  </si>
  <si>
    <t>Открытая (15.09.1990)/32</t>
  </si>
  <si>
    <t>89,60</t>
  </si>
  <si>
    <t>195,0</t>
  </si>
  <si>
    <t>137,5</t>
  </si>
  <si>
    <t>Худоногов Никита</t>
  </si>
  <si>
    <t>Открытая (03.10.1991)/31</t>
  </si>
  <si>
    <t>Вилков Денис</t>
  </si>
  <si>
    <t>Открытая (26.07.1989)/33</t>
  </si>
  <si>
    <t>88,90</t>
  </si>
  <si>
    <t>217,5</t>
  </si>
  <si>
    <t>Горяшин Сергей</t>
  </si>
  <si>
    <t>Открытая (24.03.1994)/28</t>
  </si>
  <si>
    <t>88,40</t>
  </si>
  <si>
    <t xml:space="preserve">Леус Роман </t>
  </si>
  <si>
    <t>Никаноров Олег</t>
  </si>
  <si>
    <t>Юноши 15-19 (29.07.2005)/17</t>
  </si>
  <si>
    <t>98,30</t>
  </si>
  <si>
    <t>Скворцов Максим</t>
  </si>
  <si>
    <t>Зайцев Евгений</t>
  </si>
  <si>
    <t>Открытая (04.02.1998)/24</t>
  </si>
  <si>
    <t>98,80</t>
  </si>
  <si>
    <t xml:space="preserve">Пшеничников Семен </t>
  </si>
  <si>
    <t>Гулюк Максим</t>
  </si>
  <si>
    <t>Открытая (16.08.1979)/43</t>
  </si>
  <si>
    <t>108,90</t>
  </si>
  <si>
    <t>250,0</t>
  </si>
  <si>
    <t>60</t>
  </si>
  <si>
    <t>52</t>
  </si>
  <si>
    <t xml:space="preserve">Мастера </t>
  </si>
  <si>
    <t>75</t>
  </si>
  <si>
    <t>82.5</t>
  </si>
  <si>
    <t>3</t>
  </si>
  <si>
    <t>4</t>
  </si>
  <si>
    <t>5</t>
  </si>
  <si>
    <t>Жерещин Степан</t>
  </si>
  <si>
    <t>Юноши 15-19 (20.04.2008)/14</t>
  </si>
  <si>
    <t>65,00</t>
  </si>
  <si>
    <t xml:space="preserve">Блинов Алексей </t>
  </si>
  <si>
    <t>Руднев Сергей</t>
  </si>
  <si>
    <t>Открытая (20.03.1985)/37</t>
  </si>
  <si>
    <t xml:space="preserve">Желтенко Евгений </t>
  </si>
  <si>
    <t>Васильев Виталий</t>
  </si>
  <si>
    <t>Открытая (05.02.1987)/35</t>
  </si>
  <si>
    <t>74,30</t>
  </si>
  <si>
    <t xml:space="preserve">Прилуцкий Сергей </t>
  </si>
  <si>
    <t>Хайрисламов Марат</t>
  </si>
  <si>
    <t>Открытая (02.09.1976)/46</t>
  </si>
  <si>
    <t>81,80</t>
  </si>
  <si>
    <t>Малофеев Виктор</t>
  </si>
  <si>
    <t>Открытая (23.07.1993)/29</t>
  </si>
  <si>
    <t>81,90</t>
  </si>
  <si>
    <t xml:space="preserve">Вислогузов Алексей </t>
  </si>
  <si>
    <t>Верхозин Хасан</t>
  </si>
  <si>
    <t>Открытая (13.12.1995)/26</t>
  </si>
  <si>
    <t>82,10</t>
  </si>
  <si>
    <t>Пашков Олег</t>
  </si>
  <si>
    <t>Открытая (04.07.1986)/36</t>
  </si>
  <si>
    <t>89,30</t>
  </si>
  <si>
    <t>Заборцев Антон</t>
  </si>
  <si>
    <t>Открытая (11.12.1987)/35</t>
  </si>
  <si>
    <t>88,10</t>
  </si>
  <si>
    <t>152,5</t>
  </si>
  <si>
    <t>Фаткулов Артем</t>
  </si>
  <si>
    <t>89,50</t>
  </si>
  <si>
    <t>Гара Станислав</t>
  </si>
  <si>
    <t>Открытая (26.04.1985)/37</t>
  </si>
  <si>
    <t>Гафыкин Сергей</t>
  </si>
  <si>
    <t>Открытая (10.12.1991)/31</t>
  </si>
  <si>
    <t>97,50</t>
  </si>
  <si>
    <t>Черненко Максим</t>
  </si>
  <si>
    <t>95,00</t>
  </si>
  <si>
    <t xml:space="preserve">Пашков Олег </t>
  </si>
  <si>
    <t>Кичигин Кирилл</t>
  </si>
  <si>
    <t>Открытая (07.06.1996)/26</t>
  </si>
  <si>
    <t>106,20</t>
  </si>
  <si>
    <t>227,5</t>
  </si>
  <si>
    <t>Комаров Андрей</t>
  </si>
  <si>
    <t>Открытая (18.08.1973)/49</t>
  </si>
  <si>
    <t>104,80</t>
  </si>
  <si>
    <t>Вислогузов Алексей</t>
  </si>
  <si>
    <t>Открытая (22.03.1990)/32</t>
  </si>
  <si>
    <t>105,50</t>
  </si>
  <si>
    <t>207,5</t>
  </si>
  <si>
    <t>ВЕСОВАЯ КАТЕГОРИЯ   125</t>
  </si>
  <si>
    <t>Тирских Алексей</t>
  </si>
  <si>
    <t>Открытая (04.10.1985)/37</t>
  </si>
  <si>
    <t>122,00</t>
  </si>
  <si>
    <t xml:space="preserve">Саянск/Иркутская область </t>
  </si>
  <si>
    <t>290,0</t>
  </si>
  <si>
    <t>Французов Александр</t>
  </si>
  <si>
    <t>Открытая (18.07.1977)/45</t>
  </si>
  <si>
    <t>116,30</t>
  </si>
  <si>
    <t xml:space="preserve">Киренск/Иркутская область </t>
  </si>
  <si>
    <t>202,5</t>
  </si>
  <si>
    <t>212,5</t>
  </si>
  <si>
    <t xml:space="preserve">Вернов Евгений </t>
  </si>
  <si>
    <t>Загоскин Антон</t>
  </si>
  <si>
    <t>Открытая (02.12.1993)/29</t>
  </si>
  <si>
    <t>117,70</t>
  </si>
  <si>
    <t xml:space="preserve">Ташланов Егор </t>
  </si>
  <si>
    <t>Мыра Андрей</t>
  </si>
  <si>
    <t>120,50</t>
  </si>
  <si>
    <t xml:space="preserve">Результат </t>
  </si>
  <si>
    <t>110</t>
  </si>
  <si>
    <t>125</t>
  </si>
  <si>
    <t>Результат</t>
  </si>
  <si>
    <t>Юдина Мария</t>
  </si>
  <si>
    <t>Открытая (12.06.1987)/35</t>
  </si>
  <si>
    <t>51,80</t>
  </si>
  <si>
    <t xml:space="preserve">Хростовский Андрей </t>
  </si>
  <si>
    <t>Сафонова Анастасия</t>
  </si>
  <si>
    <t>Открытая (04.12.1991)/31</t>
  </si>
  <si>
    <t>51,90</t>
  </si>
  <si>
    <t xml:space="preserve">Французов Александр </t>
  </si>
  <si>
    <t>Тяжева Светлана</t>
  </si>
  <si>
    <t>Девушки 15-19 (06.12.2007)/15</t>
  </si>
  <si>
    <t>55,80</t>
  </si>
  <si>
    <t>65,5</t>
  </si>
  <si>
    <t xml:space="preserve">Тяжев Павел </t>
  </si>
  <si>
    <t>Ботман Юлия</t>
  </si>
  <si>
    <t>55,20</t>
  </si>
  <si>
    <t>Мудрова Евгения</t>
  </si>
  <si>
    <t>Открытая (15.03.1983)/39</t>
  </si>
  <si>
    <t>56,00</t>
  </si>
  <si>
    <t>Открытая (23.01.2002)/20</t>
  </si>
  <si>
    <t>Открытая (06.12.2007)/15</t>
  </si>
  <si>
    <t>Алексеева Ольга</t>
  </si>
  <si>
    <t>Открытая (12.03.1989)/33</t>
  </si>
  <si>
    <t>59,20</t>
  </si>
  <si>
    <t xml:space="preserve">Слюдянка/Иркутская область </t>
  </si>
  <si>
    <t>Зайцева Анна</t>
  </si>
  <si>
    <t>Открытая (11.10.1997)/25</t>
  </si>
  <si>
    <t>66,10</t>
  </si>
  <si>
    <t>Гусева Наталья</t>
  </si>
  <si>
    <t>78,90</t>
  </si>
  <si>
    <t xml:space="preserve">Магомед Ханов </t>
  </si>
  <si>
    <t>Адамян Эдгар</t>
  </si>
  <si>
    <t>Открытая (27.09.1988)/34</t>
  </si>
  <si>
    <t>57,70</t>
  </si>
  <si>
    <t>Пантуз Владислав</t>
  </si>
  <si>
    <t>Юноши 15-19 (30.11.2005)/17</t>
  </si>
  <si>
    <t>Бруев Олег</t>
  </si>
  <si>
    <t>72,30</t>
  </si>
  <si>
    <t>Вяхирев Илья</t>
  </si>
  <si>
    <t>Открытая (28.02.1993)/29</t>
  </si>
  <si>
    <t>73,00</t>
  </si>
  <si>
    <t>Ларионов Евгений</t>
  </si>
  <si>
    <t>Открытая (20.07.1983)/39</t>
  </si>
  <si>
    <t>71,90</t>
  </si>
  <si>
    <t>Аверин Николай</t>
  </si>
  <si>
    <t>Открытая (22.02.1984)/38</t>
  </si>
  <si>
    <t>73,80</t>
  </si>
  <si>
    <t xml:space="preserve">Кабанов Иван </t>
  </si>
  <si>
    <t>Заикин Петр</t>
  </si>
  <si>
    <t>Открытая (12.01.1983)/39</t>
  </si>
  <si>
    <t>74,60</t>
  </si>
  <si>
    <t>Петровский Анатолий</t>
  </si>
  <si>
    <t>Открытая (13.07.1955)/67</t>
  </si>
  <si>
    <t>72,80</t>
  </si>
  <si>
    <t>Константинов Никита</t>
  </si>
  <si>
    <t>Юноши 15-19 (18.03.2005)/17</t>
  </si>
  <si>
    <t>76,10</t>
  </si>
  <si>
    <t>Номоконов Азамат</t>
  </si>
  <si>
    <t>81,70</t>
  </si>
  <si>
    <t>Брюханов Данила</t>
  </si>
  <si>
    <t>80,30</t>
  </si>
  <si>
    <t xml:space="preserve">Тайшет/Иркутская область </t>
  </si>
  <si>
    <t>Алиев Тимур</t>
  </si>
  <si>
    <t>81,10</t>
  </si>
  <si>
    <t>Процук Сергей</t>
  </si>
  <si>
    <t>Открытая (14.12.1976)/45</t>
  </si>
  <si>
    <t>Альтман Александр</t>
  </si>
  <si>
    <t>Открытая (30.06.1985)/37</t>
  </si>
  <si>
    <t>81,50</t>
  </si>
  <si>
    <t>Жменя Алексей</t>
  </si>
  <si>
    <t>Степанов Матвей</t>
  </si>
  <si>
    <t>Юноши 15-19 (19.08.2005)/17</t>
  </si>
  <si>
    <t>89,70</t>
  </si>
  <si>
    <t>Жученко Евгений</t>
  </si>
  <si>
    <t>86,60</t>
  </si>
  <si>
    <t>Трофимов Александр</t>
  </si>
  <si>
    <t>Открытая (22.10.1992)/30</t>
  </si>
  <si>
    <t>89,20</t>
  </si>
  <si>
    <t>Зуев Иван</t>
  </si>
  <si>
    <t>Открытая (27.11.1995)/27</t>
  </si>
  <si>
    <t>89,00</t>
  </si>
  <si>
    <t>Тешабоев Адхамжон</t>
  </si>
  <si>
    <t>Открытая (09.10.1994)/28</t>
  </si>
  <si>
    <t>83,60</t>
  </si>
  <si>
    <t>Семёнов Александр</t>
  </si>
  <si>
    <t>88,00</t>
  </si>
  <si>
    <t>Тарасенко Василий</t>
  </si>
  <si>
    <t>88,70</t>
  </si>
  <si>
    <t xml:space="preserve">Комаров Андрей </t>
  </si>
  <si>
    <t>Тесельский Вячеслав</t>
  </si>
  <si>
    <t>89,40</t>
  </si>
  <si>
    <t>Клатик Сергей</t>
  </si>
  <si>
    <t>84,50</t>
  </si>
  <si>
    <t xml:space="preserve">Чита/Забайкальский край </t>
  </si>
  <si>
    <t>Кондратьев Сергей</t>
  </si>
  <si>
    <t>Открытая (02.11.1987)/35</t>
  </si>
  <si>
    <t>97,00</t>
  </si>
  <si>
    <t>Рыков Алексей</t>
  </si>
  <si>
    <t>Открытая (20.12.1983)/38</t>
  </si>
  <si>
    <t>97,60</t>
  </si>
  <si>
    <t xml:space="preserve">Шелехов/Иркутская область </t>
  </si>
  <si>
    <t>Домрачев Алексей</t>
  </si>
  <si>
    <t>Открытая (28.06.1986)/36</t>
  </si>
  <si>
    <t>94,70</t>
  </si>
  <si>
    <t xml:space="preserve">Беловал Евгений </t>
  </si>
  <si>
    <t>Кириенко Роман</t>
  </si>
  <si>
    <t>Открытая (15.04.1987)/35</t>
  </si>
  <si>
    <t>167,5</t>
  </si>
  <si>
    <t>Верхотуров Игорь</t>
  </si>
  <si>
    <t>Открытая (22.05.1991)/31</t>
  </si>
  <si>
    <t>99,60</t>
  </si>
  <si>
    <t>Ананьев Дмитрий</t>
  </si>
  <si>
    <t>Открытая (13.10.1984)/38</t>
  </si>
  <si>
    <t>97,20</t>
  </si>
  <si>
    <t>Жемухов Артур</t>
  </si>
  <si>
    <t>Открытая (21.12.1995)/26</t>
  </si>
  <si>
    <t>98,00</t>
  </si>
  <si>
    <t xml:space="preserve">Игорь Болдонов </t>
  </si>
  <si>
    <t>Колодин Роман</t>
  </si>
  <si>
    <t>Открытая (07.05.1989)/33</t>
  </si>
  <si>
    <t>95,90</t>
  </si>
  <si>
    <t>Серов Евгений</t>
  </si>
  <si>
    <t>93,20</t>
  </si>
  <si>
    <t>Мамонов Сергей</t>
  </si>
  <si>
    <t>Открытая (02.07.1984)/38</t>
  </si>
  <si>
    <t>108,60</t>
  </si>
  <si>
    <t>Куркутов Руслан</t>
  </si>
  <si>
    <t>107,70</t>
  </si>
  <si>
    <t xml:space="preserve">Доманских Максим </t>
  </si>
  <si>
    <t>Колядин Максим</t>
  </si>
  <si>
    <t>Открытая (03.09.1994)/28</t>
  </si>
  <si>
    <t>192,5</t>
  </si>
  <si>
    <t>Сиренченко Павел</t>
  </si>
  <si>
    <t>Открытая (04.11.1991)/31</t>
  </si>
  <si>
    <t>122,20</t>
  </si>
  <si>
    <t>Брюханов Никита</t>
  </si>
  <si>
    <t>Открытая (28.08.1995)/27</t>
  </si>
  <si>
    <t>119,00</t>
  </si>
  <si>
    <t>Тяжев Павел</t>
  </si>
  <si>
    <t>Открытая (04.02.1985)/37</t>
  </si>
  <si>
    <t>112,00</t>
  </si>
  <si>
    <t>6</t>
  </si>
  <si>
    <t>7</t>
  </si>
  <si>
    <t>8</t>
  </si>
  <si>
    <t>Галеев Максим</t>
  </si>
  <si>
    <t>Открытая (18.11.1989)/33</t>
  </si>
  <si>
    <t>81,40</t>
  </si>
  <si>
    <t>Коликов Дмитрий</t>
  </si>
  <si>
    <t>96,90</t>
  </si>
  <si>
    <t>Антагаров Ширипп</t>
  </si>
  <si>
    <t>Открытая (15.03.1990)/32</t>
  </si>
  <si>
    <t>Головня Сергей</t>
  </si>
  <si>
    <t>Открытая (05.05.1986)/36</t>
  </si>
  <si>
    <t>83,50</t>
  </si>
  <si>
    <t>Блинов Алексей</t>
  </si>
  <si>
    <t>Гусева Алена</t>
  </si>
  <si>
    <t>Открытая (31.03.1978)/44</t>
  </si>
  <si>
    <t>50,90</t>
  </si>
  <si>
    <t>Кобылкина Наталья</t>
  </si>
  <si>
    <t>Открытая (25.08.1994)/28</t>
  </si>
  <si>
    <t>48,30</t>
  </si>
  <si>
    <t>Раковская Мирослава</t>
  </si>
  <si>
    <t>52,90</t>
  </si>
  <si>
    <t>Данильчук Екатерина</t>
  </si>
  <si>
    <t>Открытая (11.02.1995)/27</t>
  </si>
  <si>
    <t>58,80</t>
  </si>
  <si>
    <t xml:space="preserve">Мешков Александр </t>
  </si>
  <si>
    <t>Степанова Маргарита</t>
  </si>
  <si>
    <t>Открытая (11.01.1988)/34</t>
  </si>
  <si>
    <t>65,40</t>
  </si>
  <si>
    <t>Парщиков Иван</t>
  </si>
  <si>
    <t>Юноши 15-19 (30.04.2003)/19</t>
  </si>
  <si>
    <t>66,20</t>
  </si>
  <si>
    <t>Будаев Андрей</t>
  </si>
  <si>
    <t>Открытая (20.08.1987)/35</t>
  </si>
  <si>
    <t>80,40</t>
  </si>
  <si>
    <t>Лубенец Сергей</t>
  </si>
  <si>
    <t>Открытая (19.03.1992)/30</t>
  </si>
  <si>
    <t>275,0</t>
  </si>
  <si>
    <t>Дондуков Саян</t>
  </si>
  <si>
    <t>Открытая (03.04.1988)/34</t>
  </si>
  <si>
    <t>94,60</t>
  </si>
  <si>
    <t>Пшеничников Семен</t>
  </si>
  <si>
    <t>Открытая (09.07.1991)/31</t>
  </si>
  <si>
    <t>88,50</t>
  </si>
  <si>
    <t>295,0</t>
  </si>
  <si>
    <t>Пшеничникова Анастасия</t>
  </si>
  <si>
    <t>Открытая (29.07.1990)/32</t>
  </si>
  <si>
    <t>67,00</t>
  </si>
  <si>
    <t>Сультимов Баир</t>
  </si>
  <si>
    <t>Открытая (17.07.1994)/28</t>
  </si>
  <si>
    <t>106,60</t>
  </si>
  <si>
    <t>Васильев Никита</t>
  </si>
  <si>
    <t>Открытая (17.08.1996)/26</t>
  </si>
  <si>
    <t>79,80</t>
  </si>
  <si>
    <t>Анцупов Максим</t>
  </si>
  <si>
    <t xml:space="preserve">Gloss </t>
  </si>
  <si>
    <t>Пежемская Мария</t>
  </si>
  <si>
    <t>Открытая (10.04.1995)/27</t>
  </si>
  <si>
    <t>Мастера 60+ (13.07.1955)/67</t>
  </si>
  <si>
    <t>Серебренников Вадим</t>
  </si>
  <si>
    <t>80,50</t>
  </si>
  <si>
    <t>Открытая (01.12.1980)/42</t>
  </si>
  <si>
    <t>Открытая (19.08.2005)/17</t>
  </si>
  <si>
    <t>Матвеев Андрей</t>
  </si>
  <si>
    <t>Открытая (15.06.1982)/40</t>
  </si>
  <si>
    <t>108,20</t>
  </si>
  <si>
    <t>245,0</t>
  </si>
  <si>
    <t>Шергин Дмитрий</t>
  </si>
  <si>
    <t>Открытая (18.03.1990)/32</t>
  </si>
  <si>
    <t>117,00</t>
  </si>
  <si>
    <t>Костенков Данила</t>
  </si>
  <si>
    <t>64,00</t>
  </si>
  <si>
    <t>Антонюк Алина</t>
  </si>
  <si>
    <t>55,40</t>
  </si>
  <si>
    <t>25,0</t>
  </si>
  <si>
    <t>30,0</t>
  </si>
  <si>
    <t xml:space="preserve">Томская Вероника </t>
  </si>
  <si>
    <t>Астахова Елена</t>
  </si>
  <si>
    <t>Открытая (30.10.1986)/36</t>
  </si>
  <si>
    <t>Орехов Андрей</t>
  </si>
  <si>
    <t>Открытая (11.01.2000)/22</t>
  </si>
  <si>
    <t>69,90</t>
  </si>
  <si>
    <t>32,5</t>
  </si>
  <si>
    <t>22,5</t>
  </si>
  <si>
    <t>Иванова Устинья</t>
  </si>
  <si>
    <t>27,5</t>
  </si>
  <si>
    <t>Костромина Татьяна</t>
  </si>
  <si>
    <t>Открытая (28.02.1989)/33</t>
  </si>
  <si>
    <t>Мухина Анастасия</t>
  </si>
  <si>
    <t>Открытая (22.10.1983)/39</t>
  </si>
  <si>
    <t xml:space="preserve">Кушнир Владимир </t>
  </si>
  <si>
    <t>Жилкин Олег</t>
  </si>
  <si>
    <t>Открытая (07.11.1976)/46</t>
  </si>
  <si>
    <t>Пешков Богдан</t>
  </si>
  <si>
    <t>86,50</t>
  </si>
  <si>
    <t xml:space="preserve">Данил Костенков </t>
  </si>
  <si>
    <t>Курбанов Константин</t>
  </si>
  <si>
    <t>96,10</t>
  </si>
  <si>
    <t>Открытая (09.06.2000)/22</t>
  </si>
  <si>
    <t>Соколов Александр</t>
  </si>
  <si>
    <t>Открытая (13.02.1985)/37</t>
  </si>
  <si>
    <t>99,00</t>
  </si>
  <si>
    <t>Чувашов Сергей</t>
  </si>
  <si>
    <t>Открытая (25.03.1992)/30</t>
  </si>
  <si>
    <t>ВЕСОВАЯ КАТЕГОРИЯ   48</t>
  </si>
  <si>
    <t>Карбушева Диана</t>
  </si>
  <si>
    <t>46,70</t>
  </si>
  <si>
    <t>Весовая категория</t>
  </si>
  <si>
    <t>Мещеряков Владислав</t>
  </si>
  <si>
    <t xml:space="preserve">Старцев Юрий </t>
  </si>
  <si>
    <t>Тарасов Константин</t>
  </si>
  <si>
    <t>Улан-Удэ/Республика Бурятия</t>
  </si>
  <si>
    <t>Всероссийский турнир «Кубок Байкала»
IPL Пауэрлифтинг без экипировки ДК
Иркутск/Иркутская область, 09-11 декабря 2022 года</t>
  </si>
  <si>
    <t>Всероссийский турнир «Кубок Байкала»
IPL Пауэрлифтинг без экипировки
Иркутск/Иркутская область, 09-11 декабря 2022 года</t>
  </si>
  <si>
    <t>Всероссийский турнир «Кубок Байкала»
IPL Силовое двоеборье без экипировки ДК
Иркутск/Иркутская область, 09-11 декабря 2022 года</t>
  </si>
  <si>
    <t>Всероссийский турнир «Кубок Байкала»
IPL Силовое двоеборье без экипировки
Иркутск/Иркутская область, 09-11 декабря 2022 года</t>
  </si>
  <si>
    <t>Всероссийский турнир «Кубок Байкала»
IPL Присед без экипировки ДК
Иркутск/Иркутская область, 09-11 декабря 2022 года</t>
  </si>
  <si>
    <t>Всероссийский турнир «Кубок Байкала»
IPL Жим лежа без экипировки ДК
Иркутск/Иркутская область, 09-11 декабря 2022 года</t>
  </si>
  <si>
    <t>Всероссийский турнир «Кубок Байкала»
IPL Жим лежа без экипировки
Иркутск/Иркутская область, 09-11 декабря 2022 года</t>
  </si>
  <si>
    <t>Всероссийский турнир «Кубок Байкала»
IPL Жим лежа в однослойной экипировке ДК
Иркутск/Иркутская область, 09-11 декабря 2022 года</t>
  </si>
  <si>
    <t>Всероссийский турнир «Кубок Байкала»
IPL Жим лежа в однослойной экипировке
Иркутск/Иркутская область, 09-11 декабря 2022 года</t>
  </si>
  <si>
    <t>Всероссийский турнир «Кубок Байкала»
СПР Жим лежа в однопетельной софт экипировке ДК
Иркутск/Иркутская область, 09-11 декабря 2022 года</t>
  </si>
  <si>
    <t>Всероссийский турнир «Кубок Байкала»
СПР Жим лежа в однопетельной софт экипировке
Иркутск/Иркутская область, 09-11 декабря 2022 года</t>
  </si>
  <si>
    <t>Всероссийский турнир «Кубок Байкала»
IPL Становая тяга без экипировки ДК
Иркутск/Иркутская область, 09-11 декабря 2022 года</t>
  </si>
  <si>
    <t>Всероссийский турнир «Кубок Байкала»
IPL Становая тяга без экипировки
Иркутск/Иркутская область, 09-11 декабря 2022 года</t>
  </si>
  <si>
    <t>Всероссийский турнир «Кубок Байкала»
IPL Становая тяга в однослойной экипировке ДК
Иркутск/Иркутская область, 09-11 декабря 2022 года</t>
  </si>
  <si>
    <t>Всероссийский турнир «Кубок Байкала»
IPL Становая тяга в однослойной экипировке
Иркутск/Иркутская область, 09-11 декабря 2022 года</t>
  </si>
  <si>
    <t>Всероссийский турнир «Кубок Байкала»
СПР Пауэрспорт ДК
Иркутск/Иркутская область, 09-11 декабря 2022 года</t>
  </si>
  <si>
    <t>Всероссийский турнир «Кубок Байкала»
СПР Жим штанги стоя ДК
Иркутск/Иркутская область, 09-11 декабря 2022 года</t>
  </si>
  <si>
    <t>Всероссийский турнир «Кубок Байкала»
СПР Жим штанги стоя
Иркутск/Иркутская область, 09-11 декабря 2022 года</t>
  </si>
  <si>
    <t>Всероссийский турнир «Кубок Байкала»
СПР Строгий подъем штанги на бицепс ДК
Иркутск/Иркутская область, 09-11 декабря 2022 года</t>
  </si>
  <si>
    <t>Всероссийский турнир «Кубок Байкала»
СПР Строгий подъем штанги на бицепс
Иркутск/Иркутская область, 09-11 декабря 2022 года</t>
  </si>
  <si>
    <t>Мастера 40-44 (01.05.1979)/43</t>
  </si>
  <si>
    <t>Мастера 40-44 (01.04.1982)/40</t>
  </si>
  <si>
    <t>Юниорки 20-23 (28.09.2002)/20</t>
  </si>
  <si>
    <t>Юниорки 20-23 (21.03.2001)/21</t>
  </si>
  <si>
    <t>Мастера 40-44 (01.02.1982)/40</t>
  </si>
  <si>
    <t>Мастера 50-54 (18.02.1972)/50</t>
  </si>
  <si>
    <t>Юниоры 20-23 (11.11.2001)/21</t>
  </si>
  <si>
    <t>Юниоры 20-23 (24.08.2000)/22</t>
  </si>
  <si>
    <t>Юниоры 20-23 (07.11.1999)/23</t>
  </si>
  <si>
    <t>Юниоры 20-23 (18.12.2000)/21</t>
  </si>
  <si>
    <t>Юниорки 20-23 (23.01.2002)/20</t>
  </si>
  <si>
    <t>Мастера 45-49 (20.11.1975)/47</t>
  </si>
  <si>
    <t>Юниоры 20-23 (31.07.2002)/20</t>
  </si>
  <si>
    <t>Мастера 65-69 (13.07.1955)/67</t>
  </si>
  <si>
    <t>Юниоры 20-23 (15.04.2002)/20</t>
  </si>
  <si>
    <t>Юниоры 20-23 (17.08.2000)/22</t>
  </si>
  <si>
    <t>Юниоры 20-23 (23.12.2000)/21</t>
  </si>
  <si>
    <t>Мастера 40-44 (11.08.1980)/42</t>
  </si>
  <si>
    <t>Мастера 45-49 (14.12.1976)/45</t>
  </si>
  <si>
    <t>Юниоры 20-23 (01.09.2002)/20</t>
  </si>
  <si>
    <t>Мастера 40-44 (15.03.1980)/42</t>
  </si>
  <si>
    <t>Мастера 45-49 (10.10.1976)/46</t>
  </si>
  <si>
    <t>Мастера 45-49 (26.10.1977)/45</t>
  </si>
  <si>
    <t>Мастера 65-69 (12.09.1955)/67</t>
  </si>
  <si>
    <t>Мастера 45-49 (12.02.1974)/48</t>
  </si>
  <si>
    <t>Мастера 40-44 (04.08.1982)/40</t>
  </si>
  <si>
    <t xml:space="preserve">Мастера 65-69 </t>
  </si>
  <si>
    <t xml:space="preserve">Мастера 50-54 </t>
  </si>
  <si>
    <t xml:space="preserve">Мастера 45-49 </t>
  </si>
  <si>
    <t>Мастера 40-44 (17.07.1978)/44</t>
  </si>
  <si>
    <t>Мастера 40-44 (03.01.1981)/41</t>
  </si>
  <si>
    <t>Мастера 40-44 (02.09.1981)/41</t>
  </si>
  <si>
    <t>Мастера 45-49 (18.07.1977)/45</t>
  </si>
  <si>
    <t>Девушки 13-19 (08.02.2005)/17</t>
  </si>
  <si>
    <t>Мастера 50-59 (01.06.1964)/58</t>
  </si>
  <si>
    <t>Юноши 13-19 (19.08.2005)/17</t>
  </si>
  <si>
    <t>Мастера 40-49 (01.12.1980)/42</t>
  </si>
  <si>
    <t>Мастера 40-49 (15.06.1982)/40</t>
  </si>
  <si>
    <t>Юниорки 20-23 (11.01.2001)/21</t>
  </si>
  <si>
    <t>Мастера 40-44 (05.10.1981)/41</t>
  </si>
  <si>
    <t>Юниорки 20-23 (10.07.2002)/20</t>
  </si>
  <si>
    <t>Мастера 40-49 (01.04.1982)/40</t>
  </si>
  <si>
    <t>Юниорки 20-23 (23.08.2002)/20</t>
  </si>
  <si>
    <t>Юноши 13-19 (12.03.2003)/19</t>
  </si>
  <si>
    <t>Юниорки 20-23 (12.06.2002)/20</t>
  </si>
  <si>
    <t>Юноши 13-19 (30.11.2005)/17</t>
  </si>
  <si>
    <t>Мастера 40-49 (07.11.1976)/46</t>
  </si>
  <si>
    <t>Юноши 13-19 (06.08.2004)/18</t>
  </si>
  <si>
    <t>Юниоры 20-23 (09.06.2000)/22</t>
  </si>
  <si>
    <t>Мастера 40-49 (05.10.1981)/41</t>
  </si>
  <si>
    <t>Весовая катгория</t>
  </si>
  <si>
    <t>Женщины</t>
  </si>
  <si>
    <t xml:space="preserve">Соболев Иван </t>
  </si>
  <si>
    <t>Мужчины</t>
  </si>
  <si>
    <t>Чан  Анна</t>
  </si>
  <si>
    <t>Жим</t>
  </si>
  <si>
    <t>Тяга</t>
  </si>
  <si>
    <t>№</t>
  </si>
  <si>
    <t xml:space="preserve">
Дата рождения/Возраст</t>
  </si>
  <si>
    <t>Возрастная группа</t>
  </si>
  <si>
    <t>O</t>
  </si>
  <si>
    <t>M1</t>
  </si>
  <si>
    <t>T</t>
  </si>
  <si>
    <t>J</t>
  </si>
  <si>
    <t>M3</t>
  </si>
  <si>
    <t>M2</t>
  </si>
  <si>
    <t>M6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</si>
</sst>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0"/>
  </numFmts>
  <fonts count="9">
    <font>
      <sz val="10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b/>
      <sz val="24"/>
      <name val="Arial Cyr"/>
      <charset val="204"/>
    </font>
    <font>
      <sz val="12"/>
      <name val="Arial Cyr"/>
      <charset val="204"/>
    </font>
    <font>
      <sz val="14"/>
      <name val="Arial Cyr"/>
      <charset val="204"/>
    </font>
    <font>
      <i/>
      <sz val="12"/>
      <name val="Arial Cyr"/>
      <charset val="204"/>
    </font>
    <font>
      <b/>
      <strike/>
      <sz val="10"/>
      <color theme="5"/>
      <name val="Arial Cyr"/>
      <charset val="204"/>
    </font>
    <font>
      <i/>
      <sz val="11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D7E4BE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2">
    <xf numFmtId="0" fontId="0" fillId="0" borderId="0" xfId="0"/>
    <xf numFmtId="49" fontId="2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 vertical="center"/>
    </xf>
    <xf numFmtId="0" fontId="0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0" fillId="0" borderId="15" xfId="0" applyNumberFormat="1" applyFont="1" applyFill="1" applyBorder="1" applyAlignment="1">
      <alignment horizontal="center" vertical="center"/>
    </xf>
    <xf numFmtId="0" fontId="0" fillId="0" borderId="15" xfId="0" applyNumberFormat="1" applyFont="1" applyFill="1" applyBorder="1" applyAlignment="1">
      <alignment horizontal="center" vertical="center"/>
    </xf>
    <xf numFmtId="0" fontId="1" fillId="0" borderId="15" xfId="0" applyNumberFormat="1" applyFont="1" applyFill="1" applyBorder="1" applyAlignment="1">
      <alignment horizontal="center" vertical="center"/>
    </xf>
    <xf numFmtId="49" fontId="7" fillId="0" borderId="15" xfId="0" applyNumberFormat="1" applyFont="1" applyFill="1" applyBorder="1" applyAlignment="1">
      <alignment horizontal="center" vertical="center"/>
    </xf>
    <xf numFmtId="49" fontId="1" fillId="0" borderId="15" xfId="0" applyNumberFormat="1" applyFont="1" applyFill="1" applyBorder="1" applyAlignment="1">
      <alignment horizontal="center" vertical="center"/>
    </xf>
    <xf numFmtId="49" fontId="0" fillId="0" borderId="16" xfId="0" applyNumberFormat="1" applyFont="1" applyFill="1" applyBorder="1" applyAlignment="1">
      <alignment horizontal="center" vertical="center"/>
    </xf>
    <xf numFmtId="0" fontId="0" fillId="0" borderId="16" xfId="0" applyNumberFormat="1" applyFont="1" applyFill="1" applyBorder="1" applyAlignment="1">
      <alignment horizontal="center" vertical="center"/>
    </xf>
    <xf numFmtId="0" fontId="1" fillId="0" borderId="16" xfId="0" applyNumberFormat="1" applyFont="1" applyFill="1" applyBorder="1" applyAlignment="1">
      <alignment horizontal="center" vertical="center"/>
    </xf>
    <xf numFmtId="49" fontId="0" fillId="0" borderId="8" xfId="0" applyNumberFormat="1" applyFont="1" applyFill="1" applyBorder="1" applyAlignment="1">
      <alignment horizontal="center" vertical="center"/>
    </xf>
    <xf numFmtId="0" fontId="0" fillId="0" borderId="8" xfId="0" applyNumberFormat="1" applyFont="1" applyFill="1" applyBorder="1" applyAlignment="1">
      <alignment horizontal="center" vertical="center"/>
    </xf>
    <xf numFmtId="0" fontId="1" fillId="0" borderId="8" xfId="0" applyNumberFormat="1" applyFont="1" applyFill="1" applyBorder="1" applyAlignment="1">
      <alignment horizontal="center" vertical="center"/>
    </xf>
    <xf numFmtId="49" fontId="0" fillId="0" borderId="17" xfId="0" applyNumberFormat="1" applyFont="1" applyFill="1" applyBorder="1" applyAlignment="1">
      <alignment horizontal="center" vertical="center"/>
    </xf>
    <xf numFmtId="0" fontId="0" fillId="0" borderId="17" xfId="0" applyNumberFormat="1" applyFont="1" applyFill="1" applyBorder="1" applyAlignment="1">
      <alignment horizontal="center" vertical="center"/>
    </xf>
    <xf numFmtId="0" fontId="1" fillId="0" borderId="17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/>
    </xf>
    <xf numFmtId="49" fontId="8" fillId="0" borderId="0" xfId="0" applyNumberFormat="1" applyFont="1" applyFill="1" applyBorder="1" applyAlignment="1">
      <alignment horizontal="left" vertical="center" indent="1"/>
    </xf>
    <xf numFmtId="49" fontId="8" fillId="0" borderId="0" xfId="0" applyNumberFormat="1" applyFont="1" applyFill="1" applyBorder="1" applyAlignment="1">
      <alignment horizontal="center" vertical="center"/>
    </xf>
    <xf numFmtId="49" fontId="2" fillId="0" borderId="15" xfId="0" applyNumberFormat="1" applyFont="1" applyFill="1" applyBorder="1" applyAlignment="1">
      <alignment horizontal="center" vertical="center"/>
    </xf>
    <xf numFmtId="0" fontId="2" fillId="0" borderId="15" xfId="0" applyNumberFormat="1" applyFont="1" applyFill="1" applyBorder="1" applyAlignment="1">
      <alignment horizontal="center" vertical="center"/>
    </xf>
    <xf numFmtId="165" fontId="1" fillId="0" borderId="0" xfId="0" applyNumberFormat="1" applyFont="1" applyFill="1" applyBorder="1" applyAlignment="1">
      <alignment horizontal="center" vertical="center"/>
    </xf>
    <xf numFmtId="164" fontId="1" fillId="0" borderId="0" xfId="0" applyNumberFormat="1" applyFont="1" applyFill="1" applyBorder="1" applyAlignment="1">
      <alignment horizontal="center" vertical="center"/>
    </xf>
    <xf numFmtId="49" fontId="1" fillId="2" borderId="15" xfId="0" applyNumberFormat="1" applyFont="1" applyFill="1" applyBorder="1" applyAlignment="1">
      <alignment horizontal="center" vertical="center"/>
    </xf>
    <xf numFmtId="49" fontId="1" fillId="2" borderId="16" xfId="0" applyNumberFormat="1" applyFont="1" applyFill="1" applyBorder="1" applyAlignment="1">
      <alignment horizontal="center" vertical="center"/>
    </xf>
    <xf numFmtId="49" fontId="1" fillId="0" borderId="16" xfId="0" applyNumberFormat="1" applyFont="1" applyFill="1" applyBorder="1" applyAlignment="1">
      <alignment horizontal="center" vertical="center"/>
    </xf>
    <xf numFmtId="49" fontId="7" fillId="0" borderId="8" xfId="0" applyNumberFormat="1" applyFont="1" applyFill="1" applyBorder="1" applyAlignment="1">
      <alignment horizontal="center" vertical="center"/>
    </xf>
    <xf numFmtId="49" fontId="1" fillId="2" borderId="8" xfId="0" applyNumberFormat="1" applyFont="1" applyFill="1" applyBorder="1" applyAlignment="1">
      <alignment horizontal="center" vertical="center"/>
    </xf>
    <xf numFmtId="49" fontId="1" fillId="0" borderId="8" xfId="0" applyNumberFormat="1" applyFont="1" applyFill="1" applyBorder="1" applyAlignment="1">
      <alignment horizontal="center" vertical="center"/>
    </xf>
    <xf numFmtId="49" fontId="7" fillId="0" borderId="17" xfId="0" applyNumberFormat="1" applyFont="1" applyFill="1" applyBorder="1" applyAlignment="1">
      <alignment horizontal="center" vertical="center"/>
    </xf>
    <xf numFmtId="49" fontId="1" fillId="2" borderId="17" xfId="0" applyNumberFormat="1" applyFont="1" applyFill="1" applyBorder="1" applyAlignment="1">
      <alignment horizontal="center" vertical="center"/>
    </xf>
    <xf numFmtId="49" fontId="1" fillId="0" borderId="17" xfId="0" applyNumberFormat="1" applyFont="1" applyFill="1" applyBorder="1" applyAlignment="1">
      <alignment horizontal="center" vertical="center"/>
    </xf>
    <xf numFmtId="49" fontId="7" fillId="0" borderId="16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/>
    </xf>
    <xf numFmtId="164" fontId="1" fillId="0" borderId="15" xfId="0" applyNumberFormat="1" applyFont="1" applyFill="1" applyBorder="1" applyAlignment="1">
      <alignment horizontal="center" vertical="center"/>
    </xf>
    <xf numFmtId="164" fontId="1" fillId="0" borderId="16" xfId="0" applyNumberFormat="1" applyFont="1" applyFill="1" applyBorder="1" applyAlignment="1">
      <alignment horizontal="center" vertical="center"/>
    </xf>
    <xf numFmtId="164" fontId="1" fillId="0" borderId="8" xfId="0" applyNumberFormat="1" applyFont="1" applyFill="1" applyBorder="1" applyAlignment="1">
      <alignment horizontal="center" vertical="center"/>
    </xf>
    <xf numFmtId="164" fontId="1" fillId="0" borderId="17" xfId="0" applyNumberFormat="1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 wrapText="1"/>
    </xf>
    <xf numFmtId="49" fontId="3" fillId="0" borderId="10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49" fontId="3" fillId="0" borderId="1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8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6" fillId="0" borderId="14" xfId="0" applyNumberFormat="1" applyFont="1" applyFill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49" fontId="2" fillId="0" borderId="12" xfId="0" applyNumberFormat="1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164" fontId="2" fillId="0" borderId="8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U93"/>
  <sheetViews>
    <sheetView topLeftCell="A58" workbookViewId="0">
      <selection activeCell="E75" sqref="E75"/>
    </sheetView>
  </sheetViews>
  <sheetFormatPr baseColWidth="10" defaultColWidth="9.1640625" defaultRowHeight="13"/>
  <cols>
    <col min="1" max="1" width="7.1640625" style="5" bestFit="1" customWidth="1"/>
    <col min="2" max="2" width="21.5" style="5" bestFit="1" customWidth="1"/>
    <col min="3" max="3" width="28.83203125" style="5" bestFit="1" customWidth="1"/>
    <col min="4" max="4" width="20.83203125" style="5" bestFit="1" customWidth="1"/>
    <col min="5" max="5" width="10.1640625" style="6" bestFit="1" customWidth="1"/>
    <col min="6" max="6" width="35.1640625" style="5" bestFit="1" customWidth="1"/>
    <col min="7" max="9" width="5.5" style="10" customWidth="1"/>
    <col min="10" max="10" width="4.5" style="10" customWidth="1"/>
    <col min="11" max="13" width="5.5" style="10" customWidth="1"/>
    <col min="14" max="14" width="4.5" style="10" customWidth="1"/>
    <col min="15" max="17" width="5.5" style="10" customWidth="1"/>
    <col min="18" max="18" width="4.5" style="10" customWidth="1"/>
    <col min="19" max="19" width="7.6640625" style="7" bestFit="1" customWidth="1"/>
    <col min="20" max="20" width="8.5" style="7" bestFit="1" customWidth="1"/>
    <col min="21" max="21" width="22.1640625" style="5" bestFit="1" customWidth="1"/>
    <col min="22" max="16384" width="9.1640625" style="3"/>
  </cols>
  <sheetData>
    <row r="1" spans="1:21" s="2" customFormat="1" ht="29" customHeight="1">
      <c r="A1" s="47" t="s">
        <v>607</v>
      </c>
      <c r="B1" s="48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50"/>
    </row>
    <row r="2" spans="1:21" s="2" customFormat="1" ht="62" customHeight="1" thickBot="1">
      <c r="A2" s="51"/>
      <c r="B2" s="52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4"/>
    </row>
    <row r="3" spans="1:21" s="1" customFormat="1" ht="12.75" customHeight="1">
      <c r="A3" s="55" t="s">
        <v>684</v>
      </c>
      <c r="B3" s="66" t="s">
        <v>0</v>
      </c>
      <c r="C3" s="57" t="s">
        <v>685</v>
      </c>
      <c r="D3" s="57" t="s">
        <v>6</v>
      </c>
      <c r="E3" s="59" t="s">
        <v>686</v>
      </c>
      <c r="F3" s="61" t="s">
        <v>5</v>
      </c>
      <c r="G3" s="61" t="s">
        <v>8</v>
      </c>
      <c r="H3" s="61"/>
      <c r="I3" s="61"/>
      <c r="J3" s="61"/>
      <c r="K3" s="61" t="s">
        <v>9</v>
      </c>
      <c r="L3" s="61"/>
      <c r="M3" s="61"/>
      <c r="N3" s="61"/>
      <c r="O3" s="61" t="s">
        <v>10</v>
      </c>
      <c r="P3" s="61"/>
      <c r="Q3" s="61"/>
      <c r="R3" s="61"/>
      <c r="S3" s="59" t="s">
        <v>1</v>
      </c>
      <c r="T3" s="59" t="s">
        <v>3</v>
      </c>
      <c r="U3" s="62" t="s">
        <v>2</v>
      </c>
    </row>
    <row r="4" spans="1:21" s="1" customFormat="1" ht="21" customHeight="1" thickBot="1">
      <c r="A4" s="56"/>
      <c r="B4" s="67"/>
      <c r="C4" s="58"/>
      <c r="D4" s="58"/>
      <c r="E4" s="60"/>
      <c r="F4" s="58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">
        <v>1</v>
      </c>
      <c r="P4" s="4">
        <v>2</v>
      </c>
      <c r="Q4" s="4">
        <v>3</v>
      </c>
      <c r="R4" s="4" t="s">
        <v>4</v>
      </c>
      <c r="S4" s="60"/>
      <c r="T4" s="60"/>
      <c r="U4" s="63"/>
    </row>
    <row r="5" spans="1:21" ht="16">
      <c r="A5" s="64" t="s">
        <v>93</v>
      </c>
      <c r="B5" s="64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</row>
    <row r="6" spans="1:21">
      <c r="A6" s="34" t="s">
        <v>91</v>
      </c>
      <c r="B6" s="16" t="s">
        <v>94</v>
      </c>
      <c r="C6" s="16" t="s">
        <v>95</v>
      </c>
      <c r="D6" s="16" t="s">
        <v>96</v>
      </c>
      <c r="E6" s="17" t="s">
        <v>687</v>
      </c>
      <c r="F6" s="16" t="s">
        <v>12</v>
      </c>
      <c r="G6" s="33" t="s">
        <v>97</v>
      </c>
      <c r="H6" s="33" t="s">
        <v>98</v>
      </c>
      <c r="I6" s="41" t="s">
        <v>99</v>
      </c>
      <c r="J6" s="34"/>
      <c r="K6" s="33" t="s">
        <v>100</v>
      </c>
      <c r="L6" s="33" t="s">
        <v>101</v>
      </c>
      <c r="M6" s="41" t="s">
        <v>102</v>
      </c>
      <c r="N6" s="34"/>
      <c r="O6" s="33" t="s">
        <v>29</v>
      </c>
      <c r="P6" s="33" t="s">
        <v>103</v>
      </c>
      <c r="Q6" s="34"/>
      <c r="R6" s="34"/>
      <c r="S6" s="18" t="str">
        <f>"260,0"</f>
        <v>260,0</v>
      </c>
      <c r="T6" s="18" t="str">
        <f>"331,9940"</f>
        <v>331,9940</v>
      </c>
      <c r="U6" s="16" t="s">
        <v>603</v>
      </c>
    </row>
    <row r="7" spans="1:21">
      <c r="A7" s="40" t="s">
        <v>91</v>
      </c>
      <c r="B7" s="22" t="s">
        <v>94</v>
      </c>
      <c r="C7" s="22" t="s">
        <v>627</v>
      </c>
      <c r="D7" s="22" t="s">
        <v>96</v>
      </c>
      <c r="E7" s="23" t="s">
        <v>688</v>
      </c>
      <c r="F7" s="22" t="s">
        <v>12</v>
      </c>
      <c r="G7" s="39" t="s">
        <v>97</v>
      </c>
      <c r="H7" s="39" t="s">
        <v>98</v>
      </c>
      <c r="I7" s="38" t="s">
        <v>99</v>
      </c>
      <c r="J7" s="40"/>
      <c r="K7" s="39" t="s">
        <v>100</v>
      </c>
      <c r="L7" s="39" t="s">
        <v>101</v>
      </c>
      <c r="M7" s="38" t="s">
        <v>102</v>
      </c>
      <c r="N7" s="40"/>
      <c r="O7" s="39" t="s">
        <v>29</v>
      </c>
      <c r="P7" s="39" t="s">
        <v>103</v>
      </c>
      <c r="Q7" s="40"/>
      <c r="R7" s="40"/>
      <c r="S7" s="24" t="str">
        <f>"260,0"</f>
        <v>260,0</v>
      </c>
      <c r="T7" s="24" t="str">
        <f>"341,2898"</f>
        <v>341,2898</v>
      </c>
      <c r="U7" s="22" t="s">
        <v>603</v>
      </c>
    </row>
    <row r="8" spans="1:21">
      <c r="A8" s="37" t="s">
        <v>92</v>
      </c>
      <c r="B8" s="19" t="s">
        <v>104</v>
      </c>
      <c r="C8" s="19" t="s">
        <v>628</v>
      </c>
      <c r="D8" s="19" t="s">
        <v>105</v>
      </c>
      <c r="E8" s="20" t="s">
        <v>688</v>
      </c>
      <c r="F8" s="19" t="s">
        <v>606</v>
      </c>
      <c r="G8" s="36" t="s">
        <v>106</v>
      </c>
      <c r="H8" s="35" t="s">
        <v>97</v>
      </c>
      <c r="I8" s="35" t="s">
        <v>107</v>
      </c>
      <c r="J8" s="37"/>
      <c r="K8" s="35" t="s">
        <v>101</v>
      </c>
      <c r="L8" s="36" t="s">
        <v>101</v>
      </c>
      <c r="M8" s="36" t="s">
        <v>102</v>
      </c>
      <c r="N8" s="37"/>
      <c r="O8" s="36" t="s">
        <v>108</v>
      </c>
      <c r="P8" s="36" t="s">
        <v>13</v>
      </c>
      <c r="Q8" s="36" t="s">
        <v>22</v>
      </c>
      <c r="R8" s="37"/>
      <c r="S8" s="21" t="str">
        <f>"225,0"</f>
        <v>225,0</v>
      </c>
      <c r="T8" s="21" t="str">
        <f>"284,2875"</f>
        <v>284,2875</v>
      </c>
      <c r="U8" s="19" t="s">
        <v>109</v>
      </c>
    </row>
    <row r="10" spans="1:21" ht="16">
      <c r="A10" s="68" t="s">
        <v>17</v>
      </c>
      <c r="B10" s="68"/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/>
    </row>
    <row r="11" spans="1:21">
      <c r="A11" s="34" t="s">
        <v>91</v>
      </c>
      <c r="B11" s="16" t="s">
        <v>110</v>
      </c>
      <c r="C11" s="16" t="s">
        <v>111</v>
      </c>
      <c r="D11" s="16" t="s">
        <v>112</v>
      </c>
      <c r="E11" s="17" t="s">
        <v>687</v>
      </c>
      <c r="F11" s="16" t="s">
        <v>606</v>
      </c>
      <c r="G11" s="33" t="s">
        <v>98</v>
      </c>
      <c r="H11" s="33" t="s">
        <v>113</v>
      </c>
      <c r="I11" s="33" t="s">
        <v>114</v>
      </c>
      <c r="J11" s="34"/>
      <c r="K11" s="33" t="s">
        <v>102</v>
      </c>
      <c r="L11" s="33" t="s">
        <v>115</v>
      </c>
      <c r="M11" s="41" t="s">
        <v>116</v>
      </c>
      <c r="N11" s="34"/>
      <c r="O11" s="33" t="s">
        <v>28</v>
      </c>
      <c r="P11" s="33" t="s">
        <v>30</v>
      </c>
      <c r="Q11" s="41" t="s">
        <v>103</v>
      </c>
      <c r="R11" s="34"/>
      <c r="S11" s="18" t="str">
        <f>"270,0"</f>
        <v>270,0</v>
      </c>
      <c r="T11" s="18" t="str">
        <f>"327,8070"</f>
        <v>327,8070</v>
      </c>
      <c r="U11" s="16" t="s">
        <v>117</v>
      </c>
    </row>
    <row r="12" spans="1:21">
      <c r="A12" s="40" t="s">
        <v>92</v>
      </c>
      <c r="B12" s="22" t="s">
        <v>118</v>
      </c>
      <c r="C12" s="22" t="s">
        <v>119</v>
      </c>
      <c r="D12" s="22" t="s">
        <v>120</v>
      </c>
      <c r="E12" s="23" t="s">
        <v>687</v>
      </c>
      <c r="F12" s="22" t="s">
        <v>12</v>
      </c>
      <c r="G12" s="39" t="s">
        <v>121</v>
      </c>
      <c r="H12" s="39" t="s">
        <v>122</v>
      </c>
      <c r="I12" s="39" t="s">
        <v>106</v>
      </c>
      <c r="J12" s="40"/>
      <c r="K12" s="39" t="s">
        <v>102</v>
      </c>
      <c r="L12" s="39" t="s">
        <v>123</v>
      </c>
      <c r="M12" s="39" t="s">
        <v>115</v>
      </c>
      <c r="N12" s="40"/>
      <c r="O12" s="39" t="s">
        <v>99</v>
      </c>
      <c r="P12" s="39" t="s">
        <v>13</v>
      </c>
      <c r="Q12" s="38" t="s">
        <v>124</v>
      </c>
      <c r="R12" s="40"/>
      <c r="S12" s="24" t="str">
        <f>"225,0"</f>
        <v>225,0</v>
      </c>
      <c r="T12" s="24" t="str">
        <f>"272,7675"</f>
        <v>272,7675</v>
      </c>
      <c r="U12" s="22" t="s">
        <v>603</v>
      </c>
    </row>
    <row r="13" spans="1:21">
      <c r="A13" s="37" t="s">
        <v>280</v>
      </c>
      <c r="B13" s="19" t="s">
        <v>125</v>
      </c>
      <c r="C13" s="19" t="s">
        <v>126</v>
      </c>
      <c r="D13" s="19" t="s">
        <v>127</v>
      </c>
      <c r="E13" s="20" t="s">
        <v>687</v>
      </c>
      <c r="F13" s="19" t="s">
        <v>12</v>
      </c>
      <c r="G13" s="36" t="s">
        <v>128</v>
      </c>
      <c r="H13" s="35" t="s">
        <v>129</v>
      </c>
      <c r="I13" s="36" t="s">
        <v>129</v>
      </c>
      <c r="J13" s="37"/>
      <c r="K13" s="36" t="s">
        <v>130</v>
      </c>
      <c r="L13" s="35" t="s">
        <v>101</v>
      </c>
      <c r="M13" s="35" t="s">
        <v>101</v>
      </c>
      <c r="N13" s="37"/>
      <c r="O13" s="36" t="s">
        <v>122</v>
      </c>
      <c r="P13" s="36" t="s">
        <v>97</v>
      </c>
      <c r="Q13" s="35" t="s">
        <v>131</v>
      </c>
      <c r="R13" s="37"/>
      <c r="S13" s="21" t="str">
        <f>"187,5"</f>
        <v>187,5</v>
      </c>
      <c r="T13" s="21" t="str">
        <f>"220,9313"</f>
        <v>220,9313</v>
      </c>
      <c r="U13" s="19" t="s">
        <v>132</v>
      </c>
    </row>
    <row r="15" spans="1:21" ht="16">
      <c r="A15" s="68" t="s">
        <v>133</v>
      </c>
      <c r="B15" s="68"/>
      <c r="C15" s="69"/>
      <c r="D15" s="69"/>
      <c r="E15" s="69"/>
      <c r="F15" s="69"/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69"/>
      <c r="R15" s="69"/>
    </row>
    <row r="16" spans="1:21">
      <c r="A16" s="34" t="s">
        <v>91</v>
      </c>
      <c r="B16" s="16" t="s">
        <v>134</v>
      </c>
      <c r="C16" s="16" t="s">
        <v>135</v>
      </c>
      <c r="D16" s="16" t="s">
        <v>136</v>
      </c>
      <c r="E16" s="17" t="s">
        <v>689</v>
      </c>
      <c r="F16" s="16" t="s">
        <v>606</v>
      </c>
      <c r="G16" s="33" t="s">
        <v>97</v>
      </c>
      <c r="H16" s="33" t="s">
        <v>131</v>
      </c>
      <c r="I16" s="41" t="s">
        <v>98</v>
      </c>
      <c r="J16" s="34"/>
      <c r="K16" s="41" t="s">
        <v>26</v>
      </c>
      <c r="L16" s="33" t="s">
        <v>137</v>
      </c>
      <c r="M16" s="41" t="s">
        <v>138</v>
      </c>
      <c r="N16" s="34"/>
      <c r="O16" s="33" t="s">
        <v>28</v>
      </c>
      <c r="P16" s="41" t="s">
        <v>30</v>
      </c>
      <c r="Q16" s="41" t="s">
        <v>30</v>
      </c>
      <c r="R16" s="34"/>
      <c r="S16" s="18" t="str">
        <f>"260,0"</f>
        <v>260,0</v>
      </c>
      <c r="T16" s="18" t="str">
        <f>"293,6700"</f>
        <v>293,6700</v>
      </c>
      <c r="U16" s="16"/>
    </row>
    <row r="17" spans="1:21">
      <c r="A17" s="40" t="s">
        <v>91</v>
      </c>
      <c r="B17" s="22" t="s">
        <v>139</v>
      </c>
      <c r="C17" s="22" t="s">
        <v>629</v>
      </c>
      <c r="D17" s="22" t="s">
        <v>140</v>
      </c>
      <c r="E17" s="23" t="s">
        <v>690</v>
      </c>
      <c r="F17" s="22" t="s">
        <v>12</v>
      </c>
      <c r="G17" s="38" t="s">
        <v>99</v>
      </c>
      <c r="H17" s="39" t="s">
        <v>113</v>
      </c>
      <c r="I17" s="39" t="s">
        <v>114</v>
      </c>
      <c r="J17" s="40"/>
      <c r="K17" s="39" t="s">
        <v>116</v>
      </c>
      <c r="L17" s="38" t="s">
        <v>25</v>
      </c>
      <c r="M17" s="38" t="s">
        <v>25</v>
      </c>
      <c r="N17" s="40"/>
      <c r="O17" s="39" t="s">
        <v>108</v>
      </c>
      <c r="P17" s="39" t="s">
        <v>13</v>
      </c>
      <c r="Q17" s="38" t="s">
        <v>22</v>
      </c>
      <c r="R17" s="40"/>
      <c r="S17" s="24" t="str">
        <f>"247,5"</f>
        <v>247,5</v>
      </c>
      <c r="T17" s="24" t="str">
        <f>"277,3733"</f>
        <v>277,3733</v>
      </c>
      <c r="U17" s="22" t="s">
        <v>141</v>
      </c>
    </row>
    <row r="18" spans="1:21">
      <c r="A18" s="40" t="s">
        <v>91</v>
      </c>
      <c r="B18" s="22" t="s">
        <v>142</v>
      </c>
      <c r="C18" s="22" t="s">
        <v>143</v>
      </c>
      <c r="D18" s="22" t="s">
        <v>144</v>
      </c>
      <c r="E18" s="23" t="s">
        <v>687</v>
      </c>
      <c r="F18" s="22" t="s">
        <v>70</v>
      </c>
      <c r="G18" s="39" t="s">
        <v>13</v>
      </c>
      <c r="H18" s="39" t="s">
        <v>22</v>
      </c>
      <c r="I18" s="39" t="s">
        <v>124</v>
      </c>
      <c r="J18" s="40"/>
      <c r="K18" s="39" t="s">
        <v>137</v>
      </c>
      <c r="L18" s="39" t="s">
        <v>145</v>
      </c>
      <c r="M18" s="38" t="s">
        <v>138</v>
      </c>
      <c r="N18" s="40"/>
      <c r="O18" s="39" t="s">
        <v>30</v>
      </c>
      <c r="P18" s="39" t="s">
        <v>146</v>
      </c>
      <c r="Q18" s="38" t="s">
        <v>76</v>
      </c>
      <c r="R18" s="40"/>
      <c r="S18" s="24" t="str">
        <f>"300,0"</f>
        <v>300,0</v>
      </c>
      <c r="T18" s="24" t="str">
        <f>"334,8900"</f>
        <v>334,8900</v>
      </c>
      <c r="U18" s="22" t="s">
        <v>71</v>
      </c>
    </row>
    <row r="19" spans="1:21">
      <c r="A19" s="40" t="s">
        <v>92</v>
      </c>
      <c r="B19" s="22" t="s">
        <v>147</v>
      </c>
      <c r="C19" s="22" t="s">
        <v>148</v>
      </c>
      <c r="D19" s="22" t="s">
        <v>149</v>
      </c>
      <c r="E19" s="23" t="s">
        <v>687</v>
      </c>
      <c r="F19" s="22" t="s">
        <v>12</v>
      </c>
      <c r="G19" s="38" t="s">
        <v>13</v>
      </c>
      <c r="H19" s="39" t="s">
        <v>150</v>
      </c>
      <c r="I19" s="39" t="s">
        <v>22</v>
      </c>
      <c r="J19" s="40"/>
      <c r="K19" s="39" t="s">
        <v>116</v>
      </c>
      <c r="L19" s="39" t="s">
        <v>25</v>
      </c>
      <c r="M19" s="38" t="s">
        <v>26</v>
      </c>
      <c r="N19" s="40"/>
      <c r="O19" s="39" t="s">
        <v>150</v>
      </c>
      <c r="P19" s="39" t="s">
        <v>22</v>
      </c>
      <c r="Q19" s="38" t="s">
        <v>124</v>
      </c>
      <c r="R19" s="40"/>
      <c r="S19" s="24" t="str">
        <f>"262,5"</f>
        <v>262,5</v>
      </c>
      <c r="T19" s="24" t="str">
        <f>"292,6612"</f>
        <v>292,6612</v>
      </c>
      <c r="U19" s="22" t="s">
        <v>141</v>
      </c>
    </row>
    <row r="20" spans="1:21">
      <c r="A20" s="37" t="s">
        <v>280</v>
      </c>
      <c r="B20" s="19" t="s">
        <v>134</v>
      </c>
      <c r="C20" s="19" t="s">
        <v>151</v>
      </c>
      <c r="D20" s="19" t="s">
        <v>136</v>
      </c>
      <c r="E20" s="20" t="s">
        <v>687</v>
      </c>
      <c r="F20" s="19" t="s">
        <v>606</v>
      </c>
      <c r="G20" s="36" t="s">
        <v>97</v>
      </c>
      <c r="H20" s="36" t="s">
        <v>131</v>
      </c>
      <c r="I20" s="35" t="s">
        <v>98</v>
      </c>
      <c r="J20" s="37"/>
      <c r="K20" s="35" t="s">
        <v>26</v>
      </c>
      <c r="L20" s="36" t="s">
        <v>137</v>
      </c>
      <c r="M20" s="35" t="s">
        <v>138</v>
      </c>
      <c r="N20" s="37"/>
      <c r="O20" s="36" t="s">
        <v>28</v>
      </c>
      <c r="P20" s="35" t="s">
        <v>30</v>
      </c>
      <c r="Q20" s="35" t="s">
        <v>30</v>
      </c>
      <c r="R20" s="37"/>
      <c r="S20" s="21" t="str">
        <f>"260,0"</f>
        <v>260,0</v>
      </c>
      <c r="T20" s="21" t="str">
        <f>"293,6700"</f>
        <v>293,6700</v>
      </c>
      <c r="U20" s="19"/>
    </row>
    <row r="22" spans="1:21" ht="16">
      <c r="A22" s="68" t="s">
        <v>152</v>
      </c>
      <c r="B22" s="68"/>
      <c r="C22" s="69"/>
      <c r="D22" s="69"/>
      <c r="E22" s="69"/>
      <c r="F22" s="69"/>
      <c r="G22" s="69"/>
      <c r="H22" s="69"/>
      <c r="I22" s="69"/>
      <c r="J22" s="69"/>
      <c r="K22" s="69"/>
      <c r="L22" s="69"/>
      <c r="M22" s="69"/>
      <c r="N22" s="69"/>
      <c r="O22" s="69"/>
      <c r="P22" s="69"/>
      <c r="Q22" s="69"/>
      <c r="R22" s="69"/>
    </row>
    <row r="23" spans="1:21">
      <c r="A23" s="34" t="s">
        <v>91</v>
      </c>
      <c r="B23" s="16" t="s">
        <v>153</v>
      </c>
      <c r="C23" s="16" t="s">
        <v>630</v>
      </c>
      <c r="D23" s="16" t="s">
        <v>154</v>
      </c>
      <c r="E23" s="17" t="s">
        <v>690</v>
      </c>
      <c r="F23" s="16" t="s">
        <v>12</v>
      </c>
      <c r="G23" s="33" t="s">
        <v>97</v>
      </c>
      <c r="H23" s="33" t="s">
        <v>131</v>
      </c>
      <c r="I23" s="33" t="s">
        <v>99</v>
      </c>
      <c r="J23" s="34"/>
      <c r="K23" s="33" t="s">
        <v>116</v>
      </c>
      <c r="L23" s="33" t="s">
        <v>26</v>
      </c>
      <c r="M23" s="33" t="s">
        <v>27</v>
      </c>
      <c r="N23" s="34"/>
      <c r="O23" s="33" t="s">
        <v>28</v>
      </c>
      <c r="P23" s="33" t="s">
        <v>155</v>
      </c>
      <c r="Q23" s="33" t="s">
        <v>156</v>
      </c>
      <c r="R23" s="34"/>
      <c r="S23" s="18" t="str">
        <f>"275,0"</f>
        <v>275,0</v>
      </c>
      <c r="T23" s="18" t="str">
        <f>"283,7175"</f>
        <v>283,7175</v>
      </c>
      <c r="U23" s="16" t="s">
        <v>603</v>
      </c>
    </row>
    <row r="24" spans="1:21">
      <c r="A24" s="40" t="s">
        <v>91</v>
      </c>
      <c r="B24" s="22" t="s">
        <v>153</v>
      </c>
      <c r="C24" s="22" t="s">
        <v>157</v>
      </c>
      <c r="D24" s="22" t="s">
        <v>154</v>
      </c>
      <c r="E24" s="23" t="s">
        <v>687</v>
      </c>
      <c r="F24" s="22" t="s">
        <v>12</v>
      </c>
      <c r="G24" s="39" t="s">
        <v>97</v>
      </c>
      <c r="H24" s="39" t="s">
        <v>131</v>
      </c>
      <c r="I24" s="39" t="s">
        <v>99</v>
      </c>
      <c r="J24" s="40"/>
      <c r="K24" s="39" t="s">
        <v>116</v>
      </c>
      <c r="L24" s="39" t="s">
        <v>26</v>
      </c>
      <c r="M24" s="39" t="s">
        <v>27</v>
      </c>
      <c r="N24" s="40"/>
      <c r="O24" s="39" t="s">
        <v>28</v>
      </c>
      <c r="P24" s="39" t="s">
        <v>155</v>
      </c>
      <c r="Q24" s="39" t="s">
        <v>156</v>
      </c>
      <c r="R24" s="40"/>
      <c r="S24" s="24" t="str">
        <f>"275,0"</f>
        <v>275,0</v>
      </c>
      <c r="T24" s="24" t="str">
        <f>"283,7175"</f>
        <v>283,7175</v>
      </c>
      <c r="U24" s="22" t="s">
        <v>603</v>
      </c>
    </row>
    <row r="25" spans="1:21">
      <c r="A25" s="37" t="s">
        <v>92</v>
      </c>
      <c r="B25" s="19" t="s">
        <v>158</v>
      </c>
      <c r="C25" s="19" t="s">
        <v>159</v>
      </c>
      <c r="D25" s="19" t="s">
        <v>160</v>
      </c>
      <c r="E25" s="20" t="s">
        <v>687</v>
      </c>
      <c r="F25" s="19" t="s">
        <v>70</v>
      </c>
      <c r="G25" s="36" t="s">
        <v>99</v>
      </c>
      <c r="H25" s="36" t="s">
        <v>108</v>
      </c>
      <c r="I25" s="35" t="s">
        <v>13</v>
      </c>
      <c r="J25" s="37"/>
      <c r="K25" s="36" t="s">
        <v>116</v>
      </c>
      <c r="L25" s="35" t="s">
        <v>25</v>
      </c>
      <c r="M25" s="35" t="s">
        <v>25</v>
      </c>
      <c r="N25" s="37"/>
      <c r="O25" s="36" t="s">
        <v>23</v>
      </c>
      <c r="P25" s="35" t="s">
        <v>28</v>
      </c>
      <c r="Q25" s="37"/>
      <c r="R25" s="37"/>
      <c r="S25" s="21" t="str">
        <f>"255,0"</f>
        <v>255,0</v>
      </c>
      <c r="T25" s="21" t="str">
        <f>"269,6880"</f>
        <v>269,6880</v>
      </c>
      <c r="U25" s="19" t="s">
        <v>161</v>
      </c>
    </row>
    <row r="27" spans="1:21" ht="16">
      <c r="A27" s="68" t="s">
        <v>162</v>
      </c>
      <c r="B27" s="68"/>
      <c r="C27" s="69"/>
      <c r="D27" s="69"/>
      <c r="E27" s="69"/>
      <c r="F27" s="69"/>
      <c r="G27" s="69"/>
      <c r="H27" s="69"/>
      <c r="I27" s="69"/>
      <c r="J27" s="69"/>
      <c r="K27" s="69"/>
      <c r="L27" s="69"/>
      <c r="M27" s="69"/>
      <c r="N27" s="69"/>
      <c r="O27" s="69"/>
      <c r="P27" s="69"/>
      <c r="Q27" s="69"/>
      <c r="R27" s="69"/>
    </row>
    <row r="28" spans="1:21">
      <c r="A28" s="15" t="s">
        <v>91</v>
      </c>
      <c r="B28" s="11" t="s">
        <v>163</v>
      </c>
      <c r="C28" s="11" t="s">
        <v>631</v>
      </c>
      <c r="D28" s="11" t="s">
        <v>164</v>
      </c>
      <c r="E28" s="12" t="s">
        <v>688</v>
      </c>
      <c r="F28" s="11" t="s">
        <v>12</v>
      </c>
      <c r="G28" s="32" t="s">
        <v>99</v>
      </c>
      <c r="H28" s="32" t="s">
        <v>114</v>
      </c>
      <c r="I28" s="14" t="s">
        <v>150</v>
      </c>
      <c r="J28" s="15"/>
      <c r="K28" s="14" t="s">
        <v>26</v>
      </c>
      <c r="L28" s="32" t="s">
        <v>26</v>
      </c>
      <c r="M28" s="32" t="s">
        <v>137</v>
      </c>
      <c r="N28" s="15"/>
      <c r="O28" s="32" t="s">
        <v>29</v>
      </c>
      <c r="P28" s="32" t="s">
        <v>156</v>
      </c>
      <c r="Q28" s="32" t="s">
        <v>103</v>
      </c>
      <c r="R28" s="15"/>
      <c r="S28" s="13" t="str">
        <f>"290,0"</f>
        <v>290,0</v>
      </c>
      <c r="T28" s="13" t="str">
        <f>"278,7770"</f>
        <v>278,7770</v>
      </c>
      <c r="U28" s="11" t="s">
        <v>165</v>
      </c>
    </row>
    <row r="30" spans="1:21" ht="16">
      <c r="A30" s="68" t="s">
        <v>17</v>
      </c>
      <c r="B30" s="68"/>
      <c r="C30" s="69"/>
      <c r="D30" s="69"/>
      <c r="E30" s="69"/>
      <c r="F30" s="69"/>
      <c r="G30" s="69"/>
      <c r="H30" s="69"/>
      <c r="I30" s="69"/>
      <c r="J30" s="69"/>
      <c r="K30" s="69"/>
      <c r="L30" s="69"/>
      <c r="M30" s="69"/>
      <c r="N30" s="69"/>
      <c r="O30" s="69"/>
      <c r="P30" s="69"/>
      <c r="Q30" s="69"/>
      <c r="R30" s="69"/>
    </row>
    <row r="31" spans="1:21">
      <c r="A31" s="34" t="s">
        <v>91</v>
      </c>
      <c r="B31" s="16" t="s">
        <v>166</v>
      </c>
      <c r="C31" s="16" t="s">
        <v>167</v>
      </c>
      <c r="D31" s="16" t="s">
        <v>168</v>
      </c>
      <c r="E31" s="17" t="s">
        <v>689</v>
      </c>
      <c r="F31" s="16" t="s">
        <v>12</v>
      </c>
      <c r="G31" s="33" t="s">
        <v>99</v>
      </c>
      <c r="H31" s="33" t="s">
        <v>13</v>
      </c>
      <c r="I31" s="33" t="s">
        <v>23</v>
      </c>
      <c r="J31" s="34"/>
      <c r="K31" s="33" t="s">
        <v>138</v>
      </c>
      <c r="L31" s="33" t="s">
        <v>121</v>
      </c>
      <c r="M31" s="33" t="s">
        <v>122</v>
      </c>
      <c r="N31" s="34"/>
      <c r="O31" s="33" t="s">
        <v>108</v>
      </c>
      <c r="P31" s="41" t="s">
        <v>22</v>
      </c>
      <c r="Q31" s="41" t="s">
        <v>22</v>
      </c>
      <c r="R31" s="34"/>
      <c r="S31" s="18" t="str">
        <f>"280,0"</f>
        <v>280,0</v>
      </c>
      <c r="T31" s="18" t="str">
        <f>"259,0000"</f>
        <v>259,0000</v>
      </c>
      <c r="U31" s="16" t="s">
        <v>61</v>
      </c>
    </row>
    <row r="32" spans="1:21">
      <c r="A32" s="37" t="s">
        <v>91</v>
      </c>
      <c r="B32" s="19" t="s">
        <v>169</v>
      </c>
      <c r="C32" s="19" t="s">
        <v>170</v>
      </c>
      <c r="D32" s="19" t="s">
        <v>171</v>
      </c>
      <c r="E32" s="20" t="s">
        <v>687</v>
      </c>
      <c r="F32" s="19" t="s">
        <v>12</v>
      </c>
      <c r="G32" s="36" t="s">
        <v>23</v>
      </c>
      <c r="H32" s="35" t="s">
        <v>29</v>
      </c>
      <c r="I32" s="35" t="s">
        <v>29</v>
      </c>
      <c r="J32" s="37"/>
      <c r="K32" s="36" t="s">
        <v>131</v>
      </c>
      <c r="L32" s="36" t="s">
        <v>99</v>
      </c>
      <c r="M32" s="35" t="s">
        <v>114</v>
      </c>
      <c r="N32" s="37"/>
      <c r="O32" s="36" t="s">
        <v>172</v>
      </c>
      <c r="P32" s="36" t="s">
        <v>173</v>
      </c>
      <c r="Q32" s="35" t="s">
        <v>47</v>
      </c>
      <c r="R32" s="37"/>
      <c r="S32" s="21" t="str">
        <f>"362,5"</f>
        <v>362,5</v>
      </c>
      <c r="T32" s="21" t="str">
        <f>"334,1163"</f>
        <v>334,1163</v>
      </c>
      <c r="U32" s="19" t="s">
        <v>174</v>
      </c>
    </row>
    <row r="34" spans="1:21" ht="16">
      <c r="A34" s="68" t="s">
        <v>133</v>
      </c>
      <c r="B34" s="68"/>
      <c r="C34" s="69"/>
      <c r="D34" s="69"/>
      <c r="E34" s="69"/>
      <c r="F34" s="69"/>
      <c r="G34" s="69"/>
      <c r="H34" s="69"/>
      <c r="I34" s="69"/>
      <c r="J34" s="69"/>
      <c r="K34" s="69"/>
      <c r="L34" s="69"/>
      <c r="M34" s="69"/>
      <c r="N34" s="69"/>
      <c r="O34" s="69"/>
      <c r="P34" s="69"/>
      <c r="Q34" s="69"/>
      <c r="R34" s="69"/>
    </row>
    <row r="35" spans="1:21">
      <c r="A35" s="34" t="s">
        <v>91</v>
      </c>
      <c r="B35" s="16" t="s">
        <v>175</v>
      </c>
      <c r="C35" s="16" t="s">
        <v>176</v>
      </c>
      <c r="D35" s="16" t="s">
        <v>177</v>
      </c>
      <c r="E35" s="17" t="s">
        <v>689</v>
      </c>
      <c r="F35" s="16" t="s">
        <v>606</v>
      </c>
      <c r="G35" s="33" t="s">
        <v>99</v>
      </c>
      <c r="H35" s="33" t="s">
        <v>13</v>
      </c>
      <c r="I35" s="33" t="s">
        <v>124</v>
      </c>
      <c r="J35" s="34"/>
      <c r="K35" s="33" t="s">
        <v>145</v>
      </c>
      <c r="L35" s="33" t="s">
        <v>121</v>
      </c>
      <c r="M35" s="33" t="s">
        <v>129</v>
      </c>
      <c r="N35" s="34"/>
      <c r="O35" s="33" t="s">
        <v>172</v>
      </c>
      <c r="P35" s="33" t="s">
        <v>59</v>
      </c>
      <c r="Q35" s="41" t="s">
        <v>38</v>
      </c>
      <c r="R35" s="34"/>
      <c r="S35" s="18" t="str">
        <f>"340,0"</f>
        <v>340,0</v>
      </c>
      <c r="T35" s="18" t="str">
        <f>"290,8700"</f>
        <v>290,8700</v>
      </c>
      <c r="U35" s="16"/>
    </row>
    <row r="36" spans="1:21">
      <c r="A36" s="40" t="s">
        <v>92</v>
      </c>
      <c r="B36" s="22" t="s">
        <v>178</v>
      </c>
      <c r="C36" s="22" t="s">
        <v>179</v>
      </c>
      <c r="D36" s="22" t="s">
        <v>140</v>
      </c>
      <c r="E36" s="23" t="s">
        <v>689</v>
      </c>
      <c r="F36" s="22" t="s">
        <v>21</v>
      </c>
      <c r="G36" s="39" t="s">
        <v>97</v>
      </c>
      <c r="H36" s="39" t="s">
        <v>99</v>
      </c>
      <c r="I36" s="39" t="s">
        <v>13</v>
      </c>
      <c r="J36" s="40"/>
      <c r="K36" s="39" t="s">
        <v>26</v>
      </c>
      <c r="L36" s="39" t="s">
        <v>137</v>
      </c>
      <c r="M36" s="38" t="s">
        <v>138</v>
      </c>
      <c r="N36" s="40"/>
      <c r="O36" s="39" t="s">
        <v>13</v>
      </c>
      <c r="P36" s="39" t="s">
        <v>23</v>
      </c>
      <c r="Q36" s="39" t="s">
        <v>29</v>
      </c>
      <c r="R36" s="40"/>
      <c r="S36" s="24" t="str">
        <f>"280,0"</f>
        <v>280,0</v>
      </c>
      <c r="T36" s="24" t="str">
        <f>"240,2680"</f>
        <v>240,2680</v>
      </c>
      <c r="U36" s="22" t="s">
        <v>180</v>
      </c>
    </row>
    <row r="37" spans="1:21">
      <c r="A37" s="40" t="s">
        <v>280</v>
      </c>
      <c r="B37" s="22" t="s">
        <v>181</v>
      </c>
      <c r="C37" s="22" t="s">
        <v>182</v>
      </c>
      <c r="D37" s="22" t="s">
        <v>144</v>
      </c>
      <c r="E37" s="23" t="s">
        <v>689</v>
      </c>
      <c r="F37" s="22" t="s">
        <v>606</v>
      </c>
      <c r="G37" s="39" t="s">
        <v>122</v>
      </c>
      <c r="H37" s="38" t="s">
        <v>107</v>
      </c>
      <c r="I37" s="39" t="s">
        <v>131</v>
      </c>
      <c r="J37" s="40"/>
      <c r="K37" s="39" t="s">
        <v>123</v>
      </c>
      <c r="L37" s="39" t="s">
        <v>116</v>
      </c>
      <c r="M37" s="39" t="s">
        <v>26</v>
      </c>
      <c r="N37" s="40"/>
      <c r="O37" s="39" t="s">
        <v>99</v>
      </c>
      <c r="P37" s="38" t="s">
        <v>13</v>
      </c>
      <c r="Q37" s="39" t="s">
        <v>22</v>
      </c>
      <c r="R37" s="40"/>
      <c r="S37" s="24" t="str">
        <f>"245,0"</f>
        <v>245,0</v>
      </c>
      <c r="T37" s="24" t="str">
        <f>"209,2790"</f>
        <v>209,2790</v>
      </c>
      <c r="U37" s="22" t="s">
        <v>117</v>
      </c>
    </row>
    <row r="38" spans="1:21">
      <c r="A38" s="37" t="s">
        <v>91</v>
      </c>
      <c r="B38" s="19" t="s">
        <v>181</v>
      </c>
      <c r="C38" s="19" t="s">
        <v>183</v>
      </c>
      <c r="D38" s="19" t="s">
        <v>144</v>
      </c>
      <c r="E38" s="20" t="s">
        <v>687</v>
      </c>
      <c r="F38" s="19" t="s">
        <v>606</v>
      </c>
      <c r="G38" s="36" t="s">
        <v>122</v>
      </c>
      <c r="H38" s="35" t="s">
        <v>107</v>
      </c>
      <c r="I38" s="36" t="s">
        <v>131</v>
      </c>
      <c r="J38" s="37"/>
      <c r="K38" s="36" t="s">
        <v>123</v>
      </c>
      <c r="L38" s="36" t="s">
        <v>116</v>
      </c>
      <c r="M38" s="36" t="s">
        <v>26</v>
      </c>
      <c r="N38" s="37"/>
      <c r="O38" s="36" t="s">
        <v>99</v>
      </c>
      <c r="P38" s="35" t="s">
        <v>13</v>
      </c>
      <c r="Q38" s="36" t="s">
        <v>22</v>
      </c>
      <c r="R38" s="37"/>
      <c r="S38" s="21" t="str">
        <f>"245,0"</f>
        <v>245,0</v>
      </c>
      <c r="T38" s="21" t="str">
        <f>"209,2790"</f>
        <v>209,2790</v>
      </c>
      <c r="U38" s="19" t="s">
        <v>117</v>
      </c>
    </row>
    <row r="40" spans="1:21" ht="16">
      <c r="A40" s="68" t="s">
        <v>152</v>
      </c>
      <c r="B40" s="68"/>
      <c r="C40" s="69"/>
      <c r="D40" s="69"/>
      <c r="E40" s="69"/>
      <c r="F40" s="69"/>
      <c r="G40" s="69"/>
      <c r="H40" s="69"/>
      <c r="I40" s="69"/>
      <c r="J40" s="69"/>
      <c r="K40" s="69"/>
      <c r="L40" s="69"/>
      <c r="M40" s="69"/>
      <c r="N40" s="69"/>
      <c r="O40" s="69"/>
      <c r="P40" s="69"/>
      <c r="Q40" s="69"/>
      <c r="R40" s="69"/>
    </row>
    <row r="41" spans="1:21">
      <c r="A41" s="34" t="s">
        <v>91</v>
      </c>
      <c r="B41" s="16" t="s">
        <v>184</v>
      </c>
      <c r="C41" s="16" t="s">
        <v>185</v>
      </c>
      <c r="D41" s="16" t="s">
        <v>186</v>
      </c>
      <c r="E41" s="17" t="s">
        <v>689</v>
      </c>
      <c r="F41" s="16" t="s">
        <v>21</v>
      </c>
      <c r="G41" s="33" t="s">
        <v>108</v>
      </c>
      <c r="H41" s="33" t="s">
        <v>13</v>
      </c>
      <c r="I41" s="33" t="s">
        <v>22</v>
      </c>
      <c r="J41" s="34"/>
      <c r="K41" s="33" t="s">
        <v>137</v>
      </c>
      <c r="L41" s="33" t="s">
        <v>138</v>
      </c>
      <c r="M41" s="33" t="s">
        <v>128</v>
      </c>
      <c r="N41" s="34"/>
      <c r="O41" s="33" t="s">
        <v>23</v>
      </c>
      <c r="P41" s="33" t="s">
        <v>30</v>
      </c>
      <c r="Q41" s="33" t="s">
        <v>146</v>
      </c>
      <c r="R41" s="34"/>
      <c r="S41" s="18" t="str">
        <f>"302,5"</f>
        <v>302,5</v>
      </c>
      <c r="T41" s="18" t="str">
        <f>"256,8225"</f>
        <v>256,8225</v>
      </c>
      <c r="U41" s="16" t="s">
        <v>180</v>
      </c>
    </row>
    <row r="42" spans="1:21">
      <c r="A42" s="37" t="s">
        <v>91</v>
      </c>
      <c r="B42" s="19" t="s">
        <v>187</v>
      </c>
      <c r="C42" s="19" t="s">
        <v>188</v>
      </c>
      <c r="D42" s="19" t="s">
        <v>189</v>
      </c>
      <c r="E42" s="20" t="s">
        <v>687</v>
      </c>
      <c r="F42" s="19" t="s">
        <v>12</v>
      </c>
      <c r="G42" s="36" t="s">
        <v>108</v>
      </c>
      <c r="H42" s="36" t="s">
        <v>150</v>
      </c>
      <c r="I42" s="36" t="s">
        <v>23</v>
      </c>
      <c r="J42" s="37"/>
      <c r="K42" s="36" t="s">
        <v>121</v>
      </c>
      <c r="L42" s="36" t="s">
        <v>122</v>
      </c>
      <c r="M42" s="36" t="s">
        <v>97</v>
      </c>
      <c r="N42" s="37"/>
      <c r="O42" s="36" t="s">
        <v>124</v>
      </c>
      <c r="P42" s="36" t="s">
        <v>28</v>
      </c>
      <c r="Q42" s="35" t="s">
        <v>155</v>
      </c>
      <c r="R42" s="37"/>
      <c r="S42" s="21" t="str">
        <f>"305,0"</f>
        <v>305,0</v>
      </c>
      <c r="T42" s="21" t="str">
        <f>"237,4425"</f>
        <v>237,4425</v>
      </c>
      <c r="U42" s="19" t="s">
        <v>132</v>
      </c>
    </row>
    <row r="44" spans="1:21" ht="16">
      <c r="A44" s="68" t="s">
        <v>162</v>
      </c>
      <c r="B44" s="68"/>
      <c r="C44" s="69"/>
      <c r="D44" s="69"/>
      <c r="E44" s="69"/>
      <c r="F44" s="69"/>
      <c r="G44" s="69"/>
      <c r="H44" s="69"/>
      <c r="I44" s="69"/>
      <c r="J44" s="69"/>
      <c r="K44" s="69"/>
      <c r="L44" s="69"/>
      <c r="M44" s="69"/>
      <c r="N44" s="69"/>
      <c r="O44" s="69"/>
      <c r="P44" s="69"/>
      <c r="Q44" s="69"/>
      <c r="R44" s="69"/>
    </row>
    <row r="45" spans="1:21">
      <c r="A45" s="34" t="s">
        <v>91</v>
      </c>
      <c r="B45" s="16" t="s">
        <v>190</v>
      </c>
      <c r="C45" s="16" t="s">
        <v>191</v>
      </c>
      <c r="D45" s="16" t="s">
        <v>192</v>
      </c>
      <c r="E45" s="17" t="s">
        <v>689</v>
      </c>
      <c r="F45" s="16" t="s">
        <v>21</v>
      </c>
      <c r="G45" s="33" t="s">
        <v>116</v>
      </c>
      <c r="H45" s="41" t="s">
        <v>145</v>
      </c>
      <c r="I45" s="33" t="s">
        <v>138</v>
      </c>
      <c r="J45" s="34"/>
      <c r="K45" s="33" t="s">
        <v>130</v>
      </c>
      <c r="L45" s="33" t="s">
        <v>102</v>
      </c>
      <c r="M45" s="41" t="s">
        <v>123</v>
      </c>
      <c r="N45" s="34"/>
      <c r="O45" s="33" t="s">
        <v>138</v>
      </c>
      <c r="P45" s="33" t="s">
        <v>122</v>
      </c>
      <c r="Q45" s="33" t="s">
        <v>131</v>
      </c>
      <c r="R45" s="34"/>
      <c r="S45" s="18" t="str">
        <f>"192,5"</f>
        <v>192,5</v>
      </c>
      <c r="T45" s="18" t="str">
        <f>"140,3903"</f>
        <v>140,3903</v>
      </c>
      <c r="U45" s="16" t="s">
        <v>180</v>
      </c>
    </row>
    <row r="46" spans="1:21">
      <c r="A46" s="40" t="s">
        <v>91</v>
      </c>
      <c r="B46" s="22" t="s">
        <v>193</v>
      </c>
      <c r="C46" s="22" t="s">
        <v>194</v>
      </c>
      <c r="D46" s="22" t="s">
        <v>195</v>
      </c>
      <c r="E46" s="23" t="s">
        <v>687</v>
      </c>
      <c r="F46" s="22" t="s">
        <v>21</v>
      </c>
      <c r="G46" s="39" t="s">
        <v>196</v>
      </c>
      <c r="H46" s="39" t="s">
        <v>59</v>
      </c>
      <c r="I46" s="38" t="s">
        <v>173</v>
      </c>
      <c r="J46" s="40"/>
      <c r="K46" s="39" t="s">
        <v>197</v>
      </c>
      <c r="L46" s="39" t="s">
        <v>198</v>
      </c>
      <c r="M46" s="39" t="s">
        <v>77</v>
      </c>
      <c r="N46" s="40"/>
      <c r="O46" s="39" t="s">
        <v>199</v>
      </c>
      <c r="P46" s="39" t="s">
        <v>14</v>
      </c>
      <c r="Q46" s="40"/>
      <c r="R46" s="40"/>
      <c r="S46" s="24" t="str">
        <f>"495,0"</f>
        <v>495,0</v>
      </c>
      <c r="T46" s="24" t="str">
        <f>"364,3200"</f>
        <v>364,3200</v>
      </c>
      <c r="U46" s="22" t="s">
        <v>180</v>
      </c>
    </row>
    <row r="47" spans="1:21">
      <c r="A47" s="40" t="s">
        <v>92</v>
      </c>
      <c r="B47" s="22" t="s">
        <v>200</v>
      </c>
      <c r="C47" s="22" t="s">
        <v>201</v>
      </c>
      <c r="D47" s="22" t="s">
        <v>202</v>
      </c>
      <c r="E47" s="23" t="s">
        <v>687</v>
      </c>
      <c r="F47" s="22" t="s">
        <v>606</v>
      </c>
      <c r="G47" s="39" t="s">
        <v>197</v>
      </c>
      <c r="H47" s="39" t="s">
        <v>203</v>
      </c>
      <c r="I47" s="39" t="s">
        <v>173</v>
      </c>
      <c r="J47" s="40"/>
      <c r="K47" s="38" t="s">
        <v>22</v>
      </c>
      <c r="L47" s="39" t="s">
        <v>22</v>
      </c>
      <c r="M47" s="39" t="s">
        <v>28</v>
      </c>
      <c r="N47" s="40"/>
      <c r="O47" s="39" t="s">
        <v>47</v>
      </c>
      <c r="P47" s="39" t="s">
        <v>39</v>
      </c>
      <c r="Q47" s="39" t="s">
        <v>78</v>
      </c>
      <c r="R47" s="40"/>
      <c r="S47" s="24" t="str">
        <f>"477,5"</f>
        <v>477,5</v>
      </c>
      <c r="T47" s="24" t="str">
        <f>"341,8423"</f>
        <v>341,8423</v>
      </c>
      <c r="U47" s="22" t="s">
        <v>204</v>
      </c>
    </row>
    <row r="48" spans="1:21">
      <c r="A48" s="40" t="s">
        <v>280</v>
      </c>
      <c r="B48" s="22" t="s">
        <v>205</v>
      </c>
      <c r="C48" s="22" t="s">
        <v>206</v>
      </c>
      <c r="D48" s="22" t="s">
        <v>207</v>
      </c>
      <c r="E48" s="23" t="s">
        <v>687</v>
      </c>
      <c r="F48" s="22" t="s">
        <v>12</v>
      </c>
      <c r="G48" s="38" t="s">
        <v>172</v>
      </c>
      <c r="H48" s="39" t="s">
        <v>172</v>
      </c>
      <c r="I48" s="39" t="s">
        <v>59</v>
      </c>
      <c r="J48" s="40"/>
      <c r="K48" s="39" t="s">
        <v>113</v>
      </c>
      <c r="L48" s="39" t="s">
        <v>13</v>
      </c>
      <c r="M48" s="39" t="s">
        <v>150</v>
      </c>
      <c r="N48" s="40"/>
      <c r="O48" s="39" t="s">
        <v>59</v>
      </c>
      <c r="P48" s="39" t="s">
        <v>47</v>
      </c>
      <c r="Q48" s="38" t="s">
        <v>38</v>
      </c>
      <c r="R48" s="40"/>
      <c r="S48" s="24" t="str">
        <f>"432,5"</f>
        <v>432,5</v>
      </c>
      <c r="T48" s="24" t="str">
        <f>"312,3083"</f>
        <v>312,3083</v>
      </c>
      <c r="U48" s="22" t="s">
        <v>61</v>
      </c>
    </row>
    <row r="49" spans="1:21">
      <c r="A49" s="40" t="s">
        <v>281</v>
      </c>
      <c r="B49" s="22" t="s">
        <v>208</v>
      </c>
      <c r="C49" s="22" t="s">
        <v>209</v>
      </c>
      <c r="D49" s="22" t="s">
        <v>210</v>
      </c>
      <c r="E49" s="23" t="s">
        <v>687</v>
      </c>
      <c r="F49" s="22" t="s">
        <v>12</v>
      </c>
      <c r="G49" s="39" t="s">
        <v>29</v>
      </c>
      <c r="H49" s="39" t="s">
        <v>146</v>
      </c>
      <c r="I49" s="39" t="s">
        <v>76</v>
      </c>
      <c r="J49" s="40"/>
      <c r="K49" s="39" t="s">
        <v>97</v>
      </c>
      <c r="L49" s="39" t="s">
        <v>98</v>
      </c>
      <c r="M49" s="40"/>
      <c r="N49" s="40"/>
      <c r="O49" s="39" t="s">
        <v>172</v>
      </c>
      <c r="P49" s="39" t="s">
        <v>59</v>
      </c>
      <c r="Q49" s="40"/>
      <c r="R49" s="40"/>
      <c r="S49" s="24" t="str">
        <f>"382,5"</f>
        <v>382,5</v>
      </c>
      <c r="T49" s="24" t="str">
        <f>"276,7388"</f>
        <v>276,7388</v>
      </c>
      <c r="U49" s="22" t="s">
        <v>211</v>
      </c>
    </row>
    <row r="50" spans="1:21">
      <c r="A50" s="40" t="s">
        <v>282</v>
      </c>
      <c r="B50" s="22" t="s">
        <v>212</v>
      </c>
      <c r="C50" s="22" t="s">
        <v>213</v>
      </c>
      <c r="D50" s="22" t="s">
        <v>214</v>
      </c>
      <c r="E50" s="23" t="s">
        <v>687</v>
      </c>
      <c r="F50" s="22" t="s">
        <v>12</v>
      </c>
      <c r="G50" s="39" t="s">
        <v>29</v>
      </c>
      <c r="H50" s="38" t="s">
        <v>146</v>
      </c>
      <c r="I50" s="38" t="s">
        <v>146</v>
      </c>
      <c r="J50" s="40"/>
      <c r="K50" s="38" t="s">
        <v>131</v>
      </c>
      <c r="L50" s="38" t="s">
        <v>131</v>
      </c>
      <c r="M50" s="39" t="s">
        <v>131</v>
      </c>
      <c r="N50" s="40"/>
      <c r="O50" s="39" t="s">
        <v>77</v>
      </c>
      <c r="P50" s="39" t="s">
        <v>203</v>
      </c>
      <c r="Q50" s="39" t="s">
        <v>173</v>
      </c>
      <c r="R50" s="40"/>
      <c r="S50" s="24" t="str">
        <f>"367,5"</f>
        <v>367,5</v>
      </c>
      <c r="T50" s="24" t="str">
        <f>"263,3505"</f>
        <v>263,3505</v>
      </c>
      <c r="U50" s="22"/>
    </row>
    <row r="51" spans="1:21">
      <c r="A51" s="37" t="s">
        <v>91</v>
      </c>
      <c r="B51" s="19" t="s">
        <v>193</v>
      </c>
      <c r="C51" s="19" t="s">
        <v>632</v>
      </c>
      <c r="D51" s="19" t="s">
        <v>195</v>
      </c>
      <c r="E51" s="20" t="s">
        <v>691</v>
      </c>
      <c r="F51" s="19" t="s">
        <v>21</v>
      </c>
      <c r="G51" s="36" t="s">
        <v>196</v>
      </c>
      <c r="H51" s="36" t="s">
        <v>59</v>
      </c>
      <c r="I51" s="35" t="s">
        <v>173</v>
      </c>
      <c r="J51" s="37"/>
      <c r="K51" s="36" t="s">
        <v>197</v>
      </c>
      <c r="L51" s="36" t="s">
        <v>198</v>
      </c>
      <c r="M51" s="36" t="s">
        <v>77</v>
      </c>
      <c r="N51" s="37"/>
      <c r="O51" s="36" t="s">
        <v>199</v>
      </c>
      <c r="P51" s="36" t="s">
        <v>14</v>
      </c>
      <c r="Q51" s="37"/>
      <c r="R51" s="37"/>
      <c r="S51" s="21" t="str">
        <f>"495,0"</f>
        <v>495,0</v>
      </c>
      <c r="T51" s="21" t="str">
        <f>"418,9680"</f>
        <v>418,9680</v>
      </c>
      <c r="U51" s="19" t="s">
        <v>180</v>
      </c>
    </row>
    <row r="53" spans="1:21" ht="16">
      <c r="A53" s="68" t="s">
        <v>216</v>
      </c>
      <c r="B53" s="68"/>
      <c r="C53" s="69"/>
      <c r="D53" s="69"/>
      <c r="E53" s="69"/>
      <c r="F53" s="69"/>
      <c r="G53" s="69"/>
      <c r="H53" s="69"/>
      <c r="I53" s="69"/>
      <c r="J53" s="69"/>
      <c r="K53" s="69"/>
      <c r="L53" s="69"/>
      <c r="M53" s="69"/>
      <c r="N53" s="69"/>
      <c r="O53" s="69"/>
      <c r="P53" s="69"/>
      <c r="Q53" s="69"/>
      <c r="R53" s="69"/>
    </row>
    <row r="54" spans="1:21">
      <c r="A54" s="34" t="s">
        <v>91</v>
      </c>
      <c r="B54" s="16" t="s">
        <v>217</v>
      </c>
      <c r="C54" s="16" t="s">
        <v>218</v>
      </c>
      <c r="D54" s="16" t="s">
        <v>219</v>
      </c>
      <c r="E54" s="17" t="s">
        <v>689</v>
      </c>
      <c r="F54" s="16" t="s">
        <v>21</v>
      </c>
      <c r="G54" s="33" t="s">
        <v>128</v>
      </c>
      <c r="H54" s="33" t="s">
        <v>122</v>
      </c>
      <c r="I54" s="33" t="s">
        <v>97</v>
      </c>
      <c r="J54" s="34"/>
      <c r="K54" s="33" t="s">
        <v>101</v>
      </c>
      <c r="L54" s="33" t="s">
        <v>115</v>
      </c>
      <c r="M54" s="41" t="s">
        <v>25</v>
      </c>
      <c r="N54" s="34"/>
      <c r="O54" s="33" t="s">
        <v>121</v>
      </c>
      <c r="P54" s="33" t="s">
        <v>97</v>
      </c>
      <c r="Q54" s="41" t="s">
        <v>98</v>
      </c>
      <c r="R54" s="34"/>
      <c r="S54" s="18" t="str">
        <f>"207,5"</f>
        <v>207,5</v>
      </c>
      <c r="T54" s="18" t="str">
        <f>"145,9970"</f>
        <v>145,9970</v>
      </c>
      <c r="U54" s="16" t="s">
        <v>180</v>
      </c>
    </row>
    <row r="55" spans="1:21">
      <c r="A55" s="40" t="s">
        <v>91</v>
      </c>
      <c r="B55" s="22" t="s">
        <v>220</v>
      </c>
      <c r="C55" s="22" t="s">
        <v>633</v>
      </c>
      <c r="D55" s="22" t="s">
        <v>221</v>
      </c>
      <c r="E55" s="23" t="s">
        <v>690</v>
      </c>
      <c r="F55" s="22" t="s">
        <v>12</v>
      </c>
      <c r="G55" s="39" t="s">
        <v>29</v>
      </c>
      <c r="H55" s="39" t="s">
        <v>146</v>
      </c>
      <c r="I55" s="39" t="s">
        <v>197</v>
      </c>
      <c r="J55" s="40"/>
      <c r="K55" s="39" t="s">
        <v>22</v>
      </c>
      <c r="L55" s="39" t="s">
        <v>23</v>
      </c>
      <c r="M55" s="38" t="s">
        <v>222</v>
      </c>
      <c r="N55" s="40"/>
      <c r="O55" s="39" t="s">
        <v>223</v>
      </c>
      <c r="P55" s="39" t="s">
        <v>14</v>
      </c>
      <c r="Q55" s="39" t="s">
        <v>78</v>
      </c>
      <c r="R55" s="40"/>
      <c r="S55" s="24" t="str">
        <f>"450,0"</f>
        <v>450,0</v>
      </c>
      <c r="T55" s="24" t="str">
        <f>"303,4800"</f>
        <v>303,4800</v>
      </c>
      <c r="U55" s="22" t="s">
        <v>224</v>
      </c>
    </row>
    <row r="56" spans="1:21">
      <c r="A56" s="40" t="s">
        <v>92</v>
      </c>
      <c r="B56" s="22" t="s">
        <v>225</v>
      </c>
      <c r="C56" s="22" t="s">
        <v>634</v>
      </c>
      <c r="D56" s="22" t="s">
        <v>226</v>
      </c>
      <c r="E56" s="23" t="s">
        <v>690</v>
      </c>
      <c r="F56" s="22" t="s">
        <v>227</v>
      </c>
      <c r="G56" s="39" t="s">
        <v>197</v>
      </c>
      <c r="H56" s="39" t="s">
        <v>77</v>
      </c>
      <c r="I56" s="39" t="s">
        <v>172</v>
      </c>
      <c r="J56" s="40"/>
      <c r="K56" s="39" t="s">
        <v>13</v>
      </c>
      <c r="L56" s="38" t="s">
        <v>23</v>
      </c>
      <c r="M56" s="39" t="s">
        <v>23</v>
      </c>
      <c r="N56" s="40"/>
      <c r="O56" s="39" t="s">
        <v>39</v>
      </c>
      <c r="P56" s="39" t="s">
        <v>228</v>
      </c>
      <c r="Q56" s="39" t="s">
        <v>14</v>
      </c>
      <c r="R56" s="40"/>
      <c r="S56" s="24" t="str">
        <f>"450,0"</f>
        <v>450,0</v>
      </c>
      <c r="T56" s="24" t="str">
        <f>"301,9050"</f>
        <v>301,9050</v>
      </c>
      <c r="U56" s="22"/>
    </row>
    <row r="57" spans="1:21">
      <c r="A57" s="40" t="s">
        <v>91</v>
      </c>
      <c r="B57" s="22" t="s">
        <v>229</v>
      </c>
      <c r="C57" s="22" t="s">
        <v>230</v>
      </c>
      <c r="D57" s="22" t="s">
        <v>231</v>
      </c>
      <c r="E57" s="23" t="s">
        <v>687</v>
      </c>
      <c r="F57" s="22" t="s">
        <v>70</v>
      </c>
      <c r="G57" s="39" t="s">
        <v>232</v>
      </c>
      <c r="H57" s="39" t="s">
        <v>48</v>
      </c>
      <c r="I57" s="39" t="s">
        <v>223</v>
      </c>
      <c r="J57" s="40"/>
      <c r="K57" s="39" t="s">
        <v>198</v>
      </c>
      <c r="L57" s="39" t="s">
        <v>77</v>
      </c>
      <c r="M57" s="38" t="s">
        <v>233</v>
      </c>
      <c r="N57" s="40"/>
      <c r="O57" s="39" t="s">
        <v>66</v>
      </c>
      <c r="P57" s="39" t="s">
        <v>40</v>
      </c>
      <c r="Q57" s="39" t="s">
        <v>234</v>
      </c>
      <c r="R57" s="40"/>
      <c r="S57" s="24" t="str">
        <f>"555,0"</f>
        <v>555,0</v>
      </c>
      <c r="T57" s="24" t="str">
        <f>"372,6270"</f>
        <v>372,6270</v>
      </c>
      <c r="U57" s="22" t="s">
        <v>605</v>
      </c>
    </row>
    <row r="58" spans="1:21">
      <c r="A58" s="37" t="s">
        <v>92</v>
      </c>
      <c r="B58" s="19" t="s">
        <v>235</v>
      </c>
      <c r="C58" s="19" t="s">
        <v>236</v>
      </c>
      <c r="D58" s="19" t="s">
        <v>237</v>
      </c>
      <c r="E58" s="20" t="s">
        <v>687</v>
      </c>
      <c r="F58" s="19" t="s">
        <v>606</v>
      </c>
      <c r="G58" s="36" t="s">
        <v>47</v>
      </c>
      <c r="H58" s="36" t="s">
        <v>223</v>
      </c>
      <c r="I58" s="35" t="s">
        <v>238</v>
      </c>
      <c r="J58" s="37"/>
      <c r="K58" s="36" t="s">
        <v>222</v>
      </c>
      <c r="L58" s="36" t="s">
        <v>30</v>
      </c>
      <c r="M58" s="35" t="s">
        <v>103</v>
      </c>
      <c r="N58" s="37"/>
      <c r="O58" s="35" t="s">
        <v>78</v>
      </c>
      <c r="P58" s="35" t="s">
        <v>46</v>
      </c>
      <c r="Q58" s="36" t="s">
        <v>46</v>
      </c>
      <c r="R58" s="37"/>
      <c r="S58" s="21" t="str">
        <f>"512,5"</f>
        <v>512,5</v>
      </c>
      <c r="T58" s="21" t="str">
        <f>"351,0112"</f>
        <v>351,0112</v>
      </c>
      <c r="U58" s="19"/>
    </row>
    <row r="60" spans="1:21" ht="16">
      <c r="A60" s="68" t="s">
        <v>31</v>
      </c>
      <c r="B60" s="68"/>
      <c r="C60" s="69"/>
      <c r="D60" s="69"/>
      <c r="E60" s="69"/>
      <c r="F60" s="69"/>
      <c r="G60" s="69"/>
      <c r="H60" s="69"/>
      <c r="I60" s="69"/>
      <c r="J60" s="69"/>
      <c r="K60" s="69"/>
      <c r="L60" s="69"/>
      <c r="M60" s="69"/>
      <c r="N60" s="69"/>
      <c r="O60" s="69"/>
      <c r="P60" s="69"/>
      <c r="Q60" s="69"/>
      <c r="R60" s="69"/>
    </row>
    <row r="61" spans="1:21">
      <c r="A61" s="34" t="s">
        <v>91</v>
      </c>
      <c r="B61" s="16" t="s">
        <v>239</v>
      </c>
      <c r="C61" s="16" t="s">
        <v>635</v>
      </c>
      <c r="D61" s="16" t="s">
        <v>240</v>
      </c>
      <c r="E61" s="17" t="s">
        <v>690</v>
      </c>
      <c r="F61" s="16" t="s">
        <v>12</v>
      </c>
      <c r="G61" s="33" t="s">
        <v>223</v>
      </c>
      <c r="H61" s="41" t="s">
        <v>238</v>
      </c>
      <c r="I61" s="33" t="s">
        <v>238</v>
      </c>
      <c r="J61" s="34"/>
      <c r="K61" s="33" t="s">
        <v>156</v>
      </c>
      <c r="L61" s="33" t="s">
        <v>103</v>
      </c>
      <c r="M61" s="33" t="s">
        <v>76</v>
      </c>
      <c r="N61" s="34"/>
      <c r="O61" s="33" t="s">
        <v>39</v>
      </c>
      <c r="P61" s="33" t="s">
        <v>238</v>
      </c>
      <c r="Q61" s="41" t="s">
        <v>228</v>
      </c>
      <c r="R61" s="34"/>
      <c r="S61" s="18" t="str">
        <f>"500,0"</f>
        <v>500,0</v>
      </c>
      <c r="T61" s="18" t="str">
        <f>"325,3500"</f>
        <v>325,3500</v>
      </c>
      <c r="U61" s="16" t="s">
        <v>241</v>
      </c>
    </row>
    <row r="62" spans="1:21">
      <c r="A62" s="40" t="s">
        <v>91</v>
      </c>
      <c r="B62" s="22" t="s">
        <v>242</v>
      </c>
      <c r="C62" s="22" t="s">
        <v>243</v>
      </c>
      <c r="D62" s="22" t="s">
        <v>244</v>
      </c>
      <c r="E62" s="23" t="s">
        <v>687</v>
      </c>
      <c r="F62" s="22" t="s">
        <v>12</v>
      </c>
      <c r="G62" s="39" t="s">
        <v>245</v>
      </c>
      <c r="H62" s="39" t="s">
        <v>56</v>
      </c>
      <c r="I62" s="39" t="s">
        <v>57</v>
      </c>
      <c r="J62" s="40"/>
      <c r="K62" s="39" t="s">
        <v>203</v>
      </c>
      <c r="L62" s="39" t="s">
        <v>232</v>
      </c>
      <c r="M62" s="38" t="s">
        <v>38</v>
      </c>
      <c r="N62" s="40"/>
      <c r="O62" s="39" t="s">
        <v>15</v>
      </c>
      <c r="P62" s="39" t="s">
        <v>246</v>
      </c>
      <c r="Q62" s="39" t="s">
        <v>247</v>
      </c>
      <c r="R62" s="40"/>
      <c r="S62" s="24" t="str">
        <f>"712,5"</f>
        <v>712,5</v>
      </c>
      <c r="T62" s="24" t="str">
        <f>"457,2113"</f>
        <v>457,2113</v>
      </c>
      <c r="U62" s="22" t="s">
        <v>224</v>
      </c>
    </row>
    <row r="63" spans="1:21">
      <c r="A63" s="40" t="s">
        <v>92</v>
      </c>
      <c r="B63" s="22" t="s">
        <v>248</v>
      </c>
      <c r="C63" s="22" t="s">
        <v>249</v>
      </c>
      <c r="D63" s="22" t="s">
        <v>250</v>
      </c>
      <c r="E63" s="23" t="s">
        <v>687</v>
      </c>
      <c r="F63" s="22" t="s">
        <v>12</v>
      </c>
      <c r="G63" s="39" t="s">
        <v>14</v>
      </c>
      <c r="H63" s="38" t="s">
        <v>251</v>
      </c>
      <c r="I63" s="38" t="s">
        <v>251</v>
      </c>
      <c r="J63" s="40"/>
      <c r="K63" s="39" t="s">
        <v>252</v>
      </c>
      <c r="L63" s="38" t="s">
        <v>198</v>
      </c>
      <c r="M63" s="39" t="s">
        <v>198</v>
      </c>
      <c r="N63" s="40"/>
      <c r="O63" s="39" t="s">
        <v>79</v>
      </c>
      <c r="P63" s="39" t="s">
        <v>49</v>
      </c>
      <c r="Q63" s="39" t="s">
        <v>56</v>
      </c>
      <c r="R63" s="40"/>
      <c r="S63" s="24" t="str">
        <f>"567,5"</f>
        <v>567,5</v>
      </c>
      <c r="T63" s="24" t="str">
        <f>"363,0865"</f>
        <v>363,0865</v>
      </c>
      <c r="U63" s="22" t="s">
        <v>604</v>
      </c>
    </row>
    <row r="64" spans="1:21">
      <c r="A64" s="40" t="s">
        <v>280</v>
      </c>
      <c r="B64" s="22" t="s">
        <v>253</v>
      </c>
      <c r="C64" s="22" t="s">
        <v>254</v>
      </c>
      <c r="D64" s="22" t="s">
        <v>244</v>
      </c>
      <c r="E64" s="23" t="s">
        <v>687</v>
      </c>
      <c r="F64" s="22" t="s">
        <v>12</v>
      </c>
      <c r="G64" s="38" t="s">
        <v>78</v>
      </c>
      <c r="H64" s="39" t="s">
        <v>78</v>
      </c>
      <c r="I64" s="39" t="s">
        <v>46</v>
      </c>
      <c r="J64" s="40"/>
      <c r="K64" s="39" t="s">
        <v>146</v>
      </c>
      <c r="L64" s="39" t="s">
        <v>76</v>
      </c>
      <c r="M64" s="39" t="s">
        <v>197</v>
      </c>
      <c r="N64" s="40"/>
      <c r="O64" s="39" t="s">
        <v>45</v>
      </c>
      <c r="P64" s="38" t="s">
        <v>66</v>
      </c>
      <c r="Q64" s="38" t="s">
        <v>66</v>
      </c>
      <c r="R64" s="40"/>
      <c r="S64" s="24" t="str">
        <f>"555,0"</f>
        <v>555,0</v>
      </c>
      <c r="T64" s="24" t="str">
        <f>"356,1435"</f>
        <v>356,1435</v>
      </c>
      <c r="U64" s="22" t="s">
        <v>61</v>
      </c>
    </row>
    <row r="65" spans="1:21">
      <c r="A65" s="40" t="s">
        <v>281</v>
      </c>
      <c r="B65" s="22" t="s">
        <v>255</v>
      </c>
      <c r="C65" s="22" t="s">
        <v>256</v>
      </c>
      <c r="D65" s="22" t="s">
        <v>257</v>
      </c>
      <c r="E65" s="23" t="s">
        <v>687</v>
      </c>
      <c r="F65" s="22" t="s">
        <v>12</v>
      </c>
      <c r="G65" s="39" t="s">
        <v>228</v>
      </c>
      <c r="H65" s="39" t="s">
        <v>251</v>
      </c>
      <c r="I65" s="38" t="s">
        <v>78</v>
      </c>
      <c r="J65" s="40"/>
      <c r="K65" s="39" t="s">
        <v>29</v>
      </c>
      <c r="L65" s="39" t="s">
        <v>156</v>
      </c>
      <c r="M65" s="38" t="s">
        <v>76</v>
      </c>
      <c r="N65" s="40"/>
      <c r="O65" s="39" t="s">
        <v>258</v>
      </c>
      <c r="P65" s="39" t="s">
        <v>49</v>
      </c>
      <c r="Q65" s="38" t="s">
        <v>234</v>
      </c>
      <c r="R65" s="40"/>
      <c r="S65" s="24" t="str">
        <f>"552,5"</f>
        <v>552,5</v>
      </c>
      <c r="T65" s="24" t="str">
        <f>"354,9260"</f>
        <v>354,9260</v>
      </c>
      <c r="U65" s="22" t="s">
        <v>132</v>
      </c>
    </row>
    <row r="66" spans="1:21">
      <c r="A66" s="37" t="s">
        <v>282</v>
      </c>
      <c r="B66" s="19" t="s">
        <v>259</v>
      </c>
      <c r="C66" s="19" t="s">
        <v>260</v>
      </c>
      <c r="D66" s="19" t="s">
        <v>261</v>
      </c>
      <c r="E66" s="20" t="s">
        <v>687</v>
      </c>
      <c r="F66" s="19" t="s">
        <v>12</v>
      </c>
      <c r="G66" s="35" t="s">
        <v>59</v>
      </c>
      <c r="H66" s="36" t="s">
        <v>59</v>
      </c>
      <c r="I66" s="35" t="s">
        <v>232</v>
      </c>
      <c r="J66" s="37"/>
      <c r="K66" s="36" t="s">
        <v>197</v>
      </c>
      <c r="L66" s="36" t="s">
        <v>77</v>
      </c>
      <c r="M66" s="35" t="s">
        <v>172</v>
      </c>
      <c r="N66" s="37"/>
      <c r="O66" s="36" t="s">
        <v>232</v>
      </c>
      <c r="P66" s="36" t="s">
        <v>47</v>
      </c>
      <c r="Q66" s="36" t="s">
        <v>38</v>
      </c>
      <c r="R66" s="37"/>
      <c r="S66" s="21" t="str">
        <f>"480,0"</f>
        <v>480,0</v>
      </c>
      <c r="T66" s="21" t="str">
        <f>"309,3120"</f>
        <v>309,3120</v>
      </c>
      <c r="U66" s="19" t="s">
        <v>262</v>
      </c>
    </row>
    <row r="68" spans="1:21" ht="16">
      <c r="A68" s="68" t="s">
        <v>11</v>
      </c>
      <c r="B68" s="68"/>
      <c r="C68" s="69"/>
      <c r="D68" s="69"/>
      <c r="E68" s="69"/>
      <c r="F68" s="69"/>
      <c r="G68" s="69"/>
      <c r="H68" s="69"/>
      <c r="I68" s="69"/>
      <c r="J68" s="69"/>
      <c r="K68" s="69"/>
      <c r="L68" s="69"/>
      <c r="M68" s="69"/>
      <c r="N68" s="69"/>
      <c r="O68" s="69"/>
      <c r="P68" s="69"/>
      <c r="Q68" s="69"/>
      <c r="R68" s="69"/>
    </row>
    <row r="69" spans="1:21">
      <c r="A69" s="34" t="s">
        <v>91</v>
      </c>
      <c r="B69" s="16" t="s">
        <v>263</v>
      </c>
      <c r="C69" s="16" t="s">
        <v>264</v>
      </c>
      <c r="D69" s="16" t="s">
        <v>265</v>
      </c>
      <c r="E69" s="17" t="s">
        <v>689</v>
      </c>
      <c r="F69" s="16" t="s">
        <v>12</v>
      </c>
      <c r="G69" s="41" t="s">
        <v>173</v>
      </c>
      <c r="H69" s="33" t="s">
        <v>48</v>
      </c>
      <c r="I69" s="41" t="s">
        <v>238</v>
      </c>
      <c r="J69" s="34"/>
      <c r="K69" s="33" t="s">
        <v>13</v>
      </c>
      <c r="L69" s="33" t="s">
        <v>124</v>
      </c>
      <c r="M69" s="33" t="s">
        <v>24</v>
      </c>
      <c r="N69" s="34"/>
      <c r="O69" s="33" t="s">
        <v>14</v>
      </c>
      <c r="P69" s="33" t="s">
        <v>78</v>
      </c>
      <c r="Q69" s="41" t="s">
        <v>46</v>
      </c>
      <c r="R69" s="34"/>
      <c r="S69" s="18" t="str">
        <f>"485,0"</f>
        <v>485,0</v>
      </c>
      <c r="T69" s="18" t="str">
        <f>"297,2565"</f>
        <v>297,2565</v>
      </c>
      <c r="U69" s="16"/>
    </row>
    <row r="70" spans="1:21">
      <c r="A70" s="40" t="s">
        <v>91</v>
      </c>
      <c r="B70" s="22" t="s">
        <v>266</v>
      </c>
      <c r="C70" s="22" t="s">
        <v>636</v>
      </c>
      <c r="D70" s="22" t="s">
        <v>265</v>
      </c>
      <c r="E70" s="23" t="s">
        <v>690</v>
      </c>
      <c r="F70" s="22" t="s">
        <v>12</v>
      </c>
      <c r="G70" s="39" t="s">
        <v>172</v>
      </c>
      <c r="H70" s="38" t="s">
        <v>59</v>
      </c>
      <c r="I70" s="38" t="s">
        <v>47</v>
      </c>
      <c r="J70" s="40"/>
      <c r="K70" s="39" t="s">
        <v>113</v>
      </c>
      <c r="L70" s="39" t="s">
        <v>114</v>
      </c>
      <c r="M70" s="39" t="s">
        <v>150</v>
      </c>
      <c r="N70" s="40"/>
      <c r="O70" s="39" t="s">
        <v>14</v>
      </c>
      <c r="P70" s="39" t="s">
        <v>46</v>
      </c>
      <c r="Q70" s="39" t="s">
        <v>79</v>
      </c>
      <c r="R70" s="40"/>
      <c r="S70" s="24" t="str">
        <f>"472,5"</f>
        <v>472,5</v>
      </c>
      <c r="T70" s="24" t="str">
        <f>"289,5953"</f>
        <v>289,5953</v>
      </c>
      <c r="U70" s="22" t="s">
        <v>211</v>
      </c>
    </row>
    <row r="71" spans="1:21">
      <c r="A71" s="37" t="s">
        <v>91</v>
      </c>
      <c r="B71" s="19" t="s">
        <v>267</v>
      </c>
      <c r="C71" s="19" t="s">
        <v>268</v>
      </c>
      <c r="D71" s="19" t="s">
        <v>269</v>
      </c>
      <c r="E71" s="20" t="s">
        <v>687</v>
      </c>
      <c r="F71" s="19" t="s">
        <v>12</v>
      </c>
      <c r="G71" s="36" t="s">
        <v>78</v>
      </c>
      <c r="H71" s="36" t="s">
        <v>46</v>
      </c>
      <c r="I71" s="36" t="s">
        <v>66</v>
      </c>
      <c r="J71" s="37"/>
      <c r="K71" s="36" t="s">
        <v>29</v>
      </c>
      <c r="L71" s="36" t="s">
        <v>30</v>
      </c>
      <c r="M71" s="36" t="s">
        <v>146</v>
      </c>
      <c r="N71" s="37"/>
      <c r="O71" s="36" t="s">
        <v>46</v>
      </c>
      <c r="P71" s="35" t="s">
        <v>79</v>
      </c>
      <c r="Q71" s="35" t="s">
        <v>79</v>
      </c>
      <c r="R71" s="37"/>
      <c r="S71" s="21" t="str">
        <f>"555,0"</f>
        <v>555,0</v>
      </c>
      <c r="T71" s="21" t="str">
        <f>"339,4380"</f>
        <v>339,4380</v>
      </c>
      <c r="U71" s="19" t="s">
        <v>270</v>
      </c>
    </row>
    <row r="73" spans="1:21" ht="16">
      <c r="A73" s="68" t="s">
        <v>72</v>
      </c>
      <c r="B73" s="68"/>
      <c r="C73" s="69"/>
      <c r="D73" s="69"/>
      <c r="E73" s="69"/>
      <c r="F73" s="69"/>
      <c r="G73" s="69"/>
      <c r="H73" s="69"/>
      <c r="I73" s="69"/>
      <c r="J73" s="69"/>
      <c r="K73" s="69"/>
      <c r="L73" s="69"/>
      <c r="M73" s="69"/>
      <c r="N73" s="69"/>
      <c r="O73" s="69"/>
      <c r="P73" s="69"/>
      <c r="Q73" s="69"/>
      <c r="R73" s="69"/>
    </row>
    <row r="74" spans="1:21">
      <c r="A74" s="15" t="s">
        <v>91</v>
      </c>
      <c r="B74" s="11" t="s">
        <v>271</v>
      </c>
      <c r="C74" s="11" t="s">
        <v>272</v>
      </c>
      <c r="D74" s="11" t="s">
        <v>273</v>
      </c>
      <c r="E74" s="12" t="s">
        <v>687</v>
      </c>
      <c r="F74" s="11" t="s">
        <v>12</v>
      </c>
      <c r="G74" s="32" t="s">
        <v>14</v>
      </c>
      <c r="H74" s="32" t="s">
        <v>78</v>
      </c>
      <c r="I74" s="32" t="s">
        <v>46</v>
      </c>
      <c r="J74" s="15"/>
      <c r="K74" s="32" t="s">
        <v>29</v>
      </c>
      <c r="L74" s="32" t="s">
        <v>30</v>
      </c>
      <c r="M74" s="32" t="s">
        <v>146</v>
      </c>
      <c r="N74" s="15"/>
      <c r="O74" s="32" t="s">
        <v>274</v>
      </c>
      <c r="P74" s="32" t="s">
        <v>51</v>
      </c>
      <c r="Q74" s="32" t="s">
        <v>15</v>
      </c>
      <c r="R74" s="15"/>
      <c r="S74" s="13" t="str">
        <f>"610,0"</f>
        <v>610,0</v>
      </c>
      <c r="T74" s="13" t="str">
        <f>"360,0830"</f>
        <v>360,0830</v>
      </c>
      <c r="U74" s="11"/>
    </row>
    <row r="76" spans="1:21" ht="16">
      <c r="F76" s="8"/>
      <c r="G76" s="5"/>
    </row>
    <row r="77" spans="1:21">
      <c r="G77" s="5"/>
    </row>
    <row r="78" spans="1:21" ht="18">
      <c r="B78" s="9" t="s">
        <v>7</v>
      </c>
      <c r="C78" s="9"/>
      <c r="G78" s="3"/>
    </row>
    <row r="79" spans="1:21" ht="16">
      <c r="B79" s="25" t="s">
        <v>80</v>
      </c>
      <c r="C79" s="25"/>
      <c r="G79" s="3"/>
    </row>
    <row r="80" spans="1:21" ht="14">
      <c r="B80" s="26"/>
      <c r="C80" s="27" t="s">
        <v>81</v>
      </c>
      <c r="G80" s="3"/>
    </row>
    <row r="81" spans="2:7" ht="14">
      <c r="B81" s="28" t="s">
        <v>82</v>
      </c>
      <c r="C81" s="28" t="s">
        <v>83</v>
      </c>
      <c r="D81" s="28" t="s">
        <v>602</v>
      </c>
      <c r="E81" s="29" t="s">
        <v>85</v>
      </c>
      <c r="F81" s="28" t="s">
        <v>86</v>
      </c>
      <c r="G81" s="3"/>
    </row>
    <row r="82" spans="2:7">
      <c r="B82" s="5" t="s">
        <v>142</v>
      </c>
      <c r="C82" s="5" t="s">
        <v>81</v>
      </c>
      <c r="D82" s="10" t="s">
        <v>275</v>
      </c>
      <c r="E82" s="31">
        <v>300</v>
      </c>
      <c r="F82" s="30">
        <v>334.88999605178799</v>
      </c>
      <c r="G82" s="3"/>
    </row>
    <row r="83" spans="2:7">
      <c r="B83" s="5" t="s">
        <v>94</v>
      </c>
      <c r="C83" s="5" t="s">
        <v>81</v>
      </c>
      <c r="D83" s="10" t="s">
        <v>276</v>
      </c>
      <c r="E83" s="31">
        <v>260</v>
      </c>
      <c r="F83" s="30">
        <v>331.99401378631597</v>
      </c>
      <c r="G83" s="3"/>
    </row>
    <row r="84" spans="2:7">
      <c r="B84" s="5" t="s">
        <v>110</v>
      </c>
      <c r="C84" s="5" t="s">
        <v>81</v>
      </c>
      <c r="D84" s="10" t="s">
        <v>87</v>
      </c>
      <c r="E84" s="31">
        <v>270</v>
      </c>
      <c r="F84" s="30">
        <v>327.80700087547302</v>
      </c>
      <c r="G84" s="3"/>
    </row>
    <row r="85" spans="2:7">
      <c r="G85" s="3"/>
    </row>
    <row r="86" spans="2:7" ht="16">
      <c r="B86" s="25" t="s">
        <v>88</v>
      </c>
      <c r="C86" s="25"/>
      <c r="G86" s="3"/>
    </row>
    <row r="87" spans="2:7" ht="14">
      <c r="B87" s="26"/>
      <c r="C87" s="27" t="s">
        <v>81</v>
      </c>
      <c r="G87" s="3"/>
    </row>
    <row r="88" spans="2:7" ht="14">
      <c r="B88" s="28" t="s">
        <v>82</v>
      </c>
      <c r="C88" s="28" t="s">
        <v>83</v>
      </c>
      <c r="D88" s="28" t="s">
        <v>602</v>
      </c>
      <c r="E88" s="29" t="s">
        <v>85</v>
      </c>
      <c r="F88" s="28" t="s">
        <v>86</v>
      </c>
      <c r="G88" s="3"/>
    </row>
    <row r="89" spans="2:7">
      <c r="B89" s="5" t="s">
        <v>242</v>
      </c>
      <c r="C89" s="5" t="s">
        <v>81</v>
      </c>
      <c r="D89" s="10" t="s">
        <v>89</v>
      </c>
      <c r="E89" s="31">
        <v>712.5</v>
      </c>
      <c r="F89" s="30">
        <v>457.21127092838299</v>
      </c>
      <c r="G89" s="3"/>
    </row>
    <row r="90" spans="2:7">
      <c r="B90" s="5" t="s">
        <v>229</v>
      </c>
      <c r="C90" s="5" t="s">
        <v>81</v>
      </c>
      <c r="D90" s="10" t="s">
        <v>279</v>
      </c>
      <c r="E90" s="31">
        <v>555</v>
      </c>
      <c r="F90" s="30">
        <v>372.62700587511102</v>
      </c>
      <c r="G90" s="3"/>
    </row>
    <row r="91" spans="2:7">
      <c r="B91" s="5" t="s">
        <v>193</v>
      </c>
      <c r="C91" s="5" t="s">
        <v>81</v>
      </c>
      <c r="D91" s="10" t="s">
        <v>278</v>
      </c>
      <c r="E91" s="31">
        <v>495</v>
      </c>
      <c r="F91" s="30">
        <v>364.32000070810301</v>
      </c>
      <c r="G91" s="3"/>
    </row>
    <row r="92" spans="2:7">
      <c r="E92" s="5"/>
      <c r="F92" s="6"/>
      <c r="G92" s="5"/>
    </row>
    <row r="93" spans="2:7">
      <c r="E93" s="5"/>
      <c r="F93" s="6"/>
      <c r="G93" s="5"/>
    </row>
  </sheetData>
  <mergeCells count="26">
    <mergeCell ref="A5:R5"/>
    <mergeCell ref="B3:B4"/>
    <mergeCell ref="A73:R73"/>
    <mergeCell ref="A10:R10"/>
    <mergeCell ref="A15:R15"/>
    <mergeCell ref="A22:R22"/>
    <mergeCell ref="A27:R27"/>
    <mergeCell ref="A30:R30"/>
    <mergeCell ref="A34:R34"/>
    <mergeCell ref="A40:R40"/>
    <mergeCell ref="A44:R44"/>
    <mergeCell ref="A53:R53"/>
    <mergeCell ref="A60:R60"/>
    <mergeCell ref="A68:R68"/>
    <mergeCell ref="A1:U2"/>
    <mergeCell ref="A3:A4"/>
    <mergeCell ref="C3:C4"/>
    <mergeCell ref="D3:D4"/>
    <mergeCell ref="E3:E4"/>
    <mergeCell ref="F3:F4"/>
    <mergeCell ref="G3:J3"/>
    <mergeCell ref="K3:N3"/>
    <mergeCell ref="O3:R3"/>
    <mergeCell ref="S3:S4"/>
    <mergeCell ref="T3:T4"/>
    <mergeCell ref="U3:U4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M50"/>
  <sheetViews>
    <sheetView topLeftCell="A12" workbookViewId="0">
      <selection activeCell="E41" sqref="E41"/>
    </sheetView>
  </sheetViews>
  <sheetFormatPr baseColWidth="10" defaultColWidth="9.1640625" defaultRowHeight="13"/>
  <cols>
    <col min="1" max="1" width="7.1640625" style="5" bestFit="1" customWidth="1"/>
    <col min="2" max="2" width="20.5" style="5" bestFit="1" customWidth="1"/>
    <col min="3" max="3" width="29" style="5" bestFit="1" customWidth="1"/>
    <col min="4" max="4" width="20.83203125" style="5" bestFit="1" customWidth="1"/>
    <col min="5" max="5" width="10.1640625" style="6" bestFit="1" customWidth="1"/>
    <col min="6" max="6" width="28.5" style="5" bestFit="1" customWidth="1"/>
    <col min="7" max="9" width="5.5" style="10" customWidth="1"/>
    <col min="10" max="10" width="4.5" style="10" customWidth="1"/>
    <col min="11" max="11" width="10.5" style="31" bestFit="1" customWidth="1"/>
    <col min="12" max="12" width="8.6640625" style="7" bestFit="1" customWidth="1"/>
    <col min="13" max="13" width="22" style="5" customWidth="1"/>
    <col min="14" max="16384" width="9.1640625" style="3"/>
  </cols>
  <sheetData>
    <row r="1" spans="1:13" s="2" customFormat="1" ht="29" customHeight="1">
      <c r="A1" s="47" t="s">
        <v>616</v>
      </c>
      <c r="B1" s="48"/>
      <c r="C1" s="49"/>
      <c r="D1" s="49"/>
      <c r="E1" s="49"/>
      <c r="F1" s="49"/>
      <c r="G1" s="49"/>
      <c r="H1" s="49"/>
      <c r="I1" s="49"/>
      <c r="J1" s="49"/>
      <c r="K1" s="49"/>
      <c r="L1" s="49"/>
      <c r="M1" s="50"/>
    </row>
    <row r="2" spans="1:13" s="2" customFormat="1" ht="62" customHeight="1" thickBot="1">
      <c r="A2" s="51"/>
      <c r="B2" s="52"/>
      <c r="C2" s="53"/>
      <c r="D2" s="53"/>
      <c r="E2" s="53"/>
      <c r="F2" s="53"/>
      <c r="G2" s="53"/>
      <c r="H2" s="53"/>
      <c r="I2" s="53"/>
      <c r="J2" s="53"/>
      <c r="K2" s="53"/>
      <c r="L2" s="53"/>
      <c r="M2" s="54"/>
    </row>
    <row r="3" spans="1:13" s="1" customFormat="1" ht="12.75" customHeight="1">
      <c r="A3" s="55" t="s">
        <v>684</v>
      </c>
      <c r="B3" s="66" t="s">
        <v>0</v>
      </c>
      <c r="C3" s="57" t="s">
        <v>685</v>
      </c>
      <c r="D3" s="57" t="s">
        <v>6</v>
      </c>
      <c r="E3" s="59" t="s">
        <v>686</v>
      </c>
      <c r="F3" s="61" t="s">
        <v>5</v>
      </c>
      <c r="G3" s="61" t="s">
        <v>9</v>
      </c>
      <c r="H3" s="61"/>
      <c r="I3" s="61"/>
      <c r="J3" s="61"/>
      <c r="K3" s="70" t="s">
        <v>354</v>
      </c>
      <c r="L3" s="59" t="s">
        <v>3</v>
      </c>
      <c r="M3" s="62" t="s">
        <v>2</v>
      </c>
    </row>
    <row r="4" spans="1:13" s="1" customFormat="1" ht="21" customHeight="1" thickBot="1">
      <c r="A4" s="56"/>
      <c r="B4" s="67"/>
      <c r="C4" s="58"/>
      <c r="D4" s="58"/>
      <c r="E4" s="60"/>
      <c r="F4" s="58"/>
      <c r="G4" s="4">
        <v>1</v>
      </c>
      <c r="H4" s="4">
        <v>2</v>
      </c>
      <c r="I4" s="4">
        <v>3</v>
      </c>
      <c r="J4" s="4" t="s">
        <v>4</v>
      </c>
      <c r="K4" s="71"/>
      <c r="L4" s="60"/>
      <c r="M4" s="63"/>
    </row>
    <row r="5" spans="1:13" ht="16">
      <c r="A5" s="64" t="s">
        <v>133</v>
      </c>
      <c r="B5" s="64"/>
      <c r="C5" s="65"/>
      <c r="D5" s="65"/>
      <c r="E5" s="65"/>
      <c r="F5" s="65"/>
      <c r="G5" s="65"/>
      <c r="H5" s="65"/>
      <c r="I5" s="65"/>
      <c r="J5" s="65"/>
    </row>
    <row r="6" spans="1:13">
      <c r="A6" s="34" t="s">
        <v>16</v>
      </c>
      <c r="B6" s="16" t="s">
        <v>134</v>
      </c>
      <c r="C6" s="16" t="s">
        <v>660</v>
      </c>
      <c r="D6" s="16" t="s">
        <v>136</v>
      </c>
      <c r="E6" s="17" t="s">
        <v>689</v>
      </c>
      <c r="F6" s="16" t="s">
        <v>606</v>
      </c>
      <c r="G6" s="41" t="s">
        <v>99</v>
      </c>
      <c r="H6" s="41" t="s">
        <v>99</v>
      </c>
      <c r="I6" s="41" t="s">
        <v>99</v>
      </c>
      <c r="J6" s="34"/>
      <c r="K6" s="44">
        <v>0</v>
      </c>
      <c r="L6" s="18" t="str">
        <f>"0,0000"</f>
        <v>0,0000</v>
      </c>
      <c r="M6" s="16"/>
    </row>
    <row r="7" spans="1:13">
      <c r="A7" s="40" t="s">
        <v>91</v>
      </c>
      <c r="B7" s="22" t="s">
        <v>551</v>
      </c>
      <c r="C7" s="22" t="s">
        <v>552</v>
      </c>
      <c r="D7" s="22" t="s">
        <v>140</v>
      </c>
      <c r="E7" s="23" t="s">
        <v>687</v>
      </c>
      <c r="F7" s="22" t="s">
        <v>21</v>
      </c>
      <c r="G7" s="39" t="s">
        <v>113</v>
      </c>
      <c r="H7" s="39" t="s">
        <v>114</v>
      </c>
      <c r="I7" s="39" t="s">
        <v>150</v>
      </c>
      <c r="J7" s="40"/>
      <c r="K7" s="46" t="str">
        <f>"102,5"</f>
        <v>102,5</v>
      </c>
      <c r="L7" s="24" t="str">
        <f>"101,7774"</f>
        <v>101,7774</v>
      </c>
      <c r="M7" s="22" t="s">
        <v>367</v>
      </c>
    </row>
    <row r="8" spans="1:13">
      <c r="A8" s="37" t="s">
        <v>16</v>
      </c>
      <c r="B8" s="19" t="s">
        <v>134</v>
      </c>
      <c r="C8" s="19" t="s">
        <v>151</v>
      </c>
      <c r="D8" s="19" t="s">
        <v>136</v>
      </c>
      <c r="E8" s="20" t="s">
        <v>687</v>
      </c>
      <c r="F8" s="19" t="s">
        <v>606</v>
      </c>
      <c r="G8" s="35" t="s">
        <v>99</v>
      </c>
      <c r="H8" s="35" t="s">
        <v>99</v>
      </c>
      <c r="I8" s="35" t="s">
        <v>99</v>
      </c>
      <c r="J8" s="37"/>
      <c r="K8" s="45">
        <v>0</v>
      </c>
      <c r="L8" s="21" t="str">
        <f>"0,0000"</f>
        <v>0,0000</v>
      </c>
      <c r="M8" s="19"/>
    </row>
    <row r="10" spans="1:13" ht="16">
      <c r="A10" s="68" t="s">
        <v>152</v>
      </c>
      <c r="B10" s="68"/>
      <c r="C10" s="69"/>
      <c r="D10" s="69"/>
      <c r="E10" s="69"/>
      <c r="F10" s="69"/>
      <c r="G10" s="69"/>
      <c r="H10" s="69"/>
      <c r="I10" s="69"/>
      <c r="J10" s="69"/>
    </row>
    <row r="11" spans="1:13">
      <c r="A11" s="15" t="s">
        <v>91</v>
      </c>
      <c r="B11" s="11" t="s">
        <v>521</v>
      </c>
      <c r="C11" s="11" t="s">
        <v>522</v>
      </c>
      <c r="D11" s="11" t="s">
        <v>523</v>
      </c>
      <c r="E11" s="12" t="s">
        <v>687</v>
      </c>
      <c r="F11" s="11" t="s">
        <v>606</v>
      </c>
      <c r="G11" s="32" t="s">
        <v>137</v>
      </c>
      <c r="H11" s="32" t="s">
        <v>128</v>
      </c>
      <c r="I11" s="14" t="s">
        <v>129</v>
      </c>
      <c r="J11" s="15"/>
      <c r="K11" s="43" t="str">
        <f>"67,5"</f>
        <v>67,5</v>
      </c>
      <c r="L11" s="13" t="str">
        <f>"62,2485"</f>
        <v>62,2485</v>
      </c>
      <c r="M11" s="11" t="s">
        <v>117</v>
      </c>
    </row>
    <row r="13" spans="1:13" ht="16">
      <c r="A13" s="68" t="s">
        <v>162</v>
      </c>
      <c r="B13" s="68"/>
      <c r="C13" s="69"/>
      <c r="D13" s="69"/>
      <c r="E13" s="69"/>
      <c r="F13" s="69"/>
      <c r="G13" s="69"/>
      <c r="H13" s="69"/>
      <c r="I13" s="69"/>
      <c r="J13" s="69"/>
    </row>
    <row r="14" spans="1:13">
      <c r="A14" s="34" t="s">
        <v>91</v>
      </c>
      <c r="B14" s="16" t="s">
        <v>405</v>
      </c>
      <c r="C14" s="16" t="s">
        <v>406</v>
      </c>
      <c r="D14" s="16" t="s">
        <v>407</v>
      </c>
      <c r="E14" s="17" t="s">
        <v>687</v>
      </c>
      <c r="F14" s="16" t="s">
        <v>606</v>
      </c>
      <c r="G14" s="33" t="s">
        <v>29</v>
      </c>
      <c r="H14" s="41" t="s">
        <v>146</v>
      </c>
      <c r="I14" s="33" t="s">
        <v>146</v>
      </c>
      <c r="J14" s="34"/>
      <c r="K14" s="44" t="str">
        <f>"130,0"</f>
        <v>130,0</v>
      </c>
      <c r="L14" s="18" t="str">
        <f>"91,5395"</f>
        <v>91,5395</v>
      </c>
      <c r="M14" s="16"/>
    </row>
    <row r="15" spans="1:13">
      <c r="A15" s="40" t="s">
        <v>92</v>
      </c>
      <c r="B15" s="22" t="s">
        <v>503</v>
      </c>
      <c r="C15" s="22" t="s">
        <v>504</v>
      </c>
      <c r="D15" s="22" t="s">
        <v>207</v>
      </c>
      <c r="E15" s="23" t="s">
        <v>687</v>
      </c>
      <c r="F15" s="22" t="s">
        <v>606</v>
      </c>
      <c r="G15" s="39" t="s">
        <v>13</v>
      </c>
      <c r="H15" s="39" t="s">
        <v>23</v>
      </c>
      <c r="I15" s="38" t="s">
        <v>28</v>
      </c>
      <c r="J15" s="40"/>
      <c r="K15" s="46" t="str">
        <f>"110,0"</f>
        <v>110,0</v>
      </c>
      <c r="L15" s="24" t="str">
        <f>"76,8130"</f>
        <v>76,8130</v>
      </c>
      <c r="M15" s="22" t="s">
        <v>117</v>
      </c>
    </row>
    <row r="16" spans="1:13">
      <c r="A16" s="37" t="s">
        <v>91</v>
      </c>
      <c r="B16" s="19" t="s">
        <v>405</v>
      </c>
      <c r="C16" s="19" t="s">
        <v>553</v>
      </c>
      <c r="D16" s="19" t="s">
        <v>407</v>
      </c>
      <c r="E16" s="20" t="s">
        <v>691</v>
      </c>
      <c r="F16" s="19" t="s">
        <v>606</v>
      </c>
      <c r="G16" s="36" t="s">
        <v>29</v>
      </c>
      <c r="H16" s="35" t="s">
        <v>146</v>
      </c>
      <c r="I16" s="36" t="s">
        <v>146</v>
      </c>
      <c r="J16" s="37"/>
      <c r="K16" s="45" t="str">
        <f>"130,0"</f>
        <v>130,0</v>
      </c>
      <c r="L16" s="21" t="str">
        <f>"141,2455"</f>
        <v>141,2455</v>
      </c>
      <c r="M16" s="19"/>
    </row>
    <row r="18" spans="1:13" ht="16">
      <c r="A18" s="68" t="s">
        <v>216</v>
      </c>
      <c r="B18" s="68"/>
      <c r="C18" s="69"/>
      <c r="D18" s="69"/>
      <c r="E18" s="69"/>
      <c r="F18" s="69"/>
      <c r="G18" s="69"/>
      <c r="H18" s="69"/>
      <c r="I18" s="69"/>
      <c r="J18" s="69"/>
    </row>
    <row r="19" spans="1:13">
      <c r="A19" s="34" t="s">
        <v>91</v>
      </c>
      <c r="B19" s="16" t="s">
        <v>235</v>
      </c>
      <c r="C19" s="16" t="s">
        <v>236</v>
      </c>
      <c r="D19" s="16" t="s">
        <v>237</v>
      </c>
      <c r="E19" s="17" t="s">
        <v>687</v>
      </c>
      <c r="F19" s="16" t="s">
        <v>606</v>
      </c>
      <c r="G19" s="41" t="s">
        <v>232</v>
      </c>
      <c r="H19" s="33" t="s">
        <v>232</v>
      </c>
      <c r="I19" s="41" t="s">
        <v>38</v>
      </c>
      <c r="J19" s="34"/>
      <c r="K19" s="44" t="str">
        <f>"165,0"</f>
        <v>165,0</v>
      </c>
      <c r="L19" s="18" t="str">
        <f>"108,9082"</f>
        <v>108,9082</v>
      </c>
      <c r="M19" s="16"/>
    </row>
    <row r="20" spans="1:13">
      <c r="A20" s="37" t="s">
        <v>16</v>
      </c>
      <c r="B20" s="19" t="s">
        <v>554</v>
      </c>
      <c r="C20" s="19" t="s">
        <v>661</v>
      </c>
      <c r="D20" s="19" t="s">
        <v>555</v>
      </c>
      <c r="E20" s="20" t="s">
        <v>692</v>
      </c>
      <c r="F20" s="19" t="s">
        <v>12</v>
      </c>
      <c r="G20" s="35" t="s">
        <v>197</v>
      </c>
      <c r="H20" s="35" t="s">
        <v>197</v>
      </c>
      <c r="I20" s="35" t="s">
        <v>197</v>
      </c>
      <c r="J20" s="37"/>
      <c r="K20" s="45">
        <v>0</v>
      </c>
      <c r="L20" s="21" t="str">
        <f>"0,0000"</f>
        <v>0,0000</v>
      </c>
      <c r="M20" s="19"/>
    </row>
    <row r="22" spans="1:13" ht="16">
      <c r="A22" s="68" t="s">
        <v>31</v>
      </c>
      <c r="B22" s="68"/>
      <c r="C22" s="69"/>
      <c r="D22" s="69"/>
      <c r="E22" s="69"/>
      <c r="F22" s="69"/>
      <c r="G22" s="69"/>
      <c r="H22" s="69"/>
      <c r="I22" s="69"/>
      <c r="J22" s="69"/>
    </row>
    <row r="23" spans="1:13">
      <c r="A23" s="34" t="s">
        <v>91</v>
      </c>
      <c r="B23" s="16" t="s">
        <v>424</v>
      </c>
      <c r="C23" s="16" t="s">
        <v>662</v>
      </c>
      <c r="D23" s="16" t="s">
        <v>426</v>
      </c>
      <c r="E23" s="17" t="s">
        <v>689</v>
      </c>
      <c r="F23" s="16" t="s">
        <v>606</v>
      </c>
      <c r="G23" s="33" t="s">
        <v>13</v>
      </c>
      <c r="H23" s="33" t="s">
        <v>23</v>
      </c>
      <c r="I23" s="41" t="s">
        <v>222</v>
      </c>
      <c r="J23" s="34"/>
      <c r="K23" s="44" t="str">
        <f>"110,0"</f>
        <v>110,0</v>
      </c>
      <c r="L23" s="18" t="str">
        <f>"67,4300"</f>
        <v>67,4300</v>
      </c>
      <c r="M23" s="16" t="s">
        <v>117</v>
      </c>
    </row>
    <row r="24" spans="1:13">
      <c r="A24" s="40" t="s">
        <v>91</v>
      </c>
      <c r="B24" s="22" t="s">
        <v>549</v>
      </c>
      <c r="C24" s="22" t="s">
        <v>556</v>
      </c>
      <c r="D24" s="22" t="s">
        <v>312</v>
      </c>
      <c r="E24" s="23" t="s">
        <v>687</v>
      </c>
      <c r="F24" s="22" t="s">
        <v>606</v>
      </c>
      <c r="G24" s="38" t="s">
        <v>78</v>
      </c>
      <c r="H24" s="39" t="s">
        <v>78</v>
      </c>
      <c r="I24" s="38" t="s">
        <v>46</v>
      </c>
      <c r="J24" s="40"/>
      <c r="K24" s="46" t="str">
        <f>"200,0"</f>
        <v>200,0</v>
      </c>
      <c r="L24" s="24" t="str">
        <f>"122,7500"</f>
        <v>122,7500</v>
      </c>
      <c r="M24" s="22" t="s">
        <v>204</v>
      </c>
    </row>
    <row r="25" spans="1:13">
      <c r="A25" s="40" t="s">
        <v>92</v>
      </c>
      <c r="B25" s="22" t="s">
        <v>505</v>
      </c>
      <c r="C25" s="22" t="s">
        <v>506</v>
      </c>
      <c r="D25" s="22" t="s">
        <v>507</v>
      </c>
      <c r="E25" s="23" t="s">
        <v>687</v>
      </c>
      <c r="F25" s="22" t="s">
        <v>606</v>
      </c>
      <c r="G25" s="39" t="s">
        <v>146</v>
      </c>
      <c r="H25" s="38" t="s">
        <v>197</v>
      </c>
      <c r="I25" s="38" t="s">
        <v>77</v>
      </c>
      <c r="J25" s="40"/>
      <c r="K25" s="46" t="str">
        <f>"130,0"</f>
        <v>130,0</v>
      </c>
      <c r="L25" s="24" t="str">
        <f>"83,1545"</f>
        <v>83,1545</v>
      </c>
      <c r="M25" s="22" t="s">
        <v>117</v>
      </c>
    </row>
    <row r="26" spans="1:13">
      <c r="A26" s="40" t="s">
        <v>280</v>
      </c>
      <c r="B26" s="22" t="s">
        <v>435</v>
      </c>
      <c r="C26" s="22" t="s">
        <v>436</v>
      </c>
      <c r="D26" s="22" t="s">
        <v>437</v>
      </c>
      <c r="E26" s="23" t="s">
        <v>687</v>
      </c>
      <c r="F26" s="22" t="s">
        <v>606</v>
      </c>
      <c r="G26" s="39" t="s">
        <v>23</v>
      </c>
      <c r="H26" s="39" t="s">
        <v>29</v>
      </c>
      <c r="I26" s="39" t="s">
        <v>30</v>
      </c>
      <c r="J26" s="40"/>
      <c r="K26" s="46" t="str">
        <f>"125,0"</f>
        <v>125,0</v>
      </c>
      <c r="L26" s="24" t="str">
        <f>"79,9000"</f>
        <v>79,9000</v>
      </c>
      <c r="M26" s="22" t="s">
        <v>117</v>
      </c>
    </row>
    <row r="27" spans="1:13">
      <c r="A27" s="40" t="s">
        <v>281</v>
      </c>
      <c r="B27" s="22" t="s">
        <v>424</v>
      </c>
      <c r="C27" s="22" t="s">
        <v>557</v>
      </c>
      <c r="D27" s="22" t="s">
        <v>426</v>
      </c>
      <c r="E27" s="23" t="s">
        <v>687</v>
      </c>
      <c r="F27" s="22" t="s">
        <v>606</v>
      </c>
      <c r="G27" s="39" t="s">
        <v>13</v>
      </c>
      <c r="H27" s="39" t="s">
        <v>23</v>
      </c>
      <c r="I27" s="38" t="s">
        <v>222</v>
      </c>
      <c r="J27" s="40"/>
      <c r="K27" s="46" t="str">
        <f>"110,0"</f>
        <v>110,0</v>
      </c>
      <c r="L27" s="24" t="str">
        <f>"67,4300"</f>
        <v>67,4300</v>
      </c>
      <c r="M27" s="22" t="s">
        <v>117</v>
      </c>
    </row>
    <row r="28" spans="1:13">
      <c r="A28" s="37" t="s">
        <v>91</v>
      </c>
      <c r="B28" s="19" t="s">
        <v>549</v>
      </c>
      <c r="C28" s="19" t="s">
        <v>663</v>
      </c>
      <c r="D28" s="19" t="s">
        <v>312</v>
      </c>
      <c r="E28" s="20" t="s">
        <v>688</v>
      </c>
      <c r="F28" s="19" t="s">
        <v>606</v>
      </c>
      <c r="G28" s="35" t="s">
        <v>78</v>
      </c>
      <c r="H28" s="36" t="s">
        <v>78</v>
      </c>
      <c r="I28" s="35" t="s">
        <v>46</v>
      </c>
      <c r="J28" s="37"/>
      <c r="K28" s="45" t="str">
        <f>"200,0"</f>
        <v>200,0</v>
      </c>
      <c r="L28" s="21" t="str">
        <f>"125,2050"</f>
        <v>125,2050</v>
      </c>
      <c r="M28" s="19" t="s">
        <v>204</v>
      </c>
    </row>
    <row r="30" spans="1:13" ht="16">
      <c r="A30" s="68" t="s">
        <v>11</v>
      </c>
      <c r="B30" s="68"/>
      <c r="C30" s="69"/>
      <c r="D30" s="69"/>
      <c r="E30" s="69"/>
      <c r="F30" s="69"/>
      <c r="G30" s="69"/>
      <c r="H30" s="69"/>
      <c r="I30" s="69"/>
      <c r="J30" s="69"/>
    </row>
    <row r="31" spans="1:13">
      <c r="A31" s="34" t="s">
        <v>91</v>
      </c>
      <c r="B31" s="16" t="s">
        <v>501</v>
      </c>
      <c r="C31" s="16" t="s">
        <v>386</v>
      </c>
      <c r="D31" s="16" t="s">
        <v>502</v>
      </c>
      <c r="E31" s="17" t="s">
        <v>687</v>
      </c>
      <c r="F31" s="16" t="s">
        <v>606</v>
      </c>
      <c r="G31" s="33" t="s">
        <v>79</v>
      </c>
      <c r="H31" s="33" t="s">
        <v>56</v>
      </c>
      <c r="I31" s="33" t="s">
        <v>274</v>
      </c>
      <c r="J31" s="34"/>
      <c r="K31" s="44" t="str">
        <f>"250,0"</f>
        <v>250,0</v>
      </c>
      <c r="L31" s="18" t="str">
        <f>"147,3500"</f>
        <v>147,3500</v>
      </c>
      <c r="M31" s="16" t="s">
        <v>204</v>
      </c>
    </row>
    <row r="32" spans="1:13">
      <c r="A32" s="37" t="s">
        <v>92</v>
      </c>
      <c r="B32" s="19" t="s">
        <v>533</v>
      </c>
      <c r="C32" s="19" t="s">
        <v>534</v>
      </c>
      <c r="D32" s="19" t="s">
        <v>535</v>
      </c>
      <c r="E32" s="20" t="s">
        <v>687</v>
      </c>
      <c r="F32" s="19" t="s">
        <v>12</v>
      </c>
      <c r="G32" s="35" t="s">
        <v>59</v>
      </c>
      <c r="H32" s="36" t="s">
        <v>59</v>
      </c>
      <c r="I32" s="36" t="s">
        <v>47</v>
      </c>
      <c r="J32" s="37"/>
      <c r="K32" s="45" t="str">
        <f>"170,0"</f>
        <v>170,0</v>
      </c>
      <c r="L32" s="21" t="str">
        <f>"101,3455"</f>
        <v>101,3455</v>
      </c>
      <c r="M32" s="19"/>
    </row>
    <row r="34" spans="1:13" ht="16">
      <c r="A34" s="68" t="s">
        <v>72</v>
      </c>
      <c r="B34" s="68"/>
      <c r="C34" s="69"/>
      <c r="D34" s="69"/>
      <c r="E34" s="69"/>
      <c r="F34" s="69"/>
      <c r="G34" s="69"/>
      <c r="H34" s="69"/>
      <c r="I34" s="69"/>
      <c r="J34" s="69"/>
    </row>
    <row r="35" spans="1:13">
      <c r="A35" s="34" t="s">
        <v>91</v>
      </c>
      <c r="B35" s="16" t="s">
        <v>558</v>
      </c>
      <c r="C35" s="16" t="s">
        <v>559</v>
      </c>
      <c r="D35" s="16" t="s">
        <v>560</v>
      </c>
      <c r="E35" s="17" t="s">
        <v>687</v>
      </c>
      <c r="F35" s="16" t="s">
        <v>606</v>
      </c>
      <c r="G35" s="33" t="s">
        <v>56</v>
      </c>
      <c r="H35" s="33" t="s">
        <v>561</v>
      </c>
      <c r="I35" s="33" t="s">
        <v>274</v>
      </c>
      <c r="J35" s="34"/>
      <c r="K35" s="44" t="str">
        <f>"250,0"</f>
        <v>250,0</v>
      </c>
      <c r="L35" s="18" t="str">
        <f>"141,3000"</f>
        <v>141,3000</v>
      </c>
      <c r="M35" s="16"/>
    </row>
    <row r="36" spans="1:13">
      <c r="A36" s="40" t="s">
        <v>92</v>
      </c>
      <c r="B36" s="22" t="s">
        <v>543</v>
      </c>
      <c r="C36" s="22" t="s">
        <v>544</v>
      </c>
      <c r="D36" s="22" t="s">
        <v>545</v>
      </c>
      <c r="E36" s="23" t="s">
        <v>687</v>
      </c>
      <c r="F36" s="22" t="s">
        <v>606</v>
      </c>
      <c r="G36" s="39" t="s">
        <v>39</v>
      </c>
      <c r="H36" s="39" t="s">
        <v>228</v>
      </c>
      <c r="I36" s="39" t="s">
        <v>14</v>
      </c>
      <c r="J36" s="40"/>
      <c r="K36" s="46" t="str">
        <f>"190,0"</f>
        <v>190,0</v>
      </c>
      <c r="L36" s="24" t="str">
        <f>"107,8820"</f>
        <v>107,8820</v>
      </c>
      <c r="M36" s="22" t="s">
        <v>117</v>
      </c>
    </row>
    <row r="37" spans="1:13">
      <c r="A37" s="37" t="s">
        <v>91</v>
      </c>
      <c r="B37" s="19" t="s">
        <v>558</v>
      </c>
      <c r="C37" s="19" t="s">
        <v>664</v>
      </c>
      <c r="D37" s="19" t="s">
        <v>560</v>
      </c>
      <c r="E37" s="20" t="s">
        <v>688</v>
      </c>
      <c r="F37" s="19" t="s">
        <v>606</v>
      </c>
      <c r="G37" s="36" t="s">
        <v>56</v>
      </c>
      <c r="H37" s="36" t="s">
        <v>561</v>
      </c>
      <c r="I37" s="36" t="s">
        <v>274</v>
      </c>
      <c r="J37" s="37"/>
      <c r="K37" s="45" t="str">
        <f>"250,0"</f>
        <v>250,0</v>
      </c>
      <c r="L37" s="21" t="str">
        <f>"141,3000"</f>
        <v>141,3000</v>
      </c>
      <c r="M37" s="19"/>
    </row>
    <row r="39" spans="1:13" ht="16">
      <c r="A39" s="68" t="s">
        <v>332</v>
      </c>
      <c r="B39" s="68"/>
      <c r="C39" s="69"/>
      <c r="D39" s="69"/>
      <c r="E39" s="69"/>
      <c r="F39" s="69"/>
      <c r="G39" s="69"/>
      <c r="H39" s="69"/>
      <c r="I39" s="69"/>
      <c r="J39" s="69"/>
    </row>
    <row r="40" spans="1:13">
      <c r="A40" s="15" t="s">
        <v>91</v>
      </c>
      <c r="B40" s="11" t="s">
        <v>562</v>
      </c>
      <c r="C40" s="11" t="s">
        <v>563</v>
      </c>
      <c r="D40" s="11" t="s">
        <v>564</v>
      </c>
      <c r="E40" s="12" t="s">
        <v>687</v>
      </c>
      <c r="F40" s="11" t="s">
        <v>606</v>
      </c>
      <c r="G40" s="32" t="s">
        <v>14</v>
      </c>
      <c r="H40" s="32" t="s">
        <v>78</v>
      </c>
      <c r="I40" s="14" t="s">
        <v>45</v>
      </c>
      <c r="J40" s="15"/>
      <c r="K40" s="43" t="str">
        <f>"200,0"</f>
        <v>200,0</v>
      </c>
      <c r="L40" s="13" t="str">
        <f>"110,8100"</f>
        <v>110,8100</v>
      </c>
      <c r="M40" s="11"/>
    </row>
    <row r="42" spans="1:13" ht="16">
      <c r="F42" s="8"/>
      <c r="G42" s="5"/>
      <c r="M42" s="7"/>
    </row>
    <row r="43" spans="1:13">
      <c r="G43" s="5"/>
      <c r="M43" s="7"/>
    </row>
    <row r="44" spans="1:13" ht="18">
      <c r="B44" s="9" t="s">
        <v>7</v>
      </c>
      <c r="C44" s="9"/>
      <c r="G44" s="3"/>
      <c r="M44" s="7"/>
    </row>
    <row r="45" spans="1:13" ht="16">
      <c r="B45" s="25" t="s">
        <v>88</v>
      </c>
      <c r="C45" s="25"/>
      <c r="G45" s="3"/>
      <c r="M45" s="7"/>
    </row>
    <row r="46" spans="1:13" ht="14">
      <c r="B46" s="26"/>
      <c r="C46" s="27" t="s">
        <v>81</v>
      </c>
      <c r="G46" s="3"/>
      <c r="M46" s="7"/>
    </row>
    <row r="47" spans="1:13" ht="14">
      <c r="B47" s="28" t="s">
        <v>82</v>
      </c>
      <c r="C47" s="28" t="s">
        <v>83</v>
      </c>
      <c r="D47" s="28" t="s">
        <v>84</v>
      </c>
      <c r="E47" s="29" t="s">
        <v>351</v>
      </c>
      <c r="F47" s="28" t="s">
        <v>550</v>
      </c>
      <c r="G47" s="3"/>
      <c r="M47" s="7"/>
    </row>
    <row r="48" spans="1:13">
      <c r="B48" s="5" t="s">
        <v>501</v>
      </c>
      <c r="C48" s="5" t="s">
        <v>81</v>
      </c>
      <c r="D48" s="10" t="s">
        <v>90</v>
      </c>
      <c r="E48" s="31">
        <v>250</v>
      </c>
      <c r="F48" s="30">
        <v>147.349998354912</v>
      </c>
      <c r="G48" s="3"/>
      <c r="M48" s="7"/>
    </row>
    <row r="49" spans="2:13">
      <c r="B49" s="5" t="s">
        <v>558</v>
      </c>
      <c r="C49" s="5" t="s">
        <v>81</v>
      </c>
      <c r="D49" s="10" t="s">
        <v>352</v>
      </c>
      <c r="E49" s="31">
        <v>250</v>
      </c>
      <c r="F49" s="30">
        <v>141.299992799759</v>
      </c>
      <c r="G49" s="3"/>
      <c r="M49" s="7"/>
    </row>
    <row r="50" spans="2:13">
      <c r="B50" s="5" t="s">
        <v>549</v>
      </c>
      <c r="C50" s="5" t="s">
        <v>81</v>
      </c>
      <c r="D50" s="10" t="s">
        <v>89</v>
      </c>
      <c r="E50" s="31">
        <v>200</v>
      </c>
      <c r="F50" s="30">
        <v>122.749996185303</v>
      </c>
      <c r="G50" s="3"/>
      <c r="M50" s="7"/>
    </row>
  </sheetData>
  <mergeCells count="19">
    <mergeCell ref="A39:J39"/>
    <mergeCell ref="B3:B4"/>
    <mergeCell ref="A10:J10"/>
    <mergeCell ref="A13:J13"/>
    <mergeCell ref="A18:J18"/>
    <mergeCell ref="A22:J22"/>
    <mergeCell ref="A30:J30"/>
    <mergeCell ref="A34:J34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M10"/>
  <sheetViews>
    <sheetView workbookViewId="0">
      <selection activeCell="E11" sqref="E11"/>
    </sheetView>
  </sheetViews>
  <sheetFormatPr baseColWidth="10" defaultColWidth="9.1640625" defaultRowHeight="13"/>
  <cols>
    <col min="1" max="1" width="7.1640625" style="5" bestFit="1" customWidth="1"/>
    <col min="2" max="2" width="19.6640625" style="5" customWidth="1"/>
    <col min="3" max="3" width="28.6640625" style="5" bestFit="1" customWidth="1"/>
    <col min="4" max="4" width="20.83203125" style="5" bestFit="1" customWidth="1"/>
    <col min="5" max="5" width="10.1640625" style="6" bestFit="1" customWidth="1"/>
    <col min="6" max="6" width="28.5" style="5" bestFit="1" customWidth="1"/>
    <col min="7" max="9" width="5.5" style="10" customWidth="1"/>
    <col min="10" max="10" width="4.5" style="10" customWidth="1"/>
    <col min="11" max="11" width="10.5" style="7" bestFit="1" customWidth="1"/>
    <col min="12" max="12" width="8.6640625" style="7" bestFit="1" customWidth="1"/>
    <col min="13" max="13" width="16.5" style="5" bestFit="1" customWidth="1"/>
    <col min="14" max="16384" width="9.1640625" style="3"/>
  </cols>
  <sheetData>
    <row r="1" spans="1:13" s="2" customFormat="1" ht="29" customHeight="1">
      <c r="A1" s="47" t="s">
        <v>617</v>
      </c>
      <c r="B1" s="48"/>
      <c r="C1" s="49"/>
      <c r="D1" s="49"/>
      <c r="E1" s="49"/>
      <c r="F1" s="49"/>
      <c r="G1" s="49"/>
      <c r="H1" s="49"/>
      <c r="I1" s="49"/>
      <c r="J1" s="49"/>
      <c r="K1" s="49"/>
      <c r="L1" s="49"/>
      <c r="M1" s="50"/>
    </row>
    <row r="2" spans="1:13" s="2" customFormat="1" ht="62" customHeight="1" thickBot="1">
      <c r="A2" s="51"/>
      <c r="B2" s="52"/>
      <c r="C2" s="53"/>
      <c r="D2" s="53"/>
      <c r="E2" s="53"/>
      <c r="F2" s="53"/>
      <c r="G2" s="53"/>
      <c r="H2" s="53"/>
      <c r="I2" s="53"/>
      <c r="J2" s="53"/>
      <c r="K2" s="53"/>
      <c r="L2" s="53"/>
      <c r="M2" s="54"/>
    </row>
    <row r="3" spans="1:13" s="1" customFormat="1" ht="12.75" customHeight="1">
      <c r="A3" s="55" t="s">
        <v>684</v>
      </c>
      <c r="B3" s="66" t="s">
        <v>0</v>
      </c>
      <c r="C3" s="57" t="s">
        <v>685</v>
      </c>
      <c r="D3" s="57" t="s">
        <v>6</v>
      </c>
      <c r="E3" s="59" t="s">
        <v>686</v>
      </c>
      <c r="F3" s="61" t="s">
        <v>5</v>
      </c>
      <c r="G3" s="61" t="s">
        <v>9</v>
      </c>
      <c r="H3" s="61"/>
      <c r="I3" s="61"/>
      <c r="J3" s="61"/>
      <c r="K3" s="59" t="s">
        <v>354</v>
      </c>
      <c r="L3" s="59" t="s">
        <v>3</v>
      </c>
      <c r="M3" s="62" t="s">
        <v>2</v>
      </c>
    </row>
    <row r="4" spans="1:13" s="1" customFormat="1" ht="21" customHeight="1" thickBot="1">
      <c r="A4" s="56"/>
      <c r="B4" s="67"/>
      <c r="C4" s="58"/>
      <c r="D4" s="58"/>
      <c r="E4" s="60"/>
      <c r="F4" s="58"/>
      <c r="G4" s="4">
        <v>1</v>
      </c>
      <c r="H4" s="4">
        <v>2</v>
      </c>
      <c r="I4" s="4">
        <v>3</v>
      </c>
      <c r="J4" s="4" t="s">
        <v>4</v>
      </c>
      <c r="K4" s="60"/>
      <c r="L4" s="60"/>
      <c r="M4" s="63"/>
    </row>
    <row r="5" spans="1:13" ht="16">
      <c r="A5" s="64" t="s">
        <v>162</v>
      </c>
      <c r="B5" s="64"/>
      <c r="C5" s="65"/>
      <c r="D5" s="65"/>
      <c r="E5" s="65"/>
      <c r="F5" s="65"/>
      <c r="G5" s="65"/>
      <c r="H5" s="65"/>
      <c r="I5" s="65"/>
      <c r="J5" s="65"/>
    </row>
    <row r="6" spans="1:13">
      <c r="A6" s="15" t="s">
        <v>91</v>
      </c>
      <c r="B6" s="11" t="s">
        <v>503</v>
      </c>
      <c r="C6" s="11" t="s">
        <v>504</v>
      </c>
      <c r="D6" s="11" t="s">
        <v>207</v>
      </c>
      <c r="E6" s="12" t="s">
        <v>687</v>
      </c>
      <c r="F6" s="11" t="s">
        <v>606</v>
      </c>
      <c r="G6" s="32" t="s">
        <v>13</v>
      </c>
      <c r="H6" s="32" t="s">
        <v>23</v>
      </c>
      <c r="I6" s="14" t="s">
        <v>28</v>
      </c>
      <c r="J6" s="15"/>
      <c r="K6" s="13" t="str">
        <f>"110,0"</f>
        <v>110,0</v>
      </c>
      <c r="L6" s="13" t="str">
        <f>"76,8130"</f>
        <v>76,8130</v>
      </c>
      <c r="M6" s="11" t="s">
        <v>117</v>
      </c>
    </row>
    <row r="8" spans="1:13" ht="16">
      <c r="A8" s="68" t="s">
        <v>31</v>
      </c>
      <c r="B8" s="68"/>
      <c r="C8" s="69"/>
      <c r="D8" s="69"/>
      <c r="E8" s="69"/>
      <c r="F8" s="69"/>
      <c r="G8" s="69"/>
      <c r="H8" s="69"/>
      <c r="I8" s="69"/>
      <c r="J8" s="69"/>
    </row>
    <row r="9" spans="1:13">
      <c r="A9" s="34" t="s">
        <v>91</v>
      </c>
      <c r="B9" s="16" t="s">
        <v>505</v>
      </c>
      <c r="C9" s="16" t="s">
        <v>506</v>
      </c>
      <c r="D9" s="16" t="s">
        <v>507</v>
      </c>
      <c r="E9" s="17" t="s">
        <v>687</v>
      </c>
      <c r="F9" s="16" t="s">
        <v>606</v>
      </c>
      <c r="G9" s="33" t="s">
        <v>146</v>
      </c>
      <c r="H9" s="41" t="s">
        <v>197</v>
      </c>
      <c r="I9" s="41" t="s">
        <v>77</v>
      </c>
      <c r="J9" s="34"/>
      <c r="K9" s="18" t="str">
        <f>"130,0"</f>
        <v>130,0</v>
      </c>
      <c r="L9" s="18" t="str">
        <f>"83,1545"</f>
        <v>83,1545</v>
      </c>
      <c r="M9" s="16" t="s">
        <v>117</v>
      </c>
    </row>
    <row r="10" spans="1:13">
      <c r="A10" s="37" t="s">
        <v>91</v>
      </c>
      <c r="B10" s="19" t="s">
        <v>549</v>
      </c>
      <c r="C10" s="19" t="s">
        <v>663</v>
      </c>
      <c r="D10" s="19" t="s">
        <v>312</v>
      </c>
      <c r="E10" s="20" t="s">
        <v>688</v>
      </c>
      <c r="F10" s="19" t="s">
        <v>606</v>
      </c>
      <c r="G10" s="35" t="s">
        <v>78</v>
      </c>
      <c r="H10" s="36" t="s">
        <v>78</v>
      </c>
      <c r="I10" s="35" t="s">
        <v>46</v>
      </c>
      <c r="J10" s="37"/>
      <c r="K10" s="21" t="str">
        <f>"200,0"</f>
        <v>200,0</v>
      </c>
      <c r="L10" s="21" t="str">
        <f>"125,2050"</f>
        <v>125,2050</v>
      </c>
      <c r="M10" s="19" t="s">
        <v>204</v>
      </c>
    </row>
  </sheetData>
  <mergeCells count="13">
    <mergeCell ref="A8:J8"/>
    <mergeCell ref="B3:B4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M60"/>
  <sheetViews>
    <sheetView topLeftCell="A16" workbookViewId="0">
      <selection activeCell="E50" sqref="E50"/>
    </sheetView>
  </sheetViews>
  <sheetFormatPr baseColWidth="10" defaultColWidth="9.1640625" defaultRowHeight="13"/>
  <cols>
    <col min="1" max="1" width="7.1640625" style="5" bestFit="1" customWidth="1"/>
    <col min="2" max="2" width="21.5" style="5" bestFit="1" customWidth="1"/>
    <col min="3" max="3" width="28.83203125" style="5" bestFit="1" customWidth="1"/>
    <col min="4" max="4" width="20.83203125" style="5" bestFit="1" customWidth="1"/>
    <col min="5" max="5" width="10.1640625" style="6" bestFit="1" customWidth="1"/>
    <col min="6" max="6" width="28.5" style="5" bestFit="1" customWidth="1"/>
    <col min="7" max="9" width="5.5" style="10" customWidth="1"/>
    <col min="10" max="10" width="4.5" style="10" customWidth="1"/>
    <col min="11" max="11" width="10.5" style="7" bestFit="1" customWidth="1"/>
    <col min="12" max="12" width="8.6640625" style="7" bestFit="1" customWidth="1"/>
    <col min="13" max="13" width="22.1640625" style="5" bestFit="1" customWidth="1"/>
    <col min="14" max="16384" width="9.1640625" style="3"/>
  </cols>
  <sheetData>
    <row r="1" spans="1:13" s="2" customFormat="1" ht="29" customHeight="1">
      <c r="A1" s="47" t="s">
        <v>618</v>
      </c>
      <c r="B1" s="48"/>
      <c r="C1" s="49"/>
      <c r="D1" s="49"/>
      <c r="E1" s="49"/>
      <c r="F1" s="49"/>
      <c r="G1" s="49"/>
      <c r="H1" s="49"/>
      <c r="I1" s="49"/>
      <c r="J1" s="49"/>
      <c r="K1" s="49"/>
      <c r="L1" s="49"/>
      <c r="M1" s="50"/>
    </row>
    <row r="2" spans="1:13" s="2" customFormat="1" ht="62" customHeight="1" thickBot="1">
      <c r="A2" s="51"/>
      <c r="B2" s="52"/>
      <c r="C2" s="53"/>
      <c r="D2" s="53"/>
      <c r="E2" s="53"/>
      <c r="F2" s="53"/>
      <c r="G2" s="53"/>
      <c r="H2" s="53"/>
      <c r="I2" s="53"/>
      <c r="J2" s="53"/>
      <c r="K2" s="53"/>
      <c r="L2" s="53"/>
      <c r="M2" s="54"/>
    </row>
    <row r="3" spans="1:13" s="1" customFormat="1" ht="12.75" customHeight="1">
      <c r="A3" s="55" t="s">
        <v>684</v>
      </c>
      <c r="B3" s="66" t="s">
        <v>0</v>
      </c>
      <c r="C3" s="57" t="s">
        <v>685</v>
      </c>
      <c r="D3" s="57" t="s">
        <v>6</v>
      </c>
      <c r="E3" s="59" t="s">
        <v>686</v>
      </c>
      <c r="F3" s="61" t="s">
        <v>5</v>
      </c>
      <c r="G3" s="61" t="s">
        <v>10</v>
      </c>
      <c r="H3" s="61"/>
      <c r="I3" s="61"/>
      <c r="J3" s="61"/>
      <c r="K3" s="59" t="s">
        <v>354</v>
      </c>
      <c r="L3" s="59" t="s">
        <v>3</v>
      </c>
      <c r="M3" s="62" t="s">
        <v>2</v>
      </c>
    </row>
    <row r="4" spans="1:13" s="1" customFormat="1" ht="21" customHeight="1" thickBot="1">
      <c r="A4" s="56"/>
      <c r="B4" s="67"/>
      <c r="C4" s="58"/>
      <c r="D4" s="58"/>
      <c r="E4" s="60"/>
      <c r="F4" s="58"/>
      <c r="G4" s="4">
        <v>1</v>
      </c>
      <c r="H4" s="4">
        <v>2</v>
      </c>
      <c r="I4" s="4">
        <v>3</v>
      </c>
      <c r="J4" s="4" t="s">
        <v>4</v>
      </c>
      <c r="K4" s="60"/>
      <c r="L4" s="60"/>
      <c r="M4" s="63"/>
    </row>
    <row r="5" spans="1:13" ht="16">
      <c r="A5" s="64" t="s">
        <v>93</v>
      </c>
      <c r="B5" s="64"/>
      <c r="C5" s="65"/>
      <c r="D5" s="65"/>
      <c r="E5" s="65"/>
      <c r="F5" s="65"/>
      <c r="G5" s="65"/>
      <c r="H5" s="65"/>
      <c r="I5" s="65"/>
      <c r="J5" s="65"/>
    </row>
    <row r="6" spans="1:13">
      <c r="A6" s="34" t="s">
        <v>91</v>
      </c>
      <c r="B6" s="16" t="s">
        <v>509</v>
      </c>
      <c r="C6" s="16" t="s">
        <v>510</v>
      </c>
      <c r="D6" s="16" t="s">
        <v>511</v>
      </c>
      <c r="E6" s="17" t="s">
        <v>687</v>
      </c>
      <c r="F6" s="16" t="s">
        <v>12</v>
      </c>
      <c r="G6" s="33" t="s">
        <v>23</v>
      </c>
      <c r="H6" s="33" t="s">
        <v>29</v>
      </c>
      <c r="I6" s="41" t="s">
        <v>30</v>
      </c>
      <c r="J6" s="34"/>
      <c r="K6" s="18" t="str">
        <f>"120,0"</f>
        <v>120,0</v>
      </c>
      <c r="L6" s="18" t="str">
        <f>"152,0760"</f>
        <v>152,0760</v>
      </c>
      <c r="M6" s="16"/>
    </row>
    <row r="7" spans="1:13">
      <c r="A7" s="37" t="s">
        <v>92</v>
      </c>
      <c r="B7" s="19" t="s">
        <v>512</v>
      </c>
      <c r="C7" s="19" t="s">
        <v>513</v>
      </c>
      <c r="D7" s="19" t="s">
        <v>514</v>
      </c>
      <c r="E7" s="20" t="s">
        <v>687</v>
      </c>
      <c r="F7" s="19" t="s">
        <v>606</v>
      </c>
      <c r="G7" s="36" t="s">
        <v>121</v>
      </c>
      <c r="H7" s="36" t="s">
        <v>97</v>
      </c>
      <c r="I7" s="36" t="s">
        <v>99</v>
      </c>
      <c r="J7" s="37"/>
      <c r="K7" s="21" t="str">
        <f>"90,0"</f>
        <v>90,0</v>
      </c>
      <c r="L7" s="21" t="str">
        <f>"118,6470"</f>
        <v>118,6470</v>
      </c>
      <c r="M7" s="19"/>
    </row>
    <row r="9" spans="1:13" ht="16">
      <c r="A9" s="68" t="s">
        <v>17</v>
      </c>
      <c r="B9" s="68"/>
      <c r="C9" s="69"/>
      <c r="D9" s="69"/>
      <c r="E9" s="69"/>
      <c r="F9" s="69"/>
      <c r="G9" s="69"/>
      <c r="H9" s="69"/>
      <c r="I9" s="69"/>
      <c r="J9" s="69"/>
    </row>
    <row r="10" spans="1:13">
      <c r="A10" s="34" t="s">
        <v>91</v>
      </c>
      <c r="B10" s="16" t="s">
        <v>515</v>
      </c>
      <c r="C10" s="16" t="s">
        <v>665</v>
      </c>
      <c r="D10" s="16" t="s">
        <v>516</v>
      </c>
      <c r="E10" s="17" t="s">
        <v>690</v>
      </c>
      <c r="F10" s="16" t="s">
        <v>12</v>
      </c>
      <c r="G10" s="33" t="s">
        <v>124</v>
      </c>
      <c r="H10" s="41" t="s">
        <v>24</v>
      </c>
      <c r="I10" s="33" t="s">
        <v>24</v>
      </c>
      <c r="J10" s="34"/>
      <c r="K10" s="18" t="str">
        <f>"112,5"</f>
        <v>112,5</v>
      </c>
      <c r="L10" s="18" t="str">
        <f>"138,3975"</f>
        <v>138,3975</v>
      </c>
      <c r="M10" s="16" t="s">
        <v>681</v>
      </c>
    </row>
    <row r="11" spans="1:13">
      <c r="A11" s="37" t="s">
        <v>91</v>
      </c>
      <c r="B11" s="19" t="s">
        <v>110</v>
      </c>
      <c r="C11" s="19" t="s">
        <v>111</v>
      </c>
      <c r="D11" s="19" t="s">
        <v>112</v>
      </c>
      <c r="E11" s="20" t="s">
        <v>687</v>
      </c>
      <c r="F11" s="19" t="s">
        <v>606</v>
      </c>
      <c r="G11" s="36" t="s">
        <v>28</v>
      </c>
      <c r="H11" s="36" t="s">
        <v>30</v>
      </c>
      <c r="I11" s="35" t="s">
        <v>103</v>
      </c>
      <c r="J11" s="37"/>
      <c r="K11" s="21" t="str">
        <f>"125,0"</f>
        <v>125,0</v>
      </c>
      <c r="L11" s="21" t="str">
        <f>"151,7625"</f>
        <v>151,7625</v>
      </c>
      <c r="M11" s="19" t="s">
        <v>117</v>
      </c>
    </row>
    <row r="13" spans="1:13" ht="16">
      <c r="A13" s="68" t="s">
        <v>133</v>
      </c>
      <c r="B13" s="68"/>
      <c r="C13" s="69"/>
      <c r="D13" s="69"/>
      <c r="E13" s="69"/>
      <c r="F13" s="69"/>
      <c r="G13" s="69"/>
      <c r="H13" s="69"/>
      <c r="I13" s="69"/>
      <c r="J13" s="69"/>
    </row>
    <row r="14" spans="1:13">
      <c r="A14" s="15" t="s">
        <v>91</v>
      </c>
      <c r="B14" s="11" t="s">
        <v>517</v>
      </c>
      <c r="C14" s="11" t="s">
        <v>518</v>
      </c>
      <c r="D14" s="11" t="s">
        <v>519</v>
      </c>
      <c r="E14" s="12" t="s">
        <v>687</v>
      </c>
      <c r="F14" s="11" t="s">
        <v>12</v>
      </c>
      <c r="G14" s="32" t="s">
        <v>99</v>
      </c>
      <c r="H14" s="32" t="s">
        <v>108</v>
      </c>
      <c r="I14" s="32" t="s">
        <v>150</v>
      </c>
      <c r="J14" s="15"/>
      <c r="K14" s="13" t="str">
        <f>"102,5"</f>
        <v>102,5</v>
      </c>
      <c r="L14" s="13" t="str">
        <f>"116,0813"</f>
        <v>116,0813</v>
      </c>
      <c r="M14" s="11" t="s">
        <v>520</v>
      </c>
    </row>
    <row r="16" spans="1:13" ht="16">
      <c r="A16" s="68" t="s">
        <v>152</v>
      </c>
      <c r="B16" s="68"/>
      <c r="C16" s="69"/>
      <c r="D16" s="69"/>
      <c r="E16" s="69"/>
      <c r="F16" s="69"/>
      <c r="G16" s="69"/>
      <c r="H16" s="69"/>
      <c r="I16" s="69"/>
      <c r="J16" s="69"/>
    </row>
    <row r="17" spans="1:13">
      <c r="A17" s="15" t="s">
        <v>91</v>
      </c>
      <c r="B17" s="11" t="s">
        <v>521</v>
      </c>
      <c r="C17" s="11" t="s">
        <v>522</v>
      </c>
      <c r="D17" s="11" t="s">
        <v>523</v>
      </c>
      <c r="E17" s="12" t="s">
        <v>687</v>
      </c>
      <c r="F17" s="11" t="s">
        <v>606</v>
      </c>
      <c r="G17" s="32" t="s">
        <v>108</v>
      </c>
      <c r="H17" s="32" t="s">
        <v>22</v>
      </c>
      <c r="I17" s="32" t="s">
        <v>24</v>
      </c>
      <c r="J17" s="15"/>
      <c r="K17" s="13" t="str">
        <f>"112,5"</f>
        <v>112,5</v>
      </c>
      <c r="L17" s="13" t="str">
        <f>"117,4950"</f>
        <v>117,4950</v>
      </c>
      <c r="M17" s="11" t="s">
        <v>117</v>
      </c>
    </row>
    <row r="19" spans="1:13" ht="16">
      <c r="A19" s="68" t="s">
        <v>17</v>
      </c>
      <c r="B19" s="68"/>
      <c r="C19" s="69"/>
      <c r="D19" s="69"/>
      <c r="E19" s="69"/>
      <c r="F19" s="69"/>
      <c r="G19" s="69"/>
      <c r="H19" s="69"/>
      <c r="I19" s="69"/>
      <c r="J19" s="69"/>
    </row>
    <row r="20" spans="1:13">
      <c r="A20" s="15" t="s">
        <v>91</v>
      </c>
      <c r="B20" s="11" t="s">
        <v>169</v>
      </c>
      <c r="C20" s="11" t="s">
        <v>170</v>
      </c>
      <c r="D20" s="11" t="s">
        <v>171</v>
      </c>
      <c r="E20" s="12" t="s">
        <v>687</v>
      </c>
      <c r="F20" s="11" t="s">
        <v>12</v>
      </c>
      <c r="G20" s="32" t="s">
        <v>172</v>
      </c>
      <c r="H20" s="32" t="s">
        <v>173</v>
      </c>
      <c r="I20" s="14" t="s">
        <v>47</v>
      </c>
      <c r="J20" s="15"/>
      <c r="K20" s="13" t="str">
        <f>"162,5"</f>
        <v>162,5</v>
      </c>
      <c r="L20" s="13" t="str">
        <f>"149,7763"</f>
        <v>149,7763</v>
      </c>
      <c r="M20" s="11" t="s">
        <v>174</v>
      </c>
    </row>
    <row r="22" spans="1:13" ht="16">
      <c r="A22" s="68" t="s">
        <v>133</v>
      </c>
      <c r="B22" s="68"/>
      <c r="C22" s="69"/>
      <c r="D22" s="69"/>
      <c r="E22" s="69"/>
      <c r="F22" s="69"/>
      <c r="G22" s="69"/>
      <c r="H22" s="69"/>
      <c r="I22" s="69"/>
      <c r="J22" s="69"/>
    </row>
    <row r="23" spans="1:13">
      <c r="A23" s="15" t="s">
        <v>91</v>
      </c>
      <c r="B23" s="11" t="s">
        <v>175</v>
      </c>
      <c r="C23" s="11" t="s">
        <v>176</v>
      </c>
      <c r="D23" s="11" t="s">
        <v>177</v>
      </c>
      <c r="E23" s="12" t="s">
        <v>689</v>
      </c>
      <c r="F23" s="11" t="s">
        <v>606</v>
      </c>
      <c r="G23" s="32" t="s">
        <v>172</v>
      </c>
      <c r="H23" s="32" t="s">
        <v>59</v>
      </c>
      <c r="I23" s="14" t="s">
        <v>38</v>
      </c>
      <c r="J23" s="15"/>
      <c r="K23" s="13" t="str">
        <f>"160,0"</f>
        <v>160,0</v>
      </c>
      <c r="L23" s="13" t="str">
        <f>"136,8800"</f>
        <v>136,8800</v>
      </c>
      <c r="M23" s="11"/>
    </row>
    <row r="25" spans="1:13" ht="16">
      <c r="A25" s="68" t="s">
        <v>152</v>
      </c>
      <c r="B25" s="68"/>
      <c r="C25" s="69"/>
      <c r="D25" s="69"/>
      <c r="E25" s="69"/>
      <c r="F25" s="69"/>
      <c r="G25" s="69"/>
      <c r="H25" s="69"/>
      <c r="I25" s="69"/>
      <c r="J25" s="69"/>
    </row>
    <row r="26" spans="1:13">
      <c r="A26" s="34" t="s">
        <v>91</v>
      </c>
      <c r="B26" s="16" t="s">
        <v>524</v>
      </c>
      <c r="C26" s="16" t="s">
        <v>525</v>
      </c>
      <c r="D26" s="16" t="s">
        <v>526</v>
      </c>
      <c r="E26" s="17" t="s">
        <v>689</v>
      </c>
      <c r="F26" s="16" t="s">
        <v>12</v>
      </c>
      <c r="G26" s="33" t="s">
        <v>172</v>
      </c>
      <c r="H26" s="33" t="s">
        <v>59</v>
      </c>
      <c r="I26" s="33" t="s">
        <v>47</v>
      </c>
      <c r="J26" s="34"/>
      <c r="K26" s="18" t="str">
        <f>"170,0"</f>
        <v>170,0</v>
      </c>
      <c r="L26" s="18" t="str">
        <f>"133,1440"</f>
        <v>133,1440</v>
      </c>
      <c r="M26" s="16"/>
    </row>
    <row r="27" spans="1:13">
      <c r="A27" s="37" t="s">
        <v>91</v>
      </c>
      <c r="B27" s="19" t="s">
        <v>187</v>
      </c>
      <c r="C27" s="19" t="s">
        <v>188</v>
      </c>
      <c r="D27" s="19" t="s">
        <v>189</v>
      </c>
      <c r="E27" s="20" t="s">
        <v>687</v>
      </c>
      <c r="F27" s="19" t="s">
        <v>12</v>
      </c>
      <c r="G27" s="36" t="s">
        <v>124</v>
      </c>
      <c r="H27" s="36" t="s">
        <v>28</v>
      </c>
      <c r="I27" s="35" t="s">
        <v>155</v>
      </c>
      <c r="J27" s="37"/>
      <c r="K27" s="21" t="str">
        <f>"115,0"</f>
        <v>115,0</v>
      </c>
      <c r="L27" s="21" t="str">
        <f>"89,5275"</f>
        <v>89,5275</v>
      </c>
      <c r="M27" s="19" t="s">
        <v>132</v>
      </c>
    </row>
    <row r="29" spans="1:13" ht="16">
      <c r="A29" s="68" t="s">
        <v>162</v>
      </c>
      <c r="B29" s="68"/>
      <c r="C29" s="69"/>
      <c r="D29" s="69"/>
      <c r="E29" s="69"/>
      <c r="F29" s="69"/>
      <c r="G29" s="69"/>
      <c r="H29" s="69"/>
      <c r="I29" s="69"/>
      <c r="J29" s="69"/>
    </row>
    <row r="30" spans="1:13">
      <c r="A30" s="34" t="s">
        <v>91</v>
      </c>
      <c r="B30" s="16" t="s">
        <v>200</v>
      </c>
      <c r="C30" s="16" t="s">
        <v>201</v>
      </c>
      <c r="D30" s="16" t="s">
        <v>202</v>
      </c>
      <c r="E30" s="17" t="s">
        <v>687</v>
      </c>
      <c r="F30" s="16" t="s">
        <v>606</v>
      </c>
      <c r="G30" s="33" t="s">
        <v>47</v>
      </c>
      <c r="H30" s="33" t="s">
        <v>39</v>
      </c>
      <c r="I30" s="33" t="s">
        <v>78</v>
      </c>
      <c r="J30" s="34"/>
      <c r="K30" s="18" t="str">
        <f>"200,0"</f>
        <v>200,0</v>
      </c>
      <c r="L30" s="18" t="str">
        <f>"143,1800"</f>
        <v>143,1800</v>
      </c>
      <c r="M30" s="16" t="s">
        <v>204</v>
      </c>
    </row>
    <row r="31" spans="1:13">
      <c r="A31" s="37" t="s">
        <v>92</v>
      </c>
      <c r="B31" s="19" t="s">
        <v>503</v>
      </c>
      <c r="C31" s="19" t="s">
        <v>504</v>
      </c>
      <c r="D31" s="19" t="s">
        <v>207</v>
      </c>
      <c r="E31" s="20" t="s">
        <v>687</v>
      </c>
      <c r="F31" s="19" t="s">
        <v>606</v>
      </c>
      <c r="G31" s="36" t="s">
        <v>13</v>
      </c>
      <c r="H31" s="36" t="s">
        <v>23</v>
      </c>
      <c r="I31" s="36" t="s">
        <v>30</v>
      </c>
      <c r="J31" s="37"/>
      <c r="K31" s="21" t="str">
        <f>"125,0"</f>
        <v>125,0</v>
      </c>
      <c r="L31" s="21" t="str">
        <f>"90,2625"</f>
        <v>90,2625</v>
      </c>
      <c r="M31" s="19" t="s">
        <v>117</v>
      </c>
    </row>
    <row r="33" spans="1:13" ht="16">
      <c r="A33" s="68" t="s">
        <v>216</v>
      </c>
      <c r="B33" s="68"/>
      <c r="C33" s="69"/>
      <c r="D33" s="69"/>
      <c r="E33" s="69"/>
      <c r="F33" s="69"/>
      <c r="G33" s="69"/>
      <c r="H33" s="69"/>
      <c r="I33" s="69"/>
      <c r="J33" s="69"/>
    </row>
    <row r="34" spans="1:13">
      <c r="A34" s="34" t="s">
        <v>91</v>
      </c>
      <c r="B34" s="16" t="s">
        <v>220</v>
      </c>
      <c r="C34" s="16" t="s">
        <v>633</v>
      </c>
      <c r="D34" s="16" t="s">
        <v>221</v>
      </c>
      <c r="E34" s="17" t="s">
        <v>690</v>
      </c>
      <c r="F34" s="16" t="s">
        <v>12</v>
      </c>
      <c r="G34" s="33" t="s">
        <v>223</v>
      </c>
      <c r="H34" s="33" t="s">
        <v>14</v>
      </c>
      <c r="I34" s="33" t="s">
        <v>78</v>
      </c>
      <c r="J34" s="34"/>
      <c r="K34" s="18" t="str">
        <f>"200,0"</f>
        <v>200,0</v>
      </c>
      <c r="L34" s="18" t="str">
        <f>"134,8800"</f>
        <v>134,8800</v>
      </c>
      <c r="M34" s="16" t="s">
        <v>224</v>
      </c>
    </row>
    <row r="35" spans="1:13">
      <c r="A35" s="37" t="s">
        <v>91</v>
      </c>
      <c r="B35" s="19" t="s">
        <v>527</v>
      </c>
      <c r="C35" s="19" t="s">
        <v>528</v>
      </c>
      <c r="D35" s="19" t="s">
        <v>529</v>
      </c>
      <c r="E35" s="20" t="s">
        <v>687</v>
      </c>
      <c r="F35" s="19" t="s">
        <v>606</v>
      </c>
      <c r="G35" s="36" t="s">
        <v>47</v>
      </c>
      <c r="H35" s="36" t="s">
        <v>39</v>
      </c>
      <c r="I35" s="36" t="s">
        <v>14</v>
      </c>
      <c r="J35" s="37"/>
      <c r="K35" s="21" t="str">
        <f>"190,0"</f>
        <v>190,0</v>
      </c>
      <c r="L35" s="21" t="str">
        <f>"129,3140"</f>
        <v>129,3140</v>
      </c>
      <c r="M35" s="19"/>
    </row>
    <row r="37" spans="1:13" ht="16">
      <c r="A37" s="68" t="s">
        <v>31</v>
      </c>
      <c r="B37" s="68"/>
      <c r="C37" s="69"/>
      <c r="D37" s="69"/>
      <c r="E37" s="69"/>
      <c r="F37" s="69"/>
      <c r="G37" s="69"/>
      <c r="H37" s="69"/>
      <c r="I37" s="69"/>
      <c r="J37" s="69"/>
    </row>
    <row r="38" spans="1:13">
      <c r="A38" s="34" t="s">
        <v>91</v>
      </c>
      <c r="B38" s="16" t="s">
        <v>242</v>
      </c>
      <c r="C38" s="16" t="s">
        <v>243</v>
      </c>
      <c r="D38" s="16" t="s">
        <v>244</v>
      </c>
      <c r="E38" s="17" t="s">
        <v>687</v>
      </c>
      <c r="F38" s="16" t="s">
        <v>12</v>
      </c>
      <c r="G38" s="33" t="s">
        <v>15</v>
      </c>
      <c r="H38" s="33" t="s">
        <v>246</v>
      </c>
      <c r="I38" s="33" t="s">
        <v>247</v>
      </c>
      <c r="J38" s="34"/>
      <c r="K38" s="18" t="str">
        <f>"300,0"</f>
        <v>300,0</v>
      </c>
      <c r="L38" s="18" t="str">
        <f>"192,5100"</f>
        <v>192,5100</v>
      </c>
      <c r="M38" s="16" t="s">
        <v>224</v>
      </c>
    </row>
    <row r="39" spans="1:13">
      <c r="A39" s="40" t="s">
        <v>92</v>
      </c>
      <c r="B39" s="22" t="s">
        <v>255</v>
      </c>
      <c r="C39" s="22" t="s">
        <v>256</v>
      </c>
      <c r="D39" s="22" t="s">
        <v>257</v>
      </c>
      <c r="E39" s="23" t="s">
        <v>687</v>
      </c>
      <c r="F39" s="22" t="s">
        <v>12</v>
      </c>
      <c r="G39" s="39" t="s">
        <v>258</v>
      </c>
      <c r="H39" s="39" t="s">
        <v>49</v>
      </c>
      <c r="I39" s="38" t="s">
        <v>234</v>
      </c>
      <c r="J39" s="40"/>
      <c r="K39" s="24" t="str">
        <f>"230,0"</f>
        <v>230,0</v>
      </c>
      <c r="L39" s="24" t="str">
        <f>"147,7520"</f>
        <v>147,7520</v>
      </c>
      <c r="M39" s="22" t="s">
        <v>132</v>
      </c>
    </row>
    <row r="40" spans="1:13">
      <c r="A40" s="37" t="s">
        <v>280</v>
      </c>
      <c r="B40" s="19" t="s">
        <v>505</v>
      </c>
      <c r="C40" s="19" t="s">
        <v>506</v>
      </c>
      <c r="D40" s="19" t="s">
        <v>507</v>
      </c>
      <c r="E40" s="20" t="s">
        <v>687</v>
      </c>
      <c r="F40" s="19" t="s">
        <v>606</v>
      </c>
      <c r="G40" s="36" t="s">
        <v>47</v>
      </c>
      <c r="H40" s="36" t="s">
        <v>39</v>
      </c>
      <c r="I40" s="35" t="s">
        <v>199</v>
      </c>
      <c r="J40" s="37"/>
      <c r="K40" s="21" t="str">
        <f>"180,0"</f>
        <v>180,0</v>
      </c>
      <c r="L40" s="21" t="str">
        <f>"119,7180"</f>
        <v>119,7180</v>
      </c>
      <c r="M40" s="19" t="s">
        <v>117</v>
      </c>
    </row>
    <row r="42" spans="1:13" ht="16">
      <c r="A42" s="68" t="s">
        <v>11</v>
      </c>
      <c r="B42" s="68"/>
      <c r="C42" s="69"/>
      <c r="D42" s="69"/>
      <c r="E42" s="69"/>
      <c r="F42" s="69"/>
      <c r="G42" s="69"/>
      <c r="H42" s="69"/>
      <c r="I42" s="69"/>
      <c r="J42" s="69"/>
    </row>
    <row r="43" spans="1:13">
      <c r="A43" s="34" t="s">
        <v>91</v>
      </c>
      <c r="B43" s="16" t="s">
        <v>263</v>
      </c>
      <c r="C43" s="16" t="s">
        <v>264</v>
      </c>
      <c r="D43" s="16" t="s">
        <v>265</v>
      </c>
      <c r="E43" s="17" t="s">
        <v>689</v>
      </c>
      <c r="F43" s="16" t="s">
        <v>12</v>
      </c>
      <c r="G43" s="33" t="s">
        <v>14</v>
      </c>
      <c r="H43" s="33" t="s">
        <v>78</v>
      </c>
      <c r="I43" s="41" t="s">
        <v>46</v>
      </c>
      <c r="J43" s="34"/>
      <c r="K43" s="18" t="str">
        <f>"200,0"</f>
        <v>200,0</v>
      </c>
      <c r="L43" s="18" t="str">
        <f>"122,5800"</f>
        <v>122,5800</v>
      </c>
      <c r="M43" s="16"/>
    </row>
    <row r="44" spans="1:13">
      <c r="A44" s="40" t="s">
        <v>91</v>
      </c>
      <c r="B44" s="22" t="s">
        <v>530</v>
      </c>
      <c r="C44" s="22" t="s">
        <v>531</v>
      </c>
      <c r="D44" s="22" t="s">
        <v>317</v>
      </c>
      <c r="E44" s="23" t="s">
        <v>687</v>
      </c>
      <c r="F44" s="22" t="s">
        <v>12</v>
      </c>
      <c r="G44" s="39" t="s">
        <v>49</v>
      </c>
      <c r="H44" s="39" t="s">
        <v>274</v>
      </c>
      <c r="I44" s="38" t="s">
        <v>532</v>
      </c>
      <c r="J44" s="40"/>
      <c r="K44" s="24" t="str">
        <f>"250,0"</f>
        <v>250,0</v>
      </c>
      <c r="L44" s="24" t="str">
        <f>"153,7500"</f>
        <v>153,7500</v>
      </c>
      <c r="M44" s="22"/>
    </row>
    <row r="45" spans="1:13">
      <c r="A45" s="40" t="s">
        <v>92</v>
      </c>
      <c r="B45" s="22" t="s">
        <v>468</v>
      </c>
      <c r="C45" s="22" t="s">
        <v>469</v>
      </c>
      <c r="D45" s="22" t="s">
        <v>470</v>
      </c>
      <c r="E45" s="23" t="s">
        <v>687</v>
      </c>
      <c r="F45" s="22" t="s">
        <v>12</v>
      </c>
      <c r="G45" s="39" t="s">
        <v>47</v>
      </c>
      <c r="H45" s="39" t="s">
        <v>14</v>
      </c>
      <c r="I45" s="39" t="s">
        <v>46</v>
      </c>
      <c r="J45" s="40"/>
      <c r="K45" s="24" t="str">
        <f>"210,0"</f>
        <v>210,0</v>
      </c>
      <c r="L45" s="24" t="str">
        <f>"128,8560"</f>
        <v>128,8560</v>
      </c>
      <c r="M45" s="22" t="s">
        <v>471</v>
      </c>
    </row>
    <row r="46" spans="1:13">
      <c r="A46" s="37" t="s">
        <v>280</v>
      </c>
      <c r="B46" s="19" t="s">
        <v>533</v>
      </c>
      <c r="C46" s="19" t="s">
        <v>534</v>
      </c>
      <c r="D46" s="19" t="s">
        <v>535</v>
      </c>
      <c r="E46" s="20" t="s">
        <v>687</v>
      </c>
      <c r="F46" s="19" t="s">
        <v>12</v>
      </c>
      <c r="G46" s="36" t="s">
        <v>14</v>
      </c>
      <c r="H46" s="36" t="s">
        <v>78</v>
      </c>
      <c r="I46" s="35" t="s">
        <v>343</v>
      </c>
      <c r="J46" s="37"/>
      <c r="K46" s="21" t="str">
        <f>"200,0"</f>
        <v>200,0</v>
      </c>
      <c r="L46" s="21" t="str">
        <f>"124,6400"</f>
        <v>124,6400</v>
      </c>
      <c r="M46" s="19"/>
    </row>
    <row r="48" spans="1:13" ht="16">
      <c r="A48" s="68" t="s">
        <v>72</v>
      </c>
      <c r="B48" s="68"/>
      <c r="C48" s="69"/>
      <c r="D48" s="69"/>
      <c r="E48" s="69"/>
      <c r="F48" s="69"/>
      <c r="G48" s="69"/>
      <c r="H48" s="69"/>
      <c r="I48" s="69"/>
      <c r="J48" s="69"/>
    </row>
    <row r="49" spans="1:13">
      <c r="A49" s="15" t="s">
        <v>91</v>
      </c>
      <c r="B49" s="11" t="s">
        <v>271</v>
      </c>
      <c r="C49" s="11" t="s">
        <v>272</v>
      </c>
      <c r="D49" s="11" t="s">
        <v>273</v>
      </c>
      <c r="E49" s="12" t="s">
        <v>687</v>
      </c>
      <c r="F49" s="11" t="s">
        <v>12</v>
      </c>
      <c r="G49" s="32" t="s">
        <v>274</v>
      </c>
      <c r="H49" s="32" t="s">
        <v>51</v>
      </c>
      <c r="I49" s="32" t="s">
        <v>15</v>
      </c>
      <c r="J49" s="15"/>
      <c r="K49" s="13" t="str">
        <f>"270,0"</f>
        <v>270,0</v>
      </c>
      <c r="L49" s="13" t="str">
        <f>"159,3810"</f>
        <v>159,3810</v>
      </c>
      <c r="M49" s="11"/>
    </row>
    <row r="51" spans="1:13" ht="16">
      <c r="F51" s="8"/>
      <c r="G51" s="5"/>
      <c r="K51" s="10"/>
      <c r="M51" s="7"/>
    </row>
    <row r="52" spans="1:13">
      <c r="G52" s="5"/>
      <c r="K52" s="10"/>
      <c r="M52" s="7"/>
    </row>
    <row r="53" spans="1:13" ht="18">
      <c r="B53" s="9" t="s">
        <v>7</v>
      </c>
      <c r="C53" s="9"/>
      <c r="G53" s="3"/>
      <c r="K53" s="10"/>
      <c r="M53" s="7"/>
    </row>
    <row r="54" spans="1:13" ht="16">
      <c r="B54" s="42" t="s">
        <v>680</v>
      </c>
      <c r="G54" s="3"/>
      <c r="K54" s="10"/>
      <c r="M54" s="7"/>
    </row>
    <row r="55" spans="1:13" ht="14">
      <c r="B55" s="26"/>
      <c r="C55" s="27" t="s">
        <v>81</v>
      </c>
      <c r="G55" s="3"/>
      <c r="K55" s="10"/>
      <c r="M55" s="7"/>
    </row>
    <row r="56" spans="1:13" ht="14">
      <c r="B56" s="28" t="s">
        <v>82</v>
      </c>
      <c r="C56" s="28" t="s">
        <v>83</v>
      </c>
      <c r="D56" s="28" t="s">
        <v>84</v>
      </c>
      <c r="E56" s="29" t="s">
        <v>351</v>
      </c>
      <c r="F56" s="28" t="s">
        <v>86</v>
      </c>
      <c r="G56" s="3"/>
      <c r="K56" s="10"/>
      <c r="M56" s="7"/>
    </row>
    <row r="57" spans="1:13">
      <c r="B57" s="5" t="s">
        <v>242</v>
      </c>
      <c r="C57" s="5" t="s">
        <v>81</v>
      </c>
      <c r="D57" s="10" t="s">
        <v>89</v>
      </c>
      <c r="E57" s="31">
        <v>300</v>
      </c>
      <c r="F57" s="30">
        <v>192.510008811951</v>
      </c>
      <c r="G57" s="3"/>
      <c r="K57" s="10"/>
      <c r="M57" s="7"/>
    </row>
    <row r="58" spans="1:13">
      <c r="B58" s="5" t="s">
        <v>271</v>
      </c>
      <c r="C58" s="5" t="s">
        <v>81</v>
      </c>
      <c r="D58" s="10" t="s">
        <v>352</v>
      </c>
      <c r="E58" s="31">
        <v>270</v>
      </c>
      <c r="F58" s="30">
        <v>159.38100636005399</v>
      </c>
      <c r="G58" s="3"/>
      <c r="K58" s="10"/>
      <c r="M58" s="7"/>
    </row>
    <row r="59" spans="1:13">
      <c r="B59" s="5" t="s">
        <v>530</v>
      </c>
      <c r="C59" s="5" t="s">
        <v>81</v>
      </c>
      <c r="D59" s="10" t="s">
        <v>90</v>
      </c>
      <c r="E59" s="31">
        <v>250</v>
      </c>
      <c r="F59" s="30">
        <v>153.75000238418599</v>
      </c>
      <c r="G59" s="3"/>
      <c r="K59" s="10"/>
      <c r="M59" s="7"/>
    </row>
    <row r="60" spans="1:13">
      <c r="E60" s="5"/>
      <c r="F60" s="6"/>
      <c r="G60" s="5"/>
      <c r="K60" s="10"/>
      <c r="M60" s="7"/>
    </row>
  </sheetData>
  <mergeCells count="23">
    <mergeCell ref="A29:J29"/>
    <mergeCell ref="A33:J33"/>
    <mergeCell ref="A37:J37"/>
    <mergeCell ref="A42:J42"/>
    <mergeCell ref="A48:J48"/>
    <mergeCell ref="A22:J22"/>
    <mergeCell ref="A25:J25"/>
    <mergeCell ref="K3:K4"/>
    <mergeCell ref="L3:L4"/>
    <mergeCell ref="M3:M4"/>
    <mergeCell ref="A5:J5"/>
    <mergeCell ref="B3:B4"/>
    <mergeCell ref="A9:J9"/>
    <mergeCell ref="A13:J13"/>
    <mergeCell ref="A16:J16"/>
    <mergeCell ref="A19:J19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M20"/>
  <sheetViews>
    <sheetView workbookViewId="0">
      <selection activeCell="E21" sqref="E21"/>
    </sheetView>
  </sheetViews>
  <sheetFormatPr baseColWidth="10" defaultColWidth="9.1640625" defaultRowHeight="13"/>
  <cols>
    <col min="1" max="1" width="7.1640625" style="5" bestFit="1" customWidth="1"/>
    <col min="2" max="2" width="21.83203125" style="5" customWidth="1"/>
    <col min="3" max="3" width="28.6640625" style="5" bestFit="1" customWidth="1"/>
    <col min="4" max="4" width="20.83203125" style="5" bestFit="1" customWidth="1"/>
    <col min="5" max="5" width="10.1640625" style="6" bestFit="1" customWidth="1"/>
    <col min="6" max="6" width="28.5" style="5" bestFit="1" customWidth="1"/>
    <col min="7" max="10" width="5.5" style="10" customWidth="1"/>
    <col min="11" max="11" width="10.5" style="7" bestFit="1" customWidth="1"/>
    <col min="12" max="12" width="8.5" style="7" bestFit="1" customWidth="1"/>
    <col min="13" max="13" width="19" style="5" bestFit="1" customWidth="1"/>
    <col min="14" max="16384" width="9.1640625" style="3"/>
  </cols>
  <sheetData>
    <row r="1" spans="1:13" s="2" customFormat="1" ht="29" customHeight="1">
      <c r="A1" s="47" t="s">
        <v>619</v>
      </c>
      <c r="B1" s="48"/>
      <c r="C1" s="49"/>
      <c r="D1" s="49"/>
      <c r="E1" s="49"/>
      <c r="F1" s="49"/>
      <c r="G1" s="49"/>
      <c r="H1" s="49"/>
      <c r="I1" s="49"/>
      <c r="J1" s="49"/>
      <c r="K1" s="49"/>
      <c r="L1" s="49"/>
      <c r="M1" s="50"/>
    </row>
    <row r="2" spans="1:13" s="2" customFormat="1" ht="62" customHeight="1" thickBot="1">
      <c r="A2" s="51"/>
      <c r="B2" s="52"/>
      <c r="C2" s="53"/>
      <c r="D2" s="53"/>
      <c r="E2" s="53"/>
      <c r="F2" s="53"/>
      <c r="G2" s="53"/>
      <c r="H2" s="53"/>
      <c r="I2" s="53"/>
      <c r="J2" s="53"/>
      <c r="K2" s="53"/>
      <c r="L2" s="53"/>
      <c r="M2" s="54"/>
    </row>
    <row r="3" spans="1:13" s="1" customFormat="1" ht="12.75" customHeight="1">
      <c r="A3" s="55" t="s">
        <v>684</v>
      </c>
      <c r="B3" s="66" t="s">
        <v>0</v>
      </c>
      <c r="C3" s="57" t="s">
        <v>685</v>
      </c>
      <c r="D3" s="57" t="s">
        <v>6</v>
      </c>
      <c r="E3" s="59" t="s">
        <v>686</v>
      </c>
      <c r="F3" s="61" t="s">
        <v>5</v>
      </c>
      <c r="G3" s="61" t="s">
        <v>10</v>
      </c>
      <c r="H3" s="61"/>
      <c r="I3" s="61"/>
      <c r="J3" s="61"/>
      <c r="K3" s="59" t="s">
        <v>354</v>
      </c>
      <c r="L3" s="59" t="s">
        <v>3</v>
      </c>
      <c r="M3" s="62" t="s">
        <v>2</v>
      </c>
    </row>
    <row r="4" spans="1:13" s="1" customFormat="1" ht="21" customHeight="1" thickBot="1">
      <c r="A4" s="56"/>
      <c r="B4" s="67"/>
      <c r="C4" s="58"/>
      <c r="D4" s="58"/>
      <c r="E4" s="60"/>
      <c r="F4" s="58"/>
      <c r="G4" s="4">
        <v>1</v>
      </c>
      <c r="H4" s="4">
        <v>2</v>
      </c>
      <c r="I4" s="4">
        <v>3</v>
      </c>
      <c r="J4" s="4" t="s">
        <v>4</v>
      </c>
      <c r="K4" s="60"/>
      <c r="L4" s="60"/>
      <c r="M4" s="63"/>
    </row>
    <row r="5" spans="1:13" ht="16">
      <c r="A5" s="64" t="s">
        <v>17</v>
      </c>
      <c r="B5" s="64"/>
      <c r="C5" s="65"/>
      <c r="D5" s="65"/>
      <c r="E5" s="65"/>
      <c r="F5" s="65"/>
      <c r="G5" s="65"/>
      <c r="H5" s="65"/>
      <c r="I5" s="65"/>
      <c r="J5" s="65"/>
    </row>
    <row r="6" spans="1:13">
      <c r="A6" s="15" t="s">
        <v>91</v>
      </c>
      <c r="B6" s="11" t="s">
        <v>18</v>
      </c>
      <c r="C6" s="11" t="s">
        <v>19</v>
      </c>
      <c r="D6" s="11" t="s">
        <v>20</v>
      </c>
      <c r="E6" s="12" t="s">
        <v>687</v>
      </c>
      <c r="F6" s="11" t="s">
        <v>21</v>
      </c>
      <c r="G6" s="32" t="s">
        <v>28</v>
      </c>
      <c r="H6" s="32" t="s">
        <v>29</v>
      </c>
      <c r="I6" s="32" t="s">
        <v>30</v>
      </c>
      <c r="J6" s="15"/>
      <c r="K6" s="13" t="str">
        <f>"125,0"</f>
        <v>125,0</v>
      </c>
      <c r="L6" s="13" t="str">
        <f>"147,7000"</f>
        <v>147,7000</v>
      </c>
      <c r="M6" s="11"/>
    </row>
    <row r="8" spans="1:13" ht="16">
      <c r="A8" s="68" t="s">
        <v>162</v>
      </c>
      <c r="B8" s="68"/>
      <c r="C8" s="69"/>
      <c r="D8" s="69"/>
      <c r="E8" s="69"/>
      <c r="F8" s="69"/>
      <c r="G8" s="69"/>
      <c r="H8" s="69"/>
      <c r="I8" s="69"/>
      <c r="J8" s="69"/>
    </row>
    <row r="9" spans="1:13">
      <c r="A9" s="15" t="s">
        <v>91</v>
      </c>
      <c r="B9" s="11" t="s">
        <v>503</v>
      </c>
      <c r="C9" s="11" t="s">
        <v>504</v>
      </c>
      <c r="D9" s="11" t="s">
        <v>207</v>
      </c>
      <c r="E9" s="12" t="s">
        <v>687</v>
      </c>
      <c r="F9" s="11" t="s">
        <v>606</v>
      </c>
      <c r="G9" s="32" t="s">
        <v>13</v>
      </c>
      <c r="H9" s="32" t="s">
        <v>23</v>
      </c>
      <c r="I9" s="32" t="s">
        <v>30</v>
      </c>
      <c r="J9" s="15"/>
      <c r="K9" s="13" t="str">
        <f>"125,0"</f>
        <v>125,0</v>
      </c>
      <c r="L9" s="13" t="str">
        <f>"90,2625"</f>
        <v>90,2625</v>
      </c>
      <c r="M9" s="11" t="s">
        <v>117</v>
      </c>
    </row>
    <row r="11" spans="1:13" ht="16">
      <c r="A11" s="68" t="s">
        <v>31</v>
      </c>
      <c r="B11" s="68"/>
      <c r="C11" s="69"/>
      <c r="D11" s="69"/>
      <c r="E11" s="69"/>
      <c r="F11" s="69"/>
      <c r="G11" s="69"/>
      <c r="H11" s="69"/>
      <c r="I11" s="69"/>
      <c r="J11" s="69"/>
    </row>
    <row r="12" spans="1:13">
      <c r="A12" s="34" t="s">
        <v>91</v>
      </c>
      <c r="B12" s="16" t="s">
        <v>505</v>
      </c>
      <c r="C12" s="16" t="s">
        <v>506</v>
      </c>
      <c r="D12" s="16" t="s">
        <v>507</v>
      </c>
      <c r="E12" s="17" t="s">
        <v>687</v>
      </c>
      <c r="F12" s="16" t="s">
        <v>606</v>
      </c>
      <c r="G12" s="33" t="s">
        <v>47</v>
      </c>
      <c r="H12" s="33" t="s">
        <v>39</v>
      </c>
      <c r="I12" s="41" t="s">
        <v>199</v>
      </c>
      <c r="J12" s="34"/>
      <c r="K12" s="18" t="str">
        <f>"180,0"</f>
        <v>180,0</v>
      </c>
      <c r="L12" s="18" t="str">
        <f>"119,7180"</f>
        <v>119,7180</v>
      </c>
      <c r="M12" s="16" t="s">
        <v>117</v>
      </c>
    </row>
    <row r="13" spans="1:13">
      <c r="A13" s="37" t="s">
        <v>91</v>
      </c>
      <c r="B13" s="19" t="s">
        <v>508</v>
      </c>
      <c r="C13" s="19" t="s">
        <v>666</v>
      </c>
      <c r="D13" s="19" t="s">
        <v>439</v>
      </c>
      <c r="E13" s="20" t="s">
        <v>688</v>
      </c>
      <c r="F13" s="19" t="s">
        <v>12</v>
      </c>
      <c r="G13" s="36" t="s">
        <v>41</v>
      </c>
      <c r="H13" s="36" t="s">
        <v>51</v>
      </c>
      <c r="I13" s="36" t="s">
        <v>15</v>
      </c>
      <c r="J13" s="37"/>
      <c r="K13" s="21" t="str">
        <f>"270,0"</f>
        <v>270,0</v>
      </c>
      <c r="L13" s="21" t="str">
        <f>"175,2650"</f>
        <v>175,2650</v>
      </c>
      <c r="M13" s="19" t="s">
        <v>293</v>
      </c>
    </row>
    <row r="15" spans="1:13" ht="16">
      <c r="A15" s="68" t="s">
        <v>11</v>
      </c>
      <c r="B15" s="68"/>
      <c r="C15" s="69"/>
      <c r="D15" s="69"/>
      <c r="E15" s="69"/>
      <c r="F15" s="69"/>
      <c r="G15" s="69"/>
      <c r="H15" s="69"/>
      <c r="I15" s="69"/>
      <c r="J15" s="69"/>
    </row>
    <row r="16" spans="1:13">
      <c r="A16" s="34" t="s">
        <v>91</v>
      </c>
      <c r="B16" s="16" t="s">
        <v>53</v>
      </c>
      <c r="C16" s="16" t="s">
        <v>54</v>
      </c>
      <c r="D16" s="16" t="s">
        <v>55</v>
      </c>
      <c r="E16" s="17" t="s">
        <v>687</v>
      </c>
      <c r="F16" s="16" t="s">
        <v>12</v>
      </c>
      <c r="G16" s="33" t="s">
        <v>51</v>
      </c>
      <c r="H16" s="33" t="s">
        <v>15</v>
      </c>
      <c r="I16" s="33" t="s">
        <v>60</v>
      </c>
      <c r="J16" s="34"/>
      <c r="K16" s="18" t="str">
        <f>"280,0"</f>
        <v>280,0</v>
      </c>
      <c r="L16" s="18" t="str">
        <f>"170,7440"</f>
        <v>170,7440</v>
      </c>
      <c r="M16" s="16" t="s">
        <v>61</v>
      </c>
    </row>
    <row r="17" spans="1:13">
      <c r="A17" s="37" t="s">
        <v>92</v>
      </c>
      <c r="B17" s="19" t="s">
        <v>62</v>
      </c>
      <c r="C17" s="19" t="s">
        <v>63</v>
      </c>
      <c r="D17" s="19" t="s">
        <v>64</v>
      </c>
      <c r="E17" s="20" t="s">
        <v>687</v>
      </c>
      <c r="F17" s="19" t="s">
        <v>65</v>
      </c>
      <c r="G17" s="36" t="s">
        <v>51</v>
      </c>
      <c r="H17" s="36" t="s">
        <v>67</v>
      </c>
      <c r="I17" s="36" t="s">
        <v>68</v>
      </c>
      <c r="J17" s="37"/>
      <c r="K17" s="21" t="str">
        <f>"277,5"</f>
        <v>277,5</v>
      </c>
      <c r="L17" s="21" t="str">
        <f>"168,8865"</f>
        <v>168,8865</v>
      </c>
      <c r="M17" s="19" t="s">
        <v>69</v>
      </c>
    </row>
    <row r="19" spans="1:13" ht="16">
      <c r="A19" s="68" t="s">
        <v>332</v>
      </c>
      <c r="B19" s="68"/>
      <c r="C19" s="69"/>
      <c r="D19" s="69"/>
      <c r="E19" s="69"/>
      <c r="F19" s="69"/>
      <c r="G19" s="69"/>
      <c r="H19" s="69"/>
      <c r="I19" s="69"/>
      <c r="J19" s="69"/>
    </row>
    <row r="20" spans="1:13">
      <c r="A20" s="15" t="s">
        <v>91</v>
      </c>
      <c r="B20" s="11" t="s">
        <v>333</v>
      </c>
      <c r="C20" s="11" t="s">
        <v>334</v>
      </c>
      <c r="D20" s="11" t="s">
        <v>335</v>
      </c>
      <c r="E20" s="12" t="s">
        <v>687</v>
      </c>
      <c r="F20" s="11" t="s">
        <v>336</v>
      </c>
      <c r="G20" s="32" t="s">
        <v>60</v>
      </c>
      <c r="H20" s="32" t="s">
        <v>337</v>
      </c>
      <c r="I20" s="32" t="s">
        <v>247</v>
      </c>
      <c r="J20" s="15"/>
      <c r="K20" s="13" t="str">
        <f>"300,0"</f>
        <v>300,0</v>
      </c>
      <c r="L20" s="13" t="str">
        <f>"171,8400"</f>
        <v>171,8400</v>
      </c>
      <c r="M20" s="11"/>
    </row>
  </sheetData>
  <mergeCells count="16">
    <mergeCell ref="A8:J8"/>
    <mergeCell ref="A11:J11"/>
    <mergeCell ref="A15:J15"/>
    <mergeCell ref="A19:J19"/>
    <mergeCell ref="B3:B4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M6"/>
  <sheetViews>
    <sheetView workbookViewId="0">
      <selection activeCell="E7" sqref="E7"/>
    </sheetView>
  </sheetViews>
  <sheetFormatPr baseColWidth="10" defaultColWidth="9.1640625" defaultRowHeight="13"/>
  <cols>
    <col min="1" max="1" width="7.1640625" style="5" bestFit="1" customWidth="1"/>
    <col min="2" max="2" width="23.5" style="5" bestFit="1" customWidth="1"/>
    <col min="3" max="3" width="25.1640625" style="5" bestFit="1" customWidth="1"/>
    <col min="4" max="4" width="20.83203125" style="5" bestFit="1" customWidth="1"/>
    <col min="5" max="5" width="10.1640625" style="6" bestFit="1" customWidth="1"/>
    <col min="6" max="6" width="24.6640625" style="5" bestFit="1" customWidth="1"/>
    <col min="7" max="9" width="5.5" style="10" customWidth="1"/>
    <col min="10" max="10" width="4.5" style="10" customWidth="1"/>
    <col min="11" max="11" width="10.5" style="7" bestFit="1" customWidth="1"/>
    <col min="12" max="12" width="8.6640625" style="7" bestFit="1" customWidth="1"/>
    <col min="13" max="13" width="19.5" style="5" bestFit="1" customWidth="1"/>
    <col min="14" max="16384" width="9.1640625" style="3"/>
  </cols>
  <sheetData>
    <row r="1" spans="1:13" s="2" customFormat="1" ht="29" customHeight="1">
      <c r="A1" s="47" t="s">
        <v>620</v>
      </c>
      <c r="B1" s="48"/>
      <c r="C1" s="49"/>
      <c r="D1" s="49"/>
      <c r="E1" s="49"/>
      <c r="F1" s="49"/>
      <c r="G1" s="49"/>
      <c r="H1" s="49"/>
      <c r="I1" s="49"/>
      <c r="J1" s="49"/>
      <c r="K1" s="49"/>
      <c r="L1" s="49"/>
      <c r="M1" s="50"/>
    </row>
    <row r="2" spans="1:13" s="2" customFormat="1" ht="62" customHeight="1" thickBot="1">
      <c r="A2" s="51"/>
      <c r="B2" s="52"/>
      <c r="C2" s="53"/>
      <c r="D2" s="53"/>
      <c r="E2" s="53"/>
      <c r="F2" s="53"/>
      <c r="G2" s="53"/>
      <c r="H2" s="53"/>
      <c r="I2" s="53"/>
      <c r="J2" s="53"/>
      <c r="K2" s="53"/>
      <c r="L2" s="53"/>
      <c r="M2" s="54"/>
    </row>
    <row r="3" spans="1:13" s="1" customFormat="1" ht="12.75" customHeight="1">
      <c r="A3" s="55" t="s">
        <v>684</v>
      </c>
      <c r="B3" s="66" t="s">
        <v>0</v>
      </c>
      <c r="C3" s="57" t="s">
        <v>685</v>
      </c>
      <c r="D3" s="57" t="s">
        <v>6</v>
      </c>
      <c r="E3" s="59" t="s">
        <v>686</v>
      </c>
      <c r="F3" s="61" t="s">
        <v>5</v>
      </c>
      <c r="G3" s="61" t="s">
        <v>10</v>
      </c>
      <c r="H3" s="61"/>
      <c r="I3" s="61"/>
      <c r="J3" s="61"/>
      <c r="K3" s="59" t="s">
        <v>354</v>
      </c>
      <c r="L3" s="59" t="s">
        <v>3</v>
      </c>
      <c r="M3" s="62" t="s">
        <v>2</v>
      </c>
    </row>
    <row r="4" spans="1:13" s="1" customFormat="1" ht="21" customHeight="1" thickBot="1">
      <c r="A4" s="56"/>
      <c r="B4" s="67"/>
      <c r="C4" s="58"/>
      <c r="D4" s="58"/>
      <c r="E4" s="60"/>
      <c r="F4" s="58"/>
      <c r="G4" s="4">
        <v>1</v>
      </c>
      <c r="H4" s="4">
        <v>2</v>
      </c>
      <c r="I4" s="4">
        <v>3</v>
      </c>
      <c r="J4" s="4" t="s">
        <v>4</v>
      </c>
      <c r="K4" s="60"/>
      <c r="L4" s="60"/>
      <c r="M4" s="63"/>
    </row>
    <row r="5" spans="1:13" ht="16">
      <c r="A5" s="64" t="s">
        <v>152</v>
      </c>
      <c r="B5" s="64"/>
      <c r="C5" s="65"/>
      <c r="D5" s="65"/>
      <c r="E5" s="65"/>
      <c r="F5" s="65"/>
      <c r="G5" s="65"/>
      <c r="H5" s="65"/>
      <c r="I5" s="65"/>
      <c r="J5" s="65"/>
    </row>
    <row r="6" spans="1:13">
      <c r="A6" s="15" t="s">
        <v>91</v>
      </c>
      <c r="B6" s="11" t="s">
        <v>540</v>
      </c>
      <c r="C6" s="11" t="s">
        <v>541</v>
      </c>
      <c r="D6" s="11" t="s">
        <v>542</v>
      </c>
      <c r="E6" s="12" t="s">
        <v>687</v>
      </c>
      <c r="F6" s="11" t="s">
        <v>21</v>
      </c>
      <c r="G6" s="32" t="s">
        <v>29</v>
      </c>
      <c r="H6" s="32" t="s">
        <v>146</v>
      </c>
      <c r="I6" s="32" t="s">
        <v>252</v>
      </c>
      <c r="J6" s="15"/>
      <c r="K6" s="13" t="str">
        <f>"137,5"</f>
        <v>137,5</v>
      </c>
      <c r="L6" s="13" t="str">
        <f>"141,0888"</f>
        <v>141,0888</v>
      </c>
      <c r="M6" s="11" t="s">
        <v>270</v>
      </c>
    </row>
  </sheetData>
  <mergeCells count="12">
    <mergeCell ref="A5:J5"/>
    <mergeCell ref="B3:B4"/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M6"/>
  <sheetViews>
    <sheetView workbookViewId="0">
      <selection activeCell="E7" sqref="E7"/>
    </sheetView>
  </sheetViews>
  <sheetFormatPr baseColWidth="10" defaultColWidth="9.1640625" defaultRowHeight="13"/>
  <cols>
    <col min="1" max="1" width="7.1640625" style="5" bestFit="1" customWidth="1"/>
    <col min="2" max="2" width="20.6640625" style="5" customWidth="1"/>
    <col min="3" max="3" width="25.1640625" style="5" bestFit="1" customWidth="1"/>
    <col min="4" max="4" width="20.83203125" style="5" bestFit="1" customWidth="1"/>
    <col min="5" max="5" width="10.1640625" style="6" bestFit="1" customWidth="1"/>
    <col min="6" max="6" width="24.6640625" style="5" bestFit="1" customWidth="1"/>
    <col min="7" max="9" width="5.5" style="10" customWidth="1"/>
    <col min="10" max="10" width="4.5" style="10" customWidth="1"/>
    <col min="11" max="11" width="10.5" style="7" bestFit="1" customWidth="1"/>
    <col min="12" max="12" width="8.5" style="7" bestFit="1" customWidth="1"/>
    <col min="13" max="13" width="19.33203125" style="5" customWidth="1"/>
    <col min="14" max="16384" width="9.1640625" style="3"/>
  </cols>
  <sheetData>
    <row r="1" spans="1:13" s="2" customFormat="1" ht="29" customHeight="1">
      <c r="A1" s="47" t="s">
        <v>621</v>
      </c>
      <c r="B1" s="48"/>
      <c r="C1" s="49"/>
      <c r="D1" s="49"/>
      <c r="E1" s="49"/>
      <c r="F1" s="49"/>
      <c r="G1" s="49"/>
      <c r="H1" s="49"/>
      <c r="I1" s="49"/>
      <c r="J1" s="49"/>
      <c r="K1" s="49"/>
      <c r="L1" s="49"/>
      <c r="M1" s="50"/>
    </row>
    <row r="2" spans="1:13" s="2" customFormat="1" ht="62" customHeight="1" thickBot="1">
      <c r="A2" s="51"/>
      <c r="B2" s="52"/>
      <c r="C2" s="53"/>
      <c r="D2" s="53"/>
      <c r="E2" s="53"/>
      <c r="F2" s="53"/>
      <c r="G2" s="53"/>
      <c r="H2" s="53"/>
      <c r="I2" s="53"/>
      <c r="J2" s="53"/>
      <c r="K2" s="53"/>
      <c r="L2" s="53"/>
      <c r="M2" s="54"/>
    </row>
    <row r="3" spans="1:13" s="1" customFormat="1" ht="12.75" customHeight="1">
      <c r="A3" s="55" t="s">
        <v>684</v>
      </c>
      <c r="B3" s="66" t="s">
        <v>0</v>
      </c>
      <c r="C3" s="57" t="s">
        <v>685</v>
      </c>
      <c r="D3" s="57" t="s">
        <v>6</v>
      </c>
      <c r="E3" s="59" t="s">
        <v>686</v>
      </c>
      <c r="F3" s="61" t="s">
        <v>5</v>
      </c>
      <c r="G3" s="61" t="s">
        <v>10</v>
      </c>
      <c r="H3" s="61"/>
      <c r="I3" s="61"/>
      <c r="J3" s="61"/>
      <c r="K3" s="59" t="s">
        <v>354</v>
      </c>
      <c r="L3" s="59" t="s">
        <v>3</v>
      </c>
      <c r="M3" s="62" t="s">
        <v>2</v>
      </c>
    </row>
    <row r="4" spans="1:13" s="1" customFormat="1" ht="21" customHeight="1" thickBot="1">
      <c r="A4" s="56"/>
      <c r="B4" s="67"/>
      <c r="C4" s="58"/>
      <c r="D4" s="58"/>
      <c r="E4" s="60"/>
      <c r="F4" s="58"/>
      <c r="G4" s="4">
        <v>1</v>
      </c>
      <c r="H4" s="4">
        <v>2</v>
      </c>
      <c r="I4" s="4">
        <v>3</v>
      </c>
      <c r="J4" s="4" t="s">
        <v>4</v>
      </c>
      <c r="K4" s="60"/>
      <c r="L4" s="60"/>
      <c r="M4" s="63"/>
    </row>
    <row r="5" spans="1:13" ht="16">
      <c r="A5" s="64" t="s">
        <v>31</v>
      </c>
      <c r="B5" s="64"/>
      <c r="C5" s="65"/>
      <c r="D5" s="65"/>
      <c r="E5" s="65"/>
      <c r="F5" s="65"/>
      <c r="G5" s="65"/>
      <c r="H5" s="65"/>
      <c r="I5" s="65"/>
      <c r="J5" s="65"/>
    </row>
    <row r="6" spans="1:13">
      <c r="A6" s="15" t="s">
        <v>91</v>
      </c>
      <c r="B6" s="11" t="s">
        <v>536</v>
      </c>
      <c r="C6" s="11" t="s">
        <v>537</v>
      </c>
      <c r="D6" s="11" t="s">
        <v>538</v>
      </c>
      <c r="E6" s="12" t="s">
        <v>687</v>
      </c>
      <c r="F6" s="11" t="s">
        <v>21</v>
      </c>
      <c r="G6" s="32" t="s">
        <v>539</v>
      </c>
      <c r="H6" s="14" t="s">
        <v>35</v>
      </c>
      <c r="I6" s="14" t="s">
        <v>35</v>
      </c>
      <c r="J6" s="15"/>
      <c r="K6" s="13" t="str">
        <f>"295,0"</f>
        <v>295,0</v>
      </c>
      <c r="L6" s="13" t="str">
        <f>"189,9800"</f>
        <v>189,9800</v>
      </c>
      <c r="M6" s="11"/>
    </row>
  </sheetData>
  <mergeCells count="12">
    <mergeCell ref="A5:J5"/>
    <mergeCell ref="B3:B4"/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17"/>
  <sheetViews>
    <sheetView workbookViewId="0">
      <selection activeCell="E16" sqref="E16"/>
    </sheetView>
  </sheetViews>
  <sheetFormatPr baseColWidth="10" defaultColWidth="9.1640625" defaultRowHeight="13"/>
  <cols>
    <col min="1" max="1" width="7.1640625" style="5" bestFit="1" customWidth="1"/>
    <col min="2" max="2" width="18.33203125" style="5" bestFit="1" customWidth="1"/>
    <col min="3" max="3" width="28.83203125" style="5" bestFit="1" customWidth="1"/>
    <col min="4" max="4" width="20.83203125" style="5" bestFit="1" customWidth="1"/>
    <col min="5" max="5" width="10.1640625" style="6" bestFit="1" customWidth="1"/>
    <col min="6" max="6" width="28.5" style="5" bestFit="1" customWidth="1"/>
    <col min="7" max="14" width="5.5" style="10" customWidth="1"/>
    <col min="15" max="15" width="10" style="7" customWidth="1"/>
    <col min="16" max="16" width="12.1640625" style="7" customWidth="1"/>
    <col min="17" max="17" width="22.33203125" style="5" customWidth="1"/>
    <col min="18" max="16384" width="9.1640625" style="3"/>
  </cols>
  <sheetData>
    <row r="1" spans="1:17" s="2" customFormat="1" ht="29" customHeight="1">
      <c r="A1" s="47" t="s">
        <v>622</v>
      </c>
      <c r="B1" s="48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50"/>
    </row>
    <row r="2" spans="1:17" s="2" customFormat="1" ht="62" customHeight="1" thickBot="1">
      <c r="A2" s="51"/>
      <c r="B2" s="52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4"/>
    </row>
    <row r="3" spans="1:17" s="1" customFormat="1" ht="12.75" customHeight="1">
      <c r="A3" s="55" t="s">
        <v>684</v>
      </c>
      <c r="B3" s="66" t="s">
        <v>0</v>
      </c>
      <c r="C3" s="57" t="s">
        <v>685</v>
      </c>
      <c r="D3" s="57" t="s">
        <v>6</v>
      </c>
      <c r="E3" s="59" t="s">
        <v>686</v>
      </c>
      <c r="F3" s="61" t="s">
        <v>5</v>
      </c>
      <c r="G3" s="61" t="s">
        <v>682</v>
      </c>
      <c r="H3" s="61"/>
      <c r="I3" s="61"/>
      <c r="J3" s="61"/>
      <c r="K3" s="61" t="s">
        <v>683</v>
      </c>
      <c r="L3" s="61"/>
      <c r="M3" s="61"/>
      <c r="N3" s="61"/>
      <c r="O3" s="59" t="s">
        <v>1</v>
      </c>
      <c r="P3" s="59" t="s">
        <v>3</v>
      </c>
      <c r="Q3" s="62" t="s">
        <v>2</v>
      </c>
    </row>
    <row r="4" spans="1:17" s="1" customFormat="1" ht="21" customHeight="1" thickBot="1">
      <c r="A4" s="56"/>
      <c r="B4" s="67"/>
      <c r="C4" s="58"/>
      <c r="D4" s="58"/>
      <c r="E4" s="60"/>
      <c r="F4" s="58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60"/>
      <c r="P4" s="60"/>
      <c r="Q4" s="63"/>
    </row>
    <row r="5" spans="1:17" ht="16">
      <c r="A5" s="64" t="s">
        <v>599</v>
      </c>
      <c r="B5" s="64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</row>
    <row r="6" spans="1:17">
      <c r="A6" s="15" t="s">
        <v>91</v>
      </c>
      <c r="B6" s="11" t="s">
        <v>600</v>
      </c>
      <c r="C6" s="11" t="s">
        <v>667</v>
      </c>
      <c r="D6" s="11" t="s">
        <v>601</v>
      </c>
      <c r="E6" s="12" t="s">
        <v>690</v>
      </c>
      <c r="F6" s="11" t="s">
        <v>12</v>
      </c>
      <c r="G6" s="32" t="s">
        <v>569</v>
      </c>
      <c r="H6" s="32" t="s">
        <v>570</v>
      </c>
      <c r="I6" s="14" t="s">
        <v>577</v>
      </c>
      <c r="J6" s="15"/>
      <c r="K6" s="14" t="s">
        <v>578</v>
      </c>
      <c r="L6" s="32" t="s">
        <v>569</v>
      </c>
      <c r="M6" s="32" t="s">
        <v>580</v>
      </c>
      <c r="N6" s="15"/>
      <c r="O6" s="13" t="str">
        <f>"57,5"</f>
        <v>57,5</v>
      </c>
      <c r="P6" s="13" t="str">
        <f>"69,2185"</f>
        <v>69,2185</v>
      </c>
      <c r="Q6" s="11" t="s">
        <v>571</v>
      </c>
    </row>
    <row r="8" spans="1:17" ht="16">
      <c r="A8" s="68" t="s">
        <v>93</v>
      </c>
      <c r="B8" s="68"/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</row>
    <row r="9" spans="1:17">
      <c r="A9" s="15" t="s">
        <v>91</v>
      </c>
      <c r="B9" s="11" t="s">
        <v>104</v>
      </c>
      <c r="C9" s="11" t="s">
        <v>668</v>
      </c>
      <c r="D9" s="11" t="s">
        <v>105</v>
      </c>
      <c r="E9" s="12" t="s">
        <v>688</v>
      </c>
      <c r="F9" s="11" t="s">
        <v>606</v>
      </c>
      <c r="G9" s="32" t="s">
        <v>577</v>
      </c>
      <c r="H9" s="14" t="s">
        <v>130</v>
      </c>
      <c r="I9" s="14" t="s">
        <v>130</v>
      </c>
      <c r="J9" s="15"/>
      <c r="K9" s="32" t="s">
        <v>578</v>
      </c>
      <c r="L9" s="14" t="s">
        <v>569</v>
      </c>
      <c r="M9" s="14" t="s">
        <v>569</v>
      </c>
      <c r="N9" s="15"/>
      <c r="O9" s="13" t="str">
        <f>"55,0"</f>
        <v>55,0</v>
      </c>
      <c r="P9" s="13" t="str">
        <f>"61,7650"</f>
        <v>61,7650</v>
      </c>
      <c r="Q9" s="11" t="s">
        <v>109</v>
      </c>
    </row>
    <row r="11" spans="1:17" ht="16">
      <c r="A11" s="68" t="s">
        <v>11</v>
      </c>
      <c r="B11" s="68"/>
      <c r="C11" s="69"/>
      <c r="D11" s="69"/>
      <c r="E11" s="69"/>
      <c r="F11" s="69"/>
      <c r="G11" s="69"/>
      <c r="H11" s="69"/>
      <c r="I11" s="69"/>
      <c r="J11" s="69"/>
      <c r="K11" s="69"/>
      <c r="L11" s="69"/>
      <c r="M11" s="69"/>
      <c r="N11" s="69"/>
    </row>
    <row r="12" spans="1:17">
      <c r="A12" s="15" t="s">
        <v>91</v>
      </c>
      <c r="B12" s="11" t="s">
        <v>459</v>
      </c>
      <c r="C12" s="11" t="s">
        <v>460</v>
      </c>
      <c r="D12" s="11" t="s">
        <v>453</v>
      </c>
      <c r="E12" s="12" t="s">
        <v>687</v>
      </c>
      <c r="F12" s="11" t="s">
        <v>21</v>
      </c>
      <c r="G12" s="32" t="s">
        <v>116</v>
      </c>
      <c r="H12" s="15"/>
      <c r="I12" s="15"/>
      <c r="J12" s="15"/>
      <c r="K12" s="32" t="s">
        <v>101</v>
      </c>
      <c r="L12" s="15"/>
      <c r="M12" s="15"/>
      <c r="N12" s="15"/>
      <c r="O12" s="13" t="str">
        <f>"90,0"</f>
        <v>90,0</v>
      </c>
      <c r="P12" s="13" t="str">
        <f>"52,8705"</f>
        <v>52,8705</v>
      </c>
      <c r="Q12" s="11"/>
    </row>
    <row r="14" spans="1:17" ht="16">
      <c r="A14" s="68" t="s">
        <v>332</v>
      </c>
      <c r="B14" s="68"/>
      <c r="C14" s="69"/>
      <c r="D14" s="69"/>
      <c r="E14" s="69"/>
      <c r="F14" s="69"/>
      <c r="G14" s="69"/>
      <c r="H14" s="69"/>
      <c r="I14" s="69"/>
      <c r="J14" s="69"/>
      <c r="K14" s="69"/>
      <c r="L14" s="69"/>
      <c r="M14" s="69"/>
      <c r="N14" s="69"/>
    </row>
    <row r="15" spans="1:17">
      <c r="A15" s="15" t="s">
        <v>91</v>
      </c>
      <c r="B15" s="11" t="s">
        <v>492</v>
      </c>
      <c r="C15" s="11" t="s">
        <v>493</v>
      </c>
      <c r="D15" s="11" t="s">
        <v>494</v>
      </c>
      <c r="E15" s="12" t="s">
        <v>687</v>
      </c>
      <c r="F15" s="11" t="s">
        <v>21</v>
      </c>
      <c r="G15" s="32" t="s">
        <v>116</v>
      </c>
      <c r="H15" s="15"/>
      <c r="I15" s="15"/>
      <c r="J15" s="15"/>
      <c r="K15" s="32" t="s">
        <v>101</v>
      </c>
      <c r="L15" s="15"/>
      <c r="M15" s="15"/>
      <c r="N15" s="15"/>
      <c r="O15" s="13" t="str">
        <f>"90,0"</f>
        <v>90,0</v>
      </c>
      <c r="P15" s="13" t="str">
        <f>"50,3775"</f>
        <v>50,3775</v>
      </c>
      <c r="Q15" s="11"/>
    </row>
    <row r="17" spans="5:7">
      <c r="E17" s="5"/>
      <c r="F17" s="6"/>
      <c r="G17" s="5"/>
    </row>
  </sheetData>
  <mergeCells count="16">
    <mergeCell ref="A8:N8"/>
    <mergeCell ref="A11:N11"/>
    <mergeCell ref="A14:N14"/>
    <mergeCell ref="B3:B4"/>
    <mergeCell ref="O3:O4"/>
    <mergeCell ref="P3:P4"/>
    <mergeCell ref="Q3:Q4"/>
    <mergeCell ref="A5:N5"/>
    <mergeCell ref="A1:Q2"/>
    <mergeCell ref="A3:A4"/>
    <mergeCell ref="C3:C4"/>
    <mergeCell ref="D3:D4"/>
    <mergeCell ref="E3:E4"/>
    <mergeCell ref="F3:F4"/>
    <mergeCell ref="G3:J3"/>
    <mergeCell ref="K3:N3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6"/>
  <sheetViews>
    <sheetView workbookViewId="0">
      <selection activeCell="E7" sqref="E7"/>
    </sheetView>
  </sheetViews>
  <sheetFormatPr baseColWidth="10" defaultColWidth="9.1640625" defaultRowHeight="13"/>
  <cols>
    <col min="1" max="1" width="7.1640625" style="5" bestFit="1" customWidth="1"/>
    <col min="2" max="2" width="20.33203125" style="5" customWidth="1"/>
    <col min="3" max="3" width="28.83203125" style="5" bestFit="1" customWidth="1"/>
    <col min="4" max="4" width="20.83203125" style="5" bestFit="1" customWidth="1"/>
    <col min="5" max="5" width="10.1640625" style="6" bestFit="1" customWidth="1"/>
    <col min="6" max="6" width="25.6640625" style="5" bestFit="1" customWidth="1"/>
    <col min="7" max="9" width="5.5" style="10" customWidth="1"/>
    <col min="10" max="10" width="4.5" style="10" customWidth="1"/>
    <col min="11" max="11" width="10.5" style="7" bestFit="1" customWidth="1"/>
    <col min="12" max="12" width="10.33203125" style="7" customWidth="1"/>
    <col min="13" max="13" width="17.33203125" style="5" bestFit="1" customWidth="1"/>
    <col min="14" max="16384" width="9.1640625" style="3"/>
  </cols>
  <sheetData>
    <row r="1" spans="1:13" s="2" customFormat="1" ht="29" customHeight="1">
      <c r="A1" s="47" t="s">
        <v>623</v>
      </c>
      <c r="B1" s="48"/>
      <c r="C1" s="49"/>
      <c r="D1" s="49"/>
      <c r="E1" s="49"/>
      <c r="F1" s="49"/>
      <c r="G1" s="49"/>
      <c r="H1" s="49"/>
      <c r="I1" s="49"/>
      <c r="J1" s="49"/>
      <c r="K1" s="49"/>
      <c r="L1" s="49"/>
      <c r="M1" s="50"/>
    </row>
    <row r="2" spans="1:13" s="2" customFormat="1" ht="62" customHeight="1" thickBot="1">
      <c r="A2" s="51"/>
      <c r="B2" s="52"/>
      <c r="C2" s="53"/>
      <c r="D2" s="53"/>
      <c r="E2" s="53"/>
      <c r="F2" s="53"/>
      <c r="G2" s="53"/>
      <c r="H2" s="53"/>
      <c r="I2" s="53"/>
      <c r="J2" s="53"/>
      <c r="K2" s="53"/>
      <c r="L2" s="53"/>
      <c r="M2" s="54"/>
    </row>
    <row r="3" spans="1:13" s="1" customFormat="1" ht="12.75" customHeight="1">
      <c r="A3" s="55" t="s">
        <v>684</v>
      </c>
      <c r="B3" s="66" t="s">
        <v>0</v>
      </c>
      <c r="C3" s="57" t="s">
        <v>685</v>
      </c>
      <c r="D3" s="57" t="s">
        <v>6</v>
      </c>
      <c r="E3" s="59" t="s">
        <v>686</v>
      </c>
      <c r="F3" s="61" t="s">
        <v>5</v>
      </c>
      <c r="G3" s="61" t="s">
        <v>682</v>
      </c>
      <c r="H3" s="61"/>
      <c r="I3" s="61"/>
      <c r="J3" s="61"/>
      <c r="K3" s="59" t="s">
        <v>354</v>
      </c>
      <c r="L3" s="59" t="s">
        <v>3</v>
      </c>
      <c r="M3" s="62" t="s">
        <v>2</v>
      </c>
    </row>
    <row r="4" spans="1:13" s="1" customFormat="1" ht="21" customHeight="1" thickBot="1">
      <c r="A4" s="56"/>
      <c r="B4" s="67"/>
      <c r="C4" s="58"/>
      <c r="D4" s="58"/>
      <c r="E4" s="60"/>
      <c r="F4" s="58"/>
      <c r="G4" s="4">
        <v>1</v>
      </c>
      <c r="H4" s="4">
        <v>2</v>
      </c>
      <c r="I4" s="4">
        <v>3</v>
      </c>
      <c r="J4" s="4" t="s">
        <v>4</v>
      </c>
      <c r="K4" s="60"/>
      <c r="L4" s="60"/>
      <c r="M4" s="63"/>
    </row>
    <row r="5" spans="1:13" ht="16">
      <c r="A5" s="64" t="s">
        <v>17</v>
      </c>
      <c r="B5" s="64"/>
      <c r="C5" s="65"/>
      <c r="D5" s="65"/>
      <c r="E5" s="65"/>
      <c r="F5" s="65"/>
      <c r="G5" s="65"/>
      <c r="H5" s="65"/>
      <c r="I5" s="65"/>
      <c r="J5" s="65"/>
    </row>
    <row r="6" spans="1:13">
      <c r="A6" s="15" t="s">
        <v>91</v>
      </c>
      <c r="B6" s="11" t="s">
        <v>567</v>
      </c>
      <c r="C6" s="11" t="s">
        <v>669</v>
      </c>
      <c r="D6" s="11" t="s">
        <v>568</v>
      </c>
      <c r="E6" s="12" t="s">
        <v>690</v>
      </c>
      <c r="F6" s="11" t="s">
        <v>12</v>
      </c>
      <c r="G6" s="32" t="s">
        <v>569</v>
      </c>
      <c r="H6" s="32" t="s">
        <v>569</v>
      </c>
      <c r="I6" s="32" t="s">
        <v>570</v>
      </c>
      <c r="J6" s="15"/>
      <c r="K6" s="13" t="str">
        <f>"30,0"</f>
        <v>30,0</v>
      </c>
      <c r="L6" s="13" t="str">
        <f>"31,5900"</f>
        <v>31,5900</v>
      </c>
      <c r="M6" s="11" t="s">
        <v>571</v>
      </c>
    </row>
  </sheetData>
  <mergeCells count="12">
    <mergeCell ref="A5:J5"/>
    <mergeCell ref="B3:B4"/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6"/>
  <sheetViews>
    <sheetView workbookViewId="0">
      <selection activeCell="E7" sqref="E7"/>
    </sheetView>
  </sheetViews>
  <sheetFormatPr baseColWidth="10" defaultColWidth="9.1640625" defaultRowHeight="13"/>
  <cols>
    <col min="1" max="1" width="7.1640625" style="5" bestFit="1" customWidth="1"/>
    <col min="2" max="2" width="16.83203125" style="5" bestFit="1" customWidth="1"/>
    <col min="3" max="3" width="27.6640625" style="5" bestFit="1" customWidth="1"/>
    <col min="4" max="4" width="20.83203125" style="5" bestFit="1" customWidth="1"/>
    <col min="5" max="5" width="10.1640625" style="6" bestFit="1" customWidth="1"/>
    <col min="6" max="6" width="26.5" style="5" bestFit="1" customWidth="1"/>
    <col min="7" max="9" width="5.5" style="10" customWidth="1"/>
    <col min="10" max="10" width="4.5" style="10" customWidth="1"/>
    <col min="11" max="11" width="10.5" style="7" bestFit="1" customWidth="1"/>
    <col min="12" max="12" width="11" style="7" customWidth="1"/>
    <col min="13" max="13" width="16.1640625" style="5" bestFit="1" customWidth="1"/>
    <col min="14" max="16384" width="9.1640625" style="3"/>
  </cols>
  <sheetData>
    <row r="1" spans="1:13" s="2" customFormat="1" ht="29" customHeight="1">
      <c r="A1" s="47" t="s">
        <v>624</v>
      </c>
      <c r="B1" s="48"/>
      <c r="C1" s="49"/>
      <c r="D1" s="49"/>
      <c r="E1" s="49"/>
      <c r="F1" s="49"/>
      <c r="G1" s="49"/>
      <c r="H1" s="49"/>
      <c r="I1" s="49"/>
      <c r="J1" s="49"/>
      <c r="K1" s="49"/>
      <c r="L1" s="49"/>
      <c r="M1" s="50"/>
    </row>
    <row r="2" spans="1:13" s="2" customFormat="1" ht="62" customHeight="1" thickBot="1">
      <c r="A2" s="51"/>
      <c r="B2" s="52"/>
      <c r="C2" s="53"/>
      <c r="D2" s="53"/>
      <c r="E2" s="53"/>
      <c r="F2" s="53"/>
      <c r="G2" s="53"/>
      <c r="H2" s="53"/>
      <c r="I2" s="53"/>
      <c r="J2" s="53"/>
      <c r="K2" s="53"/>
      <c r="L2" s="53"/>
      <c r="M2" s="54"/>
    </row>
    <row r="3" spans="1:13" s="1" customFormat="1" ht="12.75" customHeight="1">
      <c r="A3" s="55" t="s">
        <v>684</v>
      </c>
      <c r="B3" s="66" t="s">
        <v>0</v>
      </c>
      <c r="C3" s="57" t="s">
        <v>685</v>
      </c>
      <c r="D3" s="57" t="s">
        <v>6</v>
      </c>
      <c r="E3" s="59" t="s">
        <v>686</v>
      </c>
      <c r="F3" s="61" t="s">
        <v>5</v>
      </c>
      <c r="G3" s="61" t="s">
        <v>682</v>
      </c>
      <c r="H3" s="61"/>
      <c r="I3" s="61"/>
      <c r="J3" s="61"/>
      <c r="K3" s="59" t="s">
        <v>354</v>
      </c>
      <c r="L3" s="59" t="s">
        <v>3</v>
      </c>
      <c r="M3" s="62" t="s">
        <v>2</v>
      </c>
    </row>
    <row r="4" spans="1:13" s="1" customFormat="1" ht="21" customHeight="1" thickBot="1">
      <c r="A4" s="56"/>
      <c r="B4" s="67"/>
      <c r="C4" s="58"/>
      <c r="D4" s="58"/>
      <c r="E4" s="60"/>
      <c r="F4" s="58"/>
      <c r="G4" s="4">
        <v>1</v>
      </c>
      <c r="H4" s="4">
        <v>2</v>
      </c>
      <c r="I4" s="4">
        <v>3</v>
      </c>
      <c r="J4" s="4" t="s">
        <v>4</v>
      </c>
      <c r="K4" s="60"/>
      <c r="L4" s="60"/>
      <c r="M4" s="63"/>
    </row>
    <row r="5" spans="1:13" ht="16">
      <c r="A5" s="64" t="s">
        <v>152</v>
      </c>
      <c r="B5" s="64"/>
      <c r="C5" s="65"/>
      <c r="D5" s="65"/>
      <c r="E5" s="65"/>
      <c r="F5" s="65"/>
      <c r="G5" s="65"/>
      <c r="H5" s="65"/>
      <c r="I5" s="65"/>
      <c r="J5" s="65"/>
    </row>
    <row r="6" spans="1:13">
      <c r="A6" s="15" t="s">
        <v>91</v>
      </c>
      <c r="B6" s="11" t="s">
        <v>565</v>
      </c>
      <c r="C6" s="11" t="s">
        <v>670</v>
      </c>
      <c r="D6" s="11" t="s">
        <v>566</v>
      </c>
      <c r="E6" s="12" t="s">
        <v>689</v>
      </c>
      <c r="F6" s="11" t="s">
        <v>454</v>
      </c>
      <c r="G6" s="14" t="s">
        <v>26</v>
      </c>
      <c r="H6" s="32" t="s">
        <v>27</v>
      </c>
      <c r="I6" s="14" t="s">
        <v>137</v>
      </c>
      <c r="J6" s="15"/>
      <c r="K6" s="13" t="str">
        <f>"57,5"</f>
        <v>57,5</v>
      </c>
      <c r="L6" s="13" t="str">
        <f>"45,0857"</f>
        <v>45,0857</v>
      </c>
      <c r="M6" s="11"/>
    </row>
  </sheetData>
  <mergeCells count="12">
    <mergeCell ref="A5:J5"/>
    <mergeCell ref="B3:B4"/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38"/>
  <sheetViews>
    <sheetView workbookViewId="0">
      <selection activeCell="E37" sqref="E37"/>
    </sheetView>
  </sheetViews>
  <sheetFormatPr baseColWidth="10" defaultColWidth="9.1640625" defaultRowHeight="13"/>
  <cols>
    <col min="1" max="1" width="7.1640625" style="5" bestFit="1" customWidth="1"/>
    <col min="2" max="2" width="21.5" style="5" bestFit="1" customWidth="1"/>
    <col min="3" max="3" width="28.83203125" style="5" bestFit="1" customWidth="1"/>
    <col min="4" max="4" width="20.83203125" style="5" bestFit="1" customWidth="1"/>
    <col min="5" max="5" width="10.1640625" style="6" bestFit="1" customWidth="1"/>
    <col min="6" max="6" width="35.1640625" style="5" bestFit="1" customWidth="1"/>
    <col min="7" max="9" width="5.5" style="10" customWidth="1"/>
    <col min="10" max="10" width="4.5" style="10" customWidth="1"/>
    <col min="11" max="11" width="10.5" style="7" bestFit="1" customWidth="1"/>
    <col min="12" max="12" width="9.6640625" style="7" customWidth="1"/>
    <col min="13" max="13" width="22.1640625" style="5" bestFit="1" customWidth="1"/>
    <col min="14" max="16384" width="9.1640625" style="3"/>
  </cols>
  <sheetData>
    <row r="1" spans="1:13" s="2" customFormat="1" ht="29" customHeight="1">
      <c r="A1" s="47" t="s">
        <v>625</v>
      </c>
      <c r="B1" s="48"/>
      <c r="C1" s="49"/>
      <c r="D1" s="49"/>
      <c r="E1" s="49"/>
      <c r="F1" s="49"/>
      <c r="G1" s="49"/>
      <c r="H1" s="49"/>
      <c r="I1" s="49"/>
      <c r="J1" s="49"/>
      <c r="K1" s="49"/>
      <c r="L1" s="49"/>
      <c r="M1" s="50"/>
    </row>
    <row r="2" spans="1:13" s="2" customFormat="1" ht="62" customHeight="1" thickBot="1">
      <c r="A2" s="51"/>
      <c r="B2" s="52"/>
      <c r="C2" s="53"/>
      <c r="D2" s="53"/>
      <c r="E2" s="53"/>
      <c r="F2" s="53"/>
      <c r="G2" s="53"/>
      <c r="H2" s="53"/>
      <c r="I2" s="53"/>
      <c r="J2" s="53"/>
      <c r="K2" s="53"/>
      <c r="L2" s="53"/>
      <c r="M2" s="54"/>
    </row>
    <row r="3" spans="1:13" s="1" customFormat="1" ht="12.75" customHeight="1">
      <c r="A3" s="55" t="s">
        <v>684</v>
      </c>
      <c r="B3" s="66" t="s">
        <v>0</v>
      </c>
      <c r="C3" s="57" t="s">
        <v>685</v>
      </c>
      <c r="D3" s="57" t="s">
        <v>6</v>
      </c>
      <c r="E3" s="59" t="s">
        <v>686</v>
      </c>
      <c r="F3" s="61" t="s">
        <v>5</v>
      </c>
      <c r="G3" s="61" t="s">
        <v>682</v>
      </c>
      <c r="H3" s="61"/>
      <c r="I3" s="61"/>
      <c r="J3" s="61"/>
      <c r="K3" s="59" t="s">
        <v>354</v>
      </c>
      <c r="L3" s="59" t="s">
        <v>3</v>
      </c>
      <c r="M3" s="62" t="s">
        <v>2</v>
      </c>
    </row>
    <row r="4" spans="1:13" s="1" customFormat="1" ht="21" customHeight="1" thickBot="1">
      <c r="A4" s="56"/>
      <c r="B4" s="67"/>
      <c r="C4" s="58"/>
      <c r="D4" s="58"/>
      <c r="E4" s="60"/>
      <c r="F4" s="58"/>
      <c r="G4" s="4">
        <v>1</v>
      </c>
      <c r="H4" s="4">
        <v>2</v>
      </c>
      <c r="I4" s="4">
        <v>3</v>
      </c>
      <c r="J4" s="4" t="s">
        <v>4</v>
      </c>
      <c r="K4" s="60"/>
      <c r="L4" s="60"/>
      <c r="M4" s="63"/>
    </row>
    <row r="5" spans="1:13" ht="16">
      <c r="A5" s="64" t="s">
        <v>93</v>
      </c>
      <c r="B5" s="64"/>
      <c r="C5" s="65"/>
      <c r="D5" s="65"/>
      <c r="E5" s="65"/>
      <c r="F5" s="65"/>
      <c r="G5" s="65"/>
      <c r="H5" s="65"/>
      <c r="I5" s="65"/>
      <c r="J5" s="65"/>
    </row>
    <row r="6" spans="1:13">
      <c r="A6" s="15" t="s">
        <v>91</v>
      </c>
      <c r="B6" s="11" t="s">
        <v>104</v>
      </c>
      <c r="C6" s="11" t="s">
        <v>668</v>
      </c>
      <c r="D6" s="11" t="s">
        <v>105</v>
      </c>
      <c r="E6" s="12" t="s">
        <v>688</v>
      </c>
      <c r="F6" s="11" t="s">
        <v>606</v>
      </c>
      <c r="G6" s="32" t="s">
        <v>578</v>
      </c>
      <c r="H6" s="14" t="s">
        <v>569</v>
      </c>
      <c r="I6" s="14" t="s">
        <v>569</v>
      </c>
      <c r="J6" s="15"/>
      <c r="K6" s="13" t="str">
        <f>"22,5"</f>
        <v>22,5</v>
      </c>
      <c r="L6" s="13" t="str">
        <f>"25,2675"</f>
        <v>25,2675</v>
      </c>
      <c r="M6" s="11" t="s">
        <v>109</v>
      </c>
    </row>
    <row r="8" spans="1:13" ht="16">
      <c r="A8" s="68" t="s">
        <v>17</v>
      </c>
      <c r="B8" s="68"/>
      <c r="C8" s="69"/>
      <c r="D8" s="69"/>
      <c r="E8" s="69"/>
      <c r="F8" s="69"/>
      <c r="G8" s="69"/>
      <c r="H8" s="69"/>
      <c r="I8" s="69"/>
      <c r="J8" s="69"/>
    </row>
    <row r="9" spans="1:13">
      <c r="A9" s="34" t="s">
        <v>91</v>
      </c>
      <c r="B9" s="16" t="s">
        <v>579</v>
      </c>
      <c r="C9" s="16" t="s">
        <v>671</v>
      </c>
      <c r="D9" s="16" t="s">
        <v>568</v>
      </c>
      <c r="E9" s="17" t="s">
        <v>690</v>
      </c>
      <c r="F9" s="16" t="s">
        <v>12</v>
      </c>
      <c r="G9" s="33" t="s">
        <v>580</v>
      </c>
      <c r="H9" s="33" t="s">
        <v>570</v>
      </c>
      <c r="I9" s="41" t="s">
        <v>577</v>
      </c>
      <c r="J9" s="34"/>
      <c r="K9" s="18" t="str">
        <f>"30,0"</f>
        <v>30,0</v>
      </c>
      <c r="L9" s="18" t="str">
        <f>"31,5900"</f>
        <v>31,5900</v>
      </c>
      <c r="M9" s="16" t="s">
        <v>571</v>
      </c>
    </row>
    <row r="10" spans="1:13">
      <c r="A10" s="37" t="s">
        <v>91</v>
      </c>
      <c r="B10" s="19" t="s">
        <v>581</v>
      </c>
      <c r="C10" s="19" t="s">
        <v>582</v>
      </c>
      <c r="D10" s="19" t="s">
        <v>568</v>
      </c>
      <c r="E10" s="20" t="s">
        <v>687</v>
      </c>
      <c r="F10" s="19" t="s">
        <v>12</v>
      </c>
      <c r="G10" s="36" t="s">
        <v>580</v>
      </c>
      <c r="H10" s="35" t="s">
        <v>570</v>
      </c>
      <c r="I10" s="35" t="s">
        <v>570</v>
      </c>
      <c r="J10" s="37"/>
      <c r="K10" s="21" t="str">
        <f>"27,5"</f>
        <v>27,5</v>
      </c>
      <c r="L10" s="21" t="str">
        <f>"28,9575"</f>
        <v>28,9575</v>
      </c>
      <c r="M10" s="19" t="s">
        <v>571</v>
      </c>
    </row>
    <row r="12" spans="1:13" ht="16">
      <c r="A12" s="68" t="s">
        <v>133</v>
      </c>
      <c r="B12" s="68"/>
      <c r="C12" s="69"/>
      <c r="D12" s="69"/>
      <c r="E12" s="69"/>
      <c r="F12" s="69"/>
      <c r="G12" s="69"/>
      <c r="H12" s="69"/>
      <c r="I12" s="69"/>
      <c r="J12" s="69"/>
    </row>
    <row r="13" spans="1:13">
      <c r="A13" s="15" t="s">
        <v>91</v>
      </c>
      <c r="B13" s="11" t="s">
        <v>583</v>
      </c>
      <c r="C13" s="11" t="s">
        <v>584</v>
      </c>
      <c r="D13" s="11" t="s">
        <v>149</v>
      </c>
      <c r="E13" s="12" t="s">
        <v>687</v>
      </c>
      <c r="F13" s="11" t="s">
        <v>12</v>
      </c>
      <c r="G13" s="32" t="s">
        <v>569</v>
      </c>
      <c r="H13" s="32" t="s">
        <v>570</v>
      </c>
      <c r="I13" s="14" t="s">
        <v>577</v>
      </c>
      <c r="J13" s="15"/>
      <c r="K13" s="13" t="str">
        <f>"30,0"</f>
        <v>30,0</v>
      </c>
      <c r="L13" s="13" t="str">
        <f>"29,6280"</f>
        <v>29,6280</v>
      </c>
      <c r="M13" s="11" t="s">
        <v>585</v>
      </c>
    </row>
    <row r="15" spans="1:13" ht="16">
      <c r="A15" s="68" t="s">
        <v>152</v>
      </c>
      <c r="B15" s="68"/>
      <c r="C15" s="69"/>
      <c r="D15" s="69"/>
      <c r="E15" s="69"/>
      <c r="F15" s="69"/>
      <c r="G15" s="69"/>
      <c r="H15" s="69"/>
      <c r="I15" s="69"/>
      <c r="J15" s="69"/>
    </row>
    <row r="16" spans="1:13">
      <c r="A16" s="15" t="s">
        <v>91</v>
      </c>
      <c r="B16" s="11" t="s">
        <v>388</v>
      </c>
      <c r="C16" s="11" t="s">
        <v>672</v>
      </c>
      <c r="D16" s="11" t="s">
        <v>285</v>
      </c>
      <c r="E16" s="12" t="s">
        <v>689</v>
      </c>
      <c r="F16" s="11" t="s">
        <v>12</v>
      </c>
      <c r="G16" s="32" t="s">
        <v>123</v>
      </c>
      <c r="H16" s="32" t="s">
        <v>116</v>
      </c>
      <c r="I16" s="14" t="s">
        <v>25</v>
      </c>
      <c r="J16" s="15"/>
      <c r="K16" s="13" t="str">
        <f>"50,0"</f>
        <v>50,0</v>
      </c>
      <c r="L16" s="13" t="str">
        <f>"38,6650"</f>
        <v>38,6650</v>
      </c>
      <c r="M16" s="11"/>
    </row>
    <row r="18" spans="1:13" ht="16">
      <c r="A18" s="68" t="s">
        <v>216</v>
      </c>
      <c r="B18" s="68"/>
      <c r="C18" s="69"/>
      <c r="D18" s="69"/>
      <c r="E18" s="69"/>
      <c r="F18" s="69"/>
      <c r="G18" s="69"/>
      <c r="H18" s="69"/>
      <c r="I18" s="69"/>
      <c r="J18" s="69"/>
    </row>
    <row r="19" spans="1:13">
      <c r="A19" s="34" t="s">
        <v>91</v>
      </c>
      <c r="B19" s="16" t="s">
        <v>586</v>
      </c>
      <c r="C19" s="16" t="s">
        <v>587</v>
      </c>
      <c r="D19" s="16" t="s">
        <v>417</v>
      </c>
      <c r="E19" s="17" t="s">
        <v>687</v>
      </c>
      <c r="F19" s="16" t="s">
        <v>227</v>
      </c>
      <c r="G19" s="33" t="s">
        <v>138</v>
      </c>
      <c r="H19" s="33" t="s">
        <v>121</v>
      </c>
      <c r="I19" s="33" t="s">
        <v>129</v>
      </c>
      <c r="J19" s="34"/>
      <c r="K19" s="18" t="str">
        <f>"72,5"</f>
        <v>72,5</v>
      </c>
      <c r="L19" s="18" t="str">
        <f>"47,2591"</f>
        <v>47,2591</v>
      </c>
      <c r="M19" s="16"/>
    </row>
    <row r="20" spans="1:13">
      <c r="A20" s="37" t="s">
        <v>91</v>
      </c>
      <c r="B20" s="19" t="s">
        <v>586</v>
      </c>
      <c r="C20" s="19" t="s">
        <v>673</v>
      </c>
      <c r="D20" s="19" t="s">
        <v>417</v>
      </c>
      <c r="E20" s="20" t="s">
        <v>688</v>
      </c>
      <c r="F20" s="19" t="s">
        <v>227</v>
      </c>
      <c r="G20" s="36" t="s">
        <v>138</v>
      </c>
      <c r="H20" s="36" t="s">
        <v>121</v>
      </c>
      <c r="I20" s="36" t="s">
        <v>129</v>
      </c>
      <c r="J20" s="37"/>
      <c r="K20" s="21" t="str">
        <f>"72,5"</f>
        <v>72,5</v>
      </c>
      <c r="L20" s="21" t="str">
        <f>"50,4727"</f>
        <v>50,4727</v>
      </c>
      <c r="M20" s="19"/>
    </row>
    <row r="22" spans="1:13" ht="16">
      <c r="A22" s="68" t="s">
        <v>31</v>
      </c>
      <c r="B22" s="68"/>
      <c r="C22" s="69"/>
      <c r="D22" s="69"/>
      <c r="E22" s="69"/>
      <c r="F22" s="69"/>
      <c r="G22" s="69"/>
      <c r="H22" s="69"/>
      <c r="I22" s="69"/>
      <c r="J22" s="69"/>
    </row>
    <row r="23" spans="1:13">
      <c r="A23" s="34" t="s">
        <v>91</v>
      </c>
      <c r="B23" s="16" t="s">
        <v>588</v>
      </c>
      <c r="C23" s="16" t="s">
        <v>674</v>
      </c>
      <c r="D23" s="16" t="s">
        <v>589</v>
      </c>
      <c r="E23" s="17" t="s">
        <v>689</v>
      </c>
      <c r="F23" s="16" t="s">
        <v>454</v>
      </c>
      <c r="G23" s="33" t="s">
        <v>138</v>
      </c>
      <c r="H23" s="41" t="s">
        <v>128</v>
      </c>
      <c r="I23" s="33" t="s">
        <v>128</v>
      </c>
      <c r="J23" s="34"/>
      <c r="K23" s="18" t="str">
        <f>"67,5"</f>
        <v>67,5</v>
      </c>
      <c r="L23" s="18" t="str">
        <f>"42,2516"</f>
        <v>42,2516</v>
      </c>
      <c r="M23" s="16" t="s">
        <v>590</v>
      </c>
    </row>
    <row r="24" spans="1:13">
      <c r="A24" s="37" t="s">
        <v>91</v>
      </c>
      <c r="B24" s="19" t="s">
        <v>242</v>
      </c>
      <c r="C24" s="19" t="s">
        <v>243</v>
      </c>
      <c r="D24" s="19" t="s">
        <v>244</v>
      </c>
      <c r="E24" s="20" t="s">
        <v>687</v>
      </c>
      <c r="F24" s="19" t="s">
        <v>12</v>
      </c>
      <c r="G24" s="36" t="s">
        <v>25</v>
      </c>
      <c r="H24" s="36" t="s">
        <v>137</v>
      </c>
      <c r="I24" s="36" t="s">
        <v>128</v>
      </c>
      <c r="J24" s="37"/>
      <c r="K24" s="21" t="str">
        <f>"67,5"</f>
        <v>67,5</v>
      </c>
      <c r="L24" s="21" t="str">
        <f>"41,5327"</f>
        <v>41,5327</v>
      </c>
      <c r="M24" s="19" t="s">
        <v>224</v>
      </c>
    </row>
    <row r="26" spans="1:13" ht="16">
      <c r="A26" s="68" t="s">
        <v>11</v>
      </c>
      <c r="B26" s="68"/>
      <c r="C26" s="69"/>
      <c r="D26" s="69"/>
      <c r="E26" s="69"/>
      <c r="F26" s="69"/>
      <c r="G26" s="69"/>
      <c r="H26" s="69"/>
      <c r="I26" s="69"/>
      <c r="J26" s="69"/>
    </row>
    <row r="27" spans="1:13">
      <c r="A27" s="34" t="s">
        <v>91</v>
      </c>
      <c r="B27" s="16" t="s">
        <v>591</v>
      </c>
      <c r="C27" s="16" t="s">
        <v>675</v>
      </c>
      <c r="D27" s="16" t="s">
        <v>592</v>
      </c>
      <c r="E27" s="17" t="s">
        <v>690</v>
      </c>
      <c r="F27" s="16" t="s">
        <v>12</v>
      </c>
      <c r="G27" s="33" t="s">
        <v>116</v>
      </c>
      <c r="H27" s="41" t="s">
        <v>121</v>
      </c>
      <c r="I27" s="33" t="s">
        <v>122</v>
      </c>
      <c r="J27" s="34"/>
      <c r="K27" s="18" t="str">
        <f>"75,0"</f>
        <v>75,0</v>
      </c>
      <c r="L27" s="18" t="str">
        <f>"44,3738"</f>
        <v>44,3738</v>
      </c>
      <c r="M27" s="16"/>
    </row>
    <row r="28" spans="1:13">
      <c r="A28" s="40" t="s">
        <v>91</v>
      </c>
      <c r="B28" s="22" t="s">
        <v>591</v>
      </c>
      <c r="C28" s="22" t="s">
        <v>593</v>
      </c>
      <c r="D28" s="22" t="s">
        <v>592</v>
      </c>
      <c r="E28" s="23" t="s">
        <v>687</v>
      </c>
      <c r="F28" s="22" t="s">
        <v>12</v>
      </c>
      <c r="G28" s="39" t="s">
        <v>116</v>
      </c>
      <c r="H28" s="38" t="s">
        <v>121</v>
      </c>
      <c r="I28" s="39" t="s">
        <v>122</v>
      </c>
      <c r="J28" s="40"/>
      <c r="K28" s="24" t="str">
        <f>"75,0"</f>
        <v>75,0</v>
      </c>
      <c r="L28" s="24" t="str">
        <f>"44,3738"</f>
        <v>44,3738</v>
      </c>
      <c r="M28" s="22"/>
    </row>
    <row r="29" spans="1:13">
      <c r="A29" s="40" t="s">
        <v>92</v>
      </c>
      <c r="B29" s="22" t="s">
        <v>594</v>
      </c>
      <c r="C29" s="22" t="s">
        <v>595</v>
      </c>
      <c r="D29" s="22" t="s">
        <v>596</v>
      </c>
      <c r="E29" s="23" t="s">
        <v>687</v>
      </c>
      <c r="F29" s="22" t="s">
        <v>12</v>
      </c>
      <c r="G29" s="39" t="s">
        <v>26</v>
      </c>
      <c r="H29" s="39" t="s">
        <v>137</v>
      </c>
      <c r="I29" s="39" t="s">
        <v>138</v>
      </c>
      <c r="J29" s="40"/>
      <c r="K29" s="24" t="str">
        <f>"65,0"</f>
        <v>65,0</v>
      </c>
      <c r="L29" s="24" t="str">
        <f>"37,9470"</f>
        <v>37,9470</v>
      </c>
      <c r="M29" s="22" t="s">
        <v>132</v>
      </c>
    </row>
    <row r="30" spans="1:13">
      <c r="A30" s="37" t="s">
        <v>280</v>
      </c>
      <c r="B30" s="19" t="s">
        <v>597</v>
      </c>
      <c r="C30" s="19" t="s">
        <v>598</v>
      </c>
      <c r="D30" s="19" t="s">
        <v>319</v>
      </c>
      <c r="E30" s="20" t="s">
        <v>687</v>
      </c>
      <c r="F30" s="19" t="s">
        <v>12</v>
      </c>
      <c r="G30" s="36" t="s">
        <v>26</v>
      </c>
      <c r="H30" s="35" t="s">
        <v>137</v>
      </c>
      <c r="I30" s="35" t="s">
        <v>137</v>
      </c>
      <c r="J30" s="37"/>
      <c r="K30" s="21" t="str">
        <f>"55,0"</f>
        <v>55,0</v>
      </c>
      <c r="L30" s="21" t="str">
        <f>"32,7195"</f>
        <v>32,7195</v>
      </c>
      <c r="M30" s="19"/>
    </row>
    <row r="32" spans="1:13" ht="16">
      <c r="A32" s="68" t="s">
        <v>72</v>
      </c>
      <c r="B32" s="68"/>
      <c r="C32" s="69"/>
      <c r="D32" s="69"/>
      <c r="E32" s="69"/>
      <c r="F32" s="69"/>
      <c r="G32" s="69"/>
      <c r="H32" s="69"/>
      <c r="I32" s="69"/>
      <c r="J32" s="69"/>
    </row>
    <row r="33" spans="1:13">
      <c r="A33" s="15" t="s">
        <v>91</v>
      </c>
      <c r="B33" s="11" t="s">
        <v>477</v>
      </c>
      <c r="C33" s="11" t="s">
        <v>478</v>
      </c>
      <c r="D33" s="11" t="s">
        <v>479</v>
      </c>
      <c r="E33" s="12" t="s">
        <v>687</v>
      </c>
      <c r="F33" s="11" t="s">
        <v>341</v>
      </c>
      <c r="G33" s="32" t="s">
        <v>121</v>
      </c>
      <c r="H33" s="32" t="s">
        <v>97</v>
      </c>
      <c r="I33" s="14" t="s">
        <v>99</v>
      </c>
      <c r="J33" s="15"/>
      <c r="K33" s="13" t="str">
        <f>"80,0"</f>
        <v>80,0</v>
      </c>
      <c r="L33" s="13" t="str">
        <f>"45,1640"</f>
        <v>45,1640</v>
      </c>
      <c r="M33" s="11" t="s">
        <v>362</v>
      </c>
    </row>
    <row r="35" spans="1:13" ht="16">
      <c r="A35" s="68" t="s">
        <v>332</v>
      </c>
      <c r="B35" s="68"/>
      <c r="C35" s="69"/>
      <c r="D35" s="69"/>
      <c r="E35" s="69"/>
      <c r="F35" s="69"/>
      <c r="G35" s="69"/>
      <c r="H35" s="69"/>
      <c r="I35" s="69"/>
      <c r="J35" s="69"/>
    </row>
    <row r="36" spans="1:13">
      <c r="A36" s="15" t="s">
        <v>91</v>
      </c>
      <c r="B36" s="11" t="s">
        <v>486</v>
      </c>
      <c r="C36" s="11" t="s">
        <v>487</v>
      </c>
      <c r="D36" s="11" t="s">
        <v>488</v>
      </c>
      <c r="E36" s="12" t="s">
        <v>687</v>
      </c>
      <c r="F36" s="11" t="s">
        <v>12</v>
      </c>
      <c r="G36" s="32" t="s">
        <v>97</v>
      </c>
      <c r="H36" s="32" t="s">
        <v>131</v>
      </c>
      <c r="I36" s="32" t="s">
        <v>99</v>
      </c>
      <c r="J36" s="15"/>
      <c r="K36" s="13" t="str">
        <f>"90,0"</f>
        <v>90,0</v>
      </c>
      <c r="L36" s="13" t="str">
        <f>"49,3785"</f>
        <v>49,3785</v>
      </c>
      <c r="M36" s="11"/>
    </row>
    <row r="38" spans="1:13">
      <c r="E38" s="5"/>
      <c r="F38" s="6"/>
      <c r="G38" s="5"/>
      <c r="K38" s="10"/>
      <c r="M38" s="7"/>
    </row>
  </sheetData>
  <mergeCells count="20">
    <mergeCell ref="A26:J26"/>
    <mergeCell ref="A32:J32"/>
    <mergeCell ref="A35:J35"/>
    <mergeCell ref="B3:B4"/>
    <mergeCell ref="A8:J8"/>
    <mergeCell ref="A12:J12"/>
    <mergeCell ref="A15:J15"/>
    <mergeCell ref="A18:J18"/>
    <mergeCell ref="A22:J22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U28"/>
  <sheetViews>
    <sheetView workbookViewId="0">
      <selection activeCell="E18" sqref="E18"/>
    </sheetView>
  </sheetViews>
  <sheetFormatPr baseColWidth="10" defaultColWidth="9.1640625" defaultRowHeight="13"/>
  <cols>
    <col min="1" max="1" width="7.1640625" style="5" bestFit="1" customWidth="1"/>
    <col min="2" max="2" width="24.5" style="5" customWidth="1"/>
    <col min="3" max="3" width="25.1640625" style="5" bestFit="1" customWidth="1"/>
    <col min="4" max="4" width="20.83203125" style="5" bestFit="1" customWidth="1"/>
    <col min="5" max="5" width="10.1640625" style="6" bestFit="1" customWidth="1"/>
    <col min="6" max="6" width="26.83203125" style="5" bestFit="1" customWidth="1"/>
    <col min="7" max="9" width="5.5" style="10" customWidth="1"/>
    <col min="10" max="10" width="4.5" style="10" customWidth="1"/>
    <col min="11" max="13" width="5.5" style="10" customWidth="1"/>
    <col min="14" max="14" width="4.5" style="10" customWidth="1"/>
    <col min="15" max="17" width="5.5" style="10" customWidth="1"/>
    <col min="18" max="18" width="4.5" style="10" customWidth="1"/>
    <col min="19" max="19" width="7.6640625" style="7" bestFit="1" customWidth="1"/>
    <col min="20" max="20" width="8.5" style="7" bestFit="1" customWidth="1"/>
    <col min="21" max="21" width="19" style="5" bestFit="1" customWidth="1"/>
    <col min="22" max="16384" width="9.1640625" style="3"/>
  </cols>
  <sheetData>
    <row r="1" spans="1:21" s="2" customFormat="1" ht="29" customHeight="1">
      <c r="A1" s="47" t="s">
        <v>608</v>
      </c>
      <c r="B1" s="48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50"/>
    </row>
    <row r="2" spans="1:21" s="2" customFormat="1" ht="62" customHeight="1" thickBot="1">
      <c r="A2" s="51"/>
      <c r="B2" s="52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4"/>
    </row>
    <row r="3" spans="1:21" s="1" customFormat="1" ht="12.75" customHeight="1">
      <c r="A3" s="55" t="s">
        <v>684</v>
      </c>
      <c r="B3" s="66" t="s">
        <v>0</v>
      </c>
      <c r="C3" s="57" t="s">
        <v>685</v>
      </c>
      <c r="D3" s="57" t="s">
        <v>6</v>
      </c>
      <c r="E3" s="59" t="s">
        <v>686</v>
      </c>
      <c r="F3" s="61" t="s">
        <v>5</v>
      </c>
      <c r="G3" s="61" t="s">
        <v>8</v>
      </c>
      <c r="H3" s="61"/>
      <c r="I3" s="61"/>
      <c r="J3" s="61"/>
      <c r="K3" s="61" t="s">
        <v>9</v>
      </c>
      <c r="L3" s="61"/>
      <c r="M3" s="61"/>
      <c r="N3" s="61"/>
      <c r="O3" s="61" t="s">
        <v>10</v>
      </c>
      <c r="P3" s="61"/>
      <c r="Q3" s="61"/>
      <c r="R3" s="61"/>
      <c r="S3" s="59" t="s">
        <v>1</v>
      </c>
      <c r="T3" s="59" t="s">
        <v>3</v>
      </c>
      <c r="U3" s="62" t="s">
        <v>2</v>
      </c>
    </row>
    <row r="4" spans="1:21" s="1" customFormat="1" ht="21" customHeight="1" thickBot="1">
      <c r="A4" s="56"/>
      <c r="B4" s="67"/>
      <c r="C4" s="58"/>
      <c r="D4" s="58"/>
      <c r="E4" s="60"/>
      <c r="F4" s="58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">
        <v>1</v>
      </c>
      <c r="P4" s="4">
        <v>2</v>
      </c>
      <c r="Q4" s="4">
        <v>3</v>
      </c>
      <c r="R4" s="4" t="s">
        <v>4</v>
      </c>
      <c r="S4" s="60"/>
      <c r="T4" s="60"/>
      <c r="U4" s="63"/>
    </row>
    <row r="5" spans="1:21" ht="16">
      <c r="A5" s="64" t="s">
        <v>17</v>
      </c>
      <c r="B5" s="64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</row>
    <row r="6" spans="1:21">
      <c r="A6" s="15" t="s">
        <v>91</v>
      </c>
      <c r="B6" s="11" t="s">
        <v>18</v>
      </c>
      <c r="C6" s="11" t="s">
        <v>19</v>
      </c>
      <c r="D6" s="11" t="s">
        <v>20</v>
      </c>
      <c r="E6" s="12" t="s">
        <v>687</v>
      </c>
      <c r="F6" s="11" t="s">
        <v>21</v>
      </c>
      <c r="G6" s="32" t="s">
        <v>22</v>
      </c>
      <c r="H6" s="32" t="s">
        <v>23</v>
      </c>
      <c r="I6" s="14" t="s">
        <v>24</v>
      </c>
      <c r="J6" s="15"/>
      <c r="K6" s="32" t="s">
        <v>25</v>
      </c>
      <c r="L6" s="32" t="s">
        <v>26</v>
      </c>
      <c r="M6" s="32" t="s">
        <v>27</v>
      </c>
      <c r="N6" s="15"/>
      <c r="O6" s="32" t="s">
        <v>28</v>
      </c>
      <c r="P6" s="32" t="s">
        <v>29</v>
      </c>
      <c r="Q6" s="32" t="s">
        <v>30</v>
      </c>
      <c r="R6" s="15"/>
      <c r="S6" s="13" t="str">
        <f>"292,5"</f>
        <v>292,5</v>
      </c>
      <c r="T6" s="13" t="str">
        <f>"345,6180"</f>
        <v>345,6180</v>
      </c>
      <c r="U6" s="11"/>
    </row>
    <row r="8" spans="1:21" ht="16">
      <c r="A8" s="68" t="s">
        <v>31</v>
      </c>
      <c r="B8" s="68"/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</row>
    <row r="9" spans="1:21">
      <c r="A9" s="34" t="s">
        <v>91</v>
      </c>
      <c r="B9" s="16" t="s">
        <v>32</v>
      </c>
      <c r="C9" s="16" t="s">
        <v>33</v>
      </c>
      <c r="D9" s="16" t="s">
        <v>34</v>
      </c>
      <c r="E9" s="17" t="s">
        <v>687</v>
      </c>
      <c r="F9" s="16" t="s">
        <v>12</v>
      </c>
      <c r="G9" s="33" t="s">
        <v>35</v>
      </c>
      <c r="H9" s="33" t="s">
        <v>36</v>
      </c>
      <c r="I9" s="33" t="s">
        <v>37</v>
      </c>
      <c r="J9" s="34"/>
      <c r="K9" s="33" t="s">
        <v>38</v>
      </c>
      <c r="L9" s="33" t="s">
        <v>39</v>
      </c>
      <c r="M9" s="34"/>
      <c r="N9" s="34"/>
      <c r="O9" s="33" t="s">
        <v>40</v>
      </c>
      <c r="P9" s="33" t="s">
        <v>41</v>
      </c>
      <c r="Q9" s="34"/>
      <c r="R9" s="34"/>
      <c r="S9" s="18" t="str">
        <f>"747,5"</f>
        <v>747,5</v>
      </c>
      <c r="T9" s="18" t="str">
        <f>"477,2040"</f>
        <v>477,2040</v>
      </c>
      <c r="U9" s="16"/>
    </row>
    <row r="10" spans="1:21">
      <c r="A10" s="37" t="s">
        <v>92</v>
      </c>
      <c r="B10" s="19" t="s">
        <v>42</v>
      </c>
      <c r="C10" s="19" t="s">
        <v>43</v>
      </c>
      <c r="D10" s="19" t="s">
        <v>44</v>
      </c>
      <c r="E10" s="20" t="s">
        <v>687</v>
      </c>
      <c r="F10" s="19" t="s">
        <v>12</v>
      </c>
      <c r="G10" s="35" t="s">
        <v>45</v>
      </c>
      <c r="H10" s="35" t="s">
        <v>46</v>
      </c>
      <c r="I10" s="36" t="s">
        <v>46</v>
      </c>
      <c r="J10" s="37"/>
      <c r="K10" s="36" t="s">
        <v>47</v>
      </c>
      <c r="L10" s="36" t="s">
        <v>48</v>
      </c>
      <c r="M10" s="36" t="s">
        <v>38</v>
      </c>
      <c r="N10" s="37"/>
      <c r="O10" s="36" t="s">
        <v>49</v>
      </c>
      <c r="P10" s="36" t="s">
        <v>50</v>
      </c>
      <c r="Q10" s="36" t="s">
        <v>51</v>
      </c>
      <c r="R10" s="37"/>
      <c r="S10" s="21" t="str">
        <f>"645,0"</f>
        <v>645,0</v>
      </c>
      <c r="T10" s="21" t="str">
        <f>"412,2195"</f>
        <v>412,2195</v>
      </c>
      <c r="U10" s="19" t="s">
        <v>52</v>
      </c>
    </row>
    <row r="12" spans="1:21" ht="16">
      <c r="A12" s="68" t="s">
        <v>11</v>
      </c>
      <c r="B12" s="68"/>
      <c r="C12" s="69"/>
      <c r="D12" s="69"/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69"/>
      <c r="R12" s="69"/>
    </row>
    <row r="13" spans="1:21">
      <c r="A13" s="34" t="s">
        <v>91</v>
      </c>
      <c r="B13" s="16" t="s">
        <v>53</v>
      </c>
      <c r="C13" s="16" t="s">
        <v>54</v>
      </c>
      <c r="D13" s="16" t="s">
        <v>55</v>
      </c>
      <c r="E13" s="17" t="s">
        <v>687</v>
      </c>
      <c r="F13" s="16" t="s">
        <v>12</v>
      </c>
      <c r="G13" s="33" t="s">
        <v>56</v>
      </c>
      <c r="H13" s="33" t="s">
        <v>57</v>
      </c>
      <c r="I13" s="33" t="s">
        <v>58</v>
      </c>
      <c r="J13" s="34"/>
      <c r="K13" s="33" t="s">
        <v>59</v>
      </c>
      <c r="L13" s="33" t="s">
        <v>47</v>
      </c>
      <c r="M13" s="33" t="s">
        <v>38</v>
      </c>
      <c r="N13" s="34"/>
      <c r="O13" s="33" t="s">
        <v>51</v>
      </c>
      <c r="P13" s="33" t="s">
        <v>15</v>
      </c>
      <c r="Q13" s="33" t="s">
        <v>60</v>
      </c>
      <c r="R13" s="34"/>
      <c r="S13" s="18" t="str">
        <f>"710,0"</f>
        <v>710,0</v>
      </c>
      <c r="T13" s="18" t="str">
        <f>"432,9580"</f>
        <v>432,9580</v>
      </c>
      <c r="U13" s="16" t="s">
        <v>61</v>
      </c>
    </row>
    <row r="14" spans="1:21">
      <c r="A14" s="37" t="s">
        <v>92</v>
      </c>
      <c r="B14" s="19" t="s">
        <v>62</v>
      </c>
      <c r="C14" s="19" t="s">
        <v>63</v>
      </c>
      <c r="D14" s="19" t="s">
        <v>64</v>
      </c>
      <c r="E14" s="20" t="s">
        <v>687</v>
      </c>
      <c r="F14" s="19" t="s">
        <v>65</v>
      </c>
      <c r="G14" s="35" t="s">
        <v>66</v>
      </c>
      <c r="H14" s="36" t="s">
        <v>40</v>
      </c>
      <c r="I14" s="35" t="s">
        <v>49</v>
      </c>
      <c r="J14" s="37"/>
      <c r="K14" s="36" t="s">
        <v>59</v>
      </c>
      <c r="L14" s="36" t="s">
        <v>47</v>
      </c>
      <c r="M14" s="35" t="s">
        <v>38</v>
      </c>
      <c r="N14" s="37"/>
      <c r="O14" s="36" t="s">
        <v>51</v>
      </c>
      <c r="P14" s="36" t="s">
        <v>67</v>
      </c>
      <c r="Q14" s="36" t="s">
        <v>68</v>
      </c>
      <c r="R14" s="37"/>
      <c r="S14" s="21" t="str">
        <f>"672,5"</f>
        <v>672,5</v>
      </c>
      <c r="T14" s="21" t="str">
        <f>"409,2835"</f>
        <v>409,2835</v>
      </c>
      <c r="U14" s="19" t="s">
        <v>69</v>
      </c>
    </row>
    <row r="16" spans="1:21" ht="16">
      <c r="A16" s="68" t="s">
        <v>72</v>
      </c>
      <c r="B16" s="68"/>
      <c r="C16" s="69"/>
      <c r="D16" s="69"/>
      <c r="E16" s="69"/>
      <c r="F16" s="69"/>
      <c r="G16" s="69"/>
      <c r="H16" s="69"/>
      <c r="I16" s="69"/>
      <c r="J16" s="69"/>
      <c r="K16" s="69"/>
      <c r="L16" s="69"/>
      <c r="M16" s="69"/>
      <c r="N16" s="69"/>
      <c r="O16" s="69"/>
      <c r="P16" s="69"/>
      <c r="Q16" s="69"/>
      <c r="R16" s="69"/>
    </row>
    <row r="17" spans="1:21">
      <c r="A17" s="15" t="s">
        <v>91</v>
      </c>
      <c r="B17" s="11" t="s">
        <v>73</v>
      </c>
      <c r="C17" s="11" t="s">
        <v>74</v>
      </c>
      <c r="D17" s="11" t="s">
        <v>75</v>
      </c>
      <c r="E17" s="12" t="s">
        <v>687</v>
      </c>
      <c r="F17" s="11" t="s">
        <v>12</v>
      </c>
      <c r="G17" s="32" t="s">
        <v>47</v>
      </c>
      <c r="H17" s="32" t="s">
        <v>39</v>
      </c>
      <c r="I17" s="32" t="s">
        <v>14</v>
      </c>
      <c r="J17" s="15"/>
      <c r="K17" s="32" t="s">
        <v>30</v>
      </c>
      <c r="L17" s="32" t="s">
        <v>76</v>
      </c>
      <c r="M17" s="14" t="s">
        <v>77</v>
      </c>
      <c r="N17" s="15"/>
      <c r="O17" s="32" t="s">
        <v>39</v>
      </c>
      <c r="P17" s="32" t="s">
        <v>78</v>
      </c>
      <c r="Q17" s="32" t="s">
        <v>79</v>
      </c>
      <c r="R17" s="15"/>
      <c r="S17" s="13" t="str">
        <f>"545,0"</f>
        <v>545,0</v>
      </c>
      <c r="T17" s="13" t="str">
        <f>"324,1660"</f>
        <v>324,1660</v>
      </c>
      <c r="U17" s="11"/>
    </row>
    <row r="19" spans="1:21" ht="16">
      <c r="F19" s="8"/>
      <c r="G19" s="5"/>
    </row>
    <row r="20" spans="1:21">
      <c r="G20" s="5"/>
    </row>
    <row r="21" spans="1:21" ht="18">
      <c r="B21" s="9" t="s">
        <v>7</v>
      </c>
      <c r="C21" s="9"/>
      <c r="G21" s="3"/>
    </row>
    <row r="22" spans="1:21" ht="16">
      <c r="B22" s="25" t="s">
        <v>88</v>
      </c>
      <c r="C22" s="25"/>
      <c r="G22" s="3"/>
    </row>
    <row r="23" spans="1:21" ht="14">
      <c r="B23" s="26"/>
      <c r="C23" s="27" t="s">
        <v>81</v>
      </c>
      <c r="G23" s="3"/>
    </row>
    <row r="24" spans="1:21" ht="14">
      <c r="B24" s="28" t="s">
        <v>82</v>
      </c>
      <c r="C24" s="28" t="s">
        <v>83</v>
      </c>
      <c r="D24" s="28" t="s">
        <v>677</v>
      </c>
      <c r="E24" s="29" t="s">
        <v>85</v>
      </c>
      <c r="F24" s="28" t="s">
        <v>86</v>
      </c>
      <c r="G24" s="3"/>
    </row>
    <row r="25" spans="1:21">
      <c r="B25" s="5" t="s">
        <v>32</v>
      </c>
      <c r="C25" s="5" t="s">
        <v>81</v>
      </c>
      <c r="D25" s="10" t="s">
        <v>89</v>
      </c>
      <c r="E25" s="31">
        <v>747.5</v>
      </c>
      <c r="F25" s="30">
        <v>477.20401361584697</v>
      </c>
      <c r="G25" s="3"/>
    </row>
    <row r="26" spans="1:21">
      <c r="B26" s="5" t="s">
        <v>53</v>
      </c>
      <c r="C26" s="5" t="s">
        <v>81</v>
      </c>
      <c r="D26" s="10" t="s">
        <v>90</v>
      </c>
      <c r="E26" s="31">
        <v>710</v>
      </c>
      <c r="F26" s="30">
        <v>432.95798659324601</v>
      </c>
      <c r="G26" s="3"/>
    </row>
    <row r="27" spans="1:21">
      <c r="B27" s="5" t="s">
        <v>42</v>
      </c>
      <c r="C27" s="5" t="s">
        <v>81</v>
      </c>
      <c r="D27" s="10" t="s">
        <v>89</v>
      </c>
      <c r="E27" s="31">
        <v>645</v>
      </c>
      <c r="F27" s="30">
        <v>412.21950978040701</v>
      </c>
      <c r="G27" s="3"/>
    </row>
    <row r="28" spans="1:21">
      <c r="E28" s="5"/>
      <c r="F28" s="6"/>
      <c r="G28" s="5"/>
    </row>
  </sheetData>
  <mergeCells count="17">
    <mergeCell ref="A8:R8"/>
    <mergeCell ref="A12:R12"/>
    <mergeCell ref="A16:R16"/>
    <mergeCell ref="B3:B4"/>
    <mergeCell ref="S3:S4"/>
    <mergeCell ref="T3:T4"/>
    <mergeCell ref="U3:U4"/>
    <mergeCell ref="A5:R5"/>
    <mergeCell ref="A1:U2"/>
    <mergeCell ref="A3:A4"/>
    <mergeCell ref="C3:C4"/>
    <mergeCell ref="D3:D4"/>
    <mergeCell ref="E3:E4"/>
    <mergeCell ref="F3:F4"/>
    <mergeCell ref="G3:J3"/>
    <mergeCell ref="K3:N3"/>
    <mergeCell ref="O3:R3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12"/>
  <sheetViews>
    <sheetView tabSelected="1" workbookViewId="0">
      <selection sqref="A1:M2"/>
    </sheetView>
  </sheetViews>
  <sheetFormatPr baseColWidth="10" defaultColWidth="9.1640625" defaultRowHeight="13"/>
  <cols>
    <col min="1" max="1" width="7.1640625" style="5" bestFit="1" customWidth="1"/>
    <col min="2" max="2" width="20" style="5" customWidth="1"/>
    <col min="3" max="3" width="28.6640625" style="5" bestFit="1" customWidth="1"/>
    <col min="4" max="4" width="20.83203125" style="5" bestFit="1" customWidth="1"/>
    <col min="5" max="5" width="10.1640625" style="6" bestFit="1" customWidth="1"/>
    <col min="6" max="6" width="25.6640625" style="5" bestFit="1" customWidth="1"/>
    <col min="7" max="9" width="5.5" style="10" customWidth="1"/>
    <col min="10" max="10" width="4.5" style="10" customWidth="1"/>
    <col min="11" max="11" width="10.5" style="7" bestFit="1" customWidth="1"/>
    <col min="12" max="12" width="10" style="7" customWidth="1"/>
    <col min="13" max="13" width="17.5" style="5" bestFit="1" customWidth="1"/>
    <col min="14" max="16384" width="9.1640625" style="3"/>
  </cols>
  <sheetData>
    <row r="1" spans="1:13" s="2" customFormat="1" ht="29" customHeight="1">
      <c r="A1" s="47" t="s">
        <v>626</v>
      </c>
      <c r="B1" s="48"/>
      <c r="C1" s="49"/>
      <c r="D1" s="49"/>
      <c r="E1" s="49"/>
      <c r="F1" s="49"/>
      <c r="G1" s="49"/>
      <c r="H1" s="49"/>
      <c r="I1" s="49"/>
      <c r="J1" s="49"/>
      <c r="K1" s="49"/>
      <c r="L1" s="49"/>
      <c r="M1" s="50"/>
    </row>
    <row r="2" spans="1:13" s="2" customFormat="1" ht="62" customHeight="1" thickBot="1">
      <c r="A2" s="51"/>
      <c r="B2" s="52"/>
      <c r="C2" s="53"/>
      <c r="D2" s="53"/>
      <c r="E2" s="53"/>
      <c r="F2" s="53"/>
      <c r="G2" s="53"/>
      <c r="H2" s="53"/>
      <c r="I2" s="53"/>
      <c r="J2" s="53"/>
      <c r="K2" s="53"/>
      <c r="L2" s="53"/>
      <c r="M2" s="54"/>
    </row>
    <row r="3" spans="1:13" s="1" customFormat="1" ht="12.75" customHeight="1">
      <c r="A3" s="55" t="s">
        <v>684</v>
      </c>
      <c r="B3" s="66" t="s">
        <v>0</v>
      </c>
      <c r="C3" s="57" t="s">
        <v>685</v>
      </c>
      <c r="D3" s="57" t="s">
        <v>6</v>
      </c>
      <c r="E3" s="59" t="s">
        <v>686</v>
      </c>
      <c r="F3" s="61" t="s">
        <v>5</v>
      </c>
      <c r="G3" s="61" t="s">
        <v>682</v>
      </c>
      <c r="H3" s="61"/>
      <c r="I3" s="61"/>
      <c r="J3" s="61"/>
      <c r="K3" s="59" t="s">
        <v>354</v>
      </c>
      <c r="L3" s="59" t="s">
        <v>3</v>
      </c>
      <c r="M3" s="62" t="s">
        <v>2</v>
      </c>
    </row>
    <row r="4" spans="1:13" s="1" customFormat="1" ht="21" customHeight="1" thickBot="1">
      <c r="A4" s="56"/>
      <c r="B4" s="67"/>
      <c r="C4" s="58"/>
      <c r="D4" s="58"/>
      <c r="E4" s="60"/>
      <c r="F4" s="58"/>
      <c r="G4" s="4">
        <v>1</v>
      </c>
      <c r="H4" s="4">
        <v>2</v>
      </c>
      <c r="I4" s="4">
        <v>3</v>
      </c>
      <c r="J4" s="4" t="s">
        <v>4</v>
      </c>
      <c r="K4" s="60"/>
      <c r="L4" s="60"/>
      <c r="M4" s="63"/>
    </row>
    <row r="5" spans="1:13" ht="16">
      <c r="A5" s="64" t="s">
        <v>216</v>
      </c>
      <c r="B5" s="64"/>
      <c r="C5" s="65"/>
      <c r="D5" s="65"/>
      <c r="E5" s="65"/>
      <c r="F5" s="65"/>
      <c r="G5" s="65"/>
      <c r="H5" s="65"/>
      <c r="I5" s="65"/>
      <c r="J5" s="65"/>
    </row>
    <row r="6" spans="1:13">
      <c r="A6" s="15" t="s">
        <v>91</v>
      </c>
      <c r="B6" s="11" t="s">
        <v>572</v>
      </c>
      <c r="C6" s="11" t="s">
        <v>573</v>
      </c>
      <c r="D6" s="11" t="s">
        <v>226</v>
      </c>
      <c r="E6" s="12" t="s">
        <v>687</v>
      </c>
      <c r="F6" s="11" t="s">
        <v>21</v>
      </c>
      <c r="G6" s="32" t="s">
        <v>570</v>
      </c>
      <c r="H6" s="32" t="s">
        <v>130</v>
      </c>
      <c r="I6" s="14" t="s">
        <v>102</v>
      </c>
      <c r="J6" s="15"/>
      <c r="K6" s="13" t="str">
        <f>"35,0"</f>
        <v>35,0</v>
      </c>
      <c r="L6" s="13" t="str">
        <f>"27,5695"</f>
        <v>27,5695</v>
      </c>
      <c r="M6" s="11" t="s">
        <v>180</v>
      </c>
    </row>
    <row r="8" spans="1:13" ht="16">
      <c r="A8" s="68" t="s">
        <v>162</v>
      </c>
      <c r="B8" s="68"/>
      <c r="C8" s="69"/>
      <c r="D8" s="69"/>
      <c r="E8" s="69"/>
      <c r="F8" s="69"/>
      <c r="G8" s="69"/>
      <c r="H8" s="69"/>
      <c r="I8" s="69"/>
      <c r="J8" s="69"/>
    </row>
    <row r="9" spans="1:13">
      <c r="A9" s="15" t="s">
        <v>91</v>
      </c>
      <c r="B9" s="11" t="s">
        <v>574</v>
      </c>
      <c r="C9" s="11" t="s">
        <v>575</v>
      </c>
      <c r="D9" s="11" t="s">
        <v>576</v>
      </c>
      <c r="E9" s="12" t="s">
        <v>687</v>
      </c>
      <c r="F9" s="11" t="s">
        <v>12</v>
      </c>
      <c r="G9" s="32" t="s">
        <v>102</v>
      </c>
      <c r="H9" s="14" t="s">
        <v>123</v>
      </c>
      <c r="I9" s="32" t="s">
        <v>123</v>
      </c>
      <c r="J9" s="15"/>
      <c r="K9" s="13" t="str">
        <f>"45,0"</f>
        <v>45,0</v>
      </c>
      <c r="L9" s="13" t="str">
        <f>"32,7195"</f>
        <v>32,7195</v>
      </c>
      <c r="M9" s="11"/>
    </row>
    <row r="11" spans="1:13" ht="16">
      <c r="A11" s="68" t="s">
        <v>31</v>
      </c>
      <c r="B11" s="68"/>
      <c r="C11" s="69"/>
      <c r="D11" s="69"/>
      <c r="E11" s="69"/>
      <c r="F11" s="69"/>
      <c r="G11" s="69"/>
      <c r="H11" s="69"/>
      <c r="I11" s="69"/>
      <c r="J11" s="69"/>
    </row>
    <row r="12" spans="1:13">
      <c r="A12" s="15" t="s">
        <v>91</v>
      </c>
      <c r="B12" s="11" t="s">
        <v>508</v>
      </c>
      <c r="C12" s="11" t="s">
        <v>676</v>
      </c>
      <c r="D12" s="11" t="s">
        <v>439</v>
      </c>
      <c r="E12" s="12" t="s">
        <v>688</v>
      </c>
      <c r="F12" s="11" t="s">
        <v>12</v>
      </c>
      <c r="G12" s="32" t="s">
        <v>26</v>
      </c>
      <c r="H12" s="32" t="s">
        <v>121</v>
      </c>
      <c r="I12" s="14" t="s">
        <v>97</v>
      </c>
      <c r="J12" s="15"/>
      <c r="K12" s="13" t="str">
        <f>"70,0"</f>
        <v>70,0</v>
      </c>
      <c r="L12" s="13" t="str">
        <f>"43,8128"</f>
        <v>43,8128</v>
      </c>
      <c r="M12" s="11" t="s">
        <v>293</v>
      </c>
    </row>
  </sheetData>
  <mergeCells count="14">
    <mergeCell ref="A8:J8"/>
    <mergeCell ref="A11:J11"/>
    <mergeCell ref="B3:B4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Q34"/>
  <sheetViews>
    <sheetView workbookViewId="0">
      <selection activeCell="E31" sqref="E31"/>
    </sheetView>
  </sheetViews>
  <sheetFormatPr baseColWidth="10" defaultColWidth="9.1640625" defaultRowHeight="13"/>
  <cols>
    <col min="1" max="1" width="7.1640625" style="5" bestFit="1" customWidth="1"/>
    <col min="2" max="2" width="21.5" style="5" bestFit="1" customWidth="1"/>
    <col min="3" max="3" width="28.5" style="5" bestFit="1" customWidth="1"/>
    <col min="4" max="4" width="20.83203125" style="5" bestFit="1" customWidth="1"/>
    <col min="5" max="5" width="10.1640625" style="6" bestFit="1" customWidth="1"/>
    <col min="6" max="6" width="25.83203125" style="5" bestFit="1" customWidth="1"/>
    <col min="7" max="9" width="5.5" style="10" customWidth="1"/>
    <col min="10" max="10" width="4.5" style="10" customWidth="1"/>
    <col min="11" max="13" width="5.5" style="10" customWidth="1"/>
    <col min="14" max="14" width="4.5" style="10" customWidth="1"/>
    <col min="15" max="15" width="7.6640625" style="7" bestFit="1" customWidth="1"/>
    <col min="16" max="16" width="8.5" style="7" bestFit="1" customWidth="1"/>
    <col min="17" max="17" width="22.1640625" style="5" bestFit="1" customWidth="1"/>
    <col min="18" max="16384" width="9.1640625" style="3"/>
  </cols>
  <sheetData>
    <row r="1" spans="1:17" s="2" customFormat="1" ht="29" customHeight="1">
      <c r="A1" s="47" t="s">
        <v>609</v>
      </c>
      <c r="B1" s="48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50"/>
    </row>
    <row r="2" spans="1:17" s="2" customFormat="1" ht="62" customHeight="1" thickBot="1">
      <c r="A2" s="51"/>
      <c r="B2" s="52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4"/>
    </row>
    <row r="3" spans="1:17" s="1" customFormat="1" ht="12.75" customHeight="1">
      <c r="A3" s="55" t="s">
        <v>684</v>
      </c>
      <c r="B3" s="66" t="s">
        <v>0</v>
      </c>
      <c r="C3" s="57" t="s">
        <v>685</v>
      </c>
      <c r="D3" s="57" t="s">
        <v>6</v>
      </c>
      <c r="E3" s="59" t="s">
        <v>686</v>
      </c>
      <c r="F3" s="61" t="s">
        <v>5</v>
      </c>
      <c r="G3" s="61" t="s">
        <v>9</v>
      </c>
      <c r="H3" s="61"/>
      <c r="I3" s="61"/>
      <c r="J3" s="61"/>
      <c r="K3" s="61" t="s">
        <v>10</v>
      </c>
      <c r="L3" s="61"/>
      <c r="M3" s="61"/>
      <c r="N3" s="61"/>
      <c r="O3" s="59" t="s">
        <v>1</v>
      </c>
      <c r="P3" s="59" t="s">
        <v>3</v>
      </c>
      <c r="Q3" s="62" t="s">
        <v>2</v>
      </c>
    </row>
    <row r="4" spans="1:17" s="1" customFormat="1" ht="21" customHeight="1" thickBot="1">
      <c r="A4" s="56"/>
      <c r="B4" s="67"/>
      <c r="C4" s="58"/>
      <c r="D4" s="58"/>
      <c r="E4" s="60"/>
      <c r="F4" s="58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60"/>
      <c r="P4" s="60"/>
      <c r="Q4" s="63"/>
    </row>
    <row r="5" spans="1:17" ht="16">
      <c r="A5" s="64" t="s">
        <v>93</v>
      </c>
      <c r="B5" s="64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</row>
    <row r="6" spans="1:17">
      <c r="A6" s="15" t="s">
        <v>91</v>
      </c>
      <c r="B6" s="11" t="s">
        <v>359</v>
      </c>
      <c r="C6" s="11" t="s">
        <v>360</v>
      </c>
      <c r="D6" s="11" t="s">
        <v>361</v>
      </c>
      <c r="E6" s="12" t="s">
        <v>687</v>
      </c>
      <c r="F6" s="11" t="s">
        <v>341</v>
      </c>
      <c r="G6" s="32" t="s">
        <v>25</v>
      </c>
      <c r="H6" s="32" t="s">
        <v>26</v>
      </c>
      <c r="I6" s="14" t="s">
        <v>27</v>
      </c>
      <c r="J6" s="15"/>
      <c r="K6" s="32" t="s">
        <v>121</v>
      </c>
      <c r="L6" s="32" t="s">
        <v>122</v>
      </c>
      <c r="M6" s="32" t="s">
        <v>97</v>
      </c>
      <c r="N6" s="15"/>
      <c r="O6" s="13" t="str">
        <f>"135,0"</f>
        <v>135,0</v>
      </c>
      <c r="P6" s="13" t="str">
        <f>"168,5475"</f>
        <v>168,5475</v>
      </c>
      <c r="Q6" s="11" t="s">
        <v>362</v>
      </c>
    </row>
    <row r="8" spans="1:17" ht="16">
      <c r="A8" s="68" t="s">
        <v>17</v>
      </c>
      <c r="B8" s="68"/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</row>
    <row r="9" spans="1:17">
      <c r="A9" s="34" t="s">
        <v>91</v>
      </c>
      <c r="B9" s="16" t="s">
        <v>363</v>
      </c>
      <c r="C9" s="16" t="s">
        <v>364</v>
      </c>
      <c r="D9" s="16" t="s">
        <v>365</v>
      </c>
      <c r="E9" s="17" t="s">
        <v>689</v>
      </c>
      <c r="F9" s="16" t="s">
        <v>21</v>
      </c>
      <c r="G9" s="33" t="s">
        <v>145</v>
      </c>
      <c r="H9" s="41" t="s">
        <v>366</v>
      </c>
      <c r="I9" s="41" t="s">
        <v>366</v>
      </c>
      <c r="J9" s="34"/>
      <c r="K9" s="33" t="s">
        <v>137</v>
      </c>
      <c r="L9" s="33" t="s">
        <v>121</v>
      </c>
      <c r="M9" s="34"/>
      <c r="N9" s="34"/>
      <c r="O9" s="18" t="str">
        <f>"132,5"</f>
        <v>132,5</v>
      </c>
      <c r="P9" s="18" t="str">
        <f>"156,3368"</f>
        <v>156,3368</v>
      </c>
      <c r="Q9" s="16" t="s">
        <v>367</v>
      </c>
    </row>
    <row r="10" spans="1:17">
      <c r="A10" s="37" t="s">
        <v>91</v>
      </c>
      <c r="B10" s="19" t="s">
        <v>125</v>
      </c>
      <c r="C10" s="19" t="s">
        <v>126</v>
      </c>
      <c r="D10" s="19" t="s">
        <v>127</v>
      </c>
      <c r="E10" s="20" t="s">
        <v>687</v>
      </c>
      <c r="F10" s="19" t="s">
        <v>12</v>
      </c>
      <c r="G10" s="36" t="s">
        <v>130</v>
      </c>
      <c r="H10" s="35" t="s">
        <v>101</v>
      </c>
      <c r="I10" s="35" t="s">
        <v>101</v>
      </c>
      <c r="J10" s="37"/>
      <c r="K10" s="36" t="s">
        <v>122</v>
      </c>
      <c r="L10" s="36" t="s">
        <v>97</v>
      </c>
      <c r="M10" s="35" t="s">
        <v>131</v>
      </c>
      <c r="N10" s="37"/>
      <c r="O10" s="21" t="str">
        <f>"115,0"</f>
        <v>115,0</v>
      </c>
      <c r="P10" s="21" t="str">
        <f>"135,5045"</f>
        <v>135,5045</v>
      </c>
      <c r="Q10" s="19" t="s">
        <v>132</v>
      </c>
    </row>
    <row r="12" spans="1:17" ht="16">
      <c r="A12" s="68" t="s">
        <v>152</v>
      </c>
      <c r="B12" s="68"/>
      <c r="C12" s="69"/>
      <c r="D12" s="69"/>
      <c r="E12" s="69"/>
      <c r="F12" s="69"/>
      <c r="G12" s="69"/>
      <c r="H12" s="69"/>
      <c r="I12" s="69"/>
      <c r="J12" s="69"/>
      <c r="K12" s="69"/>
      <c r="L12" s="69"/>
      <c r="M12" s="69"/>
      <c r="N12" s="69"/>
    </row>
    <row r="13" spans="1:17">
      <c r="A13" s="15" t="s">
        <v>91</v>
      </c>
      <c r="B13" s="11" t="s">
        <v>158</v>
      </c>
      <c r="C13" s="11" t="s">
        <v>159</v>
      </c>
      <c r="D13" s="11" t="s">
        <v>160</v>
      </c>
      <c r="E13" s="12" t="s">
        <v>687</v>
      </c>
      <c r="F13" s="11" t="s">
        <v>70</v>
      </c>
      <c r="G13" s="32" t="s">
        <v>116</v>
      </c>
      <c r="H13" s="14" t="s">
        <v>25</v>
      </c>
      <c r="I13" s="14" t="s">
        <v>25</v>
      </c>
      <c r="J13" s="15"/>
      <c r="K13" s="32" t="s">
        <v>23</v>
      </c>
      <c r="L13" s="14" t="s">
        <v>28</v>
      </c>
      <c r="M13" s="15"/>
      <c r="N13" s="15"/>
      <c r="O13" s="13" t="str">
        <f>"160,0"</f>
        <v>160,0</v>
      </c>
      <c r="P13" s="13" t="str">
        <f>"169,2160"</f>
        <v>169,2160</v>
      </c>
      <c r="Q13" s="11" t="s">
        <v>161</v>
      </c>
    </row>
    <row r="15" spans="1:17" ht="16">
      <c r="A15" s="68" t="s">
        <v>152</v>
      </c>
      <c r="B15" s="68"/>
      <c r="C15" s="69"/>
      <c r="D15" s="69"/>
      <c r="E15" s="69"/>
      <c r="F15" s="69"/>
      <c r="G15" s="69"/>
      <c r="H15" s="69"/>
      <c r="I15" s="69"/>
      <c r="J15" s="69"/>
      <c r="K15" s="69"/>
      <c r="L15" s="69"/>
      <c r="M15" s="69"/>
      <c r="N15" s="69"/>
    </row>
    <row r="16" spans="1:17">
      <c r="A16" s="15" t="s">
        <v>91</v>
      </c>
      <c r="B16" s="11" t="s">
        <v>187</v>
      </c>
      <c r="C16" s="11" t="s">
        <v>188</v>
      </c>
      <c r="D16" s="11" t="s">
        <v>189</v>
      </c>
      <c r="E16" s="12" t="s">
        <v>687</v>
      </c>
      <c r="F16" s="11" t="s">
        <v>12</v>
      </c>
      <c r="G16" s="32" t="s">
        <v>121</v>
      </c>
      <c r="H16" s="32" t="s">
        <v>122</v>
      </c>
      <c r="I16" s="32" t="s">
        <v>97</v>
      </c>
      <c r="J16" s="15"/>
      <c r="K16" s="32" t="s">
        <v>124</v>
      </c>
      <c r="L16" s="32" t="s">
        <v>28</v>
      </c>
      <c r="M16" s="14" t="s">
        <v>155</v>
      </c>
      <c r="N16" s="15"/>
      <c r="O16" s="13" t="str">
        <f>"195,0"</f>
        <v>195,0</v>
      </c>
      <c r="P16" s="13" t="str">
        <f>"151,8075"</f>
        <v>151,8075</v>
      </c>
      <c r="Q16" s="11" t="s">
        <v>132</v>
      </c>
    </row>
    <row r="18" spans="1:17" ht="16">
      <c r="A18" s="68" t="s">
        <v>216</v>
      </c>
      <c r="B18" s="68"/>
      <c r="C18" s="69"/>
      <c r="D18" s="69"/>
      <c r="E18" s="69"/>
      <c r="F18" s="69"/>
      <c r="G18" s="69"/>
      <c r="H18" s="69"/>
      <c r="I18" s="69"/>
      <c r="J18" s="69"/>
      <c r="K18" s="69"/>
      <c r="L18" s="69"/>
      <c r="M18" s="69"/>
      <c r="N18" s="69"/>
    </row>
    <row r="19" spans="1:17">
      <c r="A19" s="34" t="s">
        <v>91</v>
      </c>
      <c r="B19" s="16" t="s">
        <v>220</v>
      </c>
      <c r="C19" s="16" t="s">
        <v>633</v>
      </c>
      <c r="D19" s="16" t="s">
        <v>221</v>
      </c>
      <c r="E19" s="17" t="s">
        <v>690</v>
      </c>
      <c r="F19" s="16" t="s">
        <v>12</v>
      </c>
      <c r="G19" s="33" t="s">
        <v>22</v>
      </c>
      <c r="H19" s="33" t="s">
        <v>23</v>
      </c>
      <c r="I19" s="41" t="s">
        <v>222</v>
      </c>
      <c r="J19" s="34"/>
      <c r="K19" s="33" t="s">
        <v>223</v>
      </c>
      <c r="L19" s="33" t="s">
        <v>14</v>
      </c>
      <c r="M19" s="33" t="s">
        <v>78</v>
      </c>
      <c r="N19" s="34"/>
      <c r="O19" s="18" t="str">
        <f>"310,0"</f>
        <v>310,0</v>
      </c>
      <c r="P19" s="18" t="str">
        <f>"209,0640"</f>
        <v>209,0640</v>
      </c>
      <c r="Q19" s="16" t="s">
        <v>224</v>
      </c>
    </row>
    <row r="20" spans="1:17">
      <c r="A20" s="37" t="s">
        <v>91</v>
      </c>
      <c r="B20" s="19" t="s">
        <v>546</v>
      </c>
      <c r="C20" s="19" t="s">
        <v>547</v>
      </c>
      <c r="D20" s="19" t="s">
        <v>548</v>
      </c>
      <c r="E20" s="20" t="s">
        <v>687</v>
      </c>
      <c r="F20" s="19" t="s">
        <v>12</v>
      </c>
      <c r="G20" s="36" t="s">
        <v>146</v>
      </c>
      <c r="H20" s="36" t="s">
        <v>76</v>
      </c>
      <c r="I20" s="35" t="s">
        <v>197</v>
      </c>
      <c r="J20" s="37"/>
      <c r="K20" s="36" t="s">
        <v>78</v>
      </c>
      <c r="L20" s="36" t="s">
        <v>46</v>
      </c>
      <c r="M20" s="36" t="s">
        <v>79</v>
      </c>
      <c r="N20" s="37"/>
      <c r="O20" s="21" t="str">
        <f>"355,0"</f>
        <v>355,0</v>
      </c>
      <c r="P20" s="21" t="str">
        <f>"242,7490"</f>
        <v>242,7490</v>
      </c>
      <c r="Q20" s="19" t="s">
        <v>603</v>
      </c>
    </row>
    <row r="22" spans="1:17" ht="16">
      <c r="A22" s="68" t="s">
        <v>31</v>
      </c>
      <c r="B22" s="68"/>
      <c r="C22" s="69"/>
      <c r="D22" s="69"/>
      <c r="E22" s="69"/>
      <c r="F22" s="69"/>
      <c r="G22" s="69"/>
      <c r="H22" s="69"/>
      <c r="I22" s="69"/>
      <c r="J22" s="69"/>
      <c r="K22" s="69"/>
      <c r="L22" s="69"/>
      <c r="M22" s="69"/>
      <c r="N22" s="69"/>
    </row>
    <row r="23" spans="1:17">
      <c r="A23" s="15" t="s">
        <v>91</v>
      </c>
      <c r="B23" s="11" t="s">
        <v>242</v>
      </c>
      <c r="C23" s="11" t="s">
        <v>243</v>
      </c>
      <c r="D23" s="11" t="s">
        <v>244</v>
      </c>
      <c r="E23" s="12" t="s">
        <v>687</v>
      </c>
      <c r="F23" s="11" t="s">
        <v>12</v>
      </c>
      <c r="G23" s="32" t="s">
        <v>203</v>
      </c>
      <c r="H23" s="32" t="s">
        <v>232</v>
      </c>
      <c r="I23" s="14" t="s">
        <v>38</v>
      </c>
      <c r="J23" s="15"/>
      <c r="K23" s="32" t="s">
        <v>15</v>
      </c>
      <c r="L23" s="32" t="s">
        <v>246</v>
      </c>
      <c r="M23" s="32" t="s">
        <v>247</v>
      </c>
      <c r="N23" s="15"/>
      <c r="O23" s="13" t="str">
        <f>"465,0"</f>
        <v>465,0</v>
      </c>
      <c r="P23" s="13" t="str">
        <f>"298,3905"</f>
        <v>298,3905</v>
      </c>
      <c r="Q23" s="11" t="s">
        <v>224</v>
      </c>
    </row>
    <row r="25" spans="1:17" ht="16">
      <c r="A25" s="68" t="s">
        <v>11</v>
      </c>
      <c r="B25" s="68"/>
      <c r="C25" s="69"/>
      <c r="D25" s="69"/>
      <c r="E25" s="69"/>
      <c r="F25" s="69"/>
      <c r="G25" s="69"/>
      <c r="H25" s="69"/>
      <c r="I25" s="69"/>
      <c r="J25" s="69"/>
      <c r="K25" s="69"/>
      <c r="L25" s="69"/>
      <c r="M25" s="69"/>
      <c r="N25" s="69"/>
    </row>
    <row r="26" spans="1:17">
      <c r="A26" s="34" t="s">
        <v>91</v>
      </c>
      <c r="B26" s="16" t="s">
        <v>263</v>
      </c>
      <c r="C26" s="16" t="s">
        <v>264</v>
      </c>
      <c r="D26" s="16" t="s">
        <v>265</v>
      </c>
      <c r="E26" s="17" t="s">
        <v>689</v>
      </c>
      <c r="F26" s="16" t="s">
        <v>12</v>
      </c>
      <c r="G26" s="33" t="s">
        <v>13</v>
      </c>
      <c r="H26" s="33" t="s">
        <v>124</v>
      </c>
      <c r="I26" s="33" t="s">
        <v>24</v>
      </c>
      <c r="J26" s="34"/>
      <c r="K26" s="33" t="s">
        <v>14</v>
      </c>
      <c r="L26" s="33" t="s">
        <v>78</v>
      </c>
      <c r="M26" s="41" t="s">
        <v>46</v>
      </c>
      <c r="N26" s="34"/>
      <c r="O26" s="18" t="str">
        <f>"312,5"</f>
        <v>312,5</v>
      </c>
      <c r="P26" s="18" t="str">
        <f>"191,5313"</f>
        <v>191,5313</v>
      </c>
      <c r="Q26" s="16"/>
    </row>
    <row r="27" spans="1:17">
      <c r="A27" s="37" t="s">
        <v>91</v>
      </c>
      <c r="B27" s="19" t="s">
        <v>455</v>
      </c>
      <c r="C27" s="19" t="s">
        <v>456</v>
      </c>
      <c r="D27" s="19" t="s">
        <v>457</v>
      </c>
      <c r="E27" s="20" t="s">
        <v>687</v>
      </c>
      <c r="F27" s="19" t="s">
        <v>21</v>
      </c>
      <c r="G27" s="35" t="s">
        <v>203</v>
      </c>
      <c r="H27" s="36" t="s">
        <v>196</v>
      </c>
      <c r="I27" s="36" t="s">
        <v>173</v>
      </c>
      <c r="J27" s="37"/>
      <c r="K27" s="36" t="s">
        <v>197</v>
      </c>
      <c r="L27" s="37"/>
      <c r="M27" s="37"/>
      <c r="N27" s="37"/>
      <c r="O27" s="21" t="str">
        <f>"302,5"</f>
        <v>302,5</v>
      </c>
      <c r="P27" s="21" t="str">
        <f>"188,4273"</f>
        <v>188,4273</v>
      </c>
      <c r="Q27" s="19" t="s">
        <v>458</v>
      </c>
    </row>
    <row r="29" spans="1:17" ht="16">
      <c r="A29" s="68" t="s">
        <v>332</v>
      </c>
      <c r="B29" s="68"/>
      <c r="C29" s="69"/>
      <c r="D29" s="69"/>
      <c r="E29" s="69"/>
      <c r="F29" s="69"/>
      <c r="G29" s="69"/>
      <c r="H29" s="69"/>
      <c r="I29" s="69"/>
      <c r="J29" s="69"/>
      <c r="K29" s="69"/>
      <c r="L29" s="69"/>
      <c r="M29" s="69"/>
      <c r="N29" s="69"/>
    </row>
    <row r="30" spans="1:17">
      <c r="A30" s="15" t="s">
        <v>91</v>
      </c>
      <c r="B30" s="11" t="s">
        <v>492</v>
      </c>
      <c r="C30" s="11" t="s">
        <v>493</v>
      </c>
      <c r="D30" s="11" t="s">
        <v>494</v>
      </c>
      <c r="E30" s="12" t="s">
        <v>687</v>
      </c>
      <c r="F30" s="11" t="s">
        <v>21</v>
      </c>
      <c r="G30" s="32" t="s">
        <v>197</v>
      </c>
      <c r="H30" s="32" t="s">
        <v>77</v>
      </c>
      <c r="I30" s="32" t="s">
        <v>172</v>
      </c>
      <c r="J30" s="15"/>
      <c r="K30" s="32" t="s">
        <v>23</v>
      </c>
      <c r="L30" s="15"/>
      <c r="M30" s="15"/>
      <c r="N30" s="15"/>
      <c r="O30" s="13" t="str">
        <f>"260,0"</f>
        <v>260,0</v>
      </c>
      <c r="P30" s="13" t="str">
        <f>"152,1780"</f>
        <v>152,1780</v>
      </c>
      <c r="Q30" s="11"/>
    </row>
    <row r="32" spans="1:17">
      <c r="E32" s="10"/>
      <c r="F32" s="31"/>
      <c r="G32" s="30"/>
    </row>
    <row r="33" spans="5:7">
      <c r="E33" s="10"/>
      <c r="F33" s="31"/>
      <c r="G33" s="30"/>
    </row>
    <row r="34" spans="5:7">
      <c r="E34" s="5"/>
      <c r="F34" s="6"/>
      <c r="G34" s="5"/>
    </row>
  </sheetData>
  <mergeCells count="20">
    <mergeCell ref="A29:N29"/>
    <mergeCell ref="B3:B4"/>
    <mergeCell ref="A8:N8"/>
    <mergeCell ref="A12:N12"/>
    <mergeCell ref="A15:N15"/>
    <mergeCell ref="A18:N18"/>
    <mergeCell ref="A22:N22"/>
    <mergeCell ref="A25:N25"/>
    <mergeCell ref="O3:O4"/>
    <mergeCell ref="P3:P4"/>
    <mergeCell ref="Q3:Q4"/>
    <mergeCell ref="A5:N5"/>
    <mergeCell ref="A1:Q2"/>
    <mergeCell ref="A3:A4"/>
    <mergeCell ref="C3:C4"/>
    <mergeCell ref="D3:D4"/>
    <mergeCell ref="E3:E4"/>
    <mergeCell ref="F3:F4"/>
    <mergeCell ref="G3:J3"/>
    <mergeCell ref="K3:N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Q9"/>
  <sheetViews>
    <sheetView workbookViewId="0">
      <selection activeCell="E10" sqref="E10"/>
    </sheetView>
  </sheetViews>
  <sheetFormatPr baseColWidth="10" defaultColWidth="9.1640625" defaultRowHeight="13"/>
  <cols>
    <col min="1" max="1" width="7.1640625" style="5" bestFit="1" customWidth="1"/>
    <col min="2" max="2" width="22.83203125" style="5" customWidth="1"/>
    <col min="3" max="3" width="25.1640625" style="5" bestFit="1" customWidth="1"/>
    <col min="4" max="4" width="20.83203125" style="5" bestFit="1" customWidth="1"/>
    <col min="5" max="5" width="10.1640625" style="6" bestFit="1" customWidth="1"/>
    <col min="6" max="6" width="25.6640625" style="5" bestFit="1" customWidth="1"/>
    <col min="7" max="9" width="5.5" style="10" customWidth="1"/>
    <col min="10" max="10" width="4.5" style="10" customWidth="1"/>
    <col min="11" max="13" width="5.5" style="10" customWidth="1"/>
    <col min="14" max="14" width="4.5" style="10" customWidth="1"/>
    <col min="15" max="15" width="7.6640625" style="7" bestFit="1" customWidth="1"/>
    <col min="16" max="16" width="8.5" style="7" bestFit="1" customWidth="1"/>
    <col min="17" max="17" width="19" style="5" bestFit="1" customWidth="1"/>
    <col min="18" max="16384" width="9.1640625" style="3"/>
  </cols>
  <sheetData>
    <row r="1" spans="1:17" s="2" customFormat="1" ht="29" customHeight="1">
      <c r="A1" s="47" t="s">
        <v>610</v>
      </c>
      <c r="B1" s="48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50"/>
    </row>
    <row r="2" spans="1:17" s="2" customFormat="1" ht="62" customHeight="1" thickBot="1">
      <c r="A2" s="51"/>
      <c r="B2" s="52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4"/>
    </row>
    <row r="3" spans="1:17" s="1" customFormat="1" ht="12.75" customHeight="1">
      <c r="A3" s="55" t="s">
        <v>684</v>
      </c>
      <c r="B3" s="66" t="s">
        <v>0</v>
      </c>
      <c r="C3" s="57" t="s">
        <v>685</v>
      </c>
      <c r="D3" s="57" t="s">
        <v>6</v>
      </c>
      <c r="E3" s="59" t="s">
        <v>686</v>
      </c>
      <c r="F3" s="61" t="s">
        <v>5</v>
      </c>
      <c r="G3" s="61" t="s">
        <v>9</v>
      </c>
      <c r="H3" s="61"/>
      <c r="I3" s="61"/>
      <c r="J3" s="61"/>
      <c r="K3" s="61" t="s">
        <v>10</v>
      </c>
      <c r="L3" s="61"/>
      <c r="M3" s="61"/>
      <c r="N3" s="61"/>
      <c r="O3" s="59" t="s">
        <v>1</v>
      </c>
      <c r="P3" s="59" t="s">
        <v>3</v>
      </c>
      <c r="Q3" s="62" t="s">
        <v>2</v>
      </c>
    </row>
    <row r="4" spans="1:17" s="1" customFormat="1" ht="21" customHeight="1" thickBot="1">
      <c r="A4" s="56"/>
      <c r="B4" s="67"/>
      <c r="C4" s="58"/>
      <c r="D4" s="58"/>
      <c r="E4" s="60"/>
      <c r="F4" s="58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60"/>
      <c r="P4" s="60"/>
      <c r="Q4" s="63"/>
    </row>
    <row r="5" spans="1:17" ht="16">
      <c r="A5" s="68" t="s">
        <v>11</v>
      </c>
      <c r="B5" s="68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</row>
    <row r="6" spans="1:17">
      <c r="A6" s="15" t="s">
        <v>91</v>
      </c>
      <c r="B6" s="11" t="s">
        <v>53</v>
      </c>
      <c r="C6" s="11" t="s">
        <v>54</v>
      </c>
      <c r="D6" s="11" t="s">
        <v>55</v>
      </c>
      <c r="E6" s="12" t="s">
        <v>687</v>
      </c>
      <c r="F6" s="11" t="s">
        <v>12</v>
      </c>
      <c r="G6" s="32" t="s">
        <v>59</v>
      </c>
      <c r="H6" s="32" t="s">
        <v>47</v>
      </c>
      <c r="I6" s="32" t="s">
        <v>38</v>
      </c>
      <c r="J6" s="15"/>
      <c r="K6" s="32" t="s">
        <v>51</v>
      </c>
      <c r="L6" s="32" t="s">
        <v>15</v>
      </c>
      <c r="M6" s="32" t="s">
        <v>60</v>
      </c>
      <c r="N6" s="15"/>
      <c r="O6" s="13" t="str">
        <f>"455,0"</f>
        <v>455,0</v>
      </c>
      <c r="P6" s="13" t="str">
        <f>"277,4590"</f>
        <v>277,4590</v>
      </c>
      <c r="Q6" s="11" t="s">
        <v>61</v>
      </c>
    </row>
    <row r="8" spans="1:17" ht="16">
      <c r="A8" s="68" t="s">
        <v>332</v>
      </c>
      <c r="B8" s="68"/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</row>
    <row r="9" spans="1:17">
      <c r="A9" s="15" t="s">
        <v>91</v>
      </c>
      <c r="B9" s="11" t="s">
        <v>333</v>
      </c>
      <c r="C9" s="11" t="s">
        <v>334</v>
      </c>
      <c r="D9" s="11" t="s">
        <v>335</v>
      </c>
      <c r="E9" s="12" t="s">
        <v>687</v>
      </c>
      <c r="F9" s="11" t="s">
        <v>336</v>
      </c>
      <c r="G9" s="32" t="s">
        <v>45</v>
      </c>
      <c r="H9" s="32" t="s">
        <v>66</v>
      </c>
      <c r="I9" s="14" t="s">
        <v>245</v>
      </c>
      <c r="J9" s="15"/>
      <c r="K9" s="32" t="s">
        <v>60</v>
      </c>
      <c r="L9" s="32" t="s">
        <v>337</v>
      </c>
      <c r="M9" s="32" t="s">
        <v>247</v>
      </c>
      <c r="N9" s="15"/>
      <c r="O9" s="13" t="str">
        <f>"515,0"</f>
        <v>515,0</v>
      </c>
      <c r="P9" s="13" t="str">
        <f>"294,9920"</f>
        <v>294,9920</v>
      </c>
      <c r="Q9" s="11"/>
    </row>
  </sheetData>
  <mergeCells count="14">
    <mergeCell ref="A5:N5"/>
    <mergeCell ref="A8:N8"/>
    <mergeCell ref="B3:B4"/>
    <mergeCell ref="O3:O4"/>
    <mergeCell ref="P3:P4"/>
    <mergeCell ref="Q3:Q4"/>
    <mergeCell ref="A1:Q2"/>
    <mergeCell ref="A3:A4"/>
    <mergeCell ref="C3:C4"/>
    <mergeCell ref="D3:D4"/>
    <mergeCell ref="E3:E4"/>
    <mergeCell ref="F3:F4"/>
    <mergeCell ref="G3:J3"/>
    <mergeCell ref="K3:N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M13"/>
  <sheetViews>
    <sheetView workbookViewId="0">
      <selection activeCell="E14" sqref="E14"/>
    </sheetView>
  </sheetViews>
  <sheetFormatPr baseColWidth="10" defaultColWidth="9.1640625" defaultRowHeight="13"/>
  <cols>
    <col min="1" max="1" width="7.1640625" style="5" bestFit="1" customWidth="1"/>
    <col min="2" max="2" width="21.5" style="5" bestFit="1" customWidth="1"/>
    <col min="3" max="3" width="28.6640625" style="5" bestFit="1" customWidth="1"/>
    <col min="4" max="4" width="20.83203125" style="5" bestFit="1" customWidth="1"/>
    <col min="5" max="5" width="10.1640625" style="6" bestFit="1" customWidth="1"/>
    <col min="6" max="6" width="28.5" style="5" bestFit="1" customWidth="1"/>
    <col min="7" max="9" width="5.5" style="10" customWidth="1"/>
    <col min="10" max="10" width="4.5" style="10" customWidth="1"/>
    <col min="11" max="11" width="10.5" style="7" bestFit="1" customWidth="1"/>
    <col min="12" max="12" width="8.5" style="7" bestFit="1" customWidth="1"/>
    <col min="13" max="13" width="20.5" style="5" customWidth="1"/>
    <col min="14" max="16384" width="9.1640625" style="3"/>
  </cols>
  <sheetData>
    <row r="1" spans="1:13" s="2" customFormat="1" ht="29" customHeight="1">
      <c r="A1" s="47" t="s">
        <v>611</v>
      </c>
      <c r="B1" s="48"/>
      <c r="C1" s="49"/>
      <c r="D1" s="49"/>
      <c r="E1" s="49"/>
      <c r="F1" s="49"/>
      <c r="G1" s="49"/>
      <c r="H1" s="49"/>
      <c r="I1" s="49"/>
      <c r="J1" s="49"/>
      <c r="K1" s="49"/>
      <c r="L1" s="49"/>
      <c r="M1" s="50"/>
    </row>
    <row r="2" spans="1:13" s="2" customFormat="1" ht="62" customHeight="1" thickBot="1">
      <c r="A2" s="51"/>
      <c r="B2" s="52"/>
      <c r="C2" s="53"/>
      <c r="D2" s="53"/>
      <c r="E2" s="53"/>
      <c r="F2" s="53"/>
      <c r="G2" s="53"/>
      <c r="H2" s="53"/>
      <c r="I2" s="53"/>
      <c r="J2" s="53"/>
      <c r="K2" s="53"/>
      <c r="L2" s="53"/>
      <c r="M2" s="54"/>
    </row>
    <row r="3" spans="1:13" s="1" customFormat="1" ht="12.75" customHeight="1">
      <c r="A3" s="55" t="s">
        <v>684</v>
      </c>
      <c r="B3" s="66" t="s">
        <v>0</v>
      </c>
      <c r="C3" s="57" t="s">
        <v>685</v>
      </c>
      <c r="D3" s="57" t="s">
        <v>6</v>
      </c>
      <c r="E3" s="59" t="s">
        <v>686</v>
      </c>
      <c r="F3" s="61" t="s">
        <v>5</v>
      </c>
      <c r="G3" s="61" t="s">
        <v>8</v>
      </c>
      <c r="H3" s="61"/>
      <c r="I3" s="61"/>
      <c r="J3" s="61"/>
      <c r="K3" s="59" t="s">
        <v>354</v>
      </c>
      <c r="L3" s="59" t="s">
        <v>3</v>
      </c>
      <c r="M3" s="62" t="s">
        <v>2</v>
      </c>
    </row>
    <row r="4" spans="1:13" s="1" customFormat="1" ht="21" customHeight="1" thickBot="1">
      <c r="A4" s="56"/>
      <c r="B4" s="67"/>
      <c r="C4" s="58"/>
      <c r="D4" s="58"/>
      <c r="E4" s="60"/>
      <c r="F4" s="58"/>
      <c r="G4" s="4">
        <v>1</v>
      </c>
      <c r="H4" s="4">
        <v>2</v>
      </c>
      <c r="I4" s="4">
        <v>3</v>
      </c>
      <c r="J4" s="4" t="s">
        <v>4</v>
      </c>
      <c r="K4" s="60"/>
      <c r="L4" s="60"/>
      <c r="M4" s="63"/>
    </row>
    <row r="5" spans="1:13" ht="16">
      <c r="A5" s="64" t="s">
        <v>93</v>
      </c>
      <c r="B5" s="64"/>
      <c r="C5" s="65"/>
      <c r="D5" s="65"/>
      <c r="E5" s="65"/>
      <c r="F5" s="65"/>
      <c r="G5" s="65"/>
      <c r="H5" s="65"/>
      <c r="I5" s="65"/>
      <c r="J5" s="65"/>
    </row>
    <row r="6" spans="1:13">
      <c r="A6" s="34" t="s">
        <v>91</v>
      </c>
      <c r="B6" s="16" t="s">
        <v>512</v>
      </c>
      <c r="C6" s="16" t="s">
        <v>513</v>
      </c>
      <c r="D6" s="16" t="s">
        <v>514</v>
      </c>
      <c r="E6" s="17" t="s">
        <v>687</v>
      </c>
      <c r="F6" s="16" t="s">
        <v>606</v>
      </c>
      <c r="G6" s="33" t="s">
        <v>121</v>
      </c>
      <c r="H6" s="41" t="s">
        <v>106</v>
      </c>
      <c r="I6" s="41" t="s">
        <v>106</v>
      </c>
      <c r="J6" s="34"/>
      <c r="K6" s="18" t="str">
        <f>"70,0"</f>
        <v>70,0</v>
      </c>
      <c r="L6" s="18" t="str">
        <f>"92,2810"</f>
        <v>92,2810</v>
      </c>
      <c r="M6" s="16"/>
    </row>
    <row r="7" spans="1:13">
      <c r="A7" s="37" t="s">
        <v>91</v>
      </c>
      <c r="B7" s="19" t="s">
        <v>104</v>
      </c>
      <c r="C7" s="19" t="s">
        <v>628</v>
      </c>
      <c r="D7" s="19" t="s">
        <v>105</v>
      </c>
      <c r="E7" s="20" t="s">
        <v>688</v>
      </c>
      <c r="F7" s="19" t="s">
        <v>606</v>
      </c>
      <c r="G7" s="36" t="s">
        <v>106</v>
      </c>
      <c r="H7" s="35" t="s">
        <v>97</v>
      </c>
      <c r="I7" s="35" t="s">
        <v>107</v>
      </c>
      <c r="J7" s="37"/>
      <c r="K7" s="21" t="str">
        <f>"77,5"</f>
        <v>77,5</v>
      </c>
      <c r="L7" s="21" t="str">
        <f>"97,9212"</f>
        <v>97,9212</v>
      </c>
      <c r="M7" s="19" t="s">
        <v>109</v>
      </c>
    </row>
    <row r="9" spans="1:13" ht="16">
      <c r="A9" s="68" t="s">
        <v>31</v>
      </c>
      <c r="B9" s="68"/>
      <c r="C9" s="69"/>
      <c r="D9" s="69"/>
      <c r="E9" s="69"/>
      <c r="F9" s="69"/>
      <c r="G9" s="69"/>
      <c r="H9" s="69"/>
      <c r="I9" s="69"/>
      <c r="J9" s="69"/>
    </row>
    <row r="10" spans="1:13">
      <c r="A10" s="15" t="s">
        <v>91</v>
      </c>
      <c r="B10" s="11" t="s">
        <v>242</v>
      </c>
      <c r="C10" s="11" t="s">
        <v>243</v>
      </c>
      <c r="D10" s="11" t="s">
        <v>244</v>
      </c>
      <c r="E10" s="12" t="s">
        <v>687</v>
      </c>
      <c r="F10" s="11" t="s">
        <v>12</v>
      </c>
      <c r="G10" s="32" t="s">
        <v>245</v>
      </c>
      <c r="H10" s="32" t="s">
        <v>56</v>
      </c>
      <c r="I10" s="32" t="s">
        <v>57</v>
      </c>
      <c r="J10" s="15"/>
      <c r="K10" s="13" t="str">
        <f>"247,5"</f>
        <v>247,5</v>
      </c>
      <c r="L10" s="13" t="str">
        <f>"158,8208"</f>
        <v>158,8208</v>
      </c>
      <c r="M10" s="11" t="s">
        <v>224</v>
      </c>
    </row>
    <row r="12" spans="1:13" ht="16">
      <c r="A12" s="68" t="s">
        <v>72</v>
      </c>
      <c r="B12" s="68"/>
      <c r="C12" s="69"/>
      <c r="D12" s="69"/>
      <c r="E12" s="69"/>
      <c r="F12" s="69"/>
      <c r="G12" s="69"/>
      <c r="H12" s="69"/>
      <c r="I12" s="69"/>
      <c r="J12" s="69"/>
    </row>
    <row r="13" spans="1:13">
      <c r="A13" s="15" t="s">
        <v>91</v>
      </c>
      <c r="B13" s="11" t="s">
        <v>543</v>
      </c>
      <c r="C13" s="11" t="s">
        <v>544</v>
      </c>
      <c r="D13" s="11" t="s">
        <v>545</v>
      </c>
      <c r="E13" s="12" t="s">
        <v>687</v>
      </c>
      <c r="F13" s="11" t="s">
        <v>606</v>
      </c>
      <c r="G13" s="32" t="s">
        <v>47</v>
      </c>
      <c r="H13" s="32" t="s">
        <v>39</v>
      </c>
      <c r="I13" s="32" t="s">
        <v>14</v>
      </c>
      <c r="J13" s="15"/>
      <c r="K13" s="13" t="str">
        <f>"190,0"</f>
        <v>190,0</v>
      </c>
      <c r="L13" s="13" t="str">
        <f>"112,9550"</f>
        <v>112,9550</v>
      </c>
      <c r="M13" s="11" t="s">
        <v>117</v>
      </c>
    </row>
  </sheetData>
  <mergeCells count="14">
    <mergeCell ref="A9:J9"/>
    <mergeCell ref="A12:J12"/>
    <mergeCell ref="B3:B4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M109"/>
  <sheetViews>
    <sheetView topLeftCell="A46" workbookViewId="0">
      <selection activeCell="E86" sqref="E86"/>
    </sheetView>
  </sheetViews>
  <sheetFormatPr baseColWidth="10" defaultColWidth="9.1640625" defaultRowHeight="13"/>
  <cols>
    <col min="1" max="1" width="7.1640625" style="5" bestFit="1" customWidth="1"/>
    <col min="2" max="2" width="21.5" style="5" bestFit="1" customWidth="1"/>
    <col min="3" max="3" width="28.83203125" style="5" bestFit="1" customWidth="1"/>
    <col min="4" max="4" width="20.83203125" style="5" bestFit="1" customWidth="1"/>
    <col min="5" max="5" width="10.1640625" style="6" bestFit="1" customWidth="1"/>
    <col min="6" max="6" width="28.5" style="5" bestFit="1" customWidth="1"/>
    <col min="7" max="9" width="5.5" style="10" customWidth="1"/>
    <col min="10" max="10" width="4.5" style="10" customWidth="1"/>
    <col min="11" max="11" width="10.5" style="7" bestFit="1" customWidth="1"/>
    <col min="12" max="12" width="8.6640625" style="7" bestFit="1" customWidth="1"/>
    <col min="13" max="13" width="22.1640625" style="5" bestFit="1" customWidth="1"/>
    <col min="14" max="16384" width="9.1640625" style="3"/>
  </cols>
  <sheetData>
    <row r="1" spans="1:13" s="2" customFormat="1" ht="29" customHeight="1">
      <c r="A1" s="47" t="s">
        <v>612</v>
      </c>
      <c r="B1" s="48"/>
      <c r="C1" s="49"/>
      <c r="D1" s="49"/>
      <c r="E1" s="49"/>
      <c r="F1" s="49"/>
      <c r="G1" s="49"/>
      <c r="H1" s="49"/>
      <c r="I1" s="49"/>
      <c r="J1" s="49"/>
      <c r="K1" s="49"/>
      <c r="L1" s="49"/>
      <c r="M1" s="50"/>
    </row>
    <row r="2" spans="1:13" s="2" customFormat="1" ht="62" customHeight="1" thickBot="1">
      <c r="A2" s="51"/>
      <c r="B2" s="52"/>
      <c r="C2" s="53"/>
      <c r="D2" s="53"/>
      <c r="E2" s="53"/>
      <c r="F2" s="53"/>
      <c r="G2" s="53"/>
      <c r="H2" s="53"/>
      <c r="I2" s="53"/>
      <c r="J2" s="53"/>
      <c r="K2" s="53"/>
      <c r="L2" s="53"/>
      <c r="M2" s="54"/>
    </row>
    <row r="3" spans="1:13" s="1" customFormat="1" ht="12.75" customHeight="1">
      <c r="A3" s="55" t="s">
        <v>684</v>
      </c>
      <c r="B3" s="66" t="s">
        <v>0</v>
      </c>
      <c r="C3" s="57" t="s">
        <v>685</v>
      </c>
      <c r="D3" s="57" t="s">
        <v>6</v>
      </c>
      <c r="E3" s="59" t="s">
        <v>686</v>
      </c>
      <c r="F3" s="61" t="s">
        <v>5</v>
      </c>
      <c r="G3" s="61" t="s">
        <v>9</v>
      </c>
      <c r="H3" s="61"/>
      <c r="I3" s="61"/>
      <c r="J3" s="61"/>
      <c r="K3" s="59" t="s">
        <v>354</v>
      </c>
      <c r="L3" s="59" t="s">
        <v>3</v>
      </c>
      <c r="M3" s="62" t="s">
        <v>2</v>
      </c>
    </row>
    <row r="4" spans="1:13" s="1" customFormat="1" ht="21" customHeight="1" thickBot="1">
      <c r="A4" s="56"/>
      <c r="B4" s="67"/>
      <c r="C4" s="58"/>
      <c r="D4" s="58"/>
      <c r="E4" s="60"/>
      <c r="F4" s="58"/>
      <c r="G4" s="4">
        <v>1</v>
      </c>
      <c r="H4" s="4">
        <v>2</v>
      </c>
      <c r="I4" s="4">
        <v>3</v>
      </c>
      <c r="J4" s="4" t="s">
        <v>4</v>
      </c>
      <c r="K4" s="60"/>
      <c r="L4" s="60"/>
      <c r="M4" s="63"/>
    </row>
    <row r="5" spans="1:13" ht="16">
      <c r="A5" s="64" t="s">
        <v>93</v>
      </c>
      <c r="B5" s="64"/>
      <c r="C5" s="65"/>
      <c r="D5" s="65"/>
      <c r="E5" s="65"/>
      <c r="F5" s="65"/>
      <c r="G5" s="65"/>
      <c r="H5" s="65"/>
      <c r="I5" s="65"/>
      <c r="J5" s="65"/>
    </row>
    <row r="6" spans="1:13">
      <c r="A6" s="34" t="s">
        <v>91</v>
      </c>
      <c r="B6" s="16" t="s">
        <v>355</v>
      </c>
      <c r="C6" s="16" t="s">
        <v>356</v>
      </c>
      <c r="D6" s="16" t="s">
        <v>357</v>
      </c>
      <c r="E6" s="17" t="s">
        <v>687</v>
      </c>
      <c r="F6" s="16" t="s">
        <v>12</v>
      </c>
      <c r="G6" s="33" t="s">
        <v>121</v>
      </c>
      <c r="H6" s="41" t="s">
        <v>122</v>
      </c>
      <c r="I6" s="41" t="s">
        <v>122</v>
      </c>
      <c r="J6" s="34"/>
      <c r="K6" s="18" t="str">
        <f>"70,0"</f>
        <v>70,0</v>
      </c>
      <c r="L6" s="18" t="str">
        <f>"87,5280"</f>
        <v>87,5280</v>
      </c>
      <c r="M6" s="16" t="s">
        <v>358</v>
      </c>
    </row>
    <row r="7" spans="1:13">
      <c r="A7" s="37" t="s">
        <v>92</v>
      </c>
      <c r="B7" s="19" t="s">
        <v>359</v>
      </c>
      <c r="C7" s="19" t="s">
        <v>360</v>
      </c>
      <c r="D7" s="19" t="s">
        <v>361</v>
      </c>
      <c r="E7" s="20" t="s">
        <v>687</v>
      </c>
      <c r="F7" s="19" t="s">
        <v>341</v>
      </c>
      <c r="G7" s="36" t="s">
        <v>25</v>
      </c>
      <c r="H7" s="36" t="s">
        <v>26</v>
      </c>
      <c r="I7" s="35" t="s">
        <v>27</v>
      </c>
      <c r="J7" s="37"/>
      <c r="K7" s="21" t="str">
        <f>"55,0"</f>
        <v>55,0</v>
      </c>
      <c r="L7" s="21" t="str">
        <f>"68,6675"</f>
        <v>68,6675</v>
      </c>
      <c r="M7" s="19" t="s">
        <v>362</v>
      </c>
    </row>
    <row r="9" spans="1:13" ht="16">
      <c r="A9" s="68" t="s">
        <v>17</v>
      </c>
      <c r="B9" s="68"/>
      <c r="C9" s="69"/>
      <c r="D9" s="69"/>
      <c r="E9" s="69"/>
      <c r="F9" s="69"/>
      <c r="G9" s="69"/>
      <c r="H9" s="69"/>
      <c r="I9" s="69"/>
      <c r="J9" s="69"/>
    </row>
    <row r="10" spans="1:13">
      <c r="A10" s="34" t="s">
        <v>91</v>
      </c>
      <c r="B10" s="16" t="s">
        <v>363</v>
      </c>
      <c r="C10" s="16" t="s">
        <v>364</v>
      </c>
      <c r="D10" s="16" t="s">
        <v>365</v>
      </c>
      <c r="E10" s="17" t="s">
        <v>689</v>
      </c>
      <c r="F10" s="16" t="s">
        <v>21</v>
      </c>
      <c r="G10" s="33" t="s">
        <v>145</v>
      </c>
      <c r="H10" s="41" t="s">
        <v>366</v>
      </c>
      <c r="I10" s="41" t="s">
        <v>366</v>
      </c>
      <c r="J10" s="34"/>
      <c r="K10" s="18" t="str">
        <f>"62,5"</f>
        <v>62,5</v>
      </c>
      <c r="L10" s="18" t="str">
        <f>"73,7438"</f>
        <v>73,7438</v>
      </c>
      <c r="M10" s="16" t="s">
        <v>367</v>
      </c>
    </row>
    <row r="11" spans="1:13">
      <c r="A11" s="40" t="s">
        <v>91</v>
      </c>
      <c r="B11" s="22" t="s">
        <v>368</v>
      </c>
      <c r="C11" s="22" t="s">
        <v>637</v>
      </c>
      <c r="D11" s="22" t="s">
        <v>369</v>
      </c>
      <c r="E11" s="23" t="s">
        <v>690</v>
      </c>
      <c r="F11" s="22" t="s">
        <v>12</v>
      </c>
      <c r="G11" s="39" t="s">
        <v>137</v>
      </c>
      <c r="H11" s="39" t="s">
        <v>145</v>
      </c>
      <c r="I11" s="38" t="s">
        <v>128</v>
      </c>
      <c r="J11" s="40"/>
      <c r="K11" s="24" t="str">
        <f>"62,5"</f>
        <v>62,5</v>
      </c>
      <c r="L11" s="24" t="str">
        <f>"74,3750"</f>
        <v>74,3750</v>
      </c>
      <c r="M11" s="22" t="s">
        <v>161</v>
      </c>
    </row>
    <row r="12" spans="1:13">
      <c r="A12" s="40" t="s">
        <v>91</v>
      </c>
      <c r="B12" s="22" t="s">
        <v>370</v>
      </c>
      <c r="C12" s="22" t="s">
        <v>371</v>
      </c>
      <c r="D12" s="22" t="s">
        <v>372</v>
      </c>
      <c r="E12" s="23" t="s">
        <v>687</v>
      </c>
      <c r="F12" s="22" t="s">
        <v>12</v>
      </c>
      <c r="G12" s="39" t="s">
        <v>138</v>
      </c>
      <c r="H12" s="39" t="s">
        <v>128</v>
      </c>
      <c r="I12" s="38" t="s">
        <v>129</v>
      </c>
      <c r="J12" s="40"/>
      <c r="K12" s="24" t="str">
        <f>"67,5"</f>
        <v>67,5</v>
      </c>
      <c r="L12" s="24" t="str">
        <f>"79,4205"</f>
        <v>79,4205</v>
      </c>
      <c r="M12" s="22" t="s">
        <v>174</v>
      </c>
    </row>
    <row r="13" spans="1:13">
      <c r="A13" s="40" t="s">
        <v>92</v>
      </c>
      <c r="B13" s="22" t="s">
        <v>368</v>
      </c>
      <c r="C13" s="22" t="s">
        <v>373</v>
      </c>
      <c r="D13" s="22" t="s">
        <v>369</v>
      </c>
      <c r="E13" s="23" t="s">
        <v>687</v>
      </c>
      <c r="F13" s="22" t="s">
        <v>12</v>
      </c>
      <c r="G13" s="39" t="s">
        <v>137</v>
      </c>
      <c r="H13" s="39" t="s">
        <v>145</v>
      </c>
      <c r="I13" s="38" t="s">
        <v>128</v>
      </c>
      <c r="J13" s="40"/>
      <c r="K13" s="24" t="str">
        <f>"62,5"</f>
        <v>62,5</v>
      </c>
      <c r="L13" s="24" t="str">
        <f>"74,3750"</f>
        <v>74,3750</v>
      </c>
      <c r="M13" s="22" t="s">
        <v>161</v>
      </c>
    </row>
    <row r="14" spans="1:13">
      <c r="A14" s="37" t="s">
        <v>280</v>
      </c>
      <c r="B14" s="19" t="s">
        <v>363</v>
      </c>
      <c r="C14" s="19" t="s">
        <v>374</v>
      </c>
      <c r="D14" s="19" t="s">
        <v>365</v>
      </c>
      <c r="E14" s="20" t="s">
        <v>687</v>
      </c>
      <c r="F14" s="19" t="s">
        <v>21</v>
      </c>
      <c r="G14" s="36" t="s">
        <v>145</v>
      </c>
      <c r="H14" s="35" t="s">
        <v>366</v>
      </c>
      <c r="I14" s="35" t="s">
        <v>366</v>
      </c>
      <c r="J14" s="37"/>
      <c r="K14" s="21" t="str">
        <f>"62,5"</f>
        <v>62,5</v>
      </c>
      <c r="L14" s="21" t="str">
        <f>"73,7438"</f>
        <v>73,7438</v>
      </c>
      <c r="M14" s="19" t="s">
        <v>367</v>
      </c>
    </row>
    <row r="16" spans="1:13" ht="16">
      <c r="A16" s="68" t="s">
        <v>133</v>
      </c>
      <c r="B16" s="68"/>
      <c r="C16" s="69"/>
      <c r="D16" s="69"/>
      <c r="E16" s="69"/>
      <c r="F16" s="69"/>
      <c r="G16" s="69"/>
      <c r="H16" s="69"/>
      <c r="I16" s="69"/>
      <c r="J16" s="69"/>
    </row>
    <row r="17" spans="1:13">
      <c r="A17" s="15" t="s">
        <v>91</v>
      </c>
      <c r="B17" s="11" t="s">
        <v>375</v>
      </c>
      <c r="C17" s="11" t="s">
        <v>376</v>
      </c>
      <c r="D17" s="11" t="s">
        <v>377</v>
      </c>
      <c r="E17" s="12" t="s">
        <v>687</v>
      </c>
      <c r="F17" s="11" t="s">
        <v>378</v>
      </c>
      <c r="G17" s="32" t="s">
        <v>128</v>
      </c>
      <c r="H17" s="14" t="s">
        <v>129</v>
      </c>
      <c r="I17" s="14" t="s">
        <v>129</v>
      </c>
      <c r="J17" s="15"/>
      <c r="K17" s="13" t="str">
        <f>"67,5"</f>
        <v>67,5</v>
      </c>
      <c r="L17" s="13" t="str">
        <f>"76,0455"</f>
        <v>76,0455</v>
      </c>
      <c r="M17" s="11"/>
    </row>
    <row r="19" spans="1:13" ht="16">
      <c r="A19" s="68" t="s">
        <v>152</v>
      </c>
      <c r="B19" s="68"/>
      <c r="C19" s="69"/>
      <c r="D19" s="69"/>
      <c r="E19" s="69"/>
      <c r="F19" s="69"/>
      <c r="G19" s="69"/>
      <c r="H19" s="69"/>
      <c r="I19" s="69"/>
      <c r="J19" s="69"/>
    </row>
    <row r="20" spans="1:13">
      <c r="A20" s="15" t="s">
        <v>91</v>
      </c>
      <c r="B20" s="11" t="s">
        <v>379</v>
      </c>
      <c r="C20" s="11" t="s">
        <v>380</v>
      </c>
      <c r="D20" s="11" t="s">
        <v>381</v>
      </c>
      <c r="E20" s="12" t="s">
        <v>687</v>
      </c>
      <c r="F20" s="11" t="s">
        <v>12</v>
      </c>
      <c r="G20" s="32" t="s">
        <v>25</v>
      </c>
      <c r="H20" s="32" t="s">
        <v>27</v>
      </c>
      <c r="I20" s="14" t="s">
        <v>137</v>
      </c>
      <c r="J20" s="15"/>
      <c r="K20" s="13" t="str">
        <f>"57,5"</f>
        <v>57,5</v>
      </c>
      <c r="L20" s="13" t="str">
        <f>"59,5815"</f>
        <v>59,5815</v>
      </c>
      <c r="M20" s="11" t="s">
        <v>270</v>
      </c>
    </row>
    <row r="22" spans="1:13" ht="16">
      <c r="A22" s="68" t="s">
        <v>216</v>
      </c>
      <c r="B22" s="68"/>
      <c r="C22" s="69"/>
      <c r="D22" s="69"/>
      <c r="E22" s="69"/>
      <c r="F22" s="69"/>
      <c r="G22" s="69"/>
      <c r="H22" s="69"/>
      <c r="I22" s="69"/>
      <c r="J22" s="69"/>
    </row>
    <row r="23" spans="1:13">
      <c r="A23" s="15" t="s">
        <v>91</v>
      </c>
      <c r="B23" s="11" t="s">
        <v>382</v>
      </c>
      <c r="C23" s="11" t="s">
        <v>638</v>
      </c>
      <c r="D23" s="11" t="s">
        <v>383</v>
      </c>
      <c r="E23" s="12" t="s">
        <v>692</v>
      </c>
      <c r="F23" s="11" t="s">
        <v>12</v>
      </c>
      <c r="G23" s="32" t="s">
        <v>123</v>
      </c>
      <c r="H23" s="14" t="s">
        <v>115</v>
      </c>
      <c r="I23" s="32" t="s">
        <v>115</v>
      </c>
      <c r="J23" s="15"/>
      <c r="K23" s="13" t="str">
        <f>"47,5"</f>
        <v>47,5</v>
      </c>
      <c r="L23" s="13" t="str">
        <f>"48,0097"</f>
        <v>48,0097</v>
      </c>
      <c r="M23" s="11" t="s">
        <v>384</v>
      </c>
    </row>
    <row r="25" spans="1:13" ht="16">
      <c r="A25" s="68" t="s">
        <v>133</v>
      </c>
      <c r="B25" s="68"/>
      <c r="C25" s="69"/>
      <c r="D25" s="69"/>
      <c r="E25" s="69"/>
      <c r="F25" s="69"/>
      <c r="G25" s="69"/>
      <c r="H25" s="69"/>
      <c r="I25" s="69"/>
      <c r="J25" s="69"/>
    </row>
    <row r="26" spans="1:13">
      <c r="A26" s="15" t="s">
        <v>91</v>
      </c>
      <c r="B26" s="11" t="s">
        <v>385</v>
      </c>
      <c r="C26" s="11" t="s">
        <v>386</v>
      </c>
      <c r="D26" s="11" t="s">
        <v>387</v>
      </c>
      <c r="E26" s="12" t="s">
        <v>687</v>
      </c>
      <c r="F26" s="11" t="s">
        <v>12</v>
      </c>
      <c r="G26" s="32" t="s">
        <v>97</v>
      </c>
      <c r="H26" s="32" t="s">
        <v>131</v>
      </c>
      <c r="I26" s="14" t="s">
        <v>98</v>
      </c>
      <c r="J26" s="15"/>
      <c r="K26" s="13" t="str">
        <f>"85,0"</f>
        <v>85,0</v>
      </c>
      <c r="L26" s="13" t="str">
        <f>"75,1825"</f>
        <v>75,1825</v>
      </c>
      <c r="M26" s="11"/>
    </row>
    <row r="28" spans="1:13" ht="16">
      <c r="A28" s="68" t="s">
        <v>152</v>
      </c>
      <c r="B28" s="68"/>
      <c r="C28" s="69"/>
      <c r="D28" s="69"/>
      <c r="E28" s="69"/>
      <c r="F28" s="69"/>
      <c r="G28" s="69"/>
      <c r="H28" s="69"/>
      <c r="I28" s="69"/>
      <c r="J28" s="69"/>
    </row>
    <row r="29" spans="1:13">
      <c r="A29" s="15" t="s">
        <v>91</v>
      </c>
      <c r="B29" s="11" t="s">
        <v>388</v>
      </c>
      <c r="C29" s="11" t="s">
        <v>389</v>
      </c>
      <c r="D29" s="11" t="s">
        <v>285</v>
      </c>
      <c r="E29" s="12" t="s">
        <v>689</v>
      </c>
      <c r="F29" s="11" t="s">
        <v>12</v>
      </c>
      <c r="G29" s="14" t="s">
        <v>97</v>
      </c>
      <c r="H29" s="32" t="s">
        <v>131</v>
      </c>
      <c r="I29" s="14" t="s">
        <v>99</v>
      </c>
      <c r="J29" s="15"/>
      <c r="K29" s="13" t="str">
        <f>"85,0"</f>
        <v>85,0</v>
      </c>
      <c r="L29" s="13" t="str">
        <f>"67,5920"</f>
        <v>67,5920</v>
      </c>
      <c r="M29" s="11"/>
    </row>
    <row r="31" spans="1:13" ht="16">
      <c r="A31" s="68" t="s">
        <v>162</v>
      </c>
      <c r="B31" s="68"/>
      <c r="C31" s="69"/>
      <c r="D31" s="69"/>
      <c r="E31" s="69"/>
      <c r="F31" s="69"/>
      <c r="G31" s="69"/>
      <c r="H31" s="69"/>
      <c r="I31" s="69"/>
      <c r="J31" s="69"/>
    </row>
    <row r="32" spans="1:13">
      <c r="A32" s="34" t="s">
        <v>91</v>
      </c>
      <c r="B32" s="16" t="s">
        <v>390</v>
      </c>
      <c r="C32" s="16" t="s">
        <v>639</v>
      </c>
      <c r="D32" s="16" t="s">
        <v>391</v>
      </c>
      <c r="E32" s="17" t="s">
        <v>690</v>
      </c>
      <c r="F32" s="16" t="s">
        <v>12</v>
      </c>
      <c r="G32" s="33" t="s">
        <v>113</v>
      </c>
      <c r="H32" s="41" t="s">
        <v>114</v>
      </c>
      <c r="I32" s="41" t="s">
        <v>114</v>
      </c>
      <c r="J32" s="34"/>
      <c r="K32" s="18" t="str">
        <f>"92,5"</f>
        <v>92,5</v>
      </c>
      <c r="L32" s="18" t="str">
        <f>"67,6638"</f>
        <v>67,6638</v>
      </c>
      <c r="M32" s="16" t="s">
        <v>132</v>
      </c>
    </row>
    <row r="33" spans="1:13">
      <c r="A33" s="40" t="s">
        <v>91</v>
      </c>
      <c r="B33" s="22" t="s">
        <v>392</v>
      </c>
      <c r="C33" s="22" t="s">
        <v>393</v>
      </c>
      <c r="D33" s="22" t="s">
        <v>394</v>
      </c>
      <c r="E33" s="23" t="s">
        <v>687</v>
      </c>
      <c r="F33" s="22" t="s">
        <v>70</v>
      </c>
      <c r="G33" s="39" t="s">
        <v>197</v>
      </c>
      <c r="H33" s="38" t="s">
        <v>233</v>
      </c>
      <c r="I33" s="39" t="s">
        <v>233</v>
      </c>
      <c r="J33" s="40"/>
      <c r="K33" s="24" t="str">
        <f>"147,5"</f>
        <v>147,5</v>
      </c>
      <c r="L33" s="24" t="str">
        <f>"107,1440"</f>
        <v>107,1440</v>
      </c>
      <c r="M33" s="22"/>
    </row>
    <row r="34" spans="1:13">
      <c r="A34" s="40" t="s">
        <v>92</v>
      </c>
      <c r="B34" s="22" t="s">
        <v>193</v>
      </c>
      <c r="C34" s="22" t="s">
        <v>194</v>
      </c>
      <c r="D34" s="22" t="s">
        <v>195</v>
      </c>
      <c r="E34" s="23" t="s">
        <v>687</v>
      </c>
      <c r="F34" s="22" t="s">
        <v>21</v>
      </c>
      <c r="G34" s="39" t="s">
        <v>197</v>
      </c>
      <c r="H34" s="39" t="s">
        <v>198</v>
      </c>
      <c r="I34" s="39" t="s">
        <v>77</v>
      </c>
      <c r="J34" s="40"/>
      <c r="K34" s="24" t="str">
        <f>"145,0"</f>
        <v>145,0</v>
      </c>
      <c r="L34" s="24" t="str">
        <f>"106,7200"</f>
        <v>106,7200</v>
      </c>
      <c r="M34" s="22" t="s">
        <v>180</v>
      </c>
    </row>
    <row r="35" spans="1:13">
      <c r="A35" s="40" t="s">
        <v>280</v>
      </c>
      <c r="B35" s="22" t="s">
        <v>395</v>
      </c>
      <c r="C35" s="22" t="s">
        <v>396</v>
      </c>
      <c r="D35" s="22" t="s">
        <v>397</v>
      </c>
      <c r="E35" s="23" t="s">
        <v>687</v>
      </c>
      <c r="F35" s="22" t="s">
        <v>12</v>
      </c>
      <c r="G35" s="39" t="s">
        <v>30</v>
      </c>
      <c r="H35" s="39" t="s">
        <v>146</v>
      </c>
      <c r="I35" s="38" t="s">
        <v>76</v>
      </c>
      <c r="J35" s="40"/>
      <c r="K35" s="24" t="str">
        <f>"130,0"</f>
        <v>130,0</v>
      </c>
      <c r="L35" s="24" t="str">
        <f>"95,4850"</f>
        <v>95,4850</v>
      </c>
      <c r="M35" s="22" t="s">
        <v>289</v>
      </c>
    </row>
    <row r="36" spans="1:13">
      <c r="A36" s="40" t="s">
        <v>281</v>
      </c>
      <c r="B36" s="22" t="s">
        <v>398</v>
      </c>
      <c r="C36" s="22" t="s">
        <v>399</v>
      </c>
      <c r="D36" s="22" t="s">
        <v>400</v>
      </c>
      <c r="E36" s="23" t="s">
        <v>687</v>
      </c>
      <c r="F36" s="22" t="s">
        <v>12</v>
      </c>
      <c r="G36" s="38" t="s">
        <v>222</v>
      </c>
      <c r="H36" s="39" t="s">
        <v>222</v>
      </c>
      <c r="I36" s="39" t="s">
        <v>155</v>
      </c>
      <c r="J36" s="40"/>
      <c r="K36" s="24" t="str">
        <f>"122,5"</f>
        <v>122,5</v>
      </c>
      <c r="L36" s="24" t="str">
        <f>"88,2858"</f>
        <v>88,2858</v>
      </c>
      <c r="M36" s="22" t="s">
        <v>401</v>
      </c>
    </row>
    <row r="37" spans="1:13">
      <c r="A37" s="40" t="s">
        <v>282</v>
      </c>
      <c r="B37" s="22" t="s">
        <v>402</v>
      </c>
      <c r="C37" s="22" t="s">
        <v>403</v>
      </c>
      <c r="D37" s="22" t="s">
        <v>404</v>
      </c>
      <c r="E37" s="23" t="s">
        <v>687</v>
      </c>
      <c r="F37" s="22" t="s">
        <v>12</v>
      </c>
      <c r="G37" s="39" t="s">
        <v>28</v>
      </c>
      <c r="H37" s="39" t="s">
        <v>222</v>
      </c>
      <c r="I37" s="38" t="s">
        <v>155</v>
      </c>
      <c r="J37" s="40"/>
      <c r="K37" s="24" t="str">
        <f>"117,5"</f>
        <v>117,5</v>
      </c>
      <c r="L37" s="24" t="str">
        <f>"84,0360"</f>
        <v>84,0360</v>
      </c>
      <c r="M37" s="22"/>
    </row>
    <row r="38" spans="1:13">
      <c r="A38" s="40" t="s">
        <v>91</v>
      </c>
      <c r="B38" s="22" t="s">
        <v>193</v>
      </c>
      <c r="C38" s="22" t="s">
        <v>632</v>
      </c>
      <c r="D38" s="22" t="s">
        <v>195</v>
      </c>
      <c r="E38" s="23" t="s">
        <v>691</v>
      </c>
      <c r="F38" s="22" t="s">
        <v>21</v>
      </c>
      <c r="G38" s="39" t="s">
        <v>197</v>
      </c>
      <c r="H38" s="39" t="s">
        <v>198</v>
      </c>
      <c r="I38" s="39" t="s">
        <v>77</v>
      </c>
      <c r="J38" s="40"/>
      <c r="K38" s="24" t="str">
        <f>"145,0"</f>
        <v>145,0</v>
      </c>
      <c r="L38" s="24" t="str">
        <f>"122,7280"</f>
        <v>122,7280</v>
      </c>
      <c r="M38" s="22" t="s">
        <v>180</v>
      </c>
    </row>
    <row r="39" spans="1:13">
      <c r="A39" s="37" t="s">
        <v>91</v>
      </c>
      <c r="B39" s="19" t="s">
        <v>405</v>
      </c>
      <c r="C39" s="19" t="s">
        <v>640</v>
      </c>
      <c r="D39" s="19" t="s">
        <v>407</v>
      </c>
      <c r="E39" s="20" t="s">
        <v>693</v>
      </c>
      <c r="F39" s="19" t="s">
        <v>606</v>
      </c>
      <c r="G39" s="36" t="s">
        <v>99</v>
      </c>
      <c r="H39" s="35" t="s">
        <v>108</v>
      </c>
      <c r="I39" s="35" t="s">
        <v>108</v>
      </c>
      <c r="J39" s="37"/>
      <c r="K39" s="21" t="str">
        <f>"90,0"</f>
        <v>90,0</v>
      </c>
      <c r="L39" s="21" t="str">
        <f>"104,6067"</f>
        <v>104,6067</v>
      </c>
      <c r="M39" s="19"/>
    </row>
    <row r="41" spans="1:13" ht="16">
      <c r="A41" s="68" t="s">
        <v>216</v>
      </c>
      <c r="B41" s="68"/>
      <c r="C41" s="69"/>
      <c r="D41" s="69"/>
      <c r="E41" s="69"/>
      <c r="F41" s="69"/>
      <c r="G41" s="69"/>
      <c r="H41" s="69"/>
      <c r="I41" s="69"/>
      <c r="J41" s="69"/>
    </row>
    <row r="42" spans="1:13">
      <c r="A42" s="34" t="s">
        <v>91</v>
      </c>
      <c r="B42" s="16" t="s">
        <v>408</v>
      </c>
      <c r="C42" s="16" t="s">
        <v>409</v>
      </c>
      <c r="D42" s="16" t="s">
        <v>410</v>
      </c>
      <c r="E42" s="17" t="s">
        <v>689</v>
      </c>
      <c r="F42" s="16" t="s">
        <v>21</v>
      </c>
      <c r="G42" s="33" t="s">
        <v>108</v>
      </c>
      <c r="H42" s="33" t="s">
        <v>150</v>
      </c>
      <c r="I42" s="41" t="s">
        <v>124</v>
      </c>
      <c r="J42" s="34"/>
      <c r="K42" s="18" t="str">
        <f>"102,5"</f>
        <v>102,5</v>
      </c>
      <c r="L42" s="18" t="str">
        <f>"72,3138"</f>
        <v>72,3138</v>
      </c>
      <c r="M42" s="16"/>
    </row>
    <row r="43" spans="1:13">
      <c r="A43" s="40" t="s">
        <v>91</v>
      </c>
      <c r="B43" s="22" t="s">
        <v>411</v>
      </c>
      <c r="C43" s="22" t="s">
        <v>641</v>
      </c>
      <c r="D43" s="22" t="s">
        <v>412</v>
      </c>
      <c r="E43" s="23" t="s">
        <v>690</v>
      </c>
      <c r="F43" s="22" t="s">
        <v>12</v>
      </c>
      <c r="G43" s="39" t="s">
        <v>155</v>
      </c>
      <c r="H43" s="39" t="s">
        <v>156</v>
      </c>
      <c r="I43" s="38" t="s">
        <v>146</v>
      </c>
      <c r="J43" s="40"/>
      <c r="K43" s="24" t="str">
        <f>"127,5"</f>
        <v>127,5</v>
      </c>
      <c r="L43" s="24" t="str">
        <f>"85,9223"</f>
        <v>85,9223</v>
      </c>
      <c r="M43" s="22"/>
    </row>
    <row r="44" spans="1:13">
      <c r="A44" s="40" t="s">
        <v>92</v>
      </c>
      <c r="B44" s="22" t="s">
        <v>413</v>
      </c>
      <c r="C44" s="22" t="s">
        <v>642</v>
      </c>
      <c r="D44" s="22" t="s">
        <v>414</v>
      </c>
      <c r="E44" s="23" t="s">
        <v>690</v>
      </c>
      <c r="F44" s="22" t="s">
        <v>415</v>
      </c>
      <c r="G44" s="39" t="s">
        <v>23</v>
      </c>
      <c r="H44" s="39" t="s">
        <v>28</v>
      </c>
      <c r="I44" s="39" t="s">
        <v>222</v>
      </c>
      <c r="J44" s="40"/>
      <c r="K44" s="24" t="str">
        <f>"117,5"</f>
        <v>117,5</v>
      </c>
      <c r="L44" s="24" t="str">
        <f>"80,0293"</f>
        <v>80,0293</v>
      </c>
      <c r="M44" s="22"/>
    </row>
    <row r="45" spans="1:13">
      <c r="A45" s="40" t="s">
        <v>280</v>
      </c>
      <c r="B45" s="22" t="s">
        <v>416</v>
      </c>
      <c r="C45" s="22" t="s">
        <v>643</v>
      </c>
      <c r="D45" s="22" t="s">
        <v>417</v>
      </c>
      <c r="E45" s="23" t="s">
        <v>690</v>
      </c>
      <c r="F45" s="22" t="s">
        <v>12</v>
      </c>
      <c r="G45" s="38" t="s">
        <v>114</v>
      </c>
      <c r="H45" s="39" t="s">
        <v>114</v>
      </c>
      <c r="I45" s="38" t="s">
        <v>150</v>
      </c>
      <c r="J45" s="40"/>
      <c r="K45" s="24" t="str">
        <f>"97,5"</f>
        <v>97,5</v>
      </c>
      <c r="L45" s="24" t="str">
        <f>"65,9978"</f>
        <v>65,9978</v>
      </c>
      <c r="M45" s="22"/>
    </row>
    <row r="46" spans="1:13">
      <c r="A46" s="40" t="s">
        <v>91</v>
      </c>
      <c r="B46" s="22" t="s">
        <v>418</v>
      </c>
      <c r="C46" s="22" t="s">
        <v>419</v>
      </c>
      <c r="D46" s="22" t="s">
        <v>296</v>
      </c>
      <c r="E46" s="23" t="s">
        <v>687</v>
      </c>
      <c r="F46" s="22" t="s">
        <v>12</v>
      </c>
      <c r="G46" s="39" t="s">
        <v>172</v>
      </c>
      <c r="H46" s="38" t="s">
        <v>203</v>
      </c>
      <c r="I46" s="39" t="s">
        <v>203</v>
      </c>
      <c r="J46" s="40"/>
      <c r="K46" s="24" t="str">
        <f>"155,0"</f>
        <v>155,0</v>
      </c>
      <c r="L46" s="24" t="str">
        <f>"104,3770"</f>
        <v>104,3770</v>
      </c>
      <c r="M46" s="22"/>
    </row>
    <row r="47" spans="1:13">
      <c r="A47" s="40" t="s">
        <v>92</v>
      </c>
      <c r="B47" s="22" t="s">
        <v>420</v>
      </c>
      <c r="C47" s="22" t="s">
        <v>421</v>
      </c>
      <c r="D47" s="22" t="s">
        <v>422</v>
      </c>
      <c r="E47" s="23" t="s">
        <v>687</v>
      </c>
      <c r="F47" s="22" t="s">
        <v>70</v>
      </c>
      <c r="G47" s="39" t="s">
        <v>22</v>
      </c>
      <c r="H47" s="39" t="s">
        <v>24</v>
      </c>
      <c r="I47" s="39" t="s">
        <v>222</v>
      </c>
      <c r="J47" s="40"/>
      <c r="K47" s="24" t="str">
        <f>"117,5"</f>
        <v>117,5</v>
      </c>
      <c r="L47" s="24" t="str">
        <f>"79,3007"</f>
        <v>79,3007</v>
      </c>
      <c r="M47" s="22" t="s">
        <v>293</v>
      </c>
    </row>
    <row r="48" spans="1:13">
      <c r="A48" s="40" t="s">
        <v>91</v>
      </c>
      <c r="B48" s="22" t="s">
        <v>423</v>
      </c>
      <c r="C48" s="22" t="s">
        <v>644</v>
      </c>
      <c r="D48" s="22" t="s">
        <v>226</v>
      </c>
      <c r="E48" s="23" t="s">
        <v>688</v>
      </c>
      <c r="F48" s="22" t="s">
        <v>12</v>
      </c>
      <c r="G48" s="39" t="s">
        <v>29</v>
      </c>
      <c r="H48" s="39" t="s">
        <v>156</v>
      </c>
      <c r="I48" s="38" t="s">
        <v>76</v>
      </c>
      <c r="J48" s="40"/>
      <c r="K48" s="24" t="str">
        <f>"127,5"</f>
        <v>127,5</v>
      </c>
      <c r="L48" s="24" t="str">
        <f>"86,7373"</f>
        <v>86,7373</v>
      </c>
      <c r="M48" s="22" t="s">
        <v>293</v>
      </c>
    </row>
    <row r="49" spans="1:13">
      <c r="A49" s="37" t="s">
        <v>91</v>
      </c>
      <c r="B49" s="19" t="s">
        <v>418</v>
      </c>
      <c r="C49" s="19" t="s">
        <v>645</v>
      </c>
      <c r="D49" s="19" t="s">
        <v>296</v>
      </c>
      <c r="E49" s="20" t="s">
        <v>692</v>
      </c>
      <c r="F49" s="19" t="s">
        <v>12</v>
      </c>
      <c r="G49" s="36" t="s">
        <v>172</v>
      </c>
      <c r="H49" s="35" t="s">
        <v>203</v>
      </c>
      <c r="I49" s="36" t="s">
        <v>203</v>
      </c>
      <c r="J49" s="37"/>
      <c r="K49" s="21" t="str">
        <f>"155,0"</f>
        <v>155,0</v>
      </c>
      <c r="L49" s="21" t="str">
        <f>"110,6396"</f>
        <v>110,6396</v>
      </c>
      <c r="M49" s="19"/>
    </row>
    <row r="51" spans="1:13" ht="16">
      <c r="A51" s="68" t="s">
        <v>31</v>
      </c>
      <c r="B51" s="68"/>
      <c r="C51" s="69"/>
      <c r="D51" s="69"/>
      <c r="E51" s="69"/>
      <c r="F51" s="69"/>
      <c r="G51" s="69"/>
      <c r="H51" s="69"/>
      <c r="I51" s="69"/>
      <c r="J51" s="69"/>
    </row>
    <row r="52" spans="1:13">
      <c r="A52" s="34" t="s">
        <v>91</v>
      </c>
      <c r="B52" s="16" t="s">
        <v>424</v>
      </c>
      <c r="C52" s="16" t="s">
        <v>425</v>
      </c>
      <c r="D52" s="16" t="s">
        <v>426</v>
      </c>
      <c r="E52" s="17" t="s">
        <v>689</v>
      </c>
      <c r="F52" s="16" t="s">
        <v>606</v>
      </c>
      <c r="G52" s="33" t="s">
        <v>122</v>
      </c>
      <c r="H52" s="33" t="s">
        <v>131</v>
      </c>
      <c r="I52" s="33" t="s">
        <v>99</v>
      </c>
      <c r="J52" s="34"/>
      <c r="K52" s="18" t="str">
        <f>"90,0"</f>
        <v>90,0</v>
      </c>
      <c r="L52" s="18" t="str">
        <f>"57,5550"</f>
        <v>57,5550</v>
      </c>
      <c r="M52" s="16" t="s">
        <v>117</v>
      </c>
    </row>
    <row r="53" spans="1:13">
      <c r="A53" s="40" t="s">
        <v>91</v>
      </c>
      <c r="B53" s="22" t="s">
        <v>239</v>
      </c>
      <c r="C53" s="22" t="s">
        <v>635</v>
      </c>
      <c r="D53" s="22" t="s">
        <v>240</v>
      </c>
      <c r="E53" s="23" t="s">
        <v>690</v>
      </c>
      <c r="F53" s="22" t="s">
        <v>12</v>
      </c>
      <c r="G53" s="39" t="s">
        <v>156</v>
      </c>
      <c r="H53" s="39" t="s">
        <v>103</v>
      </c>
      <c r="I53" s="39" t="s">
        <v>76</v>
      </c>
      <c r="J53" s="40"/>
      <c r="K53" s="24" t="str">
        <f>"135,0"</f>
        <v>135,0</v>
      </c>
      <c r="L53" s="24" t="str">
        <f>"87,8445"</f>
        <v>87,8445</v>
      </c>
      <c r="M53" s="22" t="s">
        <v>241</v>
      </c>
    </row>
    <row r="54" spans="1:13">
      <c r="A54" s="40" t="s">
        <v>92</v>
      </c>
      <c r="B54" s="22" t="s">
        <v>427</v>
      </c>
      <c r="C54" s="22" t="s">
        <v>646</v>
      </c>
      <c r="D54" s="22" t="s">
        <v>428</v>
      </c>
      <c r="E54" s="23" t="s">
        <v>690</v>
      </c>
      <c r="F54" s="22" t="s">
        <v>12</v>
      </c>
      <c r="G54" s="39" t="s">
        <v>107</v>
      </c>
      <c r="H54" s="39" t="s">
        <v>131</v>
      </c>
      <c r="I54" s="39" t="s">
        <v>99</v>
      </c>
      <c r="J54" s="40"/>
      <c r="K54" s="24" t="str">
        <f>"90,0"</f>
        <v>90,0</v>
      </c>
      <c r="L54" s="24" t="str">
        <f>"58,6350"</f>
        <v>58,6350</v>
      </c>
      <c r="M54" s="22"/>
    </row>
    <row r="55" spans="1:13">
      <c r="A55" s="40" t="s">
        <v>91</v>
      </c>
      <c r="B55" s="22" t="s">
        <v>429</v>
      </c>
      <c r="C55" s="22" t="s">
        <v>430</v>
      </c>
      <c r="D55" s="22" t="s">
        <v>431</v>
      </c>
      <c r="E55" s="23" t="s">
        <v>687</v>
      </c>
      <c r="F55" s="22" t="s">
        <v>12</v>
      </c>
      <c r="G55" s="39" t="s">
        <v>251</v>
      </c>
      <c r="H55" s="38" t="s">
        <v>342</v>
      </c>
      <c r="I55" s="38" t="s">
        <v>342</v>
      </c>
      <c r="J55" s="40"/>
      <c r="K55" s="24" t="str">
        <f>"195,0"</f>
        <v>195,0</v>
      </c>
      <c r="L55" s="24" t="str">
        <f>"125,0535"</f>
        <v>125,0535</v>
      </c>
      <c r="M55" s="22"/>
    </row>
    <row r="56" spans="1:13">
      <c r="A56" s="40" t="s">
        <v>92</v>
      </c>
      <c r="B56" s="22" t="s">
        <v>242</v>
      </c>
      <c r="C56" s="22" t="s">
        <v>243</v>
      </c>
      <c r="D56" s="22" t="s">
        <v>244</v>
      </c>
      <c r="E56" s="23" t="s">
        <v>687</v>
      </c>
      <c r="F56" s="22" t="s">
        <v>12</v>
      </c>
      <c r="G56" s="39" t="s">
        <v>203</v>
      </c>
      <c r="H56" s="39" t="s">
        <v>232</v>
      </c>
      <c r="I56" s="38" t="s">
        <v>38</v>
      </c>
      <c r="J56" s="40"/>
      <c r="K56" s="24" t="str">
        <f>"165,0"</f>
        <v>165,0</v>
      </c>
      <c r="L56" s="24" t="str">
        <f>"105,8805"</f>
        <v>105,8805</v>
      </c>
      <c r="M56" s="22" t="s">
        <v>224</v>
      </c>
    </row>
    <row r="57" spans="1:13">
      <c r="A57" s="40" t="s">
        <v>280</v>
      </c>
      <c r="B57" s="22" t="s">
        <v>304</v>
      </c>
      <c r="C57" s="22" t="s">
        <v>305</v>
      </c>
      <c r="D57" s="22" t="s">
        <v>426</v>
      </c>
      <c r="E57" s="23" t="s">
        <v>687</v>
      </c>
      <c r="F57" s="22" t="s">
        <v>12</v>
      </c>
      <c r="G57" s="39" t="s">
        <v>203</v>
      </c>
      <c r="H57" s="39" t="s">
        <v>232</v>
      </c>
      <c r="I57" s="38" t="s">
        <v>47</v>
      </c>
      <c r="J57" s="40"/>
      <c r="K57" s="24" t="str">
        <f>"165,0"</f>
        <v>165,0</v>
      </c>
      <c r="L57" s="24" t="str">
        <f>"105,5175"</f>
        <v>105,5175</v>
      </c>
      <c r="M57" s="22"/>
    </row>
    <row r="58" spans="1:13">
      <c r="A58" s="40" t="s">
        <v>281</v>
      </c>
      <c r="B58" s="22" t="s">
        <v>259</v>
      </c>
      <c r="C58" s="22" t="s">
        <v>260</v>
      </c>
      <c r="D58" s="22" t="s">
        <v>261</v>
      </c>
      <c r="E58" s="23" t="s">
        <v>687</v>
      </c>
      <c r="F58" s="22" t="s">
        <v>12</v>
      </c>
      <c r="G58" s="39" t="s">
        <v>197</v>
      </c>
      <c r="H58" s="39" t="s">
        <v>77</v>
      </c>
      <c r="I58" s="38" t="s">
        <v>172</v>
      </c>
      <c r="J58" s="40"/>
      <c r="K58" s="24" t="str">
        <f>"145,0"</f>
        <v>145,0</v>
      </c>
      <c r="L58" s="24" t="str">
        <f>"93,4380"</f>
        <v>93,4380</v>
      </c>
      <c r="M58" s="22" t="s">
        <v>262</v>
      </c>
    </row>
    <row r="59" spans="1:13">
      <c r="A59" s="40" t="s">
        <v>282</v>
      </c>
      <c r="B59" s="22" t="s">
        <v>432</v>
      </c>
      <c r="C59" s="22" t="s">
        <v>433</v>
      </c>
      <c r="D59" s="22" t="s">
        <v>434</v>
      </c>
      <c r="E59" s="23" t="s">
        <v>687</v>
      </c>
      <c r="F59" s="22" t="s">
        <v>12</v>
      </c>
      <c r="G59" s="39" t="s">
        <v>24</v>
      </c>
      <c r="H59" s="39" t="s">
        <v>29</v>
      </c>
      <c r="I59" s="38" t="s">
        <v>103</v>
      </c>
      <c r="J59" s="40"/>
      <c r="K59" s="24" t="str">
        <f>"120,0"</f>
        <v>120,0</v>
      </c>
      <c r="L59" s="24" t="str">
        <f>"77,0520"</f>
        <v>77,0520</v>
      </c>
      <c r="M59" s="22" t="s">
        <v>293</v>
      </c>
    </row>
    <row r="60" spans="1:13">
      <c r="A60" s="40" t="s">
        <v>495</v>
      </c>
      <c r="B60" s="22" t="s">
        <v>435</v>
      </c>
      <c r="C60" s="22" t="s">
        <v>436</v>
      </c>
      <c r="D60" s="22" t="s">
        <v>437</v>
      </c>
      <c r="E60" s="23" t="s">
        <v>687</v>
      </c>
      <c r="F60" s="22" t="s">
        <v>606</v>
      </c>
      <c r="G60" s="39" t="s">
        <v>122</v>
      </c>
      <c r="H60" s="39" t="s">
        <v>99</v>
      </c>
      <c r="I60" s="38" t="s">
        <v>108</v>
      </c>
      <c r="J60" s="40"/>
      <c r="K60" s="24" t="str">
        <f>"90,0"</f>
        <v>90,0</v>
      </c>
      <c r="L60" s="24" t="str">
        <f>"59,8230"</f>
        <v>59,8230</v>
      </c>
      <c r="M60" s="22" t="s">
        <v>117</v>
      </c>
    </row>
    <row r="61" spans="1:13">
      <c r="A61" s="40" t="s">
        <v>91</v>
      </c>
      <c r="B61" s="22" t="s">
        <v>438</v>
      </c>
      <c r="C61" s="22" t="s">
        <v>647</v>
      </c>
      <c r="D61" s="22" t="s">
        <v>439</v>
      </c>
      <c r="E61" s="23" t="s">
        <v>688</v>
      </c>
      <c r="F61" s="22" t="s">
        <v>12</v>
      </c>
      <c r="G61" s="39" t="s">
        <v>76</v>
      </c>
      <c r="H61" s="39" t="s">
        <v>198</v>
      </c>
      <c r="I61" s="38" t="s">
        <v>77</v>
      </c>
      <c r="J61" s="40"/>
      <c r="K61" s="24" t="str">
        <f>"142,5"</f>
        <v>142,5</v>
      </c>
      <c r="L61" s="24" t="str">
        <f>"93,3293"</f>
        <v>93,3293</v>
      </c>
      <c r="M61" s="22" t="s">
        <v>52</v>
      </c>
    </row>
    <row r="62" spans="1:13">
      <c r="A62" s="40" t="s">
        <v>91</v>
      </c>
      <c r="B62" s="22" t="s">
        <v>440</v>
      </c>
      <c r="C62" s="22" t="s">
        <v>648</v>
      </c>
      <c r="D62" s="22" t="s">
        <v>441</v>
      </c>
      <c r="E62" s="23" t="s">
        <v>692</v>
      </c>
      <c r="F62" s="22" t="s">
        <v>12</v>
      </c>
      <c r="G62" s="39" t="s">
        <v>233</v>
      </c>
      <c r="H62" s="39" t="s">
        <v>310</v>
      </c>
      <c r="I62" s="38" t="s">
        <v>203</v>
      </c>
      <c r="J62" s="40"/>
      <c r="K62" s="24" t="str">
        <f>"152,5"</f>
        <v>152,5</v>
      </c>
      <c r="L62" s="24" t="str">
        <f>"105,7389"</f>
        <v>105,7389</v>
      </c>
      <c r="M62" s="22" t="s">
        <v>442</v>
      </c>
    </row>
    <row r="63" spans="1:13">
      <c r="A63" s="40" t="s">
        <v>92</v>
      </c>
      <c r="B63" s="22" t="s">
        <v>443</v>
      </c>
      <c r="C63" s="22" t="s">
        <v>649</v>
      </c>
      <c r="D63" s="22" t="s">
        <v>444</v>
      </c>
      <c r="E63" s="23" t="s">
        <v>692</v>
      </c>
      <c r="F63" s="22" t="s">
        <v>12</v>
      </c>
      <c r="G63" s="39" t="s">
        <v>146</v>
      </c>
      <c r="H63" s="39" t="s">
        <v>103</v>
      </c>
      <c r="I63" s="38" t="s">
        <v>76</v>
      </c>
      <c r="J63" s="40"/>
      <c r="K63" s="24" t="str">
        <f>"132,5"</f>
        <v>132,5</v>
      </c>
      <c r="L63" s="24" t="str">
        <f>"89,9723"</f>
        <v>89,9723</v>
      </c>
      <c r="M63" s="22"/>
    </row>
    <row r="64" spans="1:13">
      <c r="A64" s="37" t="s">
        <v>91</v>
      </c>
      <c r="B64" s="19" t="s">
        <v>445</v>
      </c>
      <c r="C64" s="19" t="s">
        <v>650</v>
      </c>
      <c r="D64" s="19" t="s">
        <v>446</v>
      </c>
      <c r="E64" s="20" t="s">
        <v>693</v>
      </c>
      <c r="F64" s="19" t="s">
        <v>447</v>
      </c>
      <c r="G64" s="36" t="s">
        <v>76</v>
      </c>
      <c r="H64" s="36" t="s">
        <v>198</v>
      </c>
      <c r="I64" s="35" t="s">
        <v>77</v>
      </c>
      <c r="J64" s="37"/>
      <c r="K64" s="21" t="str">
        <f>"142,5"</f>
        <v>142,5</v>
      </c>
      <c r="L64" s="21" t="str">
        <f>"150,3344"</f>
        <v>150,3344</v>
      </c>
      <c r="M64" s="19"/>
    </row>
    <row r="66" spans="1:13" ht="16">
      <c r="A66" s="68" t="s">
        <v>11</v>
      </c>
      <c r="B66" s="68"/>
      <c r="C66" s="69"/>
      <c r="D66" s="69"/>
      <c r="E66" s="69"/>
      <c r="F66" s="69"/>
      <c r="G66" s="69"/>
      <c r="H66" s="69"/>
      <c r="I66" s="69"/>
      <c r="J66" s="69"/>
    </row>
    <row r="67" spans="1:13">
      <c r="A67" s="34" t="s">
        <v>91</v>
      </c>
      <c r="B67" s="16" t="s">
        <v>448</v>
      </c>
      <c r="C67" s="16" t="s">
        <v>449</v>
      </c>
      <c r="D67" s="16" t="s">
        <v>450</v>
      </c>
      <c r="E67" s="17" t="s">
        <v>687</v>
      </c>
      <c r="F67" s="16" t="s">
        <v>12</v>
      </c>
      <c r="G67" s="33" t="s">
        <v>203</v>
      </c>
      <c r="H67" s="33" t="s">
        <v>173</v>
      </c>
      <c r="I67" s="33" t="s">
        <v>232</v>
      </c>
      <c r="J67" s="34"/>
      <c r="K67" s="18" t="str">
        <f>"165,0"</f>
        <v>165,0</v>
      </c>
      <c r="L67" s="18" t="str">
        <f>"101,6895"</f>
        <v>101,6895</v>
      </c>
      <c r="M67" s="16"/>
    </row>
    <row r="68" spans="1:13">
      <c r="A68" s="40" t="s">
        <v>92</v>
      </c>
      <c r="B68" s="22" t="s">
        <v>451</v>
      </c>
      <c r="C68" s="22" t="s">
        <v>452</v>
      </c>
      <c r="D68" s="22" t="s">
        <v>453</v>
      </c>
      <c r="E68" s="23" t="s">
        <v>687</v>
      </c>
      <c r="F68" s="22" t="s">
        <v>454</v>
      </c>
      <c r="G68" s="39" t="s">
        <v>59</v>
      </c>
      <c r="H68" s="39" t="s">
        <v>232</v>
      </c>
      <c r="I68" s="38" t="s">
        <v>47</v>
      </c>
      <c r="J68" s="40"/>
      <c r="K68" s="24" t="str">
        <f>"165,0"</f>
        <v>165,0</v>
      </c>
      <c r="L68" s="24" t="str">
        <f>"101,4255"</f>
        <v>101,4255</v>
      </c>
      <c r="M68" s="22"/>
    </row>
    <row r="69" spans="1:13">
      <c r="A69" s="40" t="s">
        <v>280</v>
      </c>
      <c r="B69" s="22" t="s">
        <v>455</v>
      </c>
      <c r="C69" s="22" t="s">
        <v>456</v>
      </c>
      <c r="D69" s="22" t="s">
        <v>457</v>
      </c>
      <c r="E69" s="23" t="s">
        <v>687</v>
      </c>
      <c r="F69" s="22" t="s">
        <v>21</v>
      </c>
      <c r="G69" s="38" t="s">
        <v>203</v>
      </c>
      <c r="H69" s="39" t="s">
        <v>196</v>
      </c>
      <c r="I69" s="39" t="s">
        <v>173</v>
      </c>
      <c r="J69" s="40"/>
      <c r="K69" s="24" t="str">
        <f>"162,5"</f>
        <v>162,5</v>
      </c>
      <c r="L69" s="24" t="str">
        <f>"101,2213"</f>
        <v>101,2213</v>
      </c>
      <c r="M69" s="22" t="s">
        <v>458</v>
      </c>
    </row>
    <row r="70" spans="1:13">
      <c r="A70" s="40" t="s">
        <v>281</v>
      </c>
      <c r="B70" s="22" t="s">
        <v>459</v>
      </c>
      <c r="C70" s="22" t="s">
        <v>460</v>
      </c>
      <c r="D70" s="22" t="s">
        <v>453</v>
      </c>
      <c r="E70" s="23" t="s">
        <v>687</v>
      </c>
      <c r="F70" s="22" t="s">
        <v>21</v>
      </c>
      <c r="G70" s="39" t="s">
        <v>173</v>
      </c>
      <c r="H70" s="38" t="s">
        <v>461</v>
      </c>
      <c r="I70" s="38" t="s">
        <v>461</v>
      </c>
      <c r="J70" s="40"/>
      <c r="K70" s="24" t="str">
        <f>"162,5"</f>
        <v>162,5</v>
      </c>
      <c r="L70" s="24" t="str">
        <f>"99,8888"</f>
        <v>99,8888</v>
      </c>
      <c r="M70" s="22"/>
    </row>
    <row r="71" spans="1:13">
      <c r="A71" s="40" t="s">
        <v>282</v>
      </c>
      <c r="B71" s="22" t="s">
        <v>462</v>
      </c>
      <c r="C71" s="22" t="s">
        <v>463</v>
      </c>
      <c r="D71" s="22" t="s">
        <v>464</v>
      </c>
      <c r="E71" s="23" t="s">
        <v>687</v>
      </c>
      <c r="F71" s="22" t="s">
        <v>12</v>
      </c>
      <c r="G71" s="39" t="s">
        <v>59</v>
      </c>
      <c r="H71" s="39" t="s">
        <v>173</v>
      </c>
      <c r="I71" s="38" t="s">
        <v>232</v>
      </c>
      <c r="J71" s="40"/>
      <c r="K71" s="24" t="str">
        <f>"162,5"</f>
        <v>162,5</v>
      </c>
      <c r="L71" s="24" t="str">
        <f>"99,0600"</f>
        <v>99,0600</v>
      </c>
      <c r="M71" s="22"/>
    </row>
    <row r="72" spans="1:13">
      <c r="A72" s="40" t="s">
        <v>495</v>
      </c>
      <c r="B72" s="22" t="s">
        <v>465</v>
      </c>
      <c r="C72" s="22" t="s">
        <v>466</v>
      </c>
      <c r="D72" s="22" t="s">
        <v>467</v>
      </c>
      <c r="E72" s="23" t="s">
        <v>687</v>
      </c>
      <c r="F72" s="22" t="s">
        <v>12</v>
      </c>
      <c r="G72" s="38" t="s">
        <v>76</v>
      </c>
      <c r="H72" s="38" t="s">
        <v>198</v>
      </c>
      <c r="I72" s="39" t="s">
        <v>198</v>
      </c>
      <c r="J72" s="40"/>
      <c r="K72" s="24" t="str">
        <f>"142,5"</f>
        <v>142,5</v>
      </c>
      <c r="L72" s="24" t="str">
        <f>"87,7515"</f>
        <v>87,7515</v>
      </c>
      <c r="M72" s="22" t="s">
        <v>289</v>
      </c>
    </row>
    <row r="73" spans="1:13">
      <c r="A73" s="40" t="s">
        <v>496</v>
      </c>
      <c r="B73" s="22" t="s">
        <v>468</v>
      </c>
      <c r="C73" s="22" t="s">
        <v>469</v>
      </c>
      <c r="D73" s="22" t="s">
        <v>470</v>
      </c>
      <c r="E73" s="23" t="s">
        <v>687</v>
      </c>
      <c r="F73" s="22" t="s">
        <v>12</v>
      </c>
      <c r="G73" s="39" t="s">
        <v>29</v>
      </c>
      <c r="H73" s="39" t="s">
        <v>146</v>
      </c>
      <c r="I73" s="39" t="s">
        <v>197</v>
      </c>
      <c r="J73" s="40"/>
      <c r="K73" s="24" t="str">
        <f>"140,0"</f>
        <v>140,0</v>
      </c>
      <c r="L73" s="24" t="str">
        <f>"85,9040"</f>
        <v>85,9040</v>
      </c>
      <c r="M73" s="22" t="s">
        <v>471</v>
      </c>
    </row>
    <row r="74" spans="1:13">
      <c r="A74" s="40" t="s">
        <v>497</v>
      </c>
      <c r="B74" s="22" t="s">
        <v>472</v>
      </c>
      <c r="C74" s="22" t="s">
        <v>473</v>
      </c>
      <c r="D74" s="22" t="s">
        <v>474</v>
      </c>
      <c r="E74" s="23" t="s">
        <v>687</v>
      </c>
      <c r="F74" s="22" t="s">
        <v>12</v>
      </c>
      <c r="G74" s="39" t="s">
        <v>222</v>
      </c>
      <c r="H74" s="39" t="s">
        <v>155</v>
      </c>
      <c r="I74" s="38" t="s">
        <v>30</v>
      </c>
      <c r="J74" s="40"/>
      <c r="K74" s="24" t="str">
        <f>"122,5"</f>
        <v>122,5</v>
      </c>
      <c r="L74" s="24" t="str">
        <f>"75,8765"</f>
        <v>75,8765</v>
      </c>
      <c r="M74" s="22" t="s">
        <v>603</v>
      </c>
    </row>
    <row r="75" spans="1:13">
      <c r="A75" s="37" t="s">
        <v>91</v>
      </c>
      <c r="B75" s="19" t="s">
        <v>475</v>
      </c>
      <c r="C75" s="19" t="s">
        <v>651</v>
      </c>
      <c r="D75" s="19" t="s">
        <v>476</v>
      </c>
      <c r="E75" s="20" t="s">
        <v>692</v>
      </c>
      <c r="F75" s="19" t="s">
        <v>12</v>
      </c>
      <c r="G75" s="36" t="s">
        <v>30</v>
      </c>
      <c r="H75" s="36" t="s">
        <v>146</v>
      </c>
      <c r="I75" s="35" t="s">
        <v>76</v>
      </c>
      <c r="J75" s="37"/>
      <c r="K75" s="21" t="str">
        <f>"130,0"</f>
        <v>130,0</v>
      </c>
      <c r="L75" s="21" t="str">
        <f>"90,8890"</f>
        <v>90,8890</v>
      </c>
      <c r="M75" s="19" t="s">
        <v>603</v>
      </c>
    </row>
    <row r="77" spans="1:13" ht="16">
      <c r="A77" s="68" t="s">
        <v>72</v>
      </c>
      <c r="B77" s="68"/>
      <c r="C77" s="69"/>
      <c r="D77" s="69"/>
      <c r="E77" s="69"/>
      <c r="F77" s="69"/>
      <c r="G77" s="69"/>
      <c r="H77" s="69"/>
      <c r="I77" s="69"/>
      <c r="J77" s="69"/>
    </row>
    <row r="78" spans="1:13">
      <c r="A78" s="34" t="s">
        <v>91</v>
      </c>
      <c r="B78" s="16" t="s">
        <v>477</v>
      </c>
      <c r="C78" s="16" t="s">
        <v>478</v>
      </c>
      <c r="D78" s="16" t="s">
        <v>479</v>
      </c>
      <c r="E78" s="17" t="s">
        <v>687</v>
      </c>
      <c r="F78" s="16" t="s">
        <v>341</v>
      </c>
      <c r="G78" s="33" t="s">
        <v>461</v>
      </c>
      <c r="H78" s="41" t="s">
        <v>39</v>
      </c>
      <c r="I78" s="41" t="s">
        <v>39</v>
      </c>
      <c r="J78" s="34"/>
      <c r="K78" s="18" t="str">
        <f>"167,5"</f>
        <v>167,5</v>
      </c>
      <c r="L78" s="18" t="str">
        <f>"98,9758"</f>
        <v>98,9758</v>
      </c>
      <c r="M78" s="16" t="s">
        <v>362</v>
      </c>
    </row>
    <row r="79" spans="1:13">
      <c r="A79" s="37" t="s">
        <v>91</v>
      </c>
      <c r="B79" s="19" t="s">
        <v>480</v>
      </c>
      <c r="C79" s="19" t="s">
        <v>652</v>
      </c>
      <c r="D79" s="19" t="s">
        <v>481</v>
      </c>
      <c r="E79" s="20" t="s">
        <v>688</v>
      </c>
      <c r="F79" s="19" t="s">
        <v>12</v>
      </c>
      <c r="G79" s="36" t="s">
        <v>203</v>
      </c>
      <c r="H79" s="35" t="s">
        <v>59</v>
      </c>
      <c r="I79" s="35" t="s">
        <v>59</v>
      </c>
      <c r="J79" s="37"/>
      <c r="K79" s="21" t="str">
        <f>"155,0"</f>
        <v>155,0</v>
      </c>
      <c r="L79" s="21" t="str">
        <f>"91,8220"</f>
        <v>91,8220</v>
      </c>
      <c r="M79" s="19" t="s">
        <v>482</v>
      </c>
    </row>
    <row r="81" spans="1:13" ht="16">
      <c r="A81" s="68" t="s">
        <v>332</v>
      </c>
      <c r="B81" s="68"/>
      <c r="C81" s="69"/>
      <c r="D81" s="69"/>
      <c r="E81" s="69"/>
      <c r="F81" s="69"/>
      <c r="G81" s="69"/>
      <c r="H81" s="69"/>
      <c r="I81" s="69"/>
      <c r="J81" s="69"/>
    </row>
    <row r="82" spans="1:13">
      <c r="A82" s="34" t="s">
        <v>91</v>
      </c>
      <c r="B82" s="16" t="s">
        <v>483</v>
      </c>
      <c r="C82" s="16" t="s">
        <v>484</v>
      </c>
      <c r="D82" s="16" t="s">
        <v>335</v>
      </c>
      <c r="E82" s="17" t="s">
        <v>687</v>
      </c>
      <c r="F82" s="16" t="s">
        <v>12</v>
      </c>
      <c r="G82" s="33" t="s">
        <v>485</v>
      </c>
      <c r="H82" s="33" t="s">
        <v>342</v>
      </c>
      <c r="I82" s="41" t="s">
        <v>331</v>
      </c>
      <c r="J82" s="34"/>
      <c r="K82" s="18" t="str">
        <f>"202,5"</f>
        <v>202,5</v>
      </c>
      <c r="L82" s="18" t="str">
        <f>"115,9920"</f>
        <v>115,9920</v>
      </c>
      <c r="M82" s="16" t="s">
        <v>293</v>
      </c>
    </row>
    <row r="83" spans="1:13">
      <c r="A83" s="40" t="s">
        <v>92</v>
      </c>
      <c r="B83" s="22" t="s">
        <v>486</v>
      </c>
      <c r="C83" s="22" t="s">
        <v>487</v>
      </c>
      <c r="D83" s="22" t="s">
        <v>488</v>
      </c>
      <c r="E83" s="23" t="s">
        <v>687</v>
      </c>
      <c r="F83" s="22" t="s">
        <v>12</v>
      </c>
      <c r="G83" s="39" t="s">
        <v>14</v>
      </c>
      <c r="H83" s="38" t="s">
        <v>251</v>
      </c>
      <c r="I83" s="39" t="s">
        <v>251</v>
      </c>
      <c r="J83" s="40"/>
      <c r="K83" s="24" t="str">
        <f>"195,0"</f>
        <v>195,0</v>
      </c>
      <c r="L83" s="24" t="str">
        <f>"111,6570"</f>
        <v>111,6570</v>
      </c>
      <c r="M83" s="22"/>
    </row>
    <row r="84" spans="1:13">
      <c r="A84" s="40" t="s">
        <v>280</v>
      </c>
      <c r="B84" s="22" t="s">
        <v>489</v>
      </c>
      <c r="C84" s="22" t="s">
        <v>490</v>
      </c>
      <c r="D84" s="22" t="s">
        <v>491</v>
      </c>
      <c r="E84" s="23" t="s">
        <v>687</v>
      </c>
      <c r="F84" s="22" t="s">
        <v>415</v>
      </c>
      <c r="G84" s="39" t="s">
        <v>461</v>
      </c>
      <c r="H84" s="39" t="s">
        <v>223</v>
      </c>
      <c r="I84" s="38" t="s">
        <v>39</v>
      </c>
      <c r="J84" s="40"/>
      <c r="K84" s="24" t="str">
        <f>"177,5"</f>
        <v>177,5</v>
      </c>
      <c r="L84" s="24" t="str">
        <f>"102,2577"</f>
        <v>102,2577</v>
      </c>
      <c r="M84" s="22"/>
    </row>
    <row r="85" spans="1:13">
      <c r="A85" s="37" t="s">
        <v>281</v>
      </c>
      <c r="B85" s="19" t="s">
        <v>492</v>
      </c>
      <c r="C85" s="19" t="s">
        <v>493</v>
      </c>
      <c r="D85" s="19" t="s">
        <v>494</v>
      </c>
      <c r="E85" s="20" t="s">
        <v>687</v>
      </c>
      <c r="F85" s="19" t="s">
        <v>21</v>
      </c>
      <c r="G85" s="36" t="s">
        <v>197</v>
      </c>
      <c r="H85" s="36" t="s">
        <v>77</v>
      </c>
      <c r="I85" s="36" t="s">
        <v>172</v>
      </c>
      <c r="J85" s="37"/>
      <c r="K85" s="21" t="str">
        <f>"150,0"</f>
        <v>150,0</v>
      </c>
      <c r="L85" s="21" t="str">
        <f>"87,7950"</f>
        <v>87,7950</v>
      </c>
      <c r="M85" s="19"/>
    </row>
    <row r="87" spans="1:13" ht="16">
      <c r="F87" s="8"/>
      <c r="G87" s="5"/>
      <c r="K87" s="10"/>
      <c r="M87" s="7"/>
    </row>
    <row r="88" spans="1:13">
      <c r="G88" s="5"/>
      <c r="K88" s="10"/>
      <c r="M88" s="7"/>
    </row>
    <row r="89" spans="1:13" ht="18">
      <c r="B89" s="9" t="s">
        <v>7</v>
      </c>
      <c r="C89" s="9"/>
      <c r="G89" s="3"/>
      <c r="K89" s="10"/>
      <c r="M89" s="7"/>
    </row>
    <row r="90" spans="1:13" ht="16">
      <c r="B90" s="42" t="s">
        <v>678</v>
      </c>
      <c r="G90" s="3"/>
      <c r="K90" s="10"/>
      <c r="M90" s="7"/>
    </row>
    <row r="91" spans="1:13" ht="14">
      <c r="B91" s="26"/>
      <c r="C91" s="27" t="s">
        <v>81</v>
      </c>
      <c r="G91" s="3"/>
      <c r="K91" s="10"/>
      <c r="M91" s="7"/>
    </row>
    <row r="92" spans="1:13" ht="14">
      <c r="B92" s="28" t="s">
        <v>82</v>
      </c>
      <c r="C92" s="28" t="s">
        <v>83</v>
      </c>
      <c r="D92" s="28" t="s">
        <v>84</v>
      </c>
      <c r="E92" s="29" t="s">
        <v>351</v>
      </c>
      <c r="F92" s="28" t="s">
        <v>86</v>
      </c>
      <c r="G92" s="3"/>
      <c r="K92" s="10"/>
      <c r="M92" s="7"/>
    </row>
    <row r="93" spans="1:13">
      <c r="B93" s="5" t="s">
        <v>355</v>
      </c>
      <c r="C93" s="5" t="s">
        <v>81</v>
      </c>
      <c r="D93" s="10" t="s">
        <v>276</v>
      </c>
      <c r="E93" s="31">
        <v>70</v>
      </c>
      <c r="F93" s="30">
        <v>87.527996301651001</v>
      </c>
      <c r="G93" s="3"/>
      <c r="K93" s="10"/>
      <c r="M93" s="7"/>
    </row>
    <row r="94" spans="1:13">
      <c r="B94" s="5" t="s">
        <v>370</v>
      </c>
      <c r="C94" s="5" t="s">
        <v>81</v>
      </c>
      <c r="D94" s="10" t="s">
        <v>87</v>
      </c>
      <c r="E94" s="31">
        <v>67.5</v>
      </c>
      <c r="F94" s="30">
        <v>79.420498609542804</v>
      </c>
      <c r="G94" s="3"/>
      <c r="K94" s="10"/>
      <c r="M94" s="7"/>
    </row>
    <row r="95" spans="1:13">
      <c r="B95" s="5" t="s">
        <v>375</v>
      </c>
      <c r="C95" s="5" t="s">
        <v>81</v>
      </c>
      <c r="D95" s="10" t="s">
        <v>275</v>
      </c>
      <c r="E95" s="31">
        <v>67.5</v>
      </c>
      <c r="F95" s="30">
        <v>76.045501828193693</v>
      </c>
      <c r="G95" s="3"/>
      <c r="K95" s="10"/>
      <c r="M95" s="7"/>
    </row>
    <row r="96" spans="1:13">
      <c r="G96" s="3"/>
      <c r="K96" s="10"/>
      <c r="M96" s="7"/>
    </row>
    <row r="97" spans="2:13" ht="16">
      <c r="B97" s="25" t="s">
        <v>88</v>
      </c>
      <c r="C97" s="25"/>
      <c r="G97" s="3"/>
      <c r="K97" s="10"/>
      <c r="M97" s="7"/>
    </row>
    <row r="98" spans="2:13" ht="14">
      <c r="B98" s="26"/>
      <c r="C98" s="27" t="s">
        <v>81</v>
      </c>
      <c r="G98" s="3"/>
      <c r="K98" s="10"/>
      <c r="M98" s="7"/>
    </row>
    <row r="99" spans="2:13" ht="14">
      <c r="B99" s="28" t="s">
        <v>82</v>
      </c>
      <c r="C99" s="28" t="s">
        <v>83</v>
      </c>
      <c r="D99" s="28" t="s">
        <v>84</v>
      </c>
      <c r="E99" s="29" t="s">
        <v>351</v>
      </c>
      <c r="F99" s="28" t="s">
        <v>86</v>
      </c>
      <c r="G99" s="3"/>
      <c r="K99" s="10"/>
      <c r="M99" s="7"/>
    </row>
    <row r="100" spans="2:13">
      <c r="B100" s="5" t="s">
        <v>429</v>
      </c>
      <c r="C100" s="5" t="s">
        <v>81</v>
      </c>
      <c r="D100" s="10" t="s">
        <v>89</v>
      </c>
      <c r="E100" s="31">
        <v>195</v>
      </c>
      <c r="F100" s="30">
        <v>125.053504407406</v>
      </c>
      <c r="G100" s="3"/>
      <c r="K100" s="10"/>
      <c r="M100" s="7"/>
    </row>
    <row r="101" spans="2:13">
      <c r="B101" s="5" t="s">
        <v>483</v>
      </c>
      <c r="C101" s="5" t="s">
        <v>81</v>
      </c>
      <c r="D101" s="10" t="s">
        <v>353</v>
      </c>
      <c r="E101" s="31">
        <v>202.5</v>
      </c>
      <c r="F101" s="30">
        <v>115.99199607968301</v>
      </c>
      <c r="G101" s="3"/>
      <c r="K101" s="10"/>
      <c r="M101" s="7"/>
    </row>
    <row r="102" spans="2:13">
      <c r="B102" s="5" t="s">
        <v>486</v>
      </c>
      <c r="C102" s="5" t="s">
        <v>81</v>
      </c>
      <c r="D102" s="10" t="s">
        <v>353</v>
      </c>
      <c r="E102" s="31">
        <v>195</v>
      </c>
      <c r="F102" s="30">
        <v>111.657001376152</v>
      </c>
      <c r="G102" s="3"/>
      <c r="K102" s="10"/>
      <c r="M102" s="7"/>
    </row>
    <row r="103" spans="2:13">
      <c r="G103" s="3"/>
      <c r="K103" s="10"/>
      <c r="M103" s="7"/>
    </row>
    <row r="104" spans="2:13" ht="14">
      <c r="B104" s="26"/>
      <c r="C104" s="27" t="s">
        <v>277</v>
      </c>
      <c r="G104" s="3"/>
      <c r="K104" s="10"/>
      <c r="M104" s="7"/>
    </row>
    <row r="105" spans="2:13" ht="14">
      <c r="B105" s="28" t="s">
        <v>82</v>
      </c>
      <c r="C105" s="28" t="s">
        <v>83</v>
      </c>
      <c r="D105" s="28" t="s">
        <v>84</v>
      </c>
      <c r="E105" s="29" t="s">
        <v>351</v>
      </c>
      <c r="F105" s="28" t="s">
        <v>86</v>
      </c>
      <c r="G105" s="3"/>
      <c r="K105" s="10"/>
      <c r="M105" s="7"/>
    </row>
    <row r="106" spans="2:13">
      <c r="B106" s="5" t="s">
        <v>445</v>
      </c>
      <c r="C106" s="5" t="s">
        <v>653</v>
      </c>
      <c r="D106" s="10" t="s">
        <v>89</v>
      </c>
      <c r="E106" s="31">
        <v>142.5</v>
      </c>
      <c r="F106" s="30">
        <v>150.33439499750699</v>
      </c>
      <c r="G106" s="3"/>
      <c r="K106" s="10"/>
      <c r="M106" s="7"/>
    </row>
    <row r="107" spans="2:13">
      <c r="B107" s="5" t="s">
        <v>193</v>
      </c>
      <c r="C107" s="5" t="s">
        <v>654</v>
      </c>
      <c r="D107" s="10" t="s">
        <v>278</v>
      </c>
      <c r="E107" s="31">
        <v>145</v>
      </c>
      <c r="F107" s="30">
        <v>122.728000238538</v>
      </c>
      <c r="G107" s="3"/>
      <c r="K107" s="10"/>
      <c r="M107" s="7"/>
    </row>
    <row r="108" spans="2:13">
      <c r="B108" s="5" t="s">
        <v>418</v>
      </c>
      <c r="C108" s="5" t="s">
        <v>655</v>
      </c>
      <c r="D108" s="10" t="s">
        <v>279</v>
      </c>
      <c r="E108" s="31">
        <v>155</v>
      </c>
      <c r="F108" s="30">
        <v>110.63961750865001</v>
      </c>
      <c r="G108" s="3"/>
      <c r="K108" s="10"/>
      <c r="M108" s="7"/>
    </row>
    <row r="109" spans="2:13">
      <c r="E109" s="5"/>
      <c r="F109" s="6"/>
      <c r="G109" s="5"/>
      <c r="K109" s="10"/>
      <c r="M109" s="7"/>
    </row>
  </sheetData>
  <mergeCells count="24">
    <mergeCell ref="A5:J5"/>
    <mergeCell ref="B3:B4"/>
    <mergeCell ref="A81:J81"/>
    <mergeCell ref="A9:J9"/>
    <mergeCell ref="A16:J16"/>
    <mergeCell ref="A19:J19"/>
    <mergeCell ref="A22:J22"/>
    <mergeCell ref="A25:J25"/>
    <mergeCell ref="A28:J28"/>
    <mergeCell ref="A31:J31"/>
    <mergeCell ref="A41:J41"/>
    <mergeCell ref="A51:J51"/>
    <mergeCell ref="A66:J66"/>
    <mergeCell ref="A77:J77"/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M49"/>
  <sheetViews>
    <sheetView workbookViewId="0">
      <selection activeCell="E38" sqref="E38"/>
    </sheetView>
  </sheetViews>
  <sheetFormatPr baseColWidth="10" defaultColWidth="9.1640625" defaultRowHeight="13"/>
  <cols>
    <col min="1" max="1" width="7.1640625" style="5" bestFit="1" customWidth="1"/>
    <col min="2" max="2" width="20.5" style="5" bestFit="1" customWidth="1"/>
    <col min="3" max="3" width="28.6640625" style="5" bestFit="1" customWidth="1"/>
    <col min="4" max="4" width="20.83203125" style="5" bestFit="1" customWidth="1"/>
    <col min="5" max="5" width="10.1640625" style="6" bestFit="1" customWidth="1"/>
    <col min="6" max="6" width="25.83203125" style="5" bestFit="1" customWidth="1"/>
    <col min="7" max="9" width="5.5" style="10" customWidth="1"/>
    <col min="10" max="10" width="4.5" style="10" customWidth="1"/>
    <col min="11" max="11" width="10.5" style="31" bestFit="1" customWidth="1"/>
    <col min="12" max="12" width="8.6640625" style="7" bestFit="1" customWidth="1"/>
    <col min="13" max="13" width="19.83203125" style="5" bestFit="1" customWidth="1"/>
    <col min="14" max="16384" width="9.1640625" style="3"/>
  </cols>
  <sheetData>
    <row r="1" spans="1:13" s="2" customFormat="1" ht="29" customHeight="1">
      <c r="A1" s="47" t="s">
        <v>613</v>
      </c>
      <c r="B1" s="48"/>
      <c r="C1" s="49"/>
      <c r="D1" s="49"/>
      <c r="E1" s="49"/>
      <c r="F1" s="49"/>
      <c r="G1" s="49"/>
      <c r="H1" s="49"/>
      <c r="I1" s="49"/>
      <c r="J1" s="49"/>
      <c r="K1" s="49"/>
      <c r="L1" s="49"/>
      <c r="M1" s="50"/>
    </row>
    <row r="2" spans="1:13" s="2" customFormat="1" ht="62" customHeight="1" thickBot="1">
      <c r="A2" s="51"/>
      <c r="B2" s="52"/>
      <c r="C2" s="53"/>
      <c r="D2" s="53"/>
      <c r="E2" s="53"/>
      <c r="F2" s="53"/>
      <c r="G2" s="53"/>
      <c r="H2" s="53"/>
      <c r="I2" s="53"/>
      <c r="J2" s="53"/>
      <c r="K2" s="53"/>
      <c r="L2" s="53"/>
      <c r="M2" s="54"/>
    </row>
    <row r="3" spans="1:13" s="1" customFormat="1" ht="12.75" customHeight="1">
      <c r="A3" s="55" t="s">
        <v>684</v>
      </c>
      <c r="B3" s="66" t="s">
        <v>0</v>
      </c>
      <c r="C3" s="57" t="s">
        <v>685</v>
      </c>
      <c r="D3" s="57" t="s">
        <v>6</v>
      </c>
      <c r="E3" s="59" t="s">
        <v>686</v>
      </c>
      <c r="F3" s="61" t="s">
        <v>5</v>
      </c>
      <c r="G3" s="61" t="s">
        <v>9</v>
      </c>
      <c r="H3" s="61"/>
      <c r="I3" s="61"/>
      <c r="J3" s="61"/>
      <c r="K3" s="70" t="s">
        <v>354</v>
      </c>
      <c r="L3" s="59" t="s">
        <v>3</v>
      </c>
      <c r="M3" s="62" t="s">
        <v>2</v>
      </c>
    </row>
    <row r="4" spans="1:13" s="1" customFormat="1" ht="21" customHeight="1" thickBot="1">
      <c r="A4" s="56"/>
      <c r="B4" s="67"/>
      <c r="C4" s="58"/>
      <c r="D4" s="58"/>
      <c r="E4" s="60"/>
      <c r="F4" s="58"/>
      <c r="G4" s="4">
        <v>1</v>
      </c>
      <c r="H4" s="4">
        <v>2</v>
      </c>
      <c r="I4" s="4">
        <v>3</v>
      </c>
      <c r="J4" s="4" t="s">
        <v>4</v>
      </c>
      <c r="K4" s="71"/>
      <c r="L4" s="60"/>
      <c r="M4" s="63"/>
    </row>
    <row r="5" spans="1:13" ht="16">
      <c r="A5" s="64" t="s">
        <v>152</v>
      </c>
      <c r="B5" s="64"/>
      <c r="C5" s="65"/>
      <c r="D5" s="65"/>
      <c r="E5" s="65"/>
      <c r="F5" s="65"/>
      <c r="G5" s="65"/>
      <c r="H5" s="65"/>
      <c r="I5" s="65"/>
      <c r="J5" s="65"/>
    </row>
    <row r="6" spans="1:13">
      <c r="A6" s="15" t="s">
        <v>91</v>
      </c>
      <c r="B6" s="11" t="s">
        <v>283</v>
      </c>
      <c r="C6" s="11" t="s">
        <v>284</v>
      </c>
      <c r="D6" s="11" t="s">
        <v>285</v>
      </c>
      <c r="E6" s="12" t="s">
        <v>689</v>
      </c>
      <c r="F6" s="11" t="s">
        <v>12</v>
      </c>
      <c r="G6" s="32" t="s">
        <v>101</v>
      </c>
      <c r="H6" s="32" t="s">
        <v>115</v>
      </c>
      <c r="I6" s="14" t="s">
        <v>25</v>
      </c>
      <c r="J6" s="15"/>
      <c r="K6" s="43" t="str">
        <f>"47,5"</f>
        <v>47,5</v>
      </c>
      <c r="L6" s="13" t="str">
        <f>"37,7720"</f>
        <v>37,7720</v>
      </c>
      <c r="M6" s="11" t="s">
        <v>286</v>
      </c>
    </row>
    <row r="8" spans="1:13" ht="16">
      <c r="A8" s="68" t="s">
        <v>162</v>
      </c>
      <c r="B8" s="68"/>
      <c r="C8" s="69"/>
      <c r="D8" s="69"/>
      <c r="E8" s="69"/>
      <c r="F8" s="69"/>
      <c r="G8" s="69"/>
      <c r="H8" s="69"/>
      <c r="I8" s="69"/>
      <c r="J8" s="69"/>
    </row>
    <row r="9" spans="1:13">
      <c r="A9" s="34" t="s">
        <v>91</v>
      </c>
      <c r="B9" s="16" t="s">
        <v>287</v>
      </c>
      <c r="C9" s="16" t="s">
        <v>288</v>
      </c>
      <c r="D9" s="16" t="s">
        <v>215</v>
      </c>
      <c r="E9" s="17" t="s">
        <v>687</v>
      </c>
      <c r="F9" s="16" t="s">
        <v>70</v>
      </c>
      <c r="G9" s="33" t="s">
        <v>232</v>
      </c>
      <c r="H9" s="33" t="s">
        <v>48</v>
      </c>
      <c r="I9" s="41" t="s">
        <v>223</v>
      </c>
      <c r="J9" s="34"/>
      <c r="K9" s="44" t="str">
        <f>"172,5"</f>
        <v>172,5</v>
      </c>
      <c r="L9" s="18" t="str">
        <f>"122,9235"</f>
        <v>122,9235</v>
      </c>
      <c r="M9" s="16" t="s">
        <v>289</v>
      </c>
    </row>
    <row r="10" spans="1:13">
      <c r="A10" s="37" t="s">
        <v>92</v>
      </c>
      <c r="B10" s="19" t="s">
        <v>290</v>
      </c>
      <c r="C10" s="19" t="s">
        <v>291</v>
      </c>
      <c r="D10" s="19" t="s">
        <v>292</v>
      </c>
      <c r="E10" s="20" t="s">
        <v>687</v>
      </c>
      <c r="F10" s="19" t="s">
        <v>12</v>
      </c>
      <c r="G10" s="36" t="s">
        <v>103</v>
      </c>
      <c r="H10" s="36" t="s">
        <v>198</v>
      </c>
      <c r="I10" s="36" t="s">
        <v>233</v>
      </c>
      <c r="J10" s="37"/>
      <c r="K10" s="45" t="str">
        <f>"147,5"</f>
        <v>147,5</v>
      </c>
      <c r="L10" s="21" t="str">
        <f>"105,8017"</f>
        <v>105,8017</v>
      </c>
      <c r="M10" s="19" t="s">
        <v>293</v>
      </c>
    </row>
    <row r="12" spans="1:13" ht="16">
      <c r="A12" s="68" t="s">
        <v>216</v>
      </c>
      <c r="B12" s="68"/>
      <c r="C12" s="69"/>
      <c r="D12" s="69"/>
      <c r="E12" s="69"/>
      <c r="F12" s="69"/>
      <c r="G12" s="69"/>
      <c r="H12" s="69"/>
      <c r="I12" s="69"/>
      <c r="J12" s="69"/>
    </row>
    <row r="13" spans="1:13">
      <c r="A13" s="34" t="s">
        <v>91</v>
      </c>
      <c r="B13" s="16" t="s">
        <v>294</v>
      </c>
      <c r="C13" s="16" t="s">
        <v>295</v>
      </c>
      <c r="D13" s="16" t="s">
        <v>296</v>
      </c>
      <c r="E13" s="17" t="s">
        <v>687</v>
      </c>
      <c r="F13" s="16" t="s">
        <v>12</v>
      </c>
      <c r="G13" s="33" t="s">
        <v>196</v>
      </c>
      <c r="H13" s="33" t="s">
        <v>232</v>
      </c>
      <c r="I13" s="41" t="s">
        <v>47</v>
      </c>
      <c r="J13" s="34"/>
      <c r="K13" s="44" t="str">
        <f>"165,0"</f>
        <v>165,0</v>
      </c>
      <c r="L13" s="18" t="str">
        <f>"111,1110"</f>
        <v>111,1110</v>
      </c>
      <c r="M13" s="16"/>
    </row>
    <row r="14" spans="1:13">
      <c r="A14" s="40" t="s">
        <v>92</v>
      </c>
      <c r="B14" s="22" t="s">
        <v>297</v>
      </c>
      <c r="C14" s="22" t="s">
        <v>298</v>
      </c>
      <c r="D14" s="22" t="s">
        <v>299</v>
      </c>
      <c r="E14" s="23" t="s">
        <v>687</v>
      </c>
      <c r="F14" s="22" t="s">
        <v>70</v>
      </c>
      <c r="G14" s="38" t="s">
        <v>198</v>
      </c>
      <c r="H14" s="39" t="s">
        <v>198</v>
      </c>
      <c r="I14" s="38" t="s">
        <v>172</v>
      </c>
      <c r="J14" s="40"/>
      <c r="K14" s="46" t="str">
        <f>"142,5"</f>
        <v>142,5</v>
      </c>
      <c r="L14" s="24" t="str">
        <f>"95,8883"</f>
        <v>95,8883</v>
      </c>
      <c r="M14" s="22" t="s">
        <v>300</v>
      </c>
    </row>
    <row r="15" spans="1:13">
      <c r="A15" s="37" t="s">
        <v>280</v>
      </c>
      <c r="B15" s="19" t="s">
        <v>301</v>
      </c>
      <c r="C15" s="19" t="s">
        <v>302</v>
      </c>
      <c r="D15" s="19" t="s">
        <v>303</v>
      </c>
      <c r="E15" s="20" t="s">
        <v>687</v>
      </c>
      <c r="F15" s="19" t="s">
        <v>12</v>
      </c>
      <c r="G15" s="36" t="s">
        <v>252</v>
      </c>
      <c r="H15" s="36" t="s">
        <v>198</v>
      </c>
      <c r="I15" s="35" t="s">
        <v>233</v>
      </c>
      <c r="J15" s="37"/>
      <c r="K15" s="45" t="str">
        <f>"142,5"</f>
        <v>142,5</v>
      </c>
      <c r="L15" s="21" t="str">
        <f>"95,7457"</f>
        <v>95,7457</v>
      </c>
      <c r="M15" s="19" t="s">
        <v>161</v>
      </c>
    </row>
    <row r="17" spans="1:13" ht="16">
      <c r="A17" s="68" t="s">
        <v>31</v>
      </c>
      <c r="B17" s="68"/>
      <c r="C17" s="69"/>
      <c r="D17" s="69"/>
      <c r="E17" s="69"/>
      <c r="F17" s="69"/>
      <c r="G17" s="69"/>
      <c r="H17" s="69"/>
      <c r="I17" s="69"/>
      <c r="J17" s="69"/>
    </row>
    <row r="18" spans="1:13">
      <c r="A18" s="34" t="s">
        <v>91</v>
      </c>
      <c r="B18" s="16" t="s">
        <v>304</v>
      </c>
      <c r="C18" s="16" t="s">
        <v>305</v>
      </c>
      <c r="D18" s="16" t="s">
        <v>306</v>
      </c>
      <c r="E18" s="17" t="s">
        <v>687</v>
      </c>
      <c r="F18" s="16" t="s">
        <v>12</v>
      </c>
      <c r="G18" s="33" t="s">
        <v>203</v>
      </c>
      <c r="H18" s="33" t="s">
        <v>173</v>
      </c>
      <c r="I18" s="41" t="s">
        <v>47</v>
      </c>
      <c r="J18" s="34"/>
      <c r="K18" s="44" t="str">
        <f>"162,5"</f>
        <v>162,5</v>
      </c>
      <c r="L18" s="18" t="str">
        <f>"104,1625"</f>
        <v>104,1625</v>
      </c>
      <c r="M18" s="16"/>
    </row>
    <row r="19" spans="1:13">
      <c r="A19" s="40" t="s">
        <v>92</v>
      </c>
      <c r="B19" s="22" t="s">
        <v>307</v>
      </c>
      <c r="C19" s="22" t="s">
        <v>308</v>
      </c>
      <c r="D19" s="22" t="s">
        <v>309</v>
      </c>
      <c r="E19" s="23" t="s">
        <v>687</v>
      </c>
      <c r="F19" s="22" t="s">
        <v>12</v>
      </c>
      <c r="G19" s="39" t="s">
        <v>77</v>
      </c>
      <c r="H19" s="39" t="s">
        <v>310</v>
      </c>
      <c r="I19" s="39" t="s">
        <v>203</v>
      </c>
      <c r="J19" s="40"/>
      <c r="K19" s="46" t="str">
        <f>"155,0"</f>
        <v>155,0</v>
      </c>
      <c r="L19" s="24" t="str">
        <f>"100,0525"</f>
        <v>100,0525</v>
      </c>
      <c r="M19" s="22"/>
    </row>
    <row r="20" spans="1:13">
      <c r="A20" s="37" t="s">
        <v>91</v>
      </c>
      <c r="B20" s="19" t="s">
        <v>311</v>
      </c>
      <c r="C20" s="19" t="s">
        <v>656</v>
      </c>
      <c r="D20" s="19" t="s">
        <v>312</v>
      </c>
      <c r="E20" s="20" t="s">
        <v>688</v>
      </c>
      <c r="F20" s="19" t="s">
        <v>70</v>
      </c>
      <c r="G20" s="36" t="s">
        <v>39</v>
      </c>
      <c r="H20" s="36" t="s">
        <v>228</v>
      </c>
      <c r="I20" s="37"/>
      <c r="J20" s="37"/>
      <c r="K20" s="45" t="str">
        <f>"185,0"</f>
        <v>185,0</v>
      </c>
      <c r="L20" s="21" t="str">
        <f>"123,6482"</f>
        <v>123,6482</v>
      </c>
      <c r="M20" s="19"/>
    </row>
    <row r="22" spans="1:13" ht="16">
      <c r="A22" s="68" t="s">
        <v>11</v>
      </c>
      <c r="B22" s="68"/>
      <c r="C22" s="69"/>
      <c r="D22" s="69"/>
      <c r="E22" s="69"/>
      <c r="F22" s="69"/>
      <c r="G22" s="69"/>
      <c r="H22" s="69"/>
      <c r="I22" s="69"/>
      <c r="J22" s="69"/>
    </row>
    <row r="23" spans="1:13">
      <c r="A23" s="34" t="s">
        <v>91</v>
      </c>
      <c r="B23" s="16" t="s">
        <v>313</v>
      </c>
      <c r="C23" s="16" t="s">
        <v>314</v>
      </c>
      <c r="D23" s="16" t="s">
        <v>269</v>
      </c>
      <c r="E23" s="17" t="s">
        <v>687</v>
      </c>
      <c r="F23" s="16" t="s">
        <v>12</v>
      </c>
      <c r="G23" s="33" t="s">
        <v>47</v>
      </c>
      <c r="H23" s="33" t="s">
        <v>39</v>
      </c>
      <c r="I23" s="41" t="s">
        <v>228</v>
      </c>
      <c r="J23" s="34"/>
      <c r="K23" s="44" t="str">
        <f>"180,0"</f>
        <v>180,0</v>
      </c>
      <c r="L23" s="18" t="str">
        <f>"110,0880"</f>
        <v>110,0880</v>
      </c>
      <c r="M23" s="16"/>
    </row>
    <row r="24" spans="1:13">
      <c r="A24" s="40" t="s">
        <v>92</v>
      </c>
      <c r="B24" s="22" t="s">
        <v>315</v>
      </c>
      <c r="C24" s="22" t="s">
        <v>316</v>
      </c>
      <c r="D24" s="22" t="s">
        <v>317</v>
      </c>
      <c r="E24" s="23" t="s">
        <v>687</v>
      </c>
      <c r="F24" s="22" t="s">
        <v>12</v>
      </c>
      <c r="G24" s="38" t="s">
        <v>203</v>
      </c>
      <c r="H24" s="39" t="s">
        <v>196</v>
      </c>
      <c r="I24" s="39" t="s">
        <v>59</v>
      </c>
      <c r="J24" s="40"/>
      <c r="K24" s="46" t="str">
        <f>"160,0"</f>
        <v>160,0</v>
      </c>
      <c r="L24" s="24" t="str">
        <f>"98,4000"</f>
        <v>98,4000</v>
      </c>
      <c r="M24" s="22" t="s">
        <v>289</v>
      </c>
    </row>
    <row r="25" spans="1:13">
      <c r="A25" s="37" t="s">
        <v>16</v>
      </c>
      <c r="B25" s="19" t="s">
        <v>318</v>
      </c>
      <c r="C25" s="19" t="s">
        <v>657</v>
      </c>
      <c r="D25" s="19" t="s">
        <v>319</v>
      </c>
      <c r="E25" s="20" t="s">
        <v>688</v>
      </c>
      <c r="F25" s="19" t="s">
        <v>12</v>
      </c>
      <c r="G25" s="35" t="s">
        <v>77</v>
      </c>
      <c r="H25" s="35" t="s">
        <v>172</v>
      </c>
      <c r="I25" s="35" t="s">
        <v>172</v>
      </c>
      <c r="J25" s="37"/>
      <c r="K25" s="45">
        <v>0</v>
      </c>
      <c r="L25" s="21" t="str">
        <f>"0,0000"</f>
        <v>0,0000</v>
      </c>
      <c r="M25" s="19" t="s">
        <v>320</v>
      </c>
    </row>
    <row r="27" spans="1:13" ht="16">
      <c r="A27" s="68" t="s">
        <v>72</v>
      </c>
      <c r="B27" s="68"/>
      <c r="C27" s="69"/>
      <c r="D27" s="69"/>
      <c r="E27" s="69"/>
      <c r="F27" s="69"/>
      <c r="G27" s="69"/>
      <c r="H27" s="69"/>
      <c r="I27" s="69"/>
      <c r="J27" s="69"/>
    </row>
    <row r="28" spans="1:13">
      <c r="A28" s="34" t="s">
        <v>91</v>
      </c>
      <c r="B28" s="16" t="s">
        <v>321</v>
      </c>
      <c r="C28" s="16" t="s">
        <v>322</v>
      </c>
      <c r="D28" s="16" t="s">
        <v>323</v>
      </c>
      <c r="E28" s="17" t="s">
        <v>687</v>
      </c>
      <c r="F28" s="16" t="s">
        <v>12</v>
      </c>
      <c r="G28" s="41" t="s">
        <v>79</v>
      </c>
      <c r="H28" s="33" t="s">
        <v>245</v>
      </c>
      <c r="I28" s="33" t="s">
        <v>324</v>
      </c>
      <c r="J28" s="34"/>
      <c r="K28" s="44" t="str">
        <f>"227,5"</f>
        <v>227,5</v>
      </c>
      <c r="L28" s="18" t="str">
        <f>"135,4080"</f>
        <v>135,4080</v>
      </c>
      <c r="M28" s="16"/>
    </row>
    <row r="29" spans="1:13">
      <c r="A29" s="40" t="s">
        <v>92</v>
      </c>
      <c r="B29" s="22" t="s">
        <v>325</v>
      </c>
      <c r="C29" s="22" t="s">
        <v>326</v>
      </c>
      <c r="D29" s="22" t="s">
        <v>327</v>
      </c>
      <c r="E29" s="23" t="s">
        <v>687</v>
      </c>
      <c r="F29" s="22" t="s">
        <v>12</v>
      </c>
      <c r="G29" s="38" t="s">
        <v>78</v>
      </c>
      <c r="H29" s="39" t="s">
        <v>66</v>
      </c>
      <c r="I29" s="39" t="s">
        <v>40</v>
      </c>
      <c r="J29" s="40"/>
      <c r="K29" s="46" t="str">
        <f>"225,0"</f>
        <v>225,0</v>
      </c>
      <c r="L29" s="24" t="str">
        <f>"134,5500"</f>
        <v>134,5500</v>
      </c>
      <c r="M29" s="22"/>
    </row>
    <row r="30" spans="1:13">
      <c r="A30" s="37" t="s">
        <v>280</v>
      </c>
      <c r="B30" s="19" t="s">
        <v>328</v>
      </c>
      <c r="C30" s="19" t="s">
        <v>329</v>
      </c>
      <c r="D30" s="19" t="s">
        <v>330</v>
      </c>
      <c r="E30" s="20" t="s">
        <v>687</v>
      </c>
      <c r="F30" s="19" t="s">
        <v>70</v>
      </c>
      <c r="G30" s="36" t="s">
        <v>331</v>
      </c>
      <c r="H30" s="36" t="s">
        <v>66</v>
      </c>
      <c r="I30" s="36" t="s">
        <v>258</v>
      </c>
      <c r="J30" s="37"/>
      <c r="K30" s="45" t="str">
        <f>"217,5"</f>
        <v>217,5</v>
      </c>
      <c r="L30" s="21" t="str">
        <f>"129,7605"</f>
        <v>129,7605</v>
      </c>
      <c r="M30" s="19"/>
    </row>
    <row r="32" spans="1:13" ht="16">
      <c r="A32" s="68" t="s">
        <v>332</v>
      </c>
      <c r="B32" s="68"/>
      <c r="C32" s="69"/>
      <c r="D32" s="69"/>
      <c r="E32" s="69"/>
      <c r="F32" s="69"/>
      <c r="G32" s="69"/>
      <c r="H32" s="69"/>
      <c r="I32" s="69"/>
      <c r="J32" s="69"/>
    </row>
    <row r="33" spans="1:13">
      <c r="A33" s="34" t="s">
        <v>91</v>
      </c>
      <c r="B33" s="16" t="s">
        <v>333</v>
      </c>
      <c r="C33" s="16" t="s">
        <v>334</v>
      </c>
      <c r="D33" s="16" t="s">
        <v>335</v>
      </c>
      <c r="E33" s="17" t="s">
        <v>687</v>
      </c>
      <c r="F33" s="16" t="s">
        <v>336</v>
      </c>
      <c r="G33" s="33" t="s">
        <v>45</v>
      </c>
      <c r="H33" s="33" t="s">
        <v>66</v>
      </c>
      <c r="I33" s="41" t="s">
        <v>245</v>
      </c>
      <c r="J33" s="34"/>
      <c r="K33" s="44" t="str">
        <f>"215,0"</f>
        <v>215,0</v>
      </c>
      <c r="L33" s="18" t="str">
        <f>"123,1520"</f>
        <v>123,1520</v>
      </c>
      <c r="M33" s="16"/>
    </row>
    <row r="34" spans="1:13">
      <c r="A34" s="40" t="s">
        <v>92</v>
      </c>
      <c r="B34" s="22" t="s">
        <v>338</v>
      </c>
      <c r="C34" s="22" t="s">
        <v>339</v>
      </c>
      <c r="D34" s="22" t="s">
        <v>340</v>
      </c>
      <c r="E34" s="23" t="s">
        <v>687</v>
      </c>
      <c r="F34" s="22" t="s">
        <v>341</v>
      </c>
      <c r="G34" s="39" t="s">
        <v>342</v>
      </c>
      <c r="H34" s="39" t="s">
        <v>46</v>
      </c>
      <c r="I34" s="39" t="s">
        <v>343</v>
      </c>
      <c r="J34" s="40"/>
      <c r="K34" s="46" t="str">
        <f>"212,5"</f>
        <v>212,5</v>
      </c>
      <c r="L34" s="24" t="str">
        <f>"123,1012"</f>
        <v>123,1012</v>
      </c>
      <c r="M34" s="22" t="s">
        <v>344</v>
      </c>
    </row>
    <row r="35" spans="1:13">
      <c r="A35" s="40" t="s">
        <v>280</v>
      </c>
      <c r="B35" s="22" t="s">
        <v>345</v>
      </c>
      <c r="C35" s="22" t="s">
        <v>346</v>
      </c>
      <c r="D35" s="22" t="s">
        <v>347</v>
      </c>
      <c r="E35" s="23" t="s">
        <v>687</v>
      </c>
      <c r="F35" s="22" t="s">
        <v>12</v>
      </c>
      <c r="G35" s="39" t="s">
        <v>146</v>
      </c>
      <c r="H35" s="39" t="s">
        <v>197</v>
      </c>
      <c r="I35" s="39" t="s">
        <v>172</v>
      </c>
      <c r="J35" s="40"/>
      <c r="K35" s="46" t="str">
        <f>"150,0"</f>
        <v>150,0</v>
      </c>
      <c r="L35" s="24" t="str">
        <f>"86,6400"</f>
        <v>86,6400</v>
      </c>
      <c r="M35" s="22" t="s">
        <v>348</v>
      </c>
    </row>
    <row r="36" spans="1:13">
      <c r="A36" s="40" t="s">
        <v>91</v>
      </c>
      <c r="B36" s="22" t="s">
        <v>349</v>
      </c>
      <c r="C36" s="22" t="s">
        <v>658</v>
      </c>
      <c r="D36" s="22" t="s">
        <v>350</v>
      </c>
      <c r="E36" s="23" t="s">
        <v>688</v>
      </c>
      <c r="F36" s="22" t="s">
        <v>12</v>
      </c>
      <c r="G36" s="39" t="s">
        <v>232</v>
      </c>
      <c r="H36" s="39" t="s">
        <v>38</v>
      </c>
      <c r="I36" s="40"/>
      <c r="J36" s="40"/>
      <c r="K36" s="46" t="str">
        <f>"175,0"</f>
        <v>175,0</v>
      </c>
      <c r="L36" s="24" t="str">
        <f>"101,0226"</f>
        <v>101,0226</v>
      </c>
      <c r="M36" s="22"/>
    </row>
    <row r="37" spans="1:13">
      <c r="A37" s="37" t="s">
        <v>91</v>
      </c>
      <c r="B37" s="19" t="s">
        <v>338</v>
      </c>
      <c r="C37" s="19" t="s">
        <v>659</v>
      </c>
      <c r="D37" s="19" t="s">
        <v>340</v>
      </c>
      <c r="E37" s="20" t="s">
        <v>692</v>
      </c>
      <c r="F37" s="19" t="s">
        <v>341</v>
      </c>
      <c r="G37" s="36" t="s">
        <v>342</v>
      </c>
      <c r="H37" s="36" t="s">
        <v>46</v>
      </c>
      <c r="I37" s="36" t="s">
        <v>343</v>
      </c>
      <c r="J37" s="37"/>
      <c r="K37" s="45" t="str">
        <f>"212,5"</f>
        <v>212,5</v>
      </c>
      <c r="L37" s="21" t="str">
        <f>"130,4873"</f>
        <v>130,4873</v>
      </c>
      <c r="M37" s="19" t="s">
        <v>344</v>
      </c>
    </row>
    <row r="39" spans="1:13" ht="16">
      <c r="F39" s="8"/>
      <c r="G39" s="5"/>
      <c r="M39" s="7"/>
    </row>
    <row r="40" spans="1:13">
      <c r="G40" s="5"/>
      <c r="M40" s="7"/>
    </row>
    <row r="41" spans="1:13" ht="18">
      <c r="B41" s="9" t="s">
        <v>7</v>
      </c>
      <c r="C41" s="9"/>
      <c r="G41" s="3"/>
      <c r="M41" s="7"/>
    </row>
    <row r="42" spans="1:13" ht="16">
      <c r="B42" s="25" t="s">
        <v>88</v>
      </c>
      <c r="C42" s="25"/>
      <c r="G42" s="3"/>
      <c r="M42" s="7"/>
    </row>
    <row r="43" spans="1:13" ht="14">
      <c r="B43" s="26"/>
      <c r="C43" s="27" t="s">
        <v>81</v>
      </c>
      <c r="G43" s="3"/>
      <c r="M43" s="7"/>
    </row>
    <row r="44" spans="1:13" ht="14">
      <c r="B44" s="28" t="s">
        <v>82</v>
      </c>
      <c r="C44" s="28" t="s">
        <v>83</v>
      </c>
      <c r="D44" s="28" t="s">
        <v>84</v>
      </c>
      <c r="E44" s="29" t="s">
        <v>351</v>
      </c>
      <c r="F44" s="28" t="s">
        <v>86</v>
      </c>
      <c r="G44" s="3"/>
      <c r="M44" s="7"/>
    </row>
    <row r="45" spans="1:13">
      <c r="B45" s="5" t="s">
        <v>321</v>
      </c>
      <c r="C45" s="5" t="s">
        <v>81</v>
      </c>
      <c r="D45" s="10" t="s">
        <v>352</v>
      </c>
      <c r="E45" s="31">
        <v>227.5</v>
      </c>
      <c r="F45" s="30">
        <v>135.40800049901</v>
      </c>
      <c r="G45" s="3"/>
      <c r="M45" s="7"/>
    </row>
    <row r="46" spans="1:13">
      <c r="B46" s="5" t="s">
        <v>325</v>
      </c>
      <c r="C46" s="5" t="s">
        <v>81</v>
      </c>
      <c r="D46" s="10" t="s">
        <v>352</v>
      </c>
      <c r="E46" s="31">
        <v>225</v>
      </c>
      <c r="F46" s="30">
        <v>134.549997746944</v>
      </c>
      <c r="G46" s="3"/>
      <c r="M46" s="7"/>
    </row>
    <row r="47" spans="1:13">
      <c r="B47" s="5" t="s">
        <v>328</v>
      </c>
      <c r="C47" s="5" t="s">
        <v>81</v>
      </c>
      <c r="D47" s="10" t="s">
        <v>352</v>
      </c>
      <c r="E47" s="31">
        <v>217.5</v>
      </c>
      <c r="F47" s="30">
        <v>129.76049914956101</v>
      </c>
      <c r="G47" s="3"/>
      <c r="M47" s="7"/>
    </row>
    <row r="48" spans="1:13">
      <c r="E48" s="5"/>
      <c r="F48" s="6"/>
      <c r="G48" s="5"/>
      <c r="M48" s="7"/>
    </row>
    <row r="49" spans="5:13">
      <c r="E49" s="5"/>
      <c r="F49" s="6"/>
      <c r="G49" s="5"/>
      <c r="M49" s="7"/>
    </row>
  </sheetData>
  <mergeCells count="18">
    <mergeCell ref="A32:J32"/>
    <mergeCell ref="K3:K4"/>
    <mergeCell ref="L3:L4"/>
    <mergeCell ref="M3:M4"/>
    <mergeCell ref="A5:J5"/>
    <mergeCell ref="B3:B4"/>
    <mergeCell ref="A8:J8"/>
    <mergeCell ref="A12:J12"/>
    <mergeCell ref="A17:J17"/>
    <mergeCell ref="A22:J22"/>
    <mergeCell ref="A27:J27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M6"/>
  <sheetViews>
    <sheetView workbookViewId="0">
      <selection activeCell="E7" sqref="E7"/>
    </sheetView>
  </sheetViews>
  <sheetFormatPr baseColWidth="10" defaultColWidth="9.1640625" defaultRowHeight="13"/>
  <cols>
    <col min="1" max="1" width="7.1640625" style="5" bestFit="1" customWidth="1"/>
    <col min="2" max="2" width="16.1640625" style="5" bestFit="1" customWidth="1"/>
    <col min="3" max="3" width="25.1640625" style="5" bestFit="1" customWidth="1"/>
    <col min="4" max="4" width="20.83203125" style="5" bestFit="1" customWidth="1"/>
    <col min="5" max="5" width="10.1640625" style="6" bestFit="1" customWidth="1"/>
    <col min="6" max="6" width="28.5" style="5" bestFit="1" customWidth="1"/>
    <col min="7" max="9" width="5.5" style="10" customWidth="1"/>
    <col min="10" max="10" width="4.5" style="10" customWidth="1"/>
    <col min="11" max="11" width="10.5" style="7" bestFit="1" customWidth="1"/>
    <col min="12" max="12" width="10.33203125" style="7" customWidth="1"/>
    <col min="13" max="13" width="18" style="5" customWidth="1"/>
    <col min="14" max="16384" width="9.1640625" style="3"/>
  </cols>
  <sheetData>
    <row r="1" spans="1:13" s="2" customFormat="1" ht="29" customHeight="1">
      <c r="A1" s="47" t="s">
        <v>614</v>
      </c>
      <c r="B1" s="48"/>
      <c r="C1" s="49"/>
      <c r="D1" s="49"/>
      <c r="E1" s="49"/>
      <c r="F1" s="49"/>
      <c r="G1" s="49"/>
      <c r="H1" s="49"/>
      <c r="I1" s="49"/>
      <c r="J1" s="49"/>
      <c r="K1" s="49"/>
      <c r="L1" s="49"/>
      <c r="M1" s="50"/>
    </row>
    <row r="2" spans="1:13" s="2" customFormat="1" ht="62" customHeight="1" thickBot="1">
      <c r="A2" s="51"/>
      <c r="B2" s="52"/>
      <c r="C2" s="53"/>
      <c r="D2" s="53"/>
      <c r="E2" s="53"/>
      <c r="F2" s="53"/>
      <c r="G2" s="53"/>
      <c r="H2" s="53"/>
      <c r="I2" s="53"/>
      <c r="J2" s="53"/>
      <c r="K2" s="53"/>
      <c r="L2" s="53"/>
      <c r="M2" s="54"/>
    </row>
    <row r="3" spans="1:13" s="1" customFormat="1" ht="12.75" customHeight="1">
      <c r="A3" s="55" t="s">
        <v>684</v>
      </c>
      <c r="B3" s="66" t="s">
        <v>0</v>
      </c>
      <c r="C3" s="57" t="s">
        <v>685</v>
      </c>
      <c r="D3" s="57" t="s">
        <v>6</v>
      </c>
      <c r="E3" s="59" t="s">
        <v>686</v>
      </c>
      <c r="F3" s="61" t="s">
        <v>5</v>
      </c>
      <c r="G3" s="61" t="s">
        <v>9</v>
      </c>
      <c r="H3" s="61"/>
      <c r="I3" s="61"/>
      <c r="J3" s="61"/>
      <c r="K3" s="59" t="s">
        <v>354</v>
      </c>
      <c r="L3" s="59" t="s">
        <v>3</v>
      </c>
      <c r="M3" s="62" t="s">
        <v>2</v>
      </c>
    </row>
    <row r="4" spans="1:13" s="1" customFormat="1" ht="21" customHeight="1" thickBot="1">
      <c r="A4" s="56"/>
      <c r="B4" s="67"/>
      <c r="C4" s="58"/>
      <c r="D4" s="58"/>
      <c r="E4" s="60"/>
      <c r="F4" s="58"/>
      <c r="G4" s="4">
        <v>1</v>
      </c>
      <c r="H4" s="4">
        <v>2</v>
      </c>
      <c r="I4" s="4">
        <v>3</v>
      </c>
      <c r="J4" s="4" t="s">
        <v>4</v>
      </c>
      <c r="K4" s="60"/>
      <c r="L4" s="60"/>
      <c r="M4" s="63"/>
    </row>
    <row r="5" spans="1:13" ht="16">
      <c r="A5" s="64" t="s">
        <v>11</v>
      </c>
      <c r="B5" s="64"/>
      <c r="C5" s="65"/>
      <c r="D5" s="65"/>
      <c r="E5" s="65"/>
      <c r="F5" s="65"/>
      <c r="G5" s="65"/>
      <c r="H5" s="65"/>
      <c r="I5" s="65"/>
      <c r="J5" s="65"/>
    </row>
    <row r="6" spans="1:13">
      <c r="A6" s="15" t="s">
        <v>91</v>
      </c>
      <c r="B6" s="11" t="s">
        <v>501</v>
      </c>
      <c r="C6" s="11" t="s">
        <v>386</v>
      </c>
      <c r="D6" s="11" t="s">
        <v>502</v>
      </c>
      <c r="E6" s="12" t="s">
        <v>687</v>
      </c>
      <c r="F6" s="11" t="s">
        <v>606</v>
      </c>
      <c r="G6" s="32" t="s">
        <v>79</v>
      </c>
      <c r="H6" s="32" t="s">
        <v>49</v>
      </c>
      <c r="I6" s="14" t="s">
        <v>41</v>
      </c>
      <c r="J6" s="15"/>
      <c r="K6" s="13" t="str">
        <f>"230,0"</f>
        <v>230,0</v>
      </c>
      <c r="L6" s="13" t="str">
        <f>"141,8180"</f>
        <v>141,8180</v>
      </c>
      <c r="M6" s="11" t="s">
        <v>204</v>
      </c>
    </row>
  </sheetData>
  <mergeCells count="12">
    <mergeCell ref="A5:J5"/>
    <mergeCell ref="B3:B4"/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M6"/>
  <sheetViews>
    <sheetView workbookViewId="0">
      <selection activeCell="E7" sqref="E7"/>
    </sheetView>
  </sheetViews>
  <sheetFormatPr baseColWidth="10" defaultColWidth="9.1640625" defaultRowHeight="13"/>
  <cols>
    <col min="1" max="1" width="7.1640625" style="5" bestFit="1" customWidth="1"/>
    <col min="2" max="2" width="18.1640625" style="5" customWidth="1"/>
    <col min="3" max="3" width="25.1640625" style="5" bestFit="1" customWidth="1"/>
    <col min="4" max="4" width="20.83203125" style="5" bestFit="1" customWidth="1"/>
    <col min="5" max="5" width="10.1640625" style="6" bestFit="1" customWidth="1"/>
    <col min="6" max="6" width="25.6640625" style="5" bestFit="1" customWidth="1"/>
    <col min="7" max="9" width="5.5" style="10" customWidth="1"/>
    <col min="10" max="10" width="4.5" style="10" customWidth="1"/>
    <col min="11" max="11" width="10.5" style="7" bestFit="1" customWidth="1"/>
    <col min="12" max="12" width="8.6640625" style="7" bestFit="1" customWidth="1"/>
    <col min="13" max="13" width="20.83203125" style="5" customWidth="1"/>
    <col min="14" max="16384" width="9.1640625" style="3"/>
  </cols>
  <sheetData>
    <row r="1" spans="1:13" s="2" customFormat="1" ht="29" customHeight="1">
      <c r="A1" s="47" t="s">
        <v>615</v>
      </c>
      <c r="B1" s="48"/>
      <c r="C1" s="49"/>
      <c r="D1" s="49"/>
      <c r="E1" s="49"/>
      <c r="F1" s="49"/>
      <c r="G1" s="49"/>
      <c r="H1" s="49"/>
      <c r="I1" s="49"/>
      <c r="J1" s="49"/>
      <c r="K1" s="49"/>
      <c r="L1" s="49"/>
      <c r="M1" s="50"/>
    </row>
    <row r="2" spans="1:13" s="2" customFormat="1" ht="62" customHeight="1" thickBot="1">
      <c r="A2" s="51"/>
      <c r="B2" s="52"/>
      <c r="C2" s="53"/>
      <c r="D2" s="53"/>
      <c r="E2" s="53"/>
      <c r="F2" s="53"/>
      <c r="G2" s="53"/>
      <c r="H2" s="53"/>
      <c r="I2" s="53"/>
      <c r="J2" s="53"/>
      <c r="K2" s="53"/>
      <c r="L2" s="53"/>
      <c r="M2" s="54"/>
    </row>
    <row r="3" spans="1:13" s="1" customFormat="1" ht="12.75" customHeight="1">
      <c r="A3" s="55" t="s">
        <v>684</v>
      </c>
      <c r="B3" s="66" t="s">
        <v>0</v>
      </c>
      <c r="C3" s="57" t="s">
        <v>685</v>
      </c>
      <c r="D3" s="57" t="s">
        <v>6</v>
      </c>
      <c r="E3" s="59" t="s">
        <v>686</v>
      </c>
      <c r="F3" s="61" t="s">
        <v>5</v>
      </c>
      <c r="G3" s="61" t="s">
        <v>9</v>
      </c>
      <c r="H3" s="61"/>
      <c r="I3" s="61"/>
      <c r="J3" s="61"/>
      <c r="K3" s="59" t="s">
        <v>354</v>
      </c>
      <c r="L3" s="59" t="s">
        <v>3</v>
      </c>
      <c r="M3" s="62" t="s">
        <v>2</v>
      </c>
    </row>
    <row r="4" spans="1:13" s="1" customFormat="1" ht="21" customHeight="1" thickBot="1">
      <c r="A4" s="56"/>
      <c r="B4" s="67"/>
      <c r="C4" s="58"/>
      <c r="D4" s="58"/>
      <c r="E4" s="60"/>
      <c r="F4" s="58"/>
      <c r="G4" s="4">
        <v>1</v>
      </c>
      <c r="H4" s="4">
        <v>2</v>
      </c>
      <c r="I4" s="4">
        <v>3</v>
      </c>
      <c r="J4" s="4" t="s">
        <v>4</v>
      </c>
      <c r="K4" s="60"/>
      <c r="L4" s="60"/>
      <c r="M4" s="63"/>
    </row>
    <row r="5" spans="1:13" ht="16">
      <c r="A5" s="64" t="s">
        <v>216</v>
      </c>
      <c r="B5" s="64"/>
      <c r="C5" s="65"/>
      <c r="D5" s="65"/>
      <c r="E5" s="65"/>
      <c r="F5" s="65"/>
      <c r="G5" s="65"/>
      <c r="H5" s="65"/>
      <c r="I5" s="65"/>
      <c r="J5" s="65"/>
    </row>
    <row r="6" spans="1:13">
      <c r="A6" s="15" t="s">
        <v>91</v>
      </c>
      <c r="B6" s="11" t="s">
        <v>498</v>
      </c>
      <c r="C6" s="11" t="s">
        <v>499</v>
      </c>
      <c r="D6" s="11" t="s">
        <v>500</v>
      </c>
      <c r="E6" s="12" t="s">
        <v>687</v>
      </c>
      <c r="F6" s="11" t="s">
        <v>12</v>
      </c>
      <c r="G6" s="14" t="s">
        <v>14</v>
      </c>
      <c r="H6" s="32" t="s">
        <v>14</v>
      </c>
      <c r="I6" s="14" t="s">
        <v>78</v>
      </c>
      <c r="J6" s="15"/>
      <c r="K6" s="13" t="str">
        <f>"190,0"</f>
        <v>190,0</v>
      </c>
      <c r="L6" s="13" t="str">
        <f>"128,3260"</f>
        <v>128,3260</v>
      </c>
      <c r="M6" s="11" t="s">
        <v>679</v>
      </c>
    </row>
  </sheetData>
  <mergeCells count="12">
    <mergeCell ref="A5:J5"/>
    <mergeCell ref="B3:B4"/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20</vt:i4>
      </vt:variant>
    </vt:vector>
  </HeadingPairs>
  <TitlesOfParts>
    <vt:vector size="20" baseType="lpstr">
      <vt:lpstr>IPL ПЛ без экипировки ДК</vt:lpstr>
      <vt:lpstr>IPL ПЛ без экипировки</vt:lpstr>
      <vt:lpstr>IPL Двоеборье без экип ДК</vt:lpstr>
      <vt:lpstr>IPL Двоеборье без экип</vt:lpstr>
      <vt:lpstr>IPL Присед без экипировки ДК</vt:lpstr>
      <vt:lpstr>IPL Жим без экипировки ДК</vt:lpstr>
      <vt:lpstr>IPL Жим без экипировки</vt:lpstr>
      <vt:lpstr>IPL Жим однослой ДК</vt:lpstr>
      <vt:lpstr>IPL Жим однослой</vt:lpstr>
      <vt:lpstr>СПР Жим софт однопетельная ДК</vt:lpstr>
      <vt:lpstr>СПР Жим софт однопетельная</vt:lpstr>
      <vt:lpstr>IPL Тяга без экипировки ДК</vt:lpstr>
      <vt:lpstr>IPL Тяга без экипировки</vt:lpstr>
      <vt:lpstr>IPL Тяга однослой ДК</vt:lpstr>
      <vt:lpstr>IPL Тяга однослой</vt:lpstr>
      <vt:lpstr>СПР Пауэрспорт ДК</vt:lpstr>
      <vt:lpstr>СПР Жим стоя ДК</vt:lpstr>
      <vt:lpstr>СПР Жим стоя</vt:lpstr>
      <vt:lpstr>СПР Подъем на бицепс ДК</vt:lpstr>
      <vt:lpstr>СПР Подъем на бицепс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Tomchin</dc:creator>
  <cp:lastModifiedBy>Екатерина Шевелева</cp:lastModifiedBy>
  <cp:lastPrinted>2015-07-16T19:10:53Z</cp:lastPrinted>
  <dcterms:created xsi:type="dcterms:W3CDTF">2002-06-16T13:36:44Z</dcterms:created>
  <dcterms:modified xsi:type="dcterms:W3CDTF">2023-01-10T16:39:44Z</dcterms:modified>
</cp:coreProperties>
</file>