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Май/"/>
    </mc:Choice>
  </mc:AlternateContent>
  <xr:revisionPtr revIDLastSave="0" documentId="13_ncr:1_{8F1CE29C-3062-B940-B5C9-D6ACF2804470}" xr6:coauthVersionLast="45" xr6:coauthVersionMax="45" xr10:uidLastSave="{00000000-0000-0000-0000-000000000000}"/>
  <bookViews>
    <workbookView xWindow="480" yWindow="460" windowWidth="28060" windowHeight="15580" firstSheet="11" activeTab="17" xr2:uid="{00000000-000D-0000-FFFF-FFFF00000000}"/>
  </bookViews>
  <sheets>
    <sheet name="WRPF ПЛ без экипировки ДК" sheetId="7" r:id="rId1"/>
    <sheet name="WRPF ПЛ без экипировки" sheetId="6" r:id="rId2"/>
    <sheet name="WRPF Двоеборье без экип ДК" sheetId="17" r:id="rId3"/>
    <sheet name="WRPF Двоеборье без экип" sheetId="16" r:id="rId4"/>
    <sheet name="WRPF Жим лежа без экип ДК" sheetId="10" r:id="rId5"/>
    <sheet name="WRPF Жим лежа без экип" sheetId="9" r:id="rId6"/>
    <sheet name="WEPF Жим однослой" sheetId="12" r:id="rId7"/>
    <sheet name="WEPF Жим софт однопетельная ДК" sheetId="11" r:id="rId8"/>
    <sheet name="WEPF Жим софт однопетельная" sheetId="8" r:id="rId9"/>
    <sheet name="WEPF Жим софт многопетельнаяДК" sheetId="30" r:id="rId10"/>
    <sheet name="WRPF Военный жим ДК" sheetId="13" r:id="rId11"/>
    <sheet name="WRPF Военный жим" sheetId="28" r:id="rId12"/>
    <sheet name="WRPF Тяга без экипировки ДК" sheetId="15" r:id="rId13"/>
    <sheet name="WRPF Тяга без экипировки" sheetId="14" r:id="rId14"/>
    <sheet name="СПР Пауэрспорт" sheetId="26" r:id="rId15"/>
    <sheet name="СПР Жим стоя ДК" sheetId="23" r:id="rId16"/>
    <sheet name="СПР Подъем на бицепс ДК" sheetId="25" r:id="rId17"/>
    <sheet name="СПР Подъем на бицепс" sheetId="24" r:id="rId18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30" l="1"/>
  <c r="K6" i="30"/>
  <c r="L9" i="28"/>
  <c r="K9" i="28"/>
  <c r="L6" i="28"/>
  <c r="K6" i="28"/>
  <c r="P6" i="26"/>
  <c r="O6" i="26"/>
  <c r="L6" i="25"/>
  <c r="K6" i="25"/>
  <c r="L9" i="24"/>
  <c r="K9" i="24"/>
  <c r="L6" i="24"/>
  <c r="K6" i="24"/>
  <c r="L6" i="23"/>
  <c r="K6" i="23"/>
  <c r="P9" i="17"/>
  <c r="O9" i="17"/>
  <c r="P6" i="17"/>
  <c r="O6" i="17"/>
  <c r="P12" i="16"/>
  <c r="O12" i="16"/>
  <c r="P9" i="16"/>
  <c r="O9" i="16"/>
  <c r="P6" i="16"/>
  <c r="O6" i="16"/>
  <c r="L9" i="15"/>
  <c r="K9" i="15"/>
  <c r="L6" i="15"/>
  <c r="K6" i="15"/>
  <c r="L22" i="14"/>
  <c r="K22" i="14"/>
  <c r="L21" i="14"/>
  <c r="K21" i="14"/>
  <c r="L18" i="14"/>
  <c r="L15" i="14"/>
  <c r="K15" i="14"/>
  <c r="L12" i="14"/>
  <c r="K12" i="14"/>
  <c r="L9" i="14"/>
  <c r="K9" i="14"/>
  <c r="L6" i="14"/>
  <c r="K6" i="14"/>
  <c r="L6" i="13"/>
  <c r="K6" i="13"/>
  <c r="L6" i="12"/>
  <c r="K6" i="12"/>
  <c r="L15" i="11"/>
  <c r="K15" i="11"/>
  <c r="L12" i="11"/>
  <c r="K12" i="11"/>
  <c r="L9" i="11"/>
  <c r="K9" i="11"/>
  <c r="L6" i="11"/>
  <c r="K6" i="11"/>
  <c r="L24" i="10"/>
  <c r="K24" i="10"/>
  <c r="L21" i="10"/>
  <c r="K21" i="10"/>
  <c r="L20" i="10"/>
  <c r="K20" i="10"/>
  <c r="L17" i="10"/>
  <c r="K17" i="10"/>
  <c r="L16" i="10"/>
  <c r="K16" i="10"/>
  <c r="L15" i="10"/>
  <c r="K15" i="10"/>
  <c r="L12" i="10"/>
  <c r="K12" i="10"/>
  <c r="L9" i="10"/>
  <c r="K9" i="10"/>
  <c r="L6" i="10"/>
  <c r="K6" i="10"/>
  <c r="L12" i="9"/>
  <c r="K12" i="9"/>
  <c r="L9" i="9"/>
  <c r="K9" i="9"/>
  <c r="L6" i="9"/>
  <c r="K6" i="9"/>
  <c r="L6" i="8"/>
  <c r="K6" i="8"/>
  <c r="T12" i="7"/>
  <c r="S12" i="7"/>
  <c r="T9" i="7"/>
  <c r="S9" i="7"/>
  <c r="T6" i="7"/>
  <c r="T15" i="6"/>
  <c r="S15" i="6"/>
  <c r="T12" i="6"/>
  <c r="S12" i="6"/>
  <c r="T9" i="6"/>
  <c r="S9" i="6"/>
  <c r="T6" i="6"/>
  <c r="S6" i="6"/>
</calcChain>
</file>

<file path=xl/sharedStrings.xml><?xml version="1.0" encoding="utf-8"?>
<sst xmlns="http://schemas.openxmlformats.org/spreadsheetml/2006/main" count="791" uniqueCount="272">
  <si>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</si>
  <si>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</si>
  <si>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</si>
  <si>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</si>
  <si>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</si>
  <si>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</si>
  <si>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</si>
  <si>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 xml:space="preserve">Абсолютный зачёт </t>
  </si>
  <si>
    <t>Приседание</t>
  </si>
  <si>
    <t>Жим лёжа</t>
  </si>
  <si>
    <t>Становая тяга</t>
  </si>
  <si>
    <t>ВЕСОВАЯ КАТЕГОРИЯ   60</t>
  </si>
  <si>
    <t>Открытая (17.03.1989)/34</t>
  </si>
  <si>
    <t>57,00</t>
  </si>
  <si>
    <t>65,0</t>
  </si>
  <si>
    <t>67,5</t>
  </si>
  <si>
    <t>70,0</t>
  </si>
  <si>
    <t>35,0</t>
  </si>
  <si>
    <t>37,5</t>
  </si>
  <si>
    <t>40,0</t>
  </si>
  <si>
    <t>102,5</t>
  </si>
  <si>
    <t>105,0</t>
  </si>
  <si>
    <t>107,5</t>
  </si>
  <si>
    <t xml:space="preserve">Дубов Алексей </t>
  </si>
  <si>
    <t>ВЕСОВАЯ КАТЕГОРИЯ   82.5</t>
  </si>
  <si>
    <t>77,00</t>
  </si>
  <si>
    <t>112,5</t>
  </si>
  <si>
    <t>115,0</t>
  </si>
  <si>
    <t>117,5</t>
  </si>
  <si>
    <t>145,0</t>
  </si>
  <si>
    <t>150,0</t>
  </si>
  <si>
    <t>155,0</t>
  </si>
  <si>
    <t>ВЕСОВАЯ КАТЕГОРИЯ   90</t>
  </si>
  <si>
    <t>Мастера 60-69 (18.04.1963)/60</t>
  </si>
  <si>
    <t>89,60</t>
  </si>
  <si>
    <t>160,0</t>
  </si>
  <si>
    <t>170,0</t>
  </si>
  <si>
    <t>177,5</t>
  </si>
  <si>
    <t>90,0</t>
  </si>
  <si>
    <t>95,0</t>
  </si>
  <si>
    <t>97,5</t>
  </si>
  <si>
    <t>195,0</t>
  </si>
  <si>
    <t>205,0</t>
  </si>
  <si>
    <t>210,0</t>
  </si>
  <si>
    <t>ВЕСОВАЯ КАТЕГОРИЯ   110</t>
  </si>
  <si>
    <t>Открытая (18.01.1979)/44</t>
  </si>
  <si>
    <t>110,00</t>
  </si>
  <si>
    <t xml:space="preserve">Самара/Самарская область </t>
  </si>
  <si>
    <t>185,0</t>
  </si>
  <si>
    <t>215,0</t>
  </si>
  <si>
    <t>175,0</t>
  </si>
  <si>
    <t>192,5</t>
  </si>
  <si>
    <t>230,0</t>
  </si>
  <si>
    <t>250,0</t>
  </si>
  <si>
    <t>260,0</t>
  </si>
  <si>
    <t xml:space="preserve">Открытая </t>
  </si>
  <si>
    <t xml:space="preserve">ФИО </t>
  </si>
  <si>
    <t xml:space="preserve">Возрастная группа </t>
  </si>
  <si>
    <t xml:space="preserve">Wilks </t>
  </si>
  <si>
    <t>82.5</t>
  </si>
  <si>
    <t xml:space="preserve">Мужчины </t>
  </si>
  <si>
    <t>90</t>
  </si>
  <si>
    <t>1</t>
  </si>
  <si>
    <t>Борисова Ульяна</t>
  </si>
  <si>
    <t>Абрамова Надежда</t>
  </si>
  <si>
    <t>Дубов Алексей</t>
  </si>
  <si>
    <t>Неклеенко Антон</t>
  </si>
  <si>
    <t>ВЕСОВАЯ КАТЕГОРИЯ   75</t>
  </si>
  <si>
    <t>Открытая (09.05.1974)/48</t>
  </si>
  <si>
    <t>74,40</t>
  </si>
  <si>
    <t xml:space="preserve">Ульяновск/Ульяновская область </t>
  </si>
  <si>
    <t>140,0</t>
  </si>
  <si>
    <t>100,0</t>
  </si>
  <si>
    <t>162,5</t>
  </si>
  <si>
    <t>Открытая (10.07.1994)/28</t>
  </si>
  <si>
    <t>78,00</t>
  </si>
  <si>
    <t>110,0</t>
  </si>
  <si>
    <t>Открытая (01.07.1991)/31</t>
  </si>
  <si>
    <t>86,80</t>
  </si>
  <si>
    <t>180,0</t>
  </si>
  <si>
    <t>202,5</t>
  </si>
  <si>
    <t>-</t>
  </si>
  <si>
    <t>Седов Сергей</t>
  </si>
  <si>
    <t>Маркелов Максим</t>
  </si>
  <si>
    <t>Ильин Алексей</t>
  </si>
  <si>
    <t>ВЕСОВАЯ КАТЕГОРИЯ   100</t>
  </si>
  <si>
    <t>Мастера 50-59 (15.11.1971)/51</t>
  </si>
  <si>
    <t>99,60</t>
  </si>
  <si>
    <t>240,0</t>
  </si>
  <si>
    <t xml:space="preserve">Результат </t>
  </si>
  <si>
    <t>Результат</t>
  </si>
  <si>
    <t>Съемщиков Игорь</t>
  </si>
  <si>
    <t>ВЕСОВАЯ КАТЕГОРИЯ   67.5</t>
  </si>
  <si>
    <t>Юноши 14-16 (17.12.2009)/13</t>
  </si>
  <si>
    <t>65,80</t>
  </si>
  <si>
    <t>45,0</t>
  </si>
  <si>
    <t>50,0</t>
  </si>
  <si>
    <t xml:space="preserve">Степанов Владимир </t>
  </si>
  <si>
    <t>ВЕСОВАЯ КАТЕГОРИЯ   125</t>
  </si>
  <si>
    <t>Мастера 40-49 (29.11.1981)/41</t>
  </si>
  <si>
    <t>119,80</t>
  </si>
  <si>
    <t xml:space="preserve">Инза/Ульяновская область </t>
  </si>
  <si>
    <t>Сергеев Денис</t>
  </si>
  <si>
    <t>Бутузов Сергей</t>
  </si>
  <si>
    <t>Открытая (16.04.1997)/26</t>
  </si>
  <si>
    <t>63,00</t>
  </si>
  <si>
    <t>120,0</t>
  </si>
  <si>
    <t xml:space="preserve">Власов Александр </t>
  </si>
  <si>
    <t>Открытая (18.10.1998)/24</t>
  </si>
  <si>
    <t>74,00</t>
  </si>
  <si>
    <t>165,0</t>
  </si>
  <si>
    <t xml:space="preserve">Панкратов Вадим </t>
  </si>
  <si>
    <t>Открытая (21.09.1997)/25</t>
  </si>
  <si>
    <t>76,60</t>
  </si>
  <si>
    <t>137,5</t>
  </si>
  <si>
    <t>142,5</t>
  </si>
  <si>
    <t>147,5</t>
  </si>
  <si>
    <t xml:space="preserve">Яббаров Альберт </t>
  </si>
  <si>
    <t>Открытая (10.07.1999)/23</t>
  </si>
  <si>
    <t>85,60</t>
  </si>
  <si>
    <t>157,5</t>
  </si>
  <si>
    <t>Открытая (27.07.1982)/40</t>
  </si>
  <si>
    <t>87,00</t>
  </si>
  <si>
    <t>Открытая (08.08.1999)/23</t>
  </si>
  <si>
    <t>89,00</t>
  </si>
  <si>
    <t>130,0</t>
  </si>
  <si>
    <t>135,0</t>
  </si>
  <si>
    <t>Юниоры (07.05.2002)/20</t>
  </si>
  <si>
    <t>100,00</t>
  </si>
  <si>
    <t xml:space="preserve">Димитровград/Ульяновская область </t>
  </si>
  <si>
    <t>Мастера 40-49 (28.09.1977)/45</t>
  </si>
  <si>
    <t>Мастера 40-49 (11.11.1978)/44</t>
  </si>
  <si>
    <t>115,00</t>
  </si>
  <si>
    <t>152,5</t>
  </si>
  <si>
    <t>75</t>
  </si>
  <si>
    <t>Салахетдинов Тимур</t>
  </si>
  <si>
    <t>Власов Александр</t>
  </si>
  <si>
    <t>Панкратов Вадим</t>
  </si>
  <si>
    <t>Яббаров Альберт</t>
  </si>
  <si>
    <t>2</t>
  </si>
  <si>
    <t>Кривошеев Владимир</t>
  </si>
  <si>
    <t>3</t>
  </si>
  <si>
    <t>Гоглидзе Евгений</t>
  </si>
  <si>
    <t>Филатов Алексей</t>
  </si>
  <si>
    <t>Аюпов Фанис</t>
  </si>
  <si>
    <t>Ахметшин Салават</t>
  </si>
  <si>
    <t>ВЕСОВАЯ КАТЕГОРИЯ   56</t>
  </si>
  <si>
    <t>Открытая (05.11.1983)/39</t>
  </si>
  <si>
    <t>55,80</t>
  </si>
  <si>
    <t>60,0</t>
  </si>
  <si>
    <t>Открытая (07.05.1991)/31</t>
  </si>
  <si>
    <t>73,60</t>
  </si>
  <si>
    <t xml:space="preserve">Тольятти/Самарская область </t>
  </si>
  <si>
    <t>Открытая (03.03.1997)/26</t>
  </si>
  <si>
    <t>82,50</t>
  </si>
  <si>
    <t>Открытая (26.04.1987)/36</t>
  </si>
  <si>
    <t>225,0</t>
  </si>
  <si>
    <t>245,0</t>
  </si>
  <si>
    <t>252,5</t>
  </si>
  <si>
    <t>Горожанина Ольга</t>
  </si>
  <si>
    <t>Мастюков Алексей</t>
  </si>
  <si>
    <t>Логинов Александр</t>
  </si>
  <si>
    <t>Репин Дмитрий</t>
  </si>
  <si>
    <t>Юноши 14-16 (15.05.2010)/12</t>
  </si>
  <si>
    <t>74,60</t>
  </si>
  <si>
    <t>87,5</t>
  </si>
  <si>
    <t>92,5</t>
  </si>
  <si>
    <t>Болобан Арсений</t>
  </si>
  <si>
    <t>Юноши 14-16 (17.10.2008)/14</t>
  </si>
  <si>
    <t>79,40</t>
  </si>
  <si>
    <t>55,0</t>
  </si>
  <si>
    <t>62,5</t>
  </si>
  <si>
    <t>Бурундуков Дамир</t>
  </si>
  <si>
    <t xml:space="preserve">Пономарев Иван </t>
  </si>
  <si>
    <t>Открытая (30.06.1988)/34</t>
  </si>
  <si>
    <t>69,20</t>
  </si>
  <si>
    <t>280,0</t>
  </si>
  <si>
    <t>290,0</t>
  </si>
  <si>
    <t>Открытая (29.04.1983)/40</t>
  </si>
  <si>
    <t>79,00</t>
  </si>
  <si>
    <t>220,0</t>
  </si>
  <si>
    <t>237,5</t>
  </si>
  <si>
    <t>Открытая (20.05.1974)/48</t>
  </si>
  <si>
    <t>96,60</t>
  </si>
  <si>
    <t>Мастера 50-59 (01.11.1965)/57</t>
  </si>
  <si>
    <t>107,00</t>
  </si>
  <si>
    <t>207,5</t>
  </si>
  <si>
    <t>212,5</t>
  </si>
  <si>
    <t xml:space="preserve">Гераймас Александр </t>
  </si>
  <si>
    <t>Пономарев Иван</t>
  </si>
  <si>
    <t>Нестерко Сергей</t>
  </si>
  <si>
    <t>Петровичев Андрей</t>
  </si>
  <si>
    <t>Новлянский Виктор</t>
  </si>
  <si>
    <t>Мастера 40-49 (09.05.1974)/48</t>
  </si>
  <si>
    <t>172,5</t>
  </si>
  <si>
    <t>182,5</t>
  </si>
  <si>
    <t>ВЕСОВАЯ КАТЕГОРИЯ   90+</t>
  </si>
  <si>
    <t>Открытая (08.05.1983)/39</t>
  </si>
  <si>
    <t>90,80</t>
  </si>
  <si>
    <t>30,0</t>
  </si>
  <si>
    <t>Открытая (03.01.1995)/28</t>
  </si>
  <si>
    <t>68,80</t>
  </si>
  <si>
    <t>125,0</t>
  </si>
  <si>
    <t>132,5</t>
  </si>
  <si>
    <t>Мастера 40-49 (01.08.1975)/47</t>
  </si>
  <si>
    <t>122,5</t>
  </si>
  <si>
    <t>127,5</t>
  </si>
  <si>
    <t>167,5</t>
  </si>
  <si>
    <t>Акимова Ольга</t>
  </si>
  <si>
    <t>Гарифуллов Рафаэль</t>
  </si>
  <si>
    <t>Глушенков Владимир</t>
  </si>
  <si>
    <t>Открытая (30.09.1994)/28</t>
  </si>
  <si>
    <t>80,00</t>
  </si>
  <si>
    <t>190,0</t>
  </si>
  <si>
    <t>200,0</t>
  </si>
  <si>
    <t>Карагодин Александр</t>
  </si>
  <si>
    <t>Семягин Илья</t>
  </si>
  <si>
    <t>Мастера 60+ (18.04.1963)/60</t>
  </si>
  <si>
    <t>Гераймас Александр</t>
  </si>
  <si>
    <t>86,20</t>
  </si>
  <si>
    <t>75,0</t>
  </si>
  <si>
    <t>77,5</t>
  </si>
  <si>
    <t>Глухов Андрей</t>
  </si>
  <si>
    <t>Юноши 17-19 (28.06.2003)/19</t>
  </si>
  <si>
    <t>Хабибуллин Динар</t>
  </si>
  <si>
    <t>Открытая (18.11.1989)/33</t>
  </si>
  <si>
    <t>95,60</t>
  </si>
  <si>
    <t>Чадаев Александр</t>
  </si>
  <si>
    <t xml:space="preserve">Лагутин Евгений </t>
  </si>
  <si>
    <t xml:space="preserve">Бурлаков Борис </t>
  </si>
  <si>
    <t>Лагутин Евгений</t>
  </si>
  <si>
    <t xml:space="preserve">Васев Александр </t>
  </si>
  <si>
    <t>Мастера 50-59 (28.04.1971)/52</t>
  </si>
  <si>
    <t>Всероссийский мастерский турнир «Ironman»
WRPF Пауэрлифтинг без экипировки ДК
Димитровград/Ульяновская область, 06 мая 2023 года</t>
  </si>
  <si>
    <t>Всероссийский мастерский турнир «Ironman»
WRPF Пауэрлифтинг без экипировки
Димитровград/Ульяновская область, 06 мая 2023 года</t>
  </si>
  <si>
    <t>Всероссийский мастерский турнир «Ironman»
WRPF Силовое двоеборье без экипировки ДК
Димитровград/Ульяновская область, 06 мая 2023 года</t>
  </si>
  <si>
    <t>Всероссийский мастерский турнир «Ironman»
WRPF Силовое двоеборье без экипировки
Димитровград/Ульяновская область, 06 мая 2023 года</t>
  </si>
  <si>
    <t>Всероссийский мастерский турнир «Ironman»
WRPF Жим лежа без экипировки ДК
Димитровград/Ульяновская область, 06 мая 2023 года</t>
  </si>
  <si>
    <t>Всероссийский мастерский турнир «Ironman»
WRPF Жим лежа без экипировки
Димитровград/Ульяновская область, 06 мая 2023 года</t>
  </si>
  <si>
    <t>Всероссийский мастерский турнир «Ironman»
WEPF Жим лежа в однослойной экипировке
Димитровград/Ульяновская область, 06 мая 2023 года</t>
  </si>
  <si>
    <t>Всероссийский мастерский турнир «Ironman»
WEPF Жим лежа в однопетельной софт экипировке ДК
Димитровград/Ульяновская область, 06 мая 2023 года</t>
  </si>
  <si>
    <t>Всероссийский мастерский турнир «Ironman»
WEPF Жим лежа в однопетельной софт экипировке
Димитровград/Ульяновская область, 06 мая 2023 года</t>
  </si>
  <si>
    <t>Всероссийский мастерский турнир «Ironman»
WRPF Военный жим лежа с ДК
Димитровград/Ульяновская область, 06 мая 2023 года</t>
  </si>
  <si>
    <t>Всероссийский мастерский турнир «Ironman»
WRPF Становая тяга без экипировки ДК
Димитровград/Ульяновская область, 06 мая 2023 года</t>
  </si>
  <si>
    <t>Всероссийский мастерский турнир «Ironman»
WRPF Становая тяга без экипировки
Димитровград/Ульяновская область, 06 мая 2023 года</t>
  </si>
  <si>
    <t>Всероссийский мастерский турнир «Ironman»
СПР Строгий подъем штанги на бицепс ДК
Димитровград/Ульяновская область, 06 мая 2023 года</t>
  </si>
  <si>
    <t>Всероссийский мастерский турнир «Ironman»
СПР Жим штанги стоя ДК
Димитровград/Ульяновская область, 06 мая 2023 года</t>
  </si>
  <si>
    <t>Всероссийский мастерский турнир «Ironman»
СПР Пауэрспорт
Димитровград/Ульяновская область, 06 мая 2023 года</t>
  </si>
  <si>
    <t>Всероссийский мастерский турнир «Ironman»
СПР Строгий подъем штанги на бицепс
Димитровград/Ульяновская область, 06 мая 2023 года</t>
  </si>
  <si>
    <t xml:space="preserve">Челно-Вершины/Самарская область </t>
  </si>
  <si>
    <t xml:space="preserve">Казань/Республика Татарстан </t>
  </si>
  <si>
    <t>Весовая категория</t>
  </si>
  <si>
    <t>Всероссийский мастерский турнир «Ironman»
WEPF Жим лежа в многопетельной софт экипировке ДК
Димитровград/Ульяновская область, 06 мая 2023 года</t>
  </si>
  <si>
    <t>Всероссийский мастерский турнир «Ironman»
WRPF Военный жим лежа
Димитровград/Ульяновская область, 06 мая 2023 года</t>
  </si>
  <si>
    <t>Чебоксары/Чувашская Республика</t>
  </si>
  <si>
    <t>Челно-Вершины/Самарская область</t>
  </si>
  <si>
    <t>Мастера 40-49 (12.06.1982)/40</t>
  </si>
  <si>
    <t>Юноши 13-19 (17.10.2008)/14</t>
  </si>
  <si>
    <t>Мастера 40-49 (13.08.1982)/40</t>
  </si>
  <si>
    <t>№</t>
  </si>
  <si>
    <t>жим</t>
  </si>
  <si>
    <t>тяга</t>
  </si>
  <si>
    <t xml:space="preserve">
Дата рождения/Возраст</t>
  </si>
  <si>
    <t>Возрастная группа</t>
  </si>
  <si>
    <t>O</t>
  </si>
  <si>
    <t>M2</t>
  </si>
  <si>
    <t>M3</t>
  </si>
  <si>
    <t>M1</t>
  </si>
  <si>
    <t>J</t>
  </si>
  <si>
    <t>T1</t>
  </si>
  <si>
    <t>T2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</si>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</sst>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U12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16.8320312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2.5" style="5" bestFit="1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7" width="5.5" style="10" customWidth="1"/>
    <col min="18" max="18" width="4.83203125" style="10" customWidth="1"/>
    <col min="19" max="19" width="7.83203125" style="20" bestFit="1" customWidth="1"/>
    <col min="20" max="20" width="8.5" style="7" bestFit="1" customWidth="1"/>
    <col min="21" max="21" width="15.6640625" style="5" bestFit="1" customWidth="1"/>
    <col min="22" max="16384" width="9.1640625" style="3"/>
  </cols>
  <sheetData>
    <row r="1" spans="1:21" s="2" customFormat="1" ht="29" customHeight="1">
      <c r="A1" s="60" t="s">
        <v>233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3"/>
    </row>
    <row r="2" spans="1:21" s="2" customFormat="1" ht="62" customHeight="1" thickBot="1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7"/>
    </row>
    <row r="3" spans="1:21" s="1" customFormat="1" ht="12.75" customHeight="1">
      <c r="A3" s="68" t="s">
        <v>259</v>
      </c>
      <c r="B3" s="50" t="s">
        <v>0</v>
      </c>
      <c r="C3" s="70" t="s">
        <v>262</v>
      </c>
      <c r="D3" s="70" t="s">
        <v>6</v>
      </c>
      <c r="E3" s="54" t="s">
        <v>263</v>
      </c>
      <c r="F3" s="72" t="s">
        <v>5</v>
      </c>
      <c r="G3" s="72" t="s">
        <v>8</v>
      </c>
      <c r="H3" s="72"/>
      <c r="I3" s="72"/>
      <c r="J3" s="72"/>
      <c r="K3" s="72" t="s">
        <v>9</v>
      </c>
      <c r="L3" s="72"/>
      <c r="M3" s="72"/>
      <c r="N3" s="72"/>
      <c r="O3" s="72" t="s">
        <v>10</v>
      </c>
      <c r="P3" s="72"/>
      <c r="Q3" s="72"/>
      <c r="R3" s="72"/>
      <c r="S3" s="52" t="s">
        <v>1</v>
      </c>
      <c r="T3" s="54" t="s">
        <v>3</v>
      </c>
      <c r="U3" s="56" t="s">
        <v>2</v>
      </c>
    </row>
    <row r="4" spans="1:21" s="1" customFormat="1" ht="21" customHeight="1" thickBot="1">
      <c r="A4" s="69"/>
      <c r="B4" s="51"/>
      <c r="C4" s="71"/>
      <c r="D4" s="71"/>
      <c r="E4" s="55"/>
      <c r="F4" s="71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3"/>
      <c r="T4" s="55"/>
      <c r="U4" s="57"/>
    </row>
    <row r="5" spans="1:21" ht="16">
      <c r="A5" s="58" t="s">
        <v>67</v>
      </c>
      <c r="B5" s="5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21">
      <c r="A6" s="22" t="s">
        <v>81</v>
      </c>
      <c r="B6" s="11" t="s">
        <v>82</v>
      </c>
      <c r="C6" s="11" t="s">
        <v>68</v>
      </c>
      <c r="D6" s="11" t="s">
        <v>69</v>
      </c>
      <c r="E6" s="12" t="s">
        <v>264</v>
      </c>
      <c r="F6" s="11" t="s">
        <v>70</v>
      </c>
      <c r="G6" s="21" t="s">
        <v>71</v>
      </c>
      <c r="H6" s="21" t="s">
        <v>29</v>
      </c>
      <c r="I6" s="21" t="s">
        <v>30</v>
      </c>
      <c r="J6" s="22"/>
      <c r="K6" s="23" t="s">
        <v>72</v>
      </c>
      <c r="L6" s="23" t="s">
        <v>72</v>
      </c>
      <c r="M6" s="23" t="s">
        <v>72</v>
      </c>
      <c r="N6" s="22"/>
      <c r="O6" s="23"/>
      <c r="P6" s="22"/>
      <c r="Q6" s="22"/>
      <c r="R6" s="22"/>
      <c r="S6" s="45">
        <v>0</v>
      </c>
      <c r="T6" s="13" t="str">
        <f>"0,0000"</f>
        <v>0,0000</v>
      </c>
      <c r="U6" s="11"/>
    </row>
    <row r="8" spans="1:21" ht="16">
      <c r="A8" s="48" t="s">
        <v>24</v>
      </c>
      <c r="B8" s="48"/>
      <c r="C8" s="48"/>
      <c r="D8" s="48"/>
      <c r="E8" s="49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21">
      <c r="A9" s="22" t="s">
        <v>62</v>
      </c>
      <c r="B9" s="11" t="s">
        <v>83</v>
      </c>
      <c r="C9" s="11" t="s">
        <v>74</v>
      </c>
      <c r="D9" s="11" t="s">
        <v>75</v>
      </c>
      <c r="E9" s="12" t="s">
        <v>264</v>
      </c>
      <c r="F9" s="11" t="s">
        <v>129</v>
      </c>
      <c r="G9" s="21" t="s">
        <v>30</v>
      </c>
      <c r="H9" s="21" t="s">
        <v>35</v>
      </c>
      <c r="I9" s="21" t="s">
        <v>36</v>
      </c>
      <c r="J9" s="22"/>
      <c r="K9" s="21" t="s">
        <v>38</v>
      </c>
      <c r="L9" s="21" t="s">
        <v>72</v>
      </c>
      <c r="M9" s="21" t="s">
        <v>76</v>
      </c>
      <c r="N9" s="22"/>
      <c r="O9" s="21" t="s">
        <v>30</v>
      </c>
      <c r="P9" s="21" t="s">
        <v>35</v>
      </c>
      <c r="Q9" s="21" t="s">
        <v>36</v>
      </c>
      <c r="R9" s="22"/>
      <c r="S9" s="45" t="str">
        <f>"450,0"</f>
        <v>450,0</v>
      </c>
      <c r="T9" s="13" t="str">
        <f>"312,2550"</f>
        <v>312,2550</v>
      </c>
      <c r="U9" s="11"/>
    </row>
    <row r="11" spans="1:21" ht="16">
      <c r="A11" s="48" t="s">
        <v>32</v>
      </c>
      <c r="B11" s="48"/>
      <c r="C11" s="48"/>
      <c r="D11" s="48"/>
      <c r="E11" s="49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21">
      <c r="A12" s="22" t="s">
        <v>62</v>
      </c>
      <c r="B12" s="11" t="s">
        <v>84</v>
      </c>
      <c r="C12" s="11" t="s">
        <v>77</v>
      </c>
      <c r="D12" s="11" t="s">
        <v>78</v>
      </c>
      <c r="E12" s="12" t="s">
        <v>264</v>
      </c>
      <c r="F12" s="11" t="s">
        <v>249</v>
      </c>
      <c r="G12" s="21" t="s">
        <v>30</v>
      </c>
      <c r="H12" s="21" t="s">
        <v>35</v>
      </c>
      <c r="I12" s="21" t="s">
        <v>36</v>
      </c>
      <c r="J12" s="22"/>
      <c r="K12" s="21" t="s">
        <v>72</v>
      </c>
      <c r="L12" s="21" t="s">
        <v>76</v>
      </c>
      <c r="M12" s="21" t="s">
        <v>27</v>
      </c>
      <c r="N12" s="22"/>
      <c r="O12" s="21" t="s">
        <v>79</v>
      </c>
      <c r="P12" s="21" t="s">
        <v>41</v>
      </c>
      <c r="Q12" s="23" t="s">
        <v>80</v>
      </c>
      <c r="R12" s="22"/>
      <c r="S12" s="45" t="str">
        <f>"480,0"</f>
        <v>480,0</v>
      </c>
      <c r="T12" s="13" t="str">
        <f>"312,3360"</f>
        <v>312,3360</v>
      </c>
      <c r="U12" s="11"/>
    </row>
  </sheetData>
  <mergeCells count="16"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B3:B4"/>
    <mergeCell ref="S3:S4"/>
    <mergeCell ref="T3:T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0.1640625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60" t="s">
        <v>252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2" customFormat="1" ht="62" customHeight="1" thickBot="1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1" customFormat="1" ht="12.75" customHeight="1">
      <c r="A3" s="68" t="s">
        <v>259</v>
      </c>
      <c r="B3" s="50" t="s">
        <v>0</v>
      </c>
      <c r="C3" s="70" t="s">
        <v>262</v>
      </c>
      <c r="D3" s="70" t="s">
        <v>6</v>
      </c>
      <c r="E3" s="54" t="s">
        <v>263</v>
      </c>
      <c r="F3" s="72" t="s">
        <v>5</v>
      </c>
      <c r="G3" s="72" t="s">
        <v>9</v>
      </c>
      <c r="H3" s="72"/>
      <c r="I3" s="72"/>
      <c r="J3" s="72"/>
      <c r="K3" s="54" t="s">
        <v>90</v>
      </c>
      <c r="L3" s="54" t="s">
        <v>3</v>
      </c>
      <c r="M3" s="56" t="s">
        <v>2</v>
      </c>
    </row>
    <row r="4" spans="1:13" s="1" customFormat="1" ht="21" customHeight="1" thickBot="1">
      <c r="A4" s="69"/>
      <c r="B4" s="51"/>
      <c r="C4" s="71"/>
      <c r="D4" s="71"/>
      <c r="E4" s="55"/>
      <c r="F4" s="71"/>
      <c r="G4" s="4">
        <v>1</v>
      </c>
      <c r="H4" s="4">
        <v>2</v>
      </c>
      <c r="I4" s="4">
        <v>3</v>
      </c>
      <c r="J4" s="4" t="s">
        <v>4</v>
      </c>
      <c r="K4" s="55"/>
      <c r="L4" s="55"/>
      <c r="M4" s="57"/>
    </row>
    <row r="5" spans="1:13" ht="16">
      <c r="A5" s="58" t="s">
        <v>85</v>
      </c>
      <c r="B5" s="58"/>
      <c r="C5" s="59"/>
      <c r="D5" s="59"/>
      <c r="E5" s="59"/>
      <c r="F5" s="59"/>
      <c r="G5" s="59"/>
      <c r="H5" s="59"/>
      <c r="I5" s="59"/>
      <c r="J5" s="59"/>
    </row>
    <row r="6" spans="1:13">
      <c r="A6" s="22" t="s">
        <v>62</v>
      </c>
      <c r="B6" s="11" t="s">
        <v>227</v>
      </c>
      <c r="C6" s="11" t="s">
        <v>225</v>
      </c>
      <c r="D6" s="11" t="s">
        <v>226</v>
      </c>
      <c r="E6" s="12" t="s">
        <v>264</v>
      </c>
      <c r="F6" s="11" t="s">
        <v>70</v>
      </c>
      <c r="G6" s="21" t="s">
        <v>214</v>
      </c>
      <c r="H6" s="23" t="s">
        <v>52</v>
      </c>
      <c r="I6" s="23" t="s">
        <v>52</v>
      </c>
      <c r="J6" s="22"/>
      <c r="K6" s="13" t="str">
        <f>"200,0"</f>
        <v>200,0</v>
      </c>
      <c r="L6" s="13" t="str">
        <f>"118,6300"</f>
        <v>118,6300</v>
      </c>
      <c r="M6" s="11"/>
    </row>
    <row r="8" spans="1:13">
      <c r="E8" s="5"/>
      <c r="F8" s="6"/>
      <c r="G8" s="5"/>
      <c r="K8" s="10"/>
      <c r="M8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8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7.6640625" style="5" bestFit="1" customWidth="1"/>
    <col min="3" max="3" width="26.5" style="5" bestFit="1" customWidth="1"/>
    <col min="4" max="4" width="21.5" style="5" bestFit="1" customWidth="1"/>
    <col min="5" max="5" width="10.5" style="6" bestFit="1" customWidth="1"/>
    <col min="6" max="6" width="31.5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7.5" style="7" bestFit="1" customWidth="1"/>
    <col min="13" max="13" width="16.83203125" style="5" customWidth="1"/>
    <col min="14" max="16384" width="9.1640625" style="3"/>
  </cols>
  <sheetData>
    <row r="1" spans="1:13" s="2" customFormat="1" ht="29" customHeight="1">
      <c r="A1" s="60" t="s">
        <v>242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2" customFormat="1" ht="62" customHeight="1" thickBot="1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1" customFormat="1" ht="12.75" customHeight="1">
      <c r="A3" s="68" t="s">
        <v>259</v>
      </c>
      <c r="B3" s="50" t="s">
        <v>0</v>
      </c>
      <c r="C3" s="70" t="s">
        <v>262</v>
      </c>
      <c r="D3" s="70" t="s">
        <v>6</v>
      </c>
      <c r="E3" s="54" t="s">
        <v>263</v>
      </c>
      <c r="F3" s="72" t="s">
        <v>5</v>
      </c>
      <c r="G3" s="72" t="s">
        <v>9</v>
      </c>
      <c r="H3" s="72"/>
      <c r="I3" s="72"/>
      <c r="J3" s="72"/>
      <c r="K3" s="54" t="s">
        <v>90</v>
      </c>
      <c r="L3" s="54" t="s">
        <v>3</v>
      </c>
      <c r="M3" s="56" t="s">
        <v>2</v>
      </c>
    </row>
    <row r="4" spans="1:13" s="1" customFormat="1" ht="21" customHeight="1" thickBot="1">
      <c r="A4" s="69"/>
      <c r="B4" s="51"/>
      <c r="C4" s="71"/>
      <c r="D4" s="71"/>
      <c r="E4" s="55"/>
      <c r="F4" s="71"/>
      <c r="G4" s="4">
        <v>1</v>
      </c>
      <c r="H4" s="4">
        <v>2</v>
      </c>
      <c r="I4" s="4">
        <v>3</v>
      </c>
      <c r="J4" s="4" t="s">
        <v>4</v>
      </c>
      <c r="K4" s="55"/>
      <c r="L4" s="55"/>
      <c r="M4" s="57"/>
    </row>
    <row r="5" spans="1:13" ht="16">
      <c r="A5" s="58" t="s">
        <v>24</v>
      </c>
      <c r="B5" s="58"/>
      <c r="C5" s="59"/>
      <c r="D5" s="59"/>
      <c r="E5" s="59"/>
      <c r="F5" s="59"/>
      <c r="G5" s="59"/>
      <c r="H5" s="59"/>
      <c r="I5" s="59"/>
      <c r="J5" s="59"/>
    </row>
    <row r="6" spans="1:13">
      <c r="A6" s="22" t="s">
        <v>62</v>
      </c>
      <c r="B6" s="11" t="s">
        <v>172</v>
      </c>
      <c r="C6" s="11" t="s">
        <v>168</v>
      </c>
      <c r="D6" s="11" t="s">
        <v>169</v>
      </c>
      <c r="E6" s="12" t="s">
        <v>269</v>
      </c>
      <c r="F6" s="11" t="s">
        <v>129</v>
      </c>
      <c r="G6" s="21" t="s">
        <v>170</v>
      </c>
      <c r="H6" s="21" t="s">
        <v>171</v>
      </c>
      <c r="I6" s="23" t="s">
        <v>16</v>
      </c>
      <c r="J6" s="22"/>
      <c r="K6" s="13" t="str">
        <f>"62,5"</f>
        <v>62,5</v>
      </c>
      <c r="L6" s="13" t="str">
        <f>"42,8750"</f>
        <v>42,8750</v>
      </c>
      <c r="M6" s="42" t="s">
        <v>230</v>
      </c>
    </row>
    <row r="8" spans="1:13">
      <c r="E8" s="5"/>
      <c r="F8" s="6"/>
      <c r="G8" s="5"/>
      <c r="K8" s="10"/>
      <c r="M8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1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9.1640625" style="5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30.1640625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7.5" style="7" bestFit="1" customWidth="1"/>
    <col min="13" max="13" width="17.5" style="5" customWidth="1"/>
    <col min="14" max="16384" width="9.1640625" style="3"/>
  </cols>
  <sheetData>
    <row r="1" spans="1:13" s="2" customFormat="1" ht="29" customHeight="1">
      <c r="A1" s="60" t="s">
        <v>253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2" customFormat="1" ht="62" customHeight="1" thickBot="1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1" customFormat="1" ht="12.75" customHeight="1">
      <c r="A3" s="68" t="s">
        <v>259</v>
      </c>
      <c r="B3" s="50" t="s">
        <v>0</v>
      </c>
      <c r="C3" s="70" t="s">
        <v>262</v>
      </c>
      <c r="D3" s="70" t="s">
        <v>6</v>
      </c>
      <c r="E3" s="54" t="s">
        <v>263</v>
      </c>
      <c r="F3" s="72" t="s">
        <v>5</v>
      </c>
      <c r="G3" s="72" t="s">
        <v>9</v>
      </c>
      <c r="H3" s="72"/>
      <c r="I3" s="72"/>
      <c r="J3" s="72"/>
      <c r="K3" s="54" t="s">
        <v>90</v>
      </c>
      <c r="L3" s="54" t="s">
        <v>3</v>
      </c>
      <c r="M3" s="56" t="s">
        <v>2</v>
      </c>
    </row>
    <row r="4" spans="1:13" s="1" customFormat="1" ht="21" customHeight="1" thickBot="1">
      <c r="A4" s="69"/>
      <c r="B4" s="51"/>
      <c r="C4" s="71"/>
      <c r="D4" s="71"/>
      <c r="E4" s="55"/>
      <c r="F4" s="71"/>
      <c r="G4" s="4">
        <v>1</v>
      </c>
      <c r="H4" s="4">
        <v>2</v>
      </c>
      <c r="I4" s="4">
        <v>3</v>
      </c>
      <c r="J4" s="4" t="s">
        <v>4</v>
      </c>
      <c r="K4" s="55"/>
      <c r="L4" s="55"/>
      <c r="M4" s="57"/>
    </row>
    <row r="5" spans="1:13" ht="16">
      <c r="A5" s="58" t="s">
        <v>85</v>
      </c>
      <c r="B5" s="58"/>
      <c r="C5" s="59"/>
      <c r="D5" s="59"/>
      <c r="E5" s="59"/>
      <c r="F5" s="59"/>
      <c r="G5" s="59"/>
      <c r="H5" s="59"/>
      <c r="I5" s="59"/>
      <c r="J5" s="59"/>
    </row>
    <row r="6" spans="1:13">
      <c r="A6" s="22" t="s">
        <v>62</v>
      </c>
      <c r="B6" s="11" t="s">
        <v>224</v>
      </c>
      <c r="C6" s="11" t="s">
        <v>223</v>
      </c>
      <c r="D6" s="11" t="s">
        <v>87</v>
      </c>
      <c r="E6" s="12" t="s">
        <v>270</v>
      </c>
      <c r="F6" s="11" t="s">
        <v>70</v>
      </c>
      <c r="G6" s="21" t="s">
        <v>106</v>
      </c>
      <c r="H6" s="21" t="s">
        <v>202</v>
      </c>
      <c r="I6" s="23" t="s">
        <v>206</v>
      </c>
      <c r="J6" s="22"/>
      <c r="K6" s="13" t="str">
        <f>"125,0"</f>
        <v>125,0</v>
      </c>
      <c r="L6" s="13" t="str">
        <f>"76,2000"</f>
        <v>76,2000</v>
      </c>
      <c r="M6" s="42" t="s">
        <v>159</v>
      </c>
    </row>
    <row r="8" spans="1:13" ht="16">
      <c r="A8" s="48" t="s">
        <v>98</v>
      </c>
      <c r="B8" s="48"/>
      <c r="C8" s="48"/>
      <c r="D8" s="48"/>
      <c r="E8" s="49"/>
      <c r="F8" s="48"/>
      <c r="G8" s="48"/>
      <c r="H8" s="48"/>
      <c r="I8" s="48"/>
      <c r="J8" s="48"/>
    </row>
    <row r="9" spans="1:13">
      <c r="A9" s="22" t="s">
        <v>62</v>
      </c>
      <c r="B9" s="11" t="s">
        <v>103</v>
      </c>
      <c r="C9" s="11" t="s">
        <v>99</v>
      </c>
      <c r="D9" s="11" t="s">
        <v>100</v>
      </c>
      <c r="E9" s="12" t="s">
        <v>267</v>
      </c>
      <c r="F9" s="11" t="s">
        <v>101</v>
      </c>
      <c r="G9" s="21" t="s">
        <v>30</v>
      </c>
      <c r="H9" s="23" t="s">
        <v>31</v>
      </c>
      <c r="I9" s="23" t="s">
        <v>31</v>
      </c>
      <c r="J9" s="22"/>
      <c r="K9" s="13" t="str">
        <f>"150,0"</f>
        <v>150,0</v>
      </c>
      <c r="L9" s="13" t="str">
        <f>"86,6963"</f>
        <v>86,6963</v>
      </c>
      <c r="M9" s="11"/>
    </row>
    <row r="11" spans="1:13">
      <c r="E11" s="5"/>
      <c r="F11" s="6"/>
      <c r="G11" s="5"/>
      <c r="K11" s="10"/>
      <c r="M11" s="7"/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7.33203125" style="5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32.5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15.6640625" style="5" bestFit="1" customWidth="1"/>
    <col min="14" max="16384" width="9.1640625" style="3"/>
  </cols>
  <sheetData>
    <row r="1" spans="1:13" s="2" customFormat="1" ht="29" customHeight="1">
      <c r="A1" s="60" t="s">
        <v>243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2" customFormat="1" ht="62" customHeight="1" thickBot="1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1" customFormat="1" ht="12.75" customHeight="1">
      <c r="A3" s="68" t="s">
        <v>259</v>
      </c>
      <c r="B3" s="50" t="s">
        <v>0</v>
      </c>
      <c r="C3" s="70" t="s">
        <v>262</v>
      </c>
      <c r="D3" s="70" t="s">
        <v>6</v>
      </c>
      <c r="E3" s="54" t="s">
        <v>263</v>
      </c>
      <c r="F3" s="72" t="s">
        <v>5</v>
      </c>
      <c r="G3" s="72" t="s">
        <v>10</v>
      </c>
      <c r="H3" s="72"/>
      <c r="I3" s="72"/>
      <c r="J3" s="72"/>
      <c r="K3" s="54" t="s">
        <v>90</v>
      </c>
      <c r="L3" s="54" t="s">
        <v>3</v>
      </c>
      <c r="M3" s="56" t="s">
        <v>2</v>
      </c>
    </row>
    <row r="4" spans="1:13" s="1" customFormat="1" ht="21" customHeight="1" thickBot="1">
      <c r="A4" s="69"/>
      <c r="B4" s="51"/>
      <c r="C4" s="71"/>
      <c r="D4" s="71"/>
      <c r="E4" s="55"/>
      <c r="F4" s="71"/>
      <c r="G4" s="4">
        <v>1</v>
      </c>
      <c r="H4" s="4">
        <v>2</v>
      </c>
      <c r="I4" s="4">
        <v>3</v>
      </c>
      <c r="J4" s="4" t="s">
        <v>4</v>
      </c>
      <c r="K4" s="55"/>
      <c r="L4" s="55"/>
      <c r="M4" s="57"/>
    </row>
    <row r="5" spans="1:13" ht="16">
      <c r="A5" s="58" t="s">
        <v>67</v>
      </c>
      <c r="B5" s="58"/>
      <c r="C5" s="59"/>
      <c r="D5" s="59"/>
      <c r="E5" s="59"/>
      <c r="F5" s="59"/>
      <c r="G5" s="59"/>
      <c r="H5" s="59"/>
      <c r="I5" s="59"/>
      <c r="J5" s="59"/>
    </row>
    <row r="6" spans="1:13">
      <c r="A6" s="22" t="s">
        <v>62</v>
      </c>
      <c r="B6" s="11" t="s">
        <v>82</v>
      </c>
      <c r="C6" s="11" t="s">
        <v>193</v>
      </c>
      <c r="D6" s="11" t="s">
        <v>69</v>
      </c>
      <c r="E6" s="12" t="s">
        <v>267</v>
      </c>
      <c r="F6" s="11" t="s">
        <v>70</v>
      </c>
      <c r="G6" s="21" t="s">
        <v>73</v>
      </c>
      <c r="H6" s="21" t="s">
        <v>194</v>
      </c>
      <c r="I6" s="23" t="s">
        <v>195</v>
      </c>
      <c r="J6" s="22"/>
      <c r="K6" s="13" t="str">
        <f>"172,5"</f>
        <v>172,5</v>
      </c>
      <c r="L6" s="13" t="str">
        <f>"137,7054"</f>
        <v>137,7054</v>
      </c>
      <c r="M6" s="11"/>
    </row>
    <row r="8" spans="1:13" ht="16">
      <c r="A8" s="48" t="s">
        <v>32</v>
      </c>
      <c r="B8" s="48"/>
      <c r="C8" s="48"/>
      <c r="D8" s="48"/>
      <c r="E8" s="49"/>
      <c r="F8" s="48"/>
      <c r="G8" s="48"/>
      <c r="H8" s="48"/>
      <c r="I8" s="48"/>
      <c r="J8" s="48"/>
    </row>
    <row r="9" spans="1:13">
      <c r="A9" s="22" t="s">
        <v>62</v>
      </c>
      <c r="B9" s="11" t="s">
        <v>84</v>
      </c>
      <c r="C9" s="11" t="s">
        <v>77</v>
      </c>
      <c r="D9" s="11" t="s">
        <v>78</v>
      </c>
      <c r="E9" s="12" t="s">
        <v>264</v>
      </c>
      <c r="F9" s="11" t="s">
        <v>249</v>
      </c>
      <c r="G9" s="21" t="s">
        <v>79</v>
      </c>
      <c r="H9" s="21" t="s">
        <v>41</v>
      </c>
      <c r="I9" s="23" t="s">
        <v>80</v>
      </c>
      <c r="J9" s="22"/>
      <c r="K9" s="13" t="str">
        <f>"195,0"</f>
        <v>195,0</v>
      </c>
      <c r="L9" s="13" t="str">
        <f>"126,8865"</f>
        <v>126,8865</v>
      </c>
      <c r="M9" s="11"/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24"/>
  <sheetViews>
    <sheetView workbookViewId="0">
      <selection activeCell="E23" sqref="E23"/>
    </sheetView>
  </sheetViews>
  <sheetFormatPr baseColWidth="10" defaultColWidth="9.1640625" defaultRowHeight="13"/>
  <cols>
    <col min="1" max="1" width="7.5" style="5" bestFit="1" customWidth="1"/>
    <col min="2" max="2" width="20.1640625" style="5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32.5" style="5" bestFit="1" customWidth="1"/>
    <col min="7" max="9" width="5.5" style="10" customWidth="1"/>
    <col min="10" max="10" width="4.83203125" style="10" customWidth="1"/>
    <col min="11" max="11" width="10.5" style="20" bestFit="1" customWidth="1"/>
    <col min="12" max="12" width="8.5" style="7" bestFit="1" customWidth="1"/>
    <col min="13" max="13" width="20" style="5" bestFit="1" customWidth="1"/>
    <col min="14" max="16384" width="9.1640625" style="3"/>
  </cols>
  <sheetData>
    <row r="1" spans="1:13" s="2" customFormat="1" ht="29" customHeight="1">
      <c r="A1" s="60" t="s">
        <v>244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2" customFormat="1" ht="62" customHeight="1" thickBot="1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1" customFormat="1" ht="12.75" customHeight="1">
      <c r="A3" s="68" t="s">
        <v>259</v>
      </c>
      <c r="B3" s="50" t="s">
        <v>0</v>
      </c>
      <c r="C3" s="70" t="s">
        <v>262</v>
      </c>
      <c r="D3" s="70" t="s">
        <v>6</v>
      </c>
      <c r="E3" s="54" t="s">
        <v>263</v>
      </c>
      <c r="F3" s="72" t="s">
        <v>5</v>
      </c>
      <c r="G3" s="72" t="s">
        <v>10</v>
      </c>
      <c r="H3" s="72"/>
      <c r="I3" s="72"/>
      <c r="J3" s="72"/>
      <c r="K3" s="52" t="s">
        <v>90</v>
      </c>
      <c r="L3" s="54" t="s">
        <v>3</v>
      </c>
      <c r="M3" s="56" t="s">
        <v>2</v>
      </c>
    </row>
    <row r="4" spans="1:13" s="1" customFormat="1" ht="21" customHeight="1" thickBot="1">
      <c r="A4" s="69"/>
      <c r="B4" s="51"/>
      <c r="C4" s="71"/>
      <c r="D4" s="71"/>
      <c r="E4" s="55"/>
      <c r="F4" s="71"/>
      <c r="G4" s="4">
        <v>1</v>
      </c>
      <c r="H4" s="4">
        <v>2</v>
      </c>
      <c r="I4" s="4">
        <v>3</v>
      </c>
      <c r="J4" s="4" t="s">
        <v>4</v>
      </c>
      <c r="K4" s="53"/>
      <c r="L4" s="55"/>
      <c r="M4" s="57"/>
    </row>
    <row r="5" spans="1:13" ht="16">
      <c r="A5" s="58" t="s">
        <v>24</v>
      </c>
      <c r="B5" s="58"/>
      <c r="C5" s="59"/>
      <c r="D5" s="59"/>
      <c r="E5" s="59"/>
      <c r="F5" s="59"/>
      <c r="G5" s="59"/>
      <c r="H5" s="59"/>
      <c r="I5" s="59"/>
      <c r="J5" s="59"/>
    </row>
    <row r="6" spans="1:13">
      <c r="A6" s="22" t="s">
        <v>62</v>
      </c>
      <c r="B6" s="11" t="s">
        <v>64</v>
      </c>
      <c r="C6" s="42" t="s">
        <v>232</v>
      </c>
      <c r="D6" s="11" t="s">
        <v>25</v>
      </c>
      <c r="E6" s="12" t="s">
        <v>265</v>
      </c>
      <c r="F6" s="11" t="s">
        <v>249</v>
      </c>
      <c r="G6" s="21" t="s">
        <v>29</v>
      </c>
      <c r="H6" s="21" t="s">
        <v>30</v>
      </c>
      <c r="I6" s="21" t="s">
        <v>31</v>
      </c>
      <c r="J6" s="22"/>
      <c r="K6" s="45" t="str">
        <f>"155,0"</f>
        <v>155,0</v>
      </c>
      <c r="L6" s="13" t="str">
        <f>"144,9870"</f>
        <v>144,9870</v>
      </c>
      <c r="M6" s="11" t="s">
        <v>23</v>
      </c>
    </row>
    <row r="8" spans="1:13" ht="16">
      <c r="A8" s="48" t="s">
        <v>67</v>
      </c>
      <c r="B8" s="48"/>
      <c r="C8" s="48"/>
      <c r="D8" s="48"/>
      <c r="E8" s="49"/>
      <c r="F8" s="48"/>
      <c r="G8" s="48"/>
      <c r="H8" s="48"/>
      <c r="I8" s="48"/>
      <c r="J8" s="48"/>
    </row>
    <row r="9" spans="1:13">
      <c r="A9" s="22" t="s">
        <v>62</v>
      </c>
      <c r="B9" s="11" t="s">
        <v>189</v>
      </c>
      <c r="C9" s="11" t="s">
        <v>174</v>
      </c>
      <c r="D9" s="11" t="s">
        <v>175</v>
      </c>
      <c r="E9" s="12" t="s">
        <v>264</v>
      </c>
      <c r="F9" s="11" t="s">
        <v>70</v>
      </c>
      <c r="G9" s="21" t="s">
        <v>54</v>
      </c>
      <c r="H9" s="21" t="s">
        <v>176</v>
      </c>
      <c r="I9" s="21" t="s">
        <v>177</v>
      </c>
      <c r="J9" s="22"/>
      <c r="K9" s="45" t="str">
        <f>"290,0"</f>
        <v>290,0</v>
      </c>
      <c r="L9" s="13" t="str">
        <f>"219,2690"</f>
        <v>219,2690</v>
      </c>
      <c r="M9" s="11"/>
    </row>
    <row r="11" spans="1:13" ht="16">
      <c r="A11" s="48" t="s">
        <v>24</v>
      </c>
      <c r="B11" s="48"/>
      <c r="C11" s="48"/>
      <c r="D11" s="48"/>
      <c r="E11" s="49"/>
      <c r="F11" s="48"/>
      <c r="G11" s="48"/>
      <c r="H11" s="48"/>
      <c r="I11" s="48"/>
      <c r="J11" s="48"/>
    </row>
    <row r="12" spans="1:13">
      <c r="A12" s="22" t="s">
        <v>62</v>
      </c>
      <c r="B12" s="11" t="s">
        <v>190</v>
      </c>
      <c r="C12" s="11" t="s">
        <v>178</v>
      </c>
      <c r="D12" s="11" t="s">
        <v>179</v>
      </c>
      <c r="E12" s="12" t="s">
        <v>264</v>
      </c>
      <c r="F12" s="11" t="s">
        <v>254</v>
      </c>
      <c r="G12" s="21" t="s">
        <v>180</v>
      </c>
      <c r="H12" s="21" t="s">
        <v>181</v>
      </c>
      <c r="I12" s="21" t="s">
        <v>88</v>
      </c>
      <c r="J12" s="22"/>
      <c r="K12" s="45" t="str">
        <f>"240,0"</f>
        <v>240,0</v>
      </c>
      <c r="L12" s="13" t="str">
        <f>"165,1680"</f>
        <v>165,1680</v>
      </c>
      <c r="M12" s="42" t="s">
        <v>229</v>
      </c>
    </row>
    <row r="14" spans="1:13" ht="16">
      <c r="A14" s="48" t="s">
        <v>32</v>
      </c>
      <c r="B14" s="48"/>
      <c r="C14" s="48"/>
      <c r="D14" s="48"/>
      <c r="E14" s="49"/>
      <c r="F14" s="48"/>
      <c r="G14" s="48"/>
      <c r="H14" s="48"/>
      <c r="I14" s="48"/>
      <c r="J14" s="48"/>
    </row>
    <row r="15" spans="1:13">
      <c r="A15" s="22" t="s">
        <v>62</v>
      </c>
      <c r="B15" s="11" t="s">
        <v>65</v>
      </c>
      <c r="C15" s="42" t="s">
        <v>33</v>
      </c>
      <c r="D15" s="11" t="s">
        <v>34</v>
      </c>
      <c r="E15" s="12" t="s">
        <v>266</v>
      </c>
      <c r="F15" s="11" t="s">
        <v>255</v>
      </c>
      <c r="G15" s="21" t="s">
        <v>41</v>
      </c>
      <c r="H15" s="21" t="s">
        <v>42</v>
      </c>
      <c r="I15" s="21" t="s">
        <v>43</v>
      </c>
      <c r="J15" s="22"/>
      <c r="K15" s="45" t="str">
        <f>"210,0"</f>
        <v>210,0</v>
      </c>
      <c r="L15" s="13" t="str">
        <f>"134,3580"</f>
        <v>134,3580</v>
      </c>
      <c r="M15" s="11"/>
    </row>
    <row r="17" spans="1:13" ht="16">
      <c r="A17" s="48" t="s">
        <v>85</v>
      </c>
      <c r="B17" s="48"/>
      <c r="C17" s="48"/>
      <c r="D17" s="48"/>
      <c r="E17" s="49"/>
      <c r="F17" s="48"/>
      <c r="G17" s="48"/>
      <c r="H17" s="48"/>
      <c r="I17" s="48"/>
      <c r="J17" s="48"/>
    </row>
    <row r="18" spans="1:13">
      <c r="A18" s="22" t="s">
        <v>81</v>
      </c>
      <c r="B18" s="11" t="s">
        <v>191</v>
      </c>
      <c r="C18" s="11" t="s">
        <v>182</v>
      </c>
      <c r="D18" s="11" t="s">
        <v>183</v>
      </c>
      <c r="E18" s="12" t="s">
        <v>264</v>
      </c>
      <c r="F18" s="11" t="s">
        <v>70</v>
      </c>
      <c r="G18" s="23" t="s">
        <v>54</v>
      </c>
      <c r="H18" s="23" t="s">
        <v>54</v>
      </c>
      <c r="I18" s="23" t="s">
        <v>54</v>
      </c>
      <c r="J18" s="22"/>
      <c r="K18" s="45">
        <v>0</v>
      </c>
      <c r="L18" s="13" t="str">
        <f>"0,0000"</f>
        <v>0,0000</v>
      </c>
      <c r="M18" s="11"/>
    </row>
    <row r="20" spans="1:13" ht="16">
      <c r="A20" s="48" t="s">
        <v>44</v>
      </c>
      <c r="B20" s="48"/>
      <c r="C20" s="48"/>
      <c r="D20" s="48"/>
      <c r="E20" s="49"/>
      <c r="F20" s="48"/>
      <c r="G20" s="48"/>
      <c r="H20" s="48"/>
      <c r="I20" s="48"/>
      <c r="J20" s="48"/>
    </row>
    <row r="21" spans="1:13">
      <c r="A21" s="33" t="s">
        <v>62</v>
      </c>
      <c r="B21" s="24" t="s">
        <v>66</v>
      </c>
      <c r="C21" s="24" t="s">
        <v>45</v>
      </c>
      <c r="D21" s="24" t="s">
        <v>46</v>
      </c>
      <c r="E21" s="25" t="s">
        <v>264</v>
      </c>
      <c r="F21" s="24" t="s">
        <v>47</v>
      </c>
      <c r="G21" s="34" t="s">
        <v>52</v>
      </c>
      <c r="H21" s="34" t="s">
        <v>53</v>
      </c>
      <c r="I21" s="41" t="s">
        <v>54</v>
      </c>
      <c r="J21" s="33"/>
      <c r="K21" s="46" t="str">
        <f>"250,0"</f>
        <v>250,0</v>
      </c>
      <c r="L21" s="26" t="str">
        <f>"147,1250"</f>
        <v>147,1250</v>
      </c>
      <c r="M21" s="24"/>
    </row>
    <row r="22" spans="1:13">
      <c r="A22" s="38" t="s">
        <v>62</v>
      </c>
      <c r="B22" s="30" t="s">
        <v>192</v>
      </c>
      <c r="C22" s="43" t="s">
        <v>184</v>
      </c>
      <c r="D22" s="30" t="s">
        <v>185</v>
      </c>
      <c r="E22" s="31" t="s">
        <v>265</v>
      </c>
      <c r="F22" s="30" t="s">
        <v>47</v>
      </c>
      <c r="G22" s="39" t="s">
        <v>80</v>
      </c>
      <c r="H22" s="39" t="s">
        <v>186</v>
      </c>
      <c r="I22" s="39" t="s">
        <v>187</v>
      </c>
      <c r="J22" s="38"/>
      <c r="K22" s="47" t="str">
        <f>"212,5"</f>
        <v>212,5</v>
      </c>
      <c r="L22" s="32" t="str">
        <f>"163,6311"</f>
        <v>163,6311</v>
      </c>
      <c r="M22" s="30" t="s">
        <v>188</v>
      </c>
    </row>
    <row r="24" spans="1:13">
      <c r="E24" s="5"/>
      <c r="F24" s="6"/>
      <c r="G24" s="5"/>
      <c r="M24" s="7"/>
    </row>
  </sheetData>
  <mergeCells count="17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0:J20"/>
    <mergeCell ref="A5:J5"/>
    <mergeCell ref="A8:J8"/>
    <mergeCell ref="A11:J11"/>
    <mergeCell ref="A14:J14"/>
    <mergeCell ref="A17:J1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0.33203125" style="5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25" style="5" bestFit="1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5" width="7.83203125" style="7" bestFit="1" customWidth="1"/>
    <col min="16" max="16" width="7.5" style="7" bestFit="1" customWidth="1"/>
    <col min="17" max="17" width="15.5" style="5" bestFit="1" customWidth="1"/>
    <col min="18" max="16384" width="9.1640625" style="3"/>
  </cols>
  <sheetData>
    <row r="1" spans="1:17" s="2" customFormat="1" ht="29" customHeight="1">
      <c r="A1" s="60" t="s">
        <v>247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/>
    </row>
    <row r="2" spans="1:17" s="2" customFormat="1" ht="62" customHeight="1" thickBot="1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</row>
    <row r="3" spans="1:17" s="1" customFormat="1" ht="12.75" customHeight="1">
      <c r="A3" s="68" t="s">
        <v>259</v>
      </c>
      <c r="B3" s="50" t="s">
        <v>0</v>
      </c>
      <c r="C3" s="70" t="s">
        <v>262</v>
      </c>
      <c r="D3" s="70" t="s">
        <v>6</v>
      </c>
      <c r="E3" s="54" t="s">
        <v>263</v>
      </c>
      <c r="F3" s="72" t="s">
        <v>5</v>
      </c>
      <c r="G3" s="72" t="s">
        <v>260</v>
      </c>
      <c r="H3" s="72"/>
      <c r="I3" s="72"/>
      <c r="J3" s="72"/>
      <c r="K3" s="72" t="s">
        <v>261</v>
      </c>
      <c r="L3" s="72"/>
      <c r="M3" s="72"/>
      <c r="N3" s="72"/>
      <c r="O3" s="54" t="s">
        <v>1</v>
      </c>
      <c r="P3" s="54" t="s">
        <v>3</v>
      </c>
      <c r="Q3" s="56" t="s">
        <v>2</v>
      </c>
    </row>
    <row r="4" spans="1:17" s="1" customFormat="1" ht="21" customHeight="1" thickBot="1">
      <c r="A4" s="69"/>
      <c r="B4" s="51"/>
      <c r="C4" s="71"/>
      <c r="D4" s="71"/>
      <c r="E4" s="55"/>
      <c r="F4" s="71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5"/>
      <c r="P4" s="55"/>
      <c r="Q4" s="57"/>
    </row>
    <row r="5" spans="1:17" ht="16">
      <c r="A5" s="58" t="s">
        <v>32</v>
      </c>
      <c r="B5" s="5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7">
      <c r="A6" s="22" t="s">
        <v>62</v>
      </c>
      <c r="B6" s="11" t="s">
        <v>222</v>
      </c>
      <c r="C6" s="11" t="s">
        <v>256</v>
      </c>
      <c r="D6" s="11" t="s">
        <v>219</v>
      </c>
      <c r="E6" s="12" t="s">
        <v>267</v>
      </c>
      <c r="F6" s="11" t="s">
        <v>101</v>
      </c>
      <c r="G6" s="23" t="s">
        <v>16</v>
      </c>
      <c r="H6" s="21" t="s">
        <v>220</v>
      </c>
      <c r="I6" s="21" t="s">
        <v>221</v>
      </c>
      <c r="J6" s="22"/>
      <c r="K6" s="23" t="s">
        <v>14</v>
      </c>
      <c r="L6" s="21" t="s">
        <v>14</v>
      </c>
      <c r="M6" s="23" t="s">
        <v>16</v>
      </c>
      <c r="N6" s="22"/>
      <c r="O6" s="13" t="str">
        <f>"142,5"</f>
        <v>142,5</v>
      </c>
      <c r="P6" s="13" t="str">
        <f>"89,3831"</f>
        <v>89,3831</v>
      </c>
      <c r="Q6" s="11"/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8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7.33203125" style="5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0.1640625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7.5" style="7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60" t="s">
        <v>246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2" customFormat="1" ht="62" customHeight="1" thickBot="1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1" customFormat="1" ht="12.75" customHeight="1">
      <c r="A3" s="68" t="s">
        <v>259</v>
      </c>
      <c r="B3" s="50" t="s">
        <v>0</v>
      </c>
      <c r="C3" s="70" t="s">
        <v>262</v>
      </c>
      <c r="D3" s="70" t="s">
        <v>6</v>
      </c>
      <c r="E3" s="54" t="s">
        <v>263</v>
      </c>
      <c r="F3" s="72" t="s">
        <v>5</v>
      </c>
      <c r="G3" s="72" t="s">
        <v>260</v>
      </c>
      <c r="H3" s="72"/>
      <c r="I3" s="72"/>
      <c r="J3" s="72"/>
      <c r="K3" s="54" t="s">
        <v>90</v>
      </c>
      <c r="L3" s="54" t="s">
        <v>3</v>
      </c>
      <c r="M3" s="56" t="s">
        <v>2</v>
      </c>
    </row>
    <row r="4" spans="1:13" s="1" customFormat="1" ht="21" customHeight="1" thickBot="1">
      <c r="A4" s="69"/>
      <c r="B4" s="51"/>
      <c r="C4" s="71"/>
      <c r="D4" s="71"/>
      <c r="E4" s="55"/>
      <c r="F4" s="71"/>
      <c r="G4" s="4">
        <v>1</v>
      </c>
      <c r="H4" s="4">
        <v>2</v>
      </c>
      <c r="I4" s="4">
        <v>3</v>
      </c>
      <c r="J4" s="4" t="s">
        <v>4</v>
      </c>
      <c r="K4" s="55"/>
      <c r="L4" s="55"/>
      <c r="M4" s="57"/>
    </row>
    <row r="5" spans="1:13" ht="16">
      <c r="A5" s="58" t="s">
        <v>44</v>
      </c>
      <c r="B5" s="58"/>
      <c r="C5" s="59"/>
      <c r="D5" s="59"/>
      <c r="E5" s="59"/>
      <c r="F5" s="59"/>
      <c r="G5" s="59"/>
      <c r="H5" s="59"/>
      <c r="I5" s="59"/>
      <c r="J5" s="59"/>
    </row>
    <row r="6" spans="1:13">
      <c r="A6" s="22" t="s">
        <v>62</v>
      </c>
      <c r="B6" s="11" t="s">
        <v>162</v>
      </c>
      <c r="C6" s="11" t="s">
        <v>155</v>
      </c>
      <c r="D6" s="11" t="s">
        <v>46</v>
      </c>
      <c r="E6" s="12" t="s">
        <v>264</v>
      </c>
      <c r="F6" s="11" t="s">
        <v>70</v>
      </c>
      <c r="G6" s="21" t="s">
        <v>76</v>
      </c>
      <c r="H6" s="21" t="s">
        <v>27</v>
      </c>
      <c r="I6" s="21" t="s">
        <v>106</v>
      </c>
      <c r="J6" s="22"/>
      <c r="K6" s="13" t="str">
        <f>"120,0"</f>
        <v>120,0</v>
      </c>
      <c r="L6" s="13" t="str">
        <f>"67,5000"</f>
        <v>67,5000</v>
      </c>
      <c r="M6" s="11"/>
    </row>
    <row r="8" spans="1:13">
      <c r="E8" s="5"/>
      <c r="F8" s="6"/>
      <c r="G8" s="5"/>
      <c r="K8" s="10"/>
      <c r="M8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7.6640625" style="5" bestFit="1" customWidth="1"/>
    <col min="3" max="3" width="27.6640625" style="5" bestFit="1" customWidth="1"/>
    <col min="4" max="4" width="21.5" style="5" bestFit="1" customWidth="1"/>
    <col min="5" max="5" width="10.5" style="6" bestFit="1" customWidth="1"/>
    <col min="6" max="6" width="31.5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7.5" style="7" bestFit="1" customWidth="1"/>
    <col min="13" max="13" width="16.33203125" style="5" customWidth="1"/>
    <col min="14" max="16384" width="9.1640625" style="3"/>
  </cols>
  <sheetData>
    <row r="1" spans="1:13" s="2" customFormat="1" ht="29" customHeight="1">
      <c r="A1" s="60" t="s">
        <v>245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2" customFormat="1" ht="62" customHeight="1" thickBot="1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1" customFormat="1" ht="12.75" customHeight="1">
      <c r="A3" s="68" t="s">
        <v>259</v>
      </c>
      <c r="B3" s="50" t="s">
        <v>0</v>
      </c>
      <c r="C3" s="70" t="s">
        <v>262</v>
      </c>
      <c r="D3" s="70" t="s">
        <v>6</v>
      </c>
      <c r="E3" s="54" t="s">
        <v>263</v>
      </c>
      <c r="F3" s="72" t="s">
        <v>5</v>
      </c>
      <c r="G3" s="72" t="s">
        <v>260</v>
      </c>
      <c r="H3" s="72"/>
      <c r="I3" s="72"/>
      <c r="J3" s="72"/>
      <c r="K3" s="54" t="s">
        <v>90</v>
      </c>
      <c r="L3" s="54" t="s">
        <v>3</v>
      </c>
      <c r="M3" s="56" t="s">
        <v>2</v>
      </c>
    </row>
    <row r="4" spans="1:13" s="1" customFormat="1" ht="21" customHeight="1" thickBot="1">
      <c r="A4" s="69"/>
      <c r="B4" s="51"/>
      <c r="C4" s="71"/>
      <c r="D4" s="71"/>
      <c r="E4" s="55"/>
      <c r="F4" s="71"/>
      <c r="G4" s="4">
        <v>1</v>
      </c>
      <c r="H4" s="4">
        <v>2</v>
      </c>
      <c r="I4" s="4">
        <v>3</v>
      </c>
      <c r="J4" s="4" t="s">
        <v>4</v>
      </c>
      <c r="K4" s="55"/>
      <c r="L4" s="55"/>
      <c r="M4" s="57"/>
    </row>
    <row r="5" spans="1:13" ht="16">
      <c r="A5" s="58" t="s">
        <v>24</v>
      </c>
      <c r="B5" s="58"/>
      <c r="C5" s="59"/>
      <c r="D5" s="59"/>
      <c r="E5" s="59"/>
      <c r="F5" s="59"/>
      <c r="G5" s="59"/>
      <c r="H5" s="59"/>
      <c r="I5" s="59"/>
      <c r="J5" s="59"/>
    </row>
    <row r="6" spans="1:13">
      <c r="A6" s="22" t="s">
        <v>62</v>
      </c>
      <c r="B6" s="11" t="s">
        <v>172</v>
      </c>
      <c r="C6" s="11" t="s">
        <v>257</v>
      </c>
      <c r="D6" s="11" t="s">
        <v>169</v>
      </c>
      <c r="E6" s="12" t="s">
        <v>271</v>
      </c>
      <c r="F6" s="11" t="s">
        <v>129</v>
      </c>
      <c r="G6" s="21" t="s">
        <v>199</v>
      </c>
      <c r="H6" s="21" t="s">
        <v>17</v>
      </c>
      <c r="I6" s="23" t="s">
        <v>19</v>
      </c>
      <c r="J6" s="22"/>
      <c r="K6" s="13" t="str">
        <f>"35,0"</f>
        <v>35,0</v>
      </c>
      <c r="L6" s="13" t="str">
        <f>"23,1420"</f>
        <v>23,1420</v>
      </c>
      <c r="M6" s="42" t="s">
        <v>228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"/>
  <sheetViews>
    <sheetView tabSelected="1"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3.6640625" style="5" customWidth="1"/>
    <col min="7" max="9" width="5.5" style="10" customWidth="1"/>
    <col min="10" max="10" width="4.83203125" style="10" customWidth="1"/>
    <col min="11" max="11" width="10.5" style="7" bestFit="1" customWidth="1"/>
    <col min="12" max="12" width="7.5" style="7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60" t="s">
        <v>248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2" customFormat="1" ht="62" customHeight="1" thickBot="1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1" customFormat="1" ht="12.75" customHeight="1">
      <c r="A3" s="68" t="s">
        <v>259</v>
      </c>
      <c r="B3" s="50" t="s">
        <v>0</v>
      </c>
      <c r="C3" s="70" t="s">
        <v>262</v>
      </c>
      <c r="D3" s="70" t="s">
        <v>6</v>
      </c>
      <c r="E3" s="54" t="s">
        <v>263</v>
      </c>
      <c r="F3" s="72" t="s">
        <v>5</v>
      </c>
      <c r="G3" s="72" t="s">
        <v>260</v>
      </c>
      <c r="H3" s="72"/>
      <c r="I3" s="72"/>
      <c r="J3" s="72"/>
      <c r="K3" s="54" t="s">
        <v>90</v>
      </c>
      <c r="L3" s="54" t="s">
        <v>3</v>
      </c>
      <c r="M3" s="56" t="s">
        <v>2</v>
      </c>
    </row>
    <row r="4" spans="1:13" s="1" customFormat="1" ht="21" customHeight="1" thickBot="1">
      <c r="A4" s="69"/>
      <c r="B4" s="51"/>
      <c r="C4" s="71"/>
      <c r="D4" s="71"/>
      <c r="E4" s="55"/>
      <c r="F4" s="71"/>
      <c r="G4" s="4">
        <v>1</v>
      </c>
      <c r="H4" s="4">
        <v>2</v>
      </c>
      <c r="I4" s="4">
        <v>3</v>
      </c>
      <c r="J4" s="4" t="s">
        <v>4</v>
      </c>
      <c r="K4" s="55"/>
      <c r="L4" s="55"/>
      <c r="M4" s="57"/>
    </row>
    <row r="5" spans="1:13" ht="16">
      <c r="A5" s="58" t="s">
        <v>32</v>
      </c>
      <c r="B5" s="58"/>
      <c r="C5" s="59"/>
      <c r="D5" s="59"/>
      <c r="E5" s="59"/>
      <c r="F5" s="59"/>
      <c r="G5" s="59"/>
      <c r="H5" s="59"/>
      <c r="I5" s="59"/>
      <c r="J5" s="59"/>
    </row>
    <row r="6" spans="1:13">
      <c r="A6" s="22" t="s">
        <v>62</v>
      </c>
      <c r="B6" s="11" t="s">
        <v>65</v>
      </c>
      <c r="C6" s="11" t="s">
        <v>217</v>
      </c>
      <c r="D6" s="11" t="s">
        <v>34</v>
      </c>
      <c r="E6" s="12" t="s">
        <v>266</v>
      </c>
      <c r="F6" s="11" t="s">
        <v>255</v>
      </c>
      <c r="G6" s="21" t="s">
        <v>170</v>
      </c>
      <c r="H6" s="21" t="s">
        <v>149</v>
      </c>
      <c r="I6" s="23" t="s">
        <v>14</v>
      </c>
      <c r="J6" s="22"/>
      <c r="K6" s="13" t="str">
        <f>"60,0"</f>
        <v>60,0</v>
      </c>
      <c r="L6" s="13" t="str">
        <f>"49,3133"</f>
        <v>49,3133</v>
      </c>
      <c r="M6" s="11"/>
    </row>
    <row r="8" spans="1:13" ht="16">
      <c r="A8" s="48" t="s">
        <v>85</v>
      </c>
      <c r="B8" s="48"/>
      <c r="C8" s="48"/>
      <c r="D8" s="48"/>
      <c r="E8" s="49"/>
      <c r="F8" s="48"/>
      <c r="G8" s="48"/>
      <c r="H8" s="48"/>
      <c r="I8" s="48"/>
      <c r="J8" s="48"/>
    </row>
    <row r="9" spans="1:13">
      <c r="A9" s="22" t="s">
        <v>62</v>
      </c>
      <c r="B9" s="11" t="s">
        <v>218</v>
      </c>
      <c r="C9" s="11" t="s">
        <v>258</v>
      </c>
      <c r="D9" s="11" t="s">
        <v>87</v>
      </c>
      <c r="E9" s="12" t="s">
        <v>267</v>
      </c>
      <c r="F9" s="11" t="s">
        <v>47</v>
      </c>
      <c r="G9" s="21" t="s">
        <v>149</v>
      </c>
      <c r="H9" s="21" t="s">
        <v>14</v>
      </c>
      <c r="I9" s="21" t="s">
        <v>16</v>
      </c>
      <c r="J9" s="22"/>
      <c r="K9" s="13" t="str">
        <f>"70,0"</f>
        <v>70,0</v>
      </c>
      <c r="L9" s="13" t="str">
        <f>"40,7610"</f>
        <v>40,7610</v>
      </c>
      <c r="M9" s="11"/>
    </row>
    <row r="10" spans="1:13" ht="13.5" customHeight="1"/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U17"/>
  <sheetViews>
    <sheetView workbookViewId="0">
      <selection activeCell="E16" sqref="E16"/>
    </sheetView>
  </sheetViews>
  <sheetFormatPr baseColWidth="10" defaultColWidth="9.1640625" defaultRowHeight="13"/>
  <cols>
    <col min="1" max="1" width="7.5" style="5" bestFit="1" customWidth="1"/>
    <col min="2" max="2" width="18.33203125" style="5" bestFit="1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32.5" style="5" bestFit="1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7" width="5.5" style="10" customWidth="1"/>
    <col min="18" max="18" width="4.83203125" style="10" customWidth="1"/>
    <col min="19" max="19" width="7.83203125" style="7" bestFit="1" customWidth="1"/>
    <col min="20" max="20" width="8.5" style="7" bestFit="1" customWidth="1"/>
    <col min="21" max="21" width="18.83203125" style="5" customWidth="1"/>
    <col min="22" max="16384" width="9.1640625" style="3"/>
  </cols>
  <sheetData>
    <row r="1" spans="1:21" s="2" customFormat="1" ht="29" customHeight="1">
      <c r="A1" s="60" t="s">
        <v>234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3"/>
    </row>
    <row r="2" spans="1:21" s="2" customFormat="1" ht="62" customHeight="1" thickBot="1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7"/>
    </row>
    <row r="3" spans="1:21" s="1" customFormat="1" ht="12.75" customHeight="1">
      <c r="A3" s="68" t="s">
        <v>259</v>
      </c>
      <c r="B3" s="50" t="s">
        <v>0</v>
      </c>
      <c r="C3" s="70" t="s">
        <v>262</v>
      </c>
      <c r="D3" s="70" t="s">
        <v>6</v>
      </c>
      <c r="E3" s="54" t="s">
        <v>263</v>
      </c>
      <c r="F3" s="72" t="s">
        <v>5</v>
      </c>
      <c r="G3" s="72" t="s">
        <v>8</v>
      </c>
      <c r="H3" s="72"/>
      <c r="I3" s="72"/>
      <c r="J3" s="72"/>
      <c r="K3" s="72" t="s">
        <v>9</v>
      </c>
      <c r="L3" s="72"/>
      <c r="M3" s="72"/>
      <c r="N3" s="72"/>
      <c r="O3" s="72" t="s">
        <v>10</v>
      </c>
      <c r="P3" s="72"/>
      <c r="Q3" s="72"/>
      <c r="R3" s="72"/>
      <c r="S3" s="54" t="s">
        <v>1</v>
      </c>
      <c r="T3" s="54" t="s">
        <v>3</v>
      </c>
      <c r="U3" s="56" t="s">
        <v>2</v>
      </c>
    </row>
    <row r="4" spans="1:21" s="1" customFormat="1" ht="21" customHeight="1" thickBot="1">
      <c r="A4" s="69"/>
      <c r="B4" s="51"/>
      <c r="C4" s="71"/>
      <c r="D4" s="71"/>
      <c r="E4" s="55"/>
      <c r="F4" s="71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5"/>
      <c r="T4" s="55"/>
      <c r="U4" s="57"/>
    </row>
    <row r="5" spans="1:21" ht="16">
      <c r="A5" s="58" t="s">
        <v>11</v>
      </c>
      <c r="B5" s="5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21">
      <c r="A6" s="22" t="s">
        <v>62</v>
      </c>
      <c r="B6" s="11" t="s">
        <v>63</v>
      </c>
      <c r="C6" s="11" t="s">
        <v>12</v>
      </c>
      <c r="D6" s="11" t="s">
        <v>13</v>
      </c>
      <c r="E6" s="12" t="s">
        <v>264</v>
      </c>
      <c r="F6" s="11" t="s">
        <v>249</v>
      </c>
      <c r="G6" s="21" t="s">
        <v>14</v>
      </c>
      <c r="H6" s="21" t="s">
        <v>15</v>
      </c>
      <c r="I6" s="21" t="s">
        <v>16</v>
      </c>
      <c r="J6" s="22"/>
      <c r="K6" s="23" t="s">
        <v>17</v>
      </c>
      <c r="L6" s="21" t="s">
        <v>18</v>
      </c>
      <c r="M6" s="21" t="s">
        <v>19</v>
      </c>
      <c r="N6" s="22"/>
      <c r="O6" s="21" t="s">
        <v>20</v>
      </c>
      <c r="P6" s="21" t="s">
        <v>21</v>
      </c>
      <c r="Q6" s="21" t="s">
        <v>22</v>
      </c>
      <c r="R6" s="22"/>
      <c r="S6" s="13" t="str">
        <f>"217,5"</f>
        <v>217,5</v>
      </c>
      <c r="T6" s="13" t="str">
        <f>"252,3870"</f>
        <v>252,3870</v>
      </c>
      <c r="U6" s="11" t="s">
        <v>23</v>
      </c>
    </row>
    <row r="8" spans="1:21" ht="16">
      <c r="A8" s="48" t="s">
        <v>24</v>
      </c>
      <c r="B8" s="48"/>
      <c r="C8" s="48"/>
      <c r="D8" s="48"/>
      <c r="E8" s="49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21">
      <c r="A9" s="22" t="s">
        <v>62</v>
      </c>
      <c r="B9" s="11" t="s">
        <v>64</v>
      </c>
      <c r="C9" s="42" t="s">
        <v>232</v>
      </c>
      <c r="D9" s="11" t="s">
        <v>25</v>
      </c>
      <c r="E9" s="12" t="s">
        <v>265</v>
      </c>
      <c r="F9" s="11" t="s">
        <v>249</v>
      </c>
      <c r="G9" s="21" t="s">
        <v>26</v>
      </c>
      <c r="H9" s="21" t="s">
        <v>27</v>
      </c>
      <c r="I9" s="23" t="s">
        <v>28</v>
      </c>
      <c r="J9" s="22"/>
      <c r="K9" s="21" t="s">
        <v>14</v>
      </c>
      <c r="L9" s="21" t="s">
        <v>15</v>
      </c>
      <c r="M9" s="21" t="s">
        <v>16</v>
      </c>
      <c r="N9" s="22"/>
      <c r="O9" s="21" t="s">
        <v>29</v>
      </c>
      <c r="P9" s="21" t="s">
        <v>30</v>
      </c>
      <c r="Q9" s="21" t="s">
        <v>31</v>
      </c>
      <c r="R9" s="22"/>
      <c r="S9" s="13" t="str">
        <f>"340,0"</f>
        <v>340,0</v>
      </c>
      <c r="T9" s="13" t="str">
        <f>"318,0360"</f>
        <v>318,0360</v>
      </c>
      <c r="U9" s="11" t="s">
        <v>23</v>
      </c>
    </row>
    <row r="11" spans="1:21" ht="16">
      <c r="A11" s="48" t="s">
        <v>32</v>
      </c>
      <c r="B11" s="48"/>
      <c r="C11" s="48"/>
      <c r="D11" s="48"/>
      <c r="E11" s="49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21">
      <c r="A12" s="22" t="s">
        <v>62</v>
      </c>
      <c r="B12" s="11" t="s">
        <v>65</v>
      </c>
      <c r="C12" s="42" t="s">
        <v>33</v>
      </c>
      <c r="D12" s="11" t="s">
        <v>34</v>
      </c>
      <c r="E12" s="12" t="s">
        <v>266</v>
      </c>
      <c r="F12" s="11" t="s">
        <v>249</v>
      </c>
      <c r="G12" s="21" t="s">
        <v>35</v>
      </c>
      <c r="H12" s="21" t="s">
        <v>36</v>
      </c>
      <c r="I12" s="21" t="s">
        <v>37</v>
      </c>
      <c r="J12" s="22"/>
      <c r="K12" s="21" t="s">
        <v>38</v>
      </c>
      <c r="L12" s="21" t="s">
        <v>39</v>
      </c>
      <c r="M12" s="21" t="s">
        <v>40</v>
      </c>
      <c r="N12" s="22"/>
      <c r="O12" s="21" t="s">
        <v>41</v>
      </c>
      <c r="P12" s="21" t="s">
        <v>42</v>
      </c>
      <c r="Q12" s="21" t="s">
        <v>43</v>
      </c>
      <c r="R12" s="22"/>
      <c r="S12" s="13" t="str">
        <f>"485,0"</f>
        <v>485,0</v>
      </c>
      <c r="T12" s="13" t="str">
        <f>"428,2181"</f>
        <v>428,2181</v>
      </c>
      <c r="U12" s="11"/>
    </row>
    <row r="14" spans="1:21" ht="16">
      <c r="A14" s="48" t="s">
        <v>44</v>
      </c>
      <c r="B14" s="48"/>
      <c r="C14" s="48"/>
      <c r="D14" s="48"/>
      <c r="E14" s="49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21">
      <c r="A15" s="22" t="s">
        <v>62</v>
      </c>
      <c r="B15" s="11" t="s">
        <v>66</v>
      </c>
      <c r="C15" s="11" t="s">
        <v>45</v>
      </c>
      <c r="D15" s="11" t="s">
        <v>46</v>
      </c>
      <c r="E15" s="12" t="s">
        <v>264</v>
      </c>
      <c r="F15" s="11" t="s">
        <v>47</v>
      </c>
      <c r="G15" s="21" t="s">
        <v>48</v>
      </c>
      <c r="H15" s="23" t="s">
        <v>43</v>
      </c>
      <c r="I15" s="21" t="s">
        <v>49</v>
      </c>
      <c r="J15" s="22"/>
      <c r="K15" s="21" t="s">
        <v>50</v>
      </c>
      <c r="L15" s="21" t="s">
        <v>48</v>
      </c>
      <c r="M15" s="23" t="s">
        <v>51</v>
      </c>
      <c r="N15" s="22"/>
      <c r="O15" s="21" t="s">
        <v>52</v>
      </c>
      <c r="P15" s="21" t="s">
        <v>53</v>
      </c>
      <c r="Q15" s="23" t="s">
        <v>54</v>
      </c>
      <c r="R15" s="22"/>
      <c r="S15" s="13" t="str">
        <f>"650,0"</f>
        <v>650,0</v>
      </c>
      <c r="T15" s="13" t="str">
        <f>"382,5250"</f>
        <v>382,5250</v>
      </c>
      <c r="U15" s="11"/>
    </row>
    <row r="17" spans="5:7">
      <c r="E17" s="5"/>
      <c r="F17" s="6"/>
      <c r="G17" s="5"/>
    </row>
  </sheetData>
  <mergeCells count="17"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A14:R14"/>
    <mergeCell ref="B3:B4"/>
    <mergeCell ref="S3:S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11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0.164062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0.1640625" style="5" bestFit="1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5" width="7.83203125" style="7" bestFit="1" customWidth="1"/>
    <col min="16" max="16" width="8.5" style="7" bestFit="1" customWidth="1"/>
    <col min="17" max="17" width="19.6640625" style="5" customWidth="1"/>
    <col min="18" max="16384" width="9.1640625" style="3"/>
  </cols>
  <sheetData>
    <row r="1" spans="1:17" s="2" customFormat="1" ht="29" customHeight="1">
      <c r="A1" s="60" t="s">
        <v>235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/>
    </row>
    <row r="2" spans="1:17" s="2" customFormat="1" ht="62" customHeight="1" thickBot="1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</row>
    <row r="3" spans="1:17" s="1" customFormat="1" ht="12.75" customHeight="1">
      <c r="A3" s="68" t="s">
        <v>259</v>
      </c>
      <c r="B3" s="50" t="s">
        <v>0</v>
      </c>
      <c r="C3" s="70" t="s">
        <v>262</v>
      </c>
      <c r="D3" s="70" t="s">
        <v>6</v>
      </c>
      <c r="E3" s="54" t="s">
        <v>263</v>
      </c>
      <c r="F3" s="72" t="s">
        <v>5</v>
      </c>
      <c r="G3" s="72" t="s">
        <v>9</v>
      </c>
      <c r="H3" s="72"/>
      <c r="I3" s="72"/>
      <c r="J3" s="72"/>
      <c r="K3" s="72" t="s">
        <v>10</v>
      </c>
      <c r="L3" s="72"/>
      <c r="M3" s="72"/>
      <c r="N3" s="72"/>
      <c r="O3" s="54" t="s">
        <v>1</v>
      </c>
      <c r="P3" s="54" t="s">
        <v>3</v>
      </c>
      <c r="Q3" s="56" t="s">
        <v>2</v>
      </c>
    </row>
    <row r="4" spans="1:17" s="1" customFormat="1" ht="21" customHeight="1" thickBot="1">
      <c r="A4" s="69"/>
      <c r="B4" s="51"/>
      <c r="C4" s="71"/>
      <c r="D4" s="71"/>
      <c r="E4" s="55"/>
      <c r="F4" s="71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5"/>
      <c r="P4" s="55"/>
      <c r="Q4" s="57"/>
    </row>
    <row r="5" spans="1:17" ht="16">
      <c r="A5" s="58" t="s">
        <v>67</v>
      </c>
      <c r="B5" s="5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7">
      <c r="A6" s="22" t="s">
        <v>62</v>
      </c>
      <c r="B6" s="11" t="s">
        <v>215</v>
      </c>
      <c r="C6" s="11" t="s">
        <v>150</v>
      </c>
      <c r="D6" s="11" t="s">
        <v>109</v>
      </c>
      <c r="E6" s="12" t="s">
        <v>264</v>
      </c>
      <c r="F6" s="11" t="s">
        <v>70</v>
      </c>
      <c r="G6" s="23" t="s">
        <v>202</v>
      </c>
      <c r="H6" s="23" t="s">
        <v>206</v>
      </c>
      <c r="I6" s="21" t="s">
        <v>206</v>
      </c>
      <c r="J6" s="22"/>
      <c r="K6" s="21" t="s">
        <v>35</v>
      </c>
      <c r="L6" s="21" t="s">
        <v>207</v>
      </c>
      <c r="M6" s="23" t="s">
        <v>194</v>
      </c>
      <c r="N6" s="22"/>
      <c r="O6" s="13" t="str">
        <f>"295,0"</f>
        <v>295,0</v>
      </c>
      <c r="P6" s="13" t="str">
        <f>"212,1935"</f>
        <v>212,1935</v>
      </c>
      <c r="Q6" s="42" t="s">
        <v>173</v>
      </c>
    </row>
    <row r="8" spans="1:17" ht="16">
      <c r="A8" s="48" t="s">
        <v>24</v>
      </c>
      <c r="B8" s="48"/>
      <c r="C8" s="48"/>
      <c r="D8" s="48"/>
      <c r="E8" s="49"/>
      <c r="F8" s="48"/>
      <c r="G8" s="48"/>
      <c r="H8" s="48"/>
      <c r="I8" s="48"/>
      <c r="J8" s="48"/>
      <c r="K8" s="48"/>
      <c r="L8" s="48"/>
      <c r="M8" s="48"/>
      <c r="N8" s="48"/>
    </row>
    <row r="9" spans="1:17">
      <c r="A9" s="22" t="s">
        <v>62</v>
      </c>
      <c r="B9" s="11" t="s">
        <v>216</v>
      </c>
      <c r="C9" s="11" t="s">
        <v>211</v>
      </c>
      <c r="D9" s="11" t="s">
        <v>212</v>
      </c>
      <c r="E9" s="12" t="s">
        <v>264</v>
      </c>
      <c r="F9" s="11" t="s">
        <v>250</v>
      </c>
      <c r="G9" s="21" t="s">
        <v>202</v>
      </c>
      <c r="H9" s="23" t="s">
        <v>125</v>
      </c>
      <c r="I9" s="23" t="s">
        <v>125</v>
      </c>
      <c r="J9" s="22"/>
      <c r="K9" s="21" t="s">
        <v>213</v>
      </c>
      <c r="L9" s="21" t="s">
        <v>214</v>
      </c>
      <c r="M9" s="23" t="s">
        <v>42</v>
      </c>
      <c r="N9" s="22"/>
      <c r="O9" s="13" t="str">
        <f>"325,0"</f>
        <v>325,0</v>
      </c>
      <c r="P9" s="13" t="str">
        <f>"221,8775"</f>
        <v>221,8775</v>
      </c>
      <c r="Q9" s="11"/>
    </row>
    <row r="11" spans="1:17">
      <c r="E11" s="5"/>
      <c r="F11" s="6"/>
      <c r="G11" s="5"/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14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20" style="5" bestFit="1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32.5" style="5" bestFit="1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5" width="7.83203125" style="7" bestFit="1" customWidth="1"/>
    <col min="16" max="16" width="8.5" style="7" bestFit="1" customWidth="1"/>
    <col min="17" max="17" width="18.5" style="5" customWidth="1"/>
    <col min="18" max="16384" width="9.1640625" style="3"/>
  </cols>
  <sheetData>
    <row r="1" spans="1:17" s="2" customFormat="1" ht="29" customHeight="1">
      <c r="A1" s="60" t="s">
        <v>236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/>
    </row>
    <row r="2" spans="1:17" s="2" customFormat="1" ht="62" customHeight="1" thickBot="1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</row>
    <row r="3" spans="1:17" s="1" customFormat="1" ht="12.75" customHeight="1">
      <c r="A3" s="68" t="s">
        <v>259</v>
      </c>
      <c r="B3" s="50" t="s">
        <v>0</v>
      </c>
      <c r="C3" s="70" t="s">
        <v>262</v>
      </c>
      <c r="D3" s="70" t="s">
        <v>6</v>
      </c>
      <c r="E3" s="54" t="s">
        <v>263</v>
      </c>
      <c r="F3" s="72" t="s">
        <v>5</v>
      </c>
      <c r="G3" s="72" t="s">
        <v>9</v>
      </c>
      <c r="H3" s="72"/>
      <c r="I3" s="72"/>
      <c r="J3" s="72"/>
      <c r="K3" s="72" t="s">
        <v>10</v>
      </c>
      <c r="L3" s="72"/>
      <c r="M3" s="72"/>
      <c r="N3" s="72"/>
      <c r="O3" s="54" t="s">
        <v>1</v>
      </c>
      <c r="P3" s="54" t="s">
        <v>3</v>
      </c>
      <c r="Q3" s="56" t="s">
        <v>2</v>
      </c>
    </row>
    <row r="4" spans="1:17" s="1" customFormat="1" ht="21" customHeight="1" thickBot="1">
      <c r="A4" s="69"/>
      <c r="B4" s="51"/>
      <c r="C4" s="71"/>
      <c r="D4" s="71"/>
      <c r="E4" s="55"/>
      <c r="F4" s="71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5"/>
      <c r="P4" s="55"/>
      <c r="Q4" s="57"/>
    </row>
    <row r="5" spans="1:17" ht="16">
      <c r="A5" s="58" t="s">
        <v>196</v>
      </c>
      <c r="B5" s="5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7">
      <c r="A6" s="22" t="s">
        <v>62</v>
      </c>
      <c r="B6" s="11" t="s">
        <v>208</v>
      </c>
      <c r="C6" s="11" t="s">
        <v>197</v>
      </c>
      <c r="D6" s="11" t="s">
        <v>198</v>
      </c>
      <c r="E6" s="12" t="s">
        <v>264</v>
      </c>
      <c r="F6" s="11" t="s">
        <v>249</v>
      </c>
      <c r="G6" s="21" t="s">
        <v>199</v>
      </c>
      <c r="H6" s="23" t="s">
        <v>17</v>
      </c>
      <c r="I6" s="23" t="s">
        <v>17</v>
      </c>
      <c r="J6" s="22"/>
      <c r="K6" s="21" t="s">
        <v>76</v>
      </c>
      <c r="L6" s="21" t="s">
        <v>27</v>
      </c>
      <c r="M6" s="21" t="s">
        <v>106</v>
      </c>
      <c r="N6" s="22"/>
      <c r="O6" s="13" t="str">
        <f>"150,0"</f>
        <v>150,0</v>
      </c>
      <c r="P6" s="13" t="str">
        <f>"129,1350"</f>
        <v>129,1350</v>
      </c>
      <c r="Q6" s="11" t="s">
        <v>23</v>
      </c>
    </row>
    <row r="8" spans="1:17" ht="16">
      <c r="A8" s="48" t="s">
        <v>67</v>
      </c>
      <c r="B8" s="48"/>
      <c r="C8" s="48"/>
      <c r="D8" s="48"/>
      <c r="E8" s="49"/>
      <c r="F8" s="48"/>
      <c r="G8" s="48"/>
      <c r="H8" s="48"/>
      <c r="I8" s="48"/>
      <c r="J8" s="48"/>
      <c r="K8" s="48"/>
      <c r="L8" s="48"/>
      <c r="M8" s="48"/>
      <c r="N8" s="48"/>
    </row>
    <row r="9" spans="1:17">
      <c r="A9" s="22" t="s">
        <v>62</v>
      </c>
      <c r="B9" s="11" t="s">
        <v>209</v>
      </c>
      <c r="C9" s="11" t="s">
        <v>200</v>
      </c>
      <c r="D9" s="11" t="s">
        <v>201</v>
      </c>
      <c r="E9" s="12" t="s">
        <v>264</v>
      </c>
      <c r="F9" s="11" t="s">
        <v>129</v>
      </c>
      <c r="G9" s="21" t="s">
        <v>106</v>
      </c>
      <c r="H9" s="21" t="s">
        <v>202</v>
      </c>
      <c r="I9" s="21" t="s">
        <v>203</v>
      </c>
      <c r="J9" s="22"/>
      <c r="K9" s="21" t="s">
        <v>180</v>
      </c>
      <c r="L9" s="23" t="s">
        <v>156</v>
      </c>
      <c r="M9" s="22"/>
      <c r="N9" s="22"/>
      <c r="O9" s="13" t="str">
        <f>"352,5"</f>
        <v>352,5</v>
      </c>
      <c r="P9" s="13" t="str">
        <f>"267,7238"</f>
        <v>267,7238</v>
      </c>
      <c r="Q9" s="11"/>
    </row>
    <row r="11" spans="1:17" ht="16">
      <c r="A11" s="48" t="s">
        <v>24</v>
      </c>
      <c r="B11" s="48"/>
      <c r="C11" s="48"/>
      <c r="D11" s="48"/>
      <c r="E11" s="49"/>
      <c r="F11" s="48"/>
      <c r="G11" s="48"/>
      <c r="H11" s="48"/>
      <c r="I11" s="48"/>
      <c r="J11" s="48"/>
      <c r="K11" s="48"/>
      <c r="L11" s="48"/>
      <c r="M11" s="48"/>
      <c r="N11" s="48"/>
    </row>
    <row r="12" spans="1:17">
      <c r="A12" s="22" t="s">
        <v>62</v>
      </c>
      <c r="B12" s="11" t="s">
        <v>210</v>
      </c>
      <c r="C12" s="11" t="s">
        <v>204</v>
      </c>
      <c r="D12" s="11" t="s">
        <v>179</v>
      </c>
      <c r="E12" s="12" t="s">
        <v>267</v>
      </c>
      <c r="F12" s="11" t="s">
        <v>70</v>
      </c>
      <c r="G12" s="21" t="s">
        <v>28</v>
      </c>
      <c r="H12" s="21" t="s">
        <v>205</v>
      </c>
      <c r="I12" s="23" t="s">
        <v>206</v>
      </c>
      <c r="J12" s="22"/>
      <c r="K12" s="21" t="s">
        <v>30</v>
      </c>
      <c r="L12" s="21" t="s">
        <v>35</v>
      </c>
      <c r="M12" s="21" t="s">
        <v>207</v>
      </c>
      <c r="N12" s="22"/>
      <c r="O12" s="13" t="str">
        <f>"290,0"</f>
        <v>290,0</v>
      </c>
      <c r="P12" s="13" t="str">
        <f>"218,7375"</f>
        <v>218,7375</v>
      </c>
      <c r="Q12" s="11"/>
    </row>
    <row r="14" spans="1:17">
      <c r="E14" s="5"/>
      <c r="F14" s="6"/>
      <c r="G14" s="5"/>
    </row>
  </sheetData>
  <mergeCells count="15"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1:N11"/>
    <mergeCell ref="B3:B4"/>
    <mergeCell ref="O3:O4"/>
    <mergeCell ref="P3:P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36"/>
  <sheetViews>
    <sheetView workbookViewId="0">
      <selection activeCell="E25" sqref="E25"/>
    </sheetView>
  </sheetViews>
  <sheetFormatPr baseColWidth="10" defaultColWidth="9.1640625" defaultRowHeight="13"/>
  <cols>
    <col min="1" max="1" width="7.5" style="5" bestFit="1" customWidth="1"/>
    <col min="2" max="2" width="20.33203125" style="5" bestFit="1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33.33203125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19.6640625" style="5" customWidth="1"/>
    <col min="14" max="16384" width="9.1640625" style="3"/>
  </cols>
  <sheetData>
    <row r="1" spans="1:13" s="2" customFormat="1" ht="29" customHeight="1">
      <c r="A1" s="60" t="s">
        <v>237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2" customFormat="1" ht="62" customHeight="1" thickBot="1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1" customFormat="1" ht="12.75" customHeight="1">
      <c r="A3" s="68" t="s">
        <v>259</v>
      </c>
      <c r="B3" s="50" t="s">
        <v>0</v>
      </c>
      <c r="C3" s="70" t="s">
        <v>262</v>
      </c>
      <c r="D3" s="70" t="s">
        <v>6</v>
      </c>
      <c r="E3" s="54" t="s">
        <v>263</v>
      </c>
      <c r="F3" s="72" t="s">
        <v>5</v>
      </c>
      <c r="G3" s="72" t="s">
        <v>9</v>
      </c>
      <c r="H3" s="72"/>
      <c r="I3" s="72"/>
      <c r="J3" s="72"/>
      <c r="K3" s="54" t="s">
        <v>90</v>
      </c>
      <c r="L3" s="54" t="s">
        <v>3</v>
      </c>
      <c r="M3" s="56" t="s">
        <v>2</v>
      </c>
    </row>
    <row r="4" spans="1:13" s="1" customFormat="1" ht="21" customHeight="1" thickBot="1">
      <c r="A4" s="69"/>
      <c r="B4" s="51"/>
      <c r="C4" s="71"/>
      <c r="D4" s="71"/>
      <c r="E4" s="55"/>
      <c r="F4" s="71"/>
      <c r="G4" s="4">
        <v>1</v>
      </c>
      <c r="H4" s="4">
        <v>2</v>
      </c>
      <c r="I4" s="4">
        <v>3</v>
      </c>
      <c r="J4" s="4" t="s">
        <v>4</v>
      </c>
      <c r="K4" s="55"/>
      <c r="L4" s="55"/>
      <c r="M4" s="57"/>
    </row>
    <row r="5" spans="1:13" ht="16">
      <c r="A5" s="58" t="s">
        <v>92</v>
      </c>
      <c r="B5" s="58"/>
      <c r="C5" s="59"/>
      <c r="D5" s="59"/>
      <c r="E5" s="59"/>
      <c r="F5" s="59"/>
      <c r="G5" s="59"/>
      <c r="H5" s="59"/>
      <c r="I5" s="59"/>
      <c r="J5" s="59"/>
    </row>
    <row r="6" spans="1:13">
      <c r="A6" s="22" t="s">
        <v>62</v>
      </c>
      <c r="B6" s="11" t="s">
        <v>135</v>
      </c>
      <c r="C6" s="11" t="s">
        <v>104</v>
      </c>
      <c r="D6" s="11" t="s">
        <v>105</v>
      </c>
      <c r="E6" s="12" t="s">
        <v>264</v>
      </c>
      <c r="F6" s="11" t="s">
        <v>250</v>
      </c>
      <c r="G6" s="21" t="s">
        <v>27</v>
      </c>
      <c r="H6" s="23" t="s">
        <v>106</v>
      </c>
      <c r="I6" s="23" t="s">
        <v>106</v>
      </c>
      <c r="J6" s="22"/>
      <c r="K6" s="13" t="str">
        <f>"115,0"</f>
        <v>115,0</v>
      </c>
      <c r="L6" s="13" t="str">
        <f>"93,9090"</f>
        <v>93,9090</v>
      </c>
      <c r="M6" s="11"/>
    </row>
    <row r="8" spans="1:13" ht="16">
      <c r="A8" s="48" t="s">
        <v>67</v>
      </c>
      <c r="B8" s="48"/>
      <c r="C8" s="48"/>
      <c r="D8" s="48"/>
      <c r="E8" s="49"/>
      <c r="F8" s="48"/>
      <c r="G8" s="48"/>
      <c r="H8" s="48"/>
      <c r="I8" s="48"/>
      <c r="J8" s="48"/>
    </row>
    <row r="9" spans="1:13">
      <c r="A9" s="22" t="s">
        <v>62</v>
      </c>
      <c r="B9" s="11" t="s">
        <v>136</v>
      </c>
      <c r="C9" s="11" t="s">
        <v>108</v>
      </c>
      <c r="D9" s="11" t="s">
        <v>109</v>
      </c>
      <c r="E9" s="12" t="s">
        <v>264</v>
      </c>
      <c r="F9" s="11" t="s">
        <v>70</v>
      </c>
      <c r="G9" s="21" t="s">
        <v>35</v>
      </c>
      <c r="H9" s="21" t="s">
        <v>73</v>
      </c>
      <c r="I9" s="23" t="s">
        <v>110</v>
      </c>
      <c r="J9" s="22"/>
      <c r="K9" s="13" t="str">
        <f>"162,5"</f>
        <v>162,5</v>
      </c>
      <c r="L9" s="13" t="str">
        <f>"116,8862"</f>
        <v>116,8862</v>
      </c>
      <c r="M9" s="11"/>
    </row>
    <row r="11" spans="1:13" ht="16">
      <c r="A11" s="48" t="s">
        <v>24</v>
      </c>
      <c r="B11" s="48"/>
      <c r="C11" s="48"/>
      <c r="D11" s="48"/>
      <c r="E11" s="49"/>
      <c r="F11" s="48"/>
      <c r="G11" s="48"/>
      <c r="H11" s="48"/>
      <c r="I11" s="48"/>
      <c r="J11" s="48"/>
    </row>
    <row r="12" spans="1:13">
      <c r="A12" s="22" t="s">
        <v>62</v>
      </c>
      <c r="B12" s="11" t="s">
        <v>137</v>
      </c>
      <c r="C12" s="11" t="s">
        <v>112</v>
      </c>
      <c r="D12" s="11" t="s">
        <v>113</v>
      </c>
      <c r="E12" s="12" t="s">
        <v>264</v>
      </c>
      <c r="F12" s="11" t="s">
        <v>250</v>
      </c>
      <c r="G12" s="21" t="s">
        <v>114</v>
      </c>
      <c r="H12" s="21" t="s">
        <v>115</v>
      </c>
      <c r="I12" s="21" t="s">
        <v>116</v>
      </c>
      <c r="J12" s="22"/>
      <c r="K12" s="13" t="str">
        <f>"147,5"</f>
        <v>147,5</v>
      </c>
      <c r="L12" s="13" t="str">
        <f>"103,5893"</f>
        <v>103,5893</v>
      </c>
      <c r="M12" s="42" t="s">
        <v>231</v>
      </c>
    </row>
    <row r="14" spans="1:13" ht="16">
      <c r="A14" s="48" t="s">
        <v>32</v>
      </c>
      <c r="B14" s="48"/>
      <c r="C14" s="48"/>
      <c r="D14" s="48"/>
      <c r="E14" s="49"/>
      <c r="F14" s="48"/>
      <c r="G14" s="48"/>
      <c r="H14" s="48"/>
      <c r="I14" s="48"/>
      <c r="J14" s="48"/>
    </row>
    <row r="15" spans="1:13">
      <c r="A15" s="33" t="s">
        <v>62</v>
      </c>
      <c r="B15" s="24" t="s">
        <v>138</v>
      </c>
      <c r="C15" s="24" t="s">
        <v>118</v>
      </c>
      <c r="D15" s="24" t="s">
        <v>119</v>
      </c>
      <c r="E15" s="25" t="s">
        <v>264</v>
      </c>
      <c r="F15" s="24" t="s">
        <v>129</v>
      </c>
      <c r="G15" s="34" t="s">
        <v>30</v>
      </c>
      <c r="H15" s="34" t="s">
        <v>31</v>
      </c>
      <c r="I15" s="34" t="s">
        <v>120</v>
      </c>
      <c r="J15" s="33"/>
      <c r="K15" s="26" t="str">
        <f>"157,5"</f>
        <v>157,5</v>
      </c>
      <c r="L15" s="26" t="str">
        <f>"103,2728"</f>
        <v>103,2728</v>
      </c>
      <c r="M15" s="44" t="s">
        <v>228</v>
      </c>
    </row>
    <row r="16" spans="1:13">
      <c r="A16" s="35" t="s">
        <v>139</v>
      </c>
      <c r="B16" s="27" t="s">
        <v>140</v>
      </c>
      <c r="C16" s="27" t="s">
        <v>121</v>
      </c>
      <c r="D16" s="27" t="s">
        <v>122</v>
      </c>
      <c r="E16" s="28" t="s">
        <v>264</v>
      </c>
      <c r="F16" s="27" t="s">
        <v>129</v>
      </c>
      <c r="G16" s="36" t="s">
        <v>71</v>
      </c>
      <c r="H16" s="37" t="s">
        <v>29</v>
      </c>
      <c r="I16" s="36" t="s">
        <v>29</v>
      </c>
      <c r="J16" s="35"/>
      <c r="K16" s="29" t="str">
        <f>"145,0"</f>
        <v>145,0</v>
      </c>
      <c r="L16" s="29" t="str">
        <f>"94,2355"</f>
        <v>94,2355</v>
      </c>
      <c r="M16" s="27"/>
    </row>
    <row r="17" spans="1:13">
      <c r="A17" s="38" t="s">
        <v>141</v>
      </c>
      <c r="B17" s="30" t="s">
        <v>142</v>
      </c>
      <c r="C17" s="30" t="s">
        <v>123</v>
      </c>
      <c r="D17" s="30" t="s">
        <v>124</v>
      </c>
      <c r="E17" s="31" t="s">
        <v>264</v>
      </c>
      <c r="F17" s="30" t="s">
        <v>129</v>
      </c>
      <c r="G17" s="39" t="s">
        <v>125</v>
      </c>
      <c r="H17" s="39" t="s">
        <v>126</v>
      </c>
      <c r="I17" s="40" t="s">
        <v>71</v>
      </c>
      <c r="J17" s="38"/>
      <c r="K17" s="32" t="str">
        <f>"135,0"</f>
        <v>135,0</v>
      </c>
      <c r="L17" s="32" t="str">
        <f>"86,6835"</f>
        <v>86,6835</v>
      </c>
      <c r="M17" s="43"/>
    </row>
    <row r="19" spans="1:13" ht="16">
      <c r="A19" s="48" t="s">
        <v>85</v>
      </c>
      <c r="B19" s="48"/>
      <c r="C19" s="48"/>
      <c r="D19" s="48"/>
      <c r="E19" s="49"/>
      <c r="F19" s="48"/>
      <c r="G19" s="48"/>
      <c r="H19" s="48"/>
      <c r="I19" s="48"/>
      <c r="J19" s="48"/>
    </row>
    <row r="20" spans="1:13">
      <c r="A20" s="33" t="s">
        <v>62</v>
      </c>
      <c r="B20" s="24" t="s">
        <v>143</v>
      </c>
      <c r="C20" s="24" t="s">
        <v>127</v>
      </c>
      <c r="D20" s="24" t="s">
        <v>128</v>
      </c>
      <c r="E20" s="25" t="s">
        <v>268</v>
      </c>
      <c r="F20" s="24" t="s">
        <v>129</v>
      </c>
      <c r="G20" s="34" t="s">
        <v>126</v>
      </c>
      <c r="H20" s="41" t="s">
        <v>71</v>
      </c>
      <c r="I20" s="41" t="s">
        <v>71</v>
      </c>
      <c r="J20" s="33"/>
      <c r="K20" s="26" t="str">
        <f>"135,0"</f>
        <v>135,0</v>
      </c>
      <c r="L20" s="26" t="str">
        <f>"82,1610"</f>
        <v>82,1610</v>
      </c>
      <c r="M20" s="44" t="s">
        <v>228</v>
      </c>
    </row>
    <row r="21" spans="1:13">
      <c r="A21" s="38" t="s">
        <v>62</v>
      </c>
      <c r="B21" s="30" t="s">
        <v>144</v>
      </c>
      <c r="C21" s="30" t="s">
        <v>130</v>
      </c>
      <c r="D21" s="30" t="s">
        <v>87</v>
      </c>
      <c r="E21" s="31" t="s">
        <v>267</v>
      </c>
      <c r="F21" s="30" t="s">
        <v>70</v>
      </c>
      <c r="G21" s="40" t="s">
        <v>29</v>
      </c>
      <c r="H21" s="39" t="s">
        <v>30</v>
      </c>
      <c r="I21" s="40" t="s">
        <v>73</v>
      </c>
      <c r="J21" s="38"/>
      <c r="K21" s="32" t="str">
        <f>"150,0"</f>
        <v>150,0</v>
      </c>
      <c r="L21" s="32" t="str">
        <f>"96,9264"</f>
        <v>96,9264</v>
      </c>
      <c r="M21" s="30"/>
    </row>
    <row r="23" spans="1:13" ht="16">
      <c r="A23" s="48" t="s">
        <v>98</v>
      </c>
      <c r="B23" s="48"/>
      <c r="C23" s="48"/>
      <c r="D23" s="48"/>
      <c r="E23" s="49"/>
      <c r="F23" s="48"/>
      <c r="G23" s="48"/>
      <c r="H23" s="48"/>
      <c r="I23" s="48"/>
      <c r="J23" s="48"/>
    </row>
    <row r="24" spans="1:13">
      <c r="A24" s="22" t="s">
        <v>62</v>
      </c>
      <c r="B24" s="11" t="s">
        <v>145</v>
      </c>
      <c r="C24" s="11" t="s">
        <v>131</v>
      </c>
      <c r="D24" s="11" t="s">
        <v>132</v>
      </c>
      <c r="E24" s="12" t="s">
        <v>267</v>
      </c>
      <c r="F24" s="11" t="s">
        <v>70</v>
      </c>
      <c r="G24" s="21" t="s">
        <v>29</v>
      </c>
      <c r="H24" s="21" t="s">
        <v>133</v>
      </c>
      <c r="I24" s="21" t="s">
        <v>31</v>
      </c>
      <c r="J24" s="22"/>
      <c r="K24" s="13" t="str">
        <f>"155,0"</f>
        <v>155,0</v>
      </c>
      <c r="L24" s="13" t="str">
        <f>"94,0336"</f>
        <v>94,0336</v>
      </c>
      <c r="M24" s="11"/>
    </row>
    <row r="26" spans="1:13" ht="16">
      <c r="F26" s="8"/>
      <c r="G26" s="5"/>
      <c r="K26" s="10"/>
      <c r="M26" s="7"/>
    </row>
    <row r="27" spans="1:13">
      <c r="G27" s="5"/>
      <c r="K27" s="10"/>
      <c r="M27" s="7"/>
    </row>
    <row r="28" spans="1:13" ht="18">
      <c r="B28" s="9" t="s">
        <v>7</v>
      </c>
      <c r="C28" s="9"/>
      <c r="K28" s="10"/>
      <c r="M28" s="7"/>
    </row>
    <row r="29" spans="1:13" ht="16">
      <c r="B29" s="14" t="s">
        <v>60</v>
      </c>
      <c r="C29" s="14"/>
      <c r="K29" s="10"/>
      <c r="M29" s="7"/>
    </row>
    <row r="30" spans="1:13" ht="14">
      <c r="B30" s="15"/>
      <c r="C30" s="16" t="s">
        <v>55</v>
      </c>
      <c r="G30" s="3"/>
      <c r="K30" s="10"/>
      <c r="M30" s="7"/>
    </row>
    <row r="31" spans="1:13" ht="14">
      <c r="B31" s="17" t="s">
        <v>56</v>
      </c>
      <c r="C31" s="17" t="s">
        <v>57</v>
      </c>
      <c r="D31" s="17" t="s">
        <v>251</v>
      </c>
      <c r="E31" s="18" t="s">
        <v>89</v>
      </c>
      <c r="F31" s="17" t="s">
        <v>58</v>
      </c>
      <c r="G31" s="3"/>
      <c r="K31" s="10"/>
      <c r="M31" s="7"/>
    </row>
    <row r="32" spans="1:13">
      <c r="B32" s="5" t="s">
        <v>107</v>
      </c>
      <c r="C32" s="5" t="s">
        <v>55</v>
      </c>
      <c r="D32" s="10" t="s">
        <v>134</v>
      </c>
      <c r="E32" s="20">
        <v>162.5</v>
      </c>
      <c r="F32" s="19">
        <v>116.886245459318</v>
      </c>
      <c r="G32" s="3"/>
      <c r="K32" s="10"/>
      <c r="M32" s="7"/>
    </row>
    <row r="33" spans="2:13">
      <c r="B33" s="5" t="s">
        <v>111</v>
      </c>
      <c r="C33" s="5" t="s">
        <v>55</v>
      </c>
      <c r="D33" s="10" t="s">
        <v>59</v>
      </c>
      <c r="E33" s="20">
        <v>147.5</v>
      </c>
      <c r="F33" s="19">
        <v>103.58925178647</v>
      </c>
      <c r="G33" s="3"/>
      <c r="K33" s="10"/>
      <c r="M33" s="7"/>
    </row>
    <row r="34" spans="2:13">
      <c r="B34" s="5" t="s">
        <v>117</v>
      </c>
      <c r="C34" s="5" t="s">
        <v>55</v>
      </c>
      <c r="D34" s="10" t="s">
        <v>61</v>
      </c>
      <c r="E34" s="20">
        <v>157.5</v>
      </c>
      <c r="F34" s="19">
        <v>103.27275440096901</v>
      </c>
      <c r="G34" s="3"/>
      <c r="K34" s="10"/>
      <c r="M34" s="7"/>
    </row>
    <row r="35" spans="2:13">
      <c r="E35" s="5"/>
      <c r="F35" s="6"/>
      <c r="G35" s="5"/>
      <c r="K35" s="10"/>
      <c r="M35" s="7"/>
    </row>
    <row r="36" spans="2:13">
      <c r="E36" s="5"/>
      <c r="F36" s="6"/>
      <c r="G36" s="5"/>
      <c r="K36" s="10"/>
      <c r="M36" s="7"/>
    </row>
  </sheetData>
  <mergeCells count="17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3:J23"/>
    <mergeCell ref="A5:J5"/>
    <mergeCell ref="A8:J8"/>
    <mergeCell ref="A11:J11"/>
    <mergeCell ref="A14:J14"/>
    <mergeCell ref="A19:J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12"/>
  <sheetViews>
    <sheetView topLeftCell="A2"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19.33203125" style="5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30.1640625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19.1640625" style="5" bestFit="1" customWidth="1"/>
    <col min="14" max="16384" width="9.1640625" style="3"/>
  </cols>
  <sheetData>
    <row r="1" spans="1:13" s="2" customFormat="1" ht="29" customHeight="1">
      <c r="A1" s="60" t="s">
        <v>238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2" customFormat="1" ht="62" customHeight="1" thickBot="1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1" customFormat="1" ht="12.75" customHeight="1">
      <c r="A3" s="68" t="s">
        <v>259</v>
      </c>
      <c r="B3" s="50" t="s">
        <v>0</v>
      </c>
      <c r="C3" s="70" t="s">
        <v>262</v>
      </c>
      <c r="D3" s="70" t="s">
        <v>6</v>
      </c>
      <c r="E3" s="54" t="s">
        <v>263</v>
      </c>
      <c r="F3" s="72" t="s">
        <v>5</v>
      </c>
      <c r="G3" s="72" t="s">
        <v>9</v>
      </c>
      <c r="H3" s="72"/>
      <c r="I3" s="72"/>
      <c r="J3" s="72"/>
      <c r="K3" s="54" t="s">
        <v>90</v>
      </c>
      <c r="L3" s="54" t="s">
        <v>3</v>
      </c>
      <c r="M3" s="56" t="s">
        <v>2</v>
      </c>
    </row>
    <row r="4" spans="1:13" s="1" customFormat="1" ht="21" customHeight="1" thickBot="1">
      <c r="A4" s="69"/>
      <c r="B4" s="51"/>
      <c r="C4" s="71"/>
      <c r="D4" s="71"/>
      <c r="E4" s="55"/>
      <c r="F4" s="71"/>
      <c r="G4" s="4">
        <v>1</v>
      </c>
      <c r="H4" s="4">
        <v>2</v>
      </c>
      <c r="I4" s="4">
        <v>3</v>
      </c>
      <c r="J4" s="4" t="s">
        <v>4</v>
      </c>
      <c r="K4" s="55"/>
      <c r="L4" s="55"/>
      <c r="M4" s="57"/>
    </row>
    <row r="5" spans="1:13" ht="16">
      <c r="A5" s="58" t="s">
        <v>92</v>
      </c>
      <c r="B5" s="58"/>
      <c r="C5" s="59"/>
      <c r="D5" s="59"/>
      <c r="E5" s="59"/>
      <c r="F5" s="59"/>
      <c r="G5" s="59"/>
      <c r="H5" s="59"/>
      <c r="I5" s="59"/>
      <c r="J5" s="59"/>
    </row>
    <row r="6" spans="1:13">
      <c r="A6" s="22" t="s">
        <v>62</v>
      </c>
      <c r="B6" s="11" t="s">
        <v>102</v>
      </c>
      <c r="C6" s="11" t="s">
        <v>93</v>
      </c>
      <c r="D6" s="11" t="s">
        <v>94</v>
      </c>
      <c r="E6" s="12" t="s">
        <v>269</v>
      </c>
      <c r="F6" s="11" t="s">
        <v>70</v>
      </c>
      <c r="G6" s="21" t="s">
        <v>95</v>
      </c>
      <c r="H6" s="23" t="s">
        <v>96</v>
      </c>
      <c r="I6" s="21" t="s">
        <v>96</v>
      </c>
      <c r="J6" s="22"/>
      <c r="K6" s="13" t="str">
        <f>"50,0"</f>
        <v>50,0</v>
      </c>
      <c r="L6" s="13" t="str">
        <f>"39,3600"</f>
        <v>39,3600</v>
      </c>
      <c r="M6" s="11" t="s">
        <v>97</v>
      </c>
    </row>
    <row r="8" spans="1:13" ht="16">
      <c r="A8" s="48" t="s">
        <v>44</v>
      </c>
      <c r="B8" s="48"/>
      <c r="C8" s="48"/>
      <c r="D8" s="48"/>
      <c r="E8" s="49"/>
      <c r="F8" s="48"/>
      <c r="G8" s="48"/>
      <c r="H8" s="48"/>
      <c r="I8" s="48"/>
      <c r="J8" s="48"/>
    </row>
    <row r="9" spans="1:13">
      <c r="A9" s="22" t="s">
        <v>62</v>
      </c>
      <c r="B9" s="11" t="s">
        <v>66</v>
      </c>
      <c r="C9" s="11" t="s">
        <v>45</v>
      </c>
      <c r="D9" s="11" t="s">
        <v>46</v>
      </c>
      <c r="E9" s="12" t="s">
        <v>264</v>
      </c>
      <c r="F9" s="11" t="s">
        <v>47</v>
      </c>
      <c r="G9" s="21" t="s">
        <v>50</v>
      </c>
      <c r="H9" s="21" t="s">
        <v>48</v>
      </c>
      <c r="I9" s="23" t="s">
        <v>51</v>
      </c>
      <c r="J9" s="22"/>
      <c r="K9" s="13" t="str">
        <f>"185,0"</f>
        <v>185,0</v>
      </c>
      <c r="L9" s="13" t="str">
        <f>"108,8725"</f>
        <v>108,8725</v>
      </c>
      <c r="M9" s="11"/>
    </row>
    <row r="11" spans="1:13" ht="16">
      <c r="A11" s="48" t="s">
        <v>98</v>
      </c>
      <c r="B11" s="48"/>
      <c r="C11" s="48"/>
      <c r="D11" s="48"/>
      <c r="E11" s="49"/>
      <c r="F11" s="48"/>
      <c r="G11" s="48"/>
      <c r="H11" s="48"/>
      <c r="I11" s="48"/>
      <c r="J11" s="48"/>
    </row>
    <row r="12" spans="1:13">
      <c r="A12" s="22" t="s">
        <v>62</v>
      </c>
      <c r="B12" s="11" t="s">
        <v>103</v>
      </c>
      <c r="C12" s="11" t="s">
        <v>99</v>
      </c>
      <c r="D12" s="11" t="s">
        <v>100</v>
      </c>
      <c r="E12" s="12" t="s">
        <v>267</v>
      </c>
      <c r="F12" s="11" t="s">
        <v>101</v>
      </c>
      <c r="G12" s="21" t="s">
        <v>31</v>
      </c>
      <c r="H12" s="22"/>
      <c r="I12" s="22"/>
      <c r="J12" s="22"/>
      <c r="K12" s="13" t="str">
        <f>"155,0"</f>
        <v>155,0</v>
      </c>
      <c r="L12" s="13" t="str">
        <f>"89,5862"</f>
        <v>89,5862</v>
      </c>
      <c r="M12" s="11"/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8"/>
  <sheetViews>
    <sheetView workbookViewId="0">
      <selection activeCell="E8" sqref="E8"/>
    </sheetView>
  </sheetViews>
  <sheetFormatPr baseColWidth="10" defaultColWidth="9.1640625" defaultRowHeight="13"/>
  <cols>
    <col min="1" max="1" width="7.5" style="5" bestFit="1" customWidth="1"/>
    <col min="2" max="2" width="16.33203125" style="5" bestFit="1" customWidth="1"/>
    <col min="3" max="3" width="26.5" style="5" bestFit="1" customWidth="1"/>
    <col min="4" max="4" width="21.5" style="5" bestFit="1" customWidth="1"/>
    <col min="5" max="5" width="10.5" style="6" bestFit="1" customWidth="1"/>
    <col min="6" max="6" width="30.1640625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7.5" style="7" bestFit="1" customWidth="1"/>
    <col min="13" max="13" width="19.5" style="5" customWidth="1"/>
    <col min="14" max="16384" width="9.1640625" style="3"/>
  </cols>
  <sheetData>
    <row r="1" spans="1:13" s="2" customFormat="1" ht="29" customHeight="1">
      <c r="A1" s="60" t="s">
        <v>239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2" customFormat="1" ht="62" customHeight="1" thickBot="1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1" customFormat="1" ht="12.75" customHeight="1">
      <c r="A3" s="68" t="s">
        <v>259</v>
      </c>
      <c r="B3" s="50" t="s">
        <v>0</v>
      </c>
      <c r="C3" s="70" t="s">
        <v>262</v>
      </c>
      <c r="D3" s="70" t="s">
        <v>6</v>
      </c>
      <c r="E3" s="54" t="s">
        <v>263</v>
      </c>
      <c r="F3" s="72" t="s">
        <v>5</v>
      </c>
      <c r="G3" s="72" t="s">
        <v>9</v>
      </c>
      <c r="H3" s="72"/>
      <c r="I3" s="72"/>
      <c r="J3" s="72"/>
      <c r="K3" s="54" t="s">
        <v>90</v>
      </c>
      <c r="L3" s="54" t="s">
        <v>3</v>
      </c>
      <c r="M3" s="56" t="s">
        <v>2</v>
      </c>
    </row>
    <row r="4" spans="1:13" s="1" customFormat="1" ht="21" customHeight="1" thickBot="1">
      <c r="A4" s="69"/>
      <c r="B4" s="51"/>
      <c r="C4" s="71"/>
      <c r="D4" s="71"/>
      <c r="E4" s="55"/>
      <c r="F4" s="71"/>
      <c r="G4" s="4">
        <v>1</v>
      </c>
      <c r="H4" s="4">
        <v>2</v>
      </c>
      <c r="I4" s="4">
        <v>3</v>
      </c>
      <c r="J4" s="4" t="s">
        <v>4</v>
      </c>
      <c r="K4" s="55"/>
      <c r="L4" s="55"/>
      <c r="M4" s="57"/>
    </row>
    <row r="5" spans="1:13" ht="16">
      <c r="A5" s="58" t="s">
        <v>67</v>
      </c>
      <c r="B5" s="58"/>
      <c r="C5" s="59"/>
      <c r="D5" s="59"/>
      <c r="E5" s="59"/>
      <c r="F5" s="59"/>
      <c r="G5" s="59"/>
      <c r="H5" s="59"/>
      <c r="I5" s="59"/>
      <c r="J5" s="59"/>
    </row>
    <row r="6" spans="1:13">
      <c r="A6" s="22" t="s">
        <v>62</v>
      </c>
      <c r="B6" s="11" t="s">
        <v>167</v>
      </c>
      <c r="C6" s="11" t="s">
        <v>163</v>
      </c>
      <c r="D6" s="11" t="s">
        <v>164</v>
      </c>
      <c r="E6" s="12" t="s">
        <v>269</v>
      </c>
      <c r="F6" s="11" t="s">
        <v>70</v>
      </c>
      <c r="G6" s="21" t="s">
        <v>165</v>
      </c>
      <c r="H6" s="23" t="s">
        <v>166</v>
      </c>
      <c r="I6" s="23" t="s">
        <v>166</v>
      </c>
      <c r="J6" s="22"/>
      <c r="K6" s="13" t="str">
        <f>"87,5"</f>
        <v>87,5</v>
      </c>
      <c r="L6" s="13" t="str">
        <f>"62,5800"</f>
        <v>62,5800</v>
      </c>
      <c r="M6" s="42" t="s">
        <v>97</v>
      </c>
    </row>
    <row r="8" spans="1:13">
      <c r="E8" s="5"/>
      <c r="F8" s="6"/>
      <c r="G8" s="5"/>
      <c r="K8" s="10"/>
      <c r="M8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17"/>
  <sheetViews>
    <sheetView workbookViewId="0">
      <selection activeCell="E16" sqref="E16"/>
    </sheetView>
  </sheetViews>
  <sheetFormatPr baseColWidth="10" defaultColWidth="9.1640625" defaultRowHeight="13"/>
  <cols>
    <col min="1" max="1" width="7.5" style="5" bestFit="1" customWidth="1"/>
    <col min="2" max="2" width="20" style="5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0.1640625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15.6640625" style="5" bestFit="1" customWidth="1"/>
    <col min="14" max="16384" width="9.1640625" style="3"/>
  </cols>
  <sheetData>
    <row r="1" spans="1:13" s="2" customFormat="1" ht="29" customHeight="1">
      <c r="A1" s="60" t="s">
        <v>240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2" customFormat="1" ht="62" customHeight="1" thickBot="1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1" customFormat="1" ht="12.75" customHeight="1">
      <c r="A3" s="68" t="s">
        <v>259</v>
      </c>
      <c r="B3" s="50" t="s">
        <v>0</v>
      </c>
      <c r="C3" s="70" t="s">
        <v>262</v>
      </c>
      <c r="D3" s="70" t="s">
        <v>6</v>
      </c>
      <c r="E3" s="54" t="s">
        <v>263</v>
      </c>
      <c r="F3" s="72" t="s">
        <v>5</v>
      </c>
      <c r="G3" s="72" t="s">
        <v>9</v>
      </c>
      <c r="H3" s="72"/>
      <c r="I3" s="72"/>
      <c r="J3" s="72"/>
      <c r="K3" s="54" t="s">
        <v>90</v>
      </c>
      <c r="L3" s="54" t="s">
        <v>3</v>
      </c>
      <c r="M3" s="56" t="s">
        <v>2</v>
      </c>
    </row>
    <row r="4" spans="1:13" s="1" customFormat="1" ht="21" customHeight="1" thickBot="1">
      <c r="A4" s="69"/>
      <c r="B4" s="51"/>
      <c r="C4" s="71"/>
      <c r="D4" s="71"/>
      <c r="E4" s="55"/>
      <c r="F4" s="71"/>
      <c r="G4" s="4">
        <v>1</v>
      </c>
      <c r="H4" s="4">
        <v>2</v>
      </c>
      <c r="I4" s="4">
        <v>3</v>
      </c>
      <c r="J4" s="4" t="s">
        <v>4</v>
      </c>
      <c r="K4" s="55"/>
      <c r="L4" s="55"/>
      <c r="M4" s="57"/>
    </row>
    <row r="5" spans="1:13" ht="16">
      <c r="A5" s="58" t="s">
        <v>146</v>
      </c>
      <c r="B5" s="58"/>
      <c r="C5" s="59"/>
      <c r="D5" s="59"/>
      <c r="E5" s="59"/>
      <c r="F5" s="59"/>
      <c r="G5" s="59"/>
      <c r="H5" s="59"/>
      <c r="I5" s="59"/>
      <c r="J5" s="59"/>
    </row>
    <row r="6" spans="1:13">
      <c r="A6" s="22" t="s">
        <v>62</v>
      </c>
      <c r="B6" s="11" t="s">
        <v>159</v>
      </c>
      <c r="C6" s="11" t="s">
        <v>147</v>
      </c>
      <c r="D6" s="11" t="s">
        <v>148</v>
      </c>
      <c r="E6" s="12" t="s">
        <v>264</v>
      </c>
      <c r="F6" s="11" t="s">
        <v>70</v>
      </c>
      <c r="G6" s="21" t="s">
        <v>149</v>
      </c>
      <c r="H6" s="21" t="s">
        <v>14</v>
      </c>
      <c r="I6" s="21" t="s">
        <v>15</v>
      </c>
      <c r="J6" s="22"/>
      <c r="K6" s="13" t="str">
        <f>"67,5"</f>
        <v>67,5</v>
      </c>
      <c r="L6" s="13" t="str">
        <f>"70,6658"</f>
        <v>70,6658</v>
      </c>
      <c r="M6" s="11"/>
    </row>
    <row r="8" spans="1:13" ht="16">
      <c r="A8" s="48" t="s">
        <v>67</v>
      </c>
      <c r="B8" s="48"/>
      <c r="C8" s="48"/>
      <c r="D8" s="48"/>
      <c r="E8" s="49"/>
      <c r="F8" s="48"/>
      <c r="G8" s="48"/>
      <c r="H8" s="48"/>
      <c r="I8" s="48"/>
      <c r="J8" s="48"/>
    </row>
    <row r="9" spans="1:13">
      <c r="A9" s="22" t="s">
        <v>62</v>
      </c>
      <c r="B9" s="11" t="s">
        <v>160</v>
      </c>
      <c r="C9" s="11" t="s">
        <v>150</v>
      </c>
      <c r="D9" s="11" t="s">
        <v>151</v>
      </c>
      <c r="E9" s="12" t="s">
        <v>264</v>
      </c>
      <c r="F9" s="11" t="s">
        <v>152</v>
      </c>
      <c r="G9" s="23" t="s">
        <v>48</v>
      </c>
      <c r="H9" s="23" t="s">
        <v>48</v>
      </c>
      <c r="I9" s="21" t="s">
        <v>48</v>
      </c>
      <c r="J9" s="22"/>
      <c r="K9" s="13" t="str">
        <f>"185,0"</f>
        <v>185,0</v>
      </c>
      <c r="L9" s="13" t="str">
        <f>"129,1855"</f>
        <v>129,1855</v>
      </c>
      <c r="M9" s="11"/>
    </row>
    <row r="11" spans="1:13" ht="16">
      <c r="A11" s="48" t="s">
        <v>24</v>
      </c>
      <c r="B11" s="48"/>
      <c r="C11" s="48"/>
      <c r="D11" s="48"/>
      <c r="E11" s="49"/>
      <c r="F11" s="48"/>
      <c r="G11" s="48"/>
      <c r="H11" s="48"/>
      <c r="I11" s="48"/>
      <c r="J11" s="48"/>
    </row>
    <row r="12" spans="1:13">
      <c r="A12" s="22" t="s">
        <v>62</v>
      </c>
      <c r="B12" s="11" t="s">
        <v>161</v>
      </c>
      <c r="C12" s="11" t="s">
        <v>153</v>
      </c>
      <c r="D12" s="11" t="s">
        <v>154</v>
      </c>
      <c r="E12" s="12" t="s">
        <v>264</v>
      </c>
      <c r="F12" s="11" t="s">
        <v>70</v>
      </c>
      <c r="G12" s="21" t="s">
        <v>110</v>
      </c>
      <c r="H12" s="21" t="s">
        <v>50</v>
      </c>
      <c r="I12" s="23" t="s">
        <v>48</v>
      </c>
      <c r="J12" s="22"/>
      <c r="K12" s="13" t="str">
        <f>"175,0"</f>
        <v>175,0</v>
      </c>
      <c r="L12" s="13" t="str">
        <f>"112,8050"</f>
        <v>112,8050</v>
      </c>
      <c r="M12" s="11"/>
    </row>
    <row r="14" spans="1:13" ht="16">
      <c r="A14" s="48" t="s">
        <v>44</v>
      </c>
      <c r="B14" s="48"/>
      <c r="C14" s="48"/>
      <c r="D14" s="48"/>
      <c r="E14" s="49"/>
      <c r="F14" s="48"/>
      <c r="G14" s="48"/>
      <c r="H14" s="48"/>
      <c r="I14" s="48"/>
      <c r="J14" s="48"/>
    </row>
    <row r="15" spans="1:13">
      <c r="A15" s="22" t="s">
        <v>62</v>
      </c>
      <c r="B15" s="11" t="s">
        <v>162</v>
      </c>
      <c r="C15" s="11" t="s">
        <v>155</v>
      </c>
      <c r="D15" s="11" t="s">
        <v>46</v>
      </c>
      <c r="E15" s="12" t="s">
        <v>264</v>
      </c>
      <c r="F15" s="11" t="s">
        <v>70</v>
      </c>
      <c r="G15" s="21" t="s">
        <v>156</v>
      </c>
      <c r="H15" s="21" t="s">
        <v>157</v>
      </c>
      <c r="I15" s="23" t="s">
        <v>158</v>
      </c>
      <c r="J15" s="22"/>
      <c r="K15" s="13" t="str">
        <f>"245,0"</f>
        <v>245,0</v>
      </c>
      <c r="L15" s="13" t="str">
        <f>"137,8125"</f>
        <v>137,8125</v>
      </c>
      <c r="M15" s="11"/>
    </row>
    <row r="17" spans="5:13">
      <c r="E17" s="5"/>
      <c r="F17" s="6"/>
      <c r="G17" s="5"/>
      <c r="K17" s="10"/>
      <c r="M17" s="7"/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4:J14"/>
    <mergeCell ref="B3:B4"/>
    <mergeCell ref="K3:K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7" style="5" bestFit="1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30.1640625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18.1640625" style="5" customWidth="1"/>
    <col min="14" max="16384" width="9.1640625" style="3"/>
  </cols>
  <sheetData>
    <row r="1" spans="1:13" s="2" customFormat="1" ht="29" customHeight="1">
      <c r="A1" s="60" t="s">
        <v>241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2" customFormat="1" ht="62" customHeight="1" thickBot="1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1" customFormat="1" ht="12.75" customHeight="1">
      <c r="A3" s="68" t="s">
        <v>259</v>
      </c>
      <c r="B3" s="50" t="s">
        <v>0</v>
      </c>
      <c r="C3" s="70" t="s">
        <v>262</v>
      </c>
      <c r="D3" s="70" t="s">
        <v>6</v>
      </c>
      <c r="E3" s="54" t="s">
        <v>263</v>
      </c>
      <c r="F3" s="72" t="s">
        <v>5</v>
      </c>
      <c r="G3" s="72" t="s">
        <v>9</v>
      </c>
      <c r="H3" s="72"/>
      <c r="I3" s="72"/>
      <c r="J3" s="72"/>
      <c r="K3" s="54" t="s">
        <v>90</v>
      </c>
      <c r="L3" s="54" t="s">
        <v>3</v>
      </c>
      <c r="M3" s="56" t="s">
        <v>2</v>
      </c>
    </row>
    <row r="4" spans="1:13" s="1" customFormat="1" ht="21" customHeight="1" thickBot="1">
      <c r="A4" s="69"/>
      <c r="B4" s="51"/>
      <c r="C4" s="71"/>
      <c r="D4" s="71"/>
      <c r="E4" s="55"/>
      <c r="F4" s="71"/>
      <c r="G4" s="4">
        <v>1</v>
      </c>
      <c r="H4" s="4">
        <v>2</v>
      </c>
      <c r="I4" s="4">
        <v>3</v>
      </c>
      <c r="J4" s="4" t="s">
        <v>4</v>
      </c>
      <c r="K4" s="55"/>
      <c r="L4" s="55"/>
      <c r="M4" s="57"/>
    </row>
    <row r="5" spans="1:13" ht="16">
      <c r="A5" s="58" t="s">
        <v>85</v>
      </c>
      <c r="B5" s="58"/>
      <c r="C5" s="59"/>
      <c r="D5" s="59"/>
      <c r="E5" s="59"/>
      <c r="F5" s="59"/>
      <c r="G5" s="59"/>
      <c r="H5" s="59"/>
      <c r="I5" s="59"/>
      <c r="J5" s="59"/>
    </row>
    <row r="6" spans="1:13">
      <c r="A6" s="22" t="s">
        <v>62</v>
      </c>
      <c r="B6" s="11" t="s">
        <v>91</v>
      </c>
      <c r="C6" s="11" t="s">
        <v>86</v>
      </c>
      <c r="D6" s="11" t="s">
        <v>87</v>
      </c>
      <c r="E6" s="12" t="s">
        <v>265</v>
      </c>
      <c r="F6" s="11" t="s">
        <v>70</v>
      </c>
      <c r="G6" s="21" t="s">
        <v>52</v>
      </c>
      <c r="H6" s="21" t="s">
        <v>88</v>
      </c>
      <c r="I6" s="22"/>
      <c r="J6" s="22"/>
      <c r="K6" s="13" t="str">
        <f>"240,0"</f>
        <v>240,0</v>
      </c>
      <c r="L6" s="13" t="str">
        <f>"160,2955"</f>
        <v>160,2955</v>
      </c>
      <c r="M6" s="11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WRPF ПЛ без экипировки ДК</vt:lpstr>
      <vt:lpstr>WRPF ПЛ без экипировки</vt:lpstr>
      <vt:lpstr>WRPF Двоеборье без экип ДК</vt:lpstr>
      <vt:lpstr>WRPF Двоеборье без экип</vt:lpstr>
      <vt:lpstr>WRPF Жим лежа без экип ДК</vt:lpstr>
      <vt:lpstr>WRPF Жим лежа без экип</vt:lpstr>
      <vt:lpstr>WEPF Жим однослой</vt:lpstr>
      <vt:lpstr>WEPF Жим софт однопетельная ДК</vt:lpstr>
      <vt:lpstr>WEPF Жим софт однопетельная</vt:lpstr>
      <vt:lpstr>WEPF Жим софт многопетельнаяДК</vt:lpstr>
      <vt:lpstr>WRPF Военный жим ДК</vt:lpstr>
      <vt:lpstr>WRPF Военный жим</vt:lpstr>
      <vt:lpstr>WRPF Тяга без экипировки ДК</vt:lpstr>
      <vt:lpstr>WRPF Тяга без экипировки</vt:lpstr>
      <vt:lpstr>СПР Пауэрспорт</vt:lpstr>
      <vt:lpstr>СПР Жим стоя ДК</vt:lpstr>
      <vt:lpstr>СПР Подъем на бицепс ДК</vt:lpstr>
      <vt:lpstr>СПР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2023-05-10T18:22:16Z</dcterms:modified>
</cp:coreProperties>
</file>