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Июнь/"/>
    </mc:Choice>
  </mc:AlternateContent>
  <xr:revisionPtr revIDLastSave="0" documentId="13_ncr:1_{CD8EF8D7-ADAF-0445-8AF8-2196D977D958}" xr6:coauthVersionLast="45" xr6:coauthVersionMax="45" xr10:uidLastSave="{00000000-0000-0000-0000-000000000000}"/>
  <bookViews>
    <workbookView xWindow="460" yWindow="460" windowWidth="27960" windowHeight="16060" firstSheet="12" activeTab="14" xr2:uid="{00000000-000D-0000-FFFF-FFFF00000000}"/>
  </bookViews>
  <sheets>
    <sheet name="GPA ПЛ без экипировки ДК" sheetId="6" r:id="rId1"/>
    <sheet name="GPA ПЛ без экипировки" sheetId="12" r:id="rId2"/>
    <sheet name="GPA ПЛ в бинтах ДК" sheetId="10" r:id="rId3"/>
    <sheet name="GPA ПЛ в бинтах" sheetId="8" r:id="rId4"/>
    <sheet name="GPA Двоеборье без экип ДК" sheetId="32" r:id="rId5"/>
    <sheet name="GPA Двоеборье без экип" sheetId="31" r:id="rId6"/>
    <sheet name="GPA Присед без экипировки ДК" sheetId="28" r:id="rId7"/>
    <sheet name="GPA Присед в бинтах ДК" sheetId="30" r:id="rId8"/>
    <sheet name="GPA Жим без экипировки ДК" sheetId="15" r:id="rId9"/>
    <sheet name="GPA Жим без экипировки" sheetId="13" r:id="rId10"/>
    <sheet name="IPO Жим однослой ДК" sheetId="17" r:id="rId11"/>
    <sheet name="СПР Жим софт многопетельная" sheetId="55" r:id="rId12"/>
    <sheet name="GPA Тяга без экипировки ДК" sheetId="20" r:id="rId13"/>
    <sheet name="GPA Тяга без экипировки" sheetId="19" r:id="rId14"/>
    <sheet name="IPO Тяга в экипировке" sheetId="2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55" l="1"/>
  <c r="K6" i="55"/>
  <c r="P19" i="32"/>
  <c r="O19" i="32"/>
  <c r="P16" i="32"/>
  <c r="O16" i="32"/>
  <c r="P15" i="32"/>
  <c r="O15" i="32"/>
  <c r="P12" i="32"/>
  <c r="O12" i="32"/>
  <c r="P9" i="32"/>
  <c r="O9" i="32"/>
  <c r="P6" i="32"/>
  <c r="O6" i="32"/>
  <c r="P12" i="31"/>
  <c r="O12" i="31"/>
  <c r="P9" i="31"/>
  <c r="O9" i="31"/>
  <c r="P6" i="31"/>
  <c r="O6" i="31"/>
  <c r="L6" i="30"/>
  <c r="L6" i="28"/>
  <c r="K6" i="28"/>
  <c r="L6" i="21"/>
  <c r="K6" i="21"/>
  <c r="L57" i="20"/>
  <c r="K57" i="20"/>
  <c r="L54" i="20"/>
  <c r="K54" i="20"/>
  <c r="L53" i="20"/>
  <c r="K53" i="20"/>
  <c r="L52" i="20"/>
  <c r="K52" i="20"/>
  <c r="L51" i="20"/>
  <c r="K51" i="20"/>
  <c r="L48" i="20"/>
  <c r="K48" i="20"/>
  <c r="L47" i="20"/>
  <c r="K47" i="20"/>
  <c r="L46" i="20"/>
  <c r="K46" i="20"/>
  <c r="L45" i="20"/>
  <c r="K45" i="20"/>
  <c r="L44" i="20"/>
  <c r="K44" i="20"/>
  <c r="L43" i="20"/>
  <c r="K43" i="20"/>
  <c r="L40" i="20"/>
  <c r="K40" i="20"/>
  <c r="L39" i="20"/>
  <c r="K39" i="20"/>
  <c r="L38" i="20"/>
  <c r="K38" i="20"/>
  <c r="L35" i="20"/>
  <c r="K35" i="20"/>
  <c r="L32" i="20"/>
  <c r="K32" i="20"/>
  <c r="L31" i="20"/>
  <c r="K31" i="20"/>
  <c r="L28" i="20"/>
  <c r="K28" i="20"/>
  <c r="L25" i="20"/>
  <c r="K25" i="20"/>
  <c r="L22" i="20"/>
  <c r="K22" i="20"/>
  <c r="L21" i="20"/>
  <c r="K21" i="20"/>
  <c r="L20" i="20"/>
  <c r="K20" i="20"/>
  <c r="L17" i="20"/>
  <c r="K17" i="20"/>
  <c r="L14" i="20"/>
  <c r="K14" i="20"/>
  <c r="L13" i="20"/>
  <c r="K13" i="20"/>
  <c r="L10" i="20"/>
  <c r="K10" i="20"/>
  <c r="L9" i="20"/>
  <c r="K9" i="20"/>
  <c r="L6" i="20"/>
  <c r="K6" i="20"/>
  <c r="L30" i="19"/>
  <c r="K30" i="19"/>
  <c r="L29" i="19"/>
  <c r="K29" i="19"/>
  <c r="L28" i="19"/>
  <c r="K28" i="19"/>
  <c r="L27" i="19"/>
  <c r="K27" i="19"/>
  <c r="L24" i="19"/>
  <c r="K24" i="19"/>
  <c r="L23" i="19"/>
  <c r="K23" i="19"/>
  <c r="L22" i="19"/>
  <c r="K22" i="19"/>
  <c r="L19" i="19"/>
  <c r="K19" i="19"/>
  <c r="L16" i="19"/>
  <c r="K16" i="19"/>
  <c r="L13" i="19"/>
  <c r="K13" i="19"/>
  <c r="L12" i="19"/>
  <c r="K12" i="19"/>
  <c r="L9" i="19"/>
  <c r="K9" i="19"/>
  <c r="L6" i="19"/>
  <c r="K6" i="19"/>
  <c r="L6" i="17"/>
  <c r="L53" i="15"/>
  <c r="K53" i="15"/>
  <c r="L52" i="15"/>
  <c r="K52" i="15"/>
  <c r="L49" i="15"/>
  <c r="K49" i="15"/>
  <c r="L48" i="15"/>
  <c r="K48" i="15"/>
  <c r="L45" i="15"/>
  <c r="K45" i="15"/>
  <c r="L44" i="15"/>
  <c r="K44" i="15"/>
  <c r="L43" i="15"/>
  <c r="K43" i="15"/>
  <c r="L40" i="15"/>
  <c r="K40" i="15"/>
  <c r="L39" i="15"/>
  <c r="K39" i="15"/>
  <c r="L38" i="15"/>
  <c r="K38" i="15"/>
  <c r="L37" i="15"/>
  <c r="K37" i="15"/>
  <c r="L36" i="15"/>
  <c r="K36" i="15"/>
  <c r="L33" i="15"/>
  <c r="L32" i="15"/>
  <c r="K32" i="15"/>
  <c r="L31" i="15"/>
  <c r="K31" i="15"/>
  <c r="L28" i="15"/>
  <c r="K28" i="15"/>
  <c r="L27" i="15"/>
  <c r="K27" i="15"/>
  <c r="L26" i="15"/>
  <c r="K26" i="15"/>
  <c r="L25" i="15"/>
  <c r="K25" i="15"/>
  <c r="L22" i="15"/>
  <c r="K22" i="15"/>
  <c r="L19" i="15"/>
  <c r="K19" i="15"/>
  <c r="L16" i="15"/>
  <c r="K16" i="15"/>
  <c r="L13" i="15"/>
  <c r="K13" i="15"/>
  <c r="L10" i="15"/>
  <c r="K10" i="15"/>
  <c r="L9" i="15"/>
  <c r="K9" i="15"/>
  <c r="L6" i="15"/>
  <c r="K6" i="15"/>
  <c r="L18" i="13"/>
  <c r="K18" i="13"/>
  <c r="L15" i="13"/>
  <c r="K15" i="13"/>
  <c r="L14" i="13"/>
  <c r="K14" i="13"/>
  <c r="L11" i="13"/>
  <c r="K11" i="13"/>
  <c r="L10" i="13"/>
  <c r="K10" i="13"/>
  <c r="L9" i="13"/>
  <c r="K9" i="13"/>
  <c r="L6" i="13"/>
  <c r="K6" i="13"/>
  <c r="T14" i="12"/>
  <c r="S14" i="12"/>
  <c r="T11" i="12"/>
  <c r="S11" i="12"/>
  <c r="T10" i="12"/>
  <c r="S10" i="12"/>
  <c r="T7" i="12"/>
  <c r="S7" i="12"/>
  <c r="T6" i="12"/>
  <c r="S6" i="12"/>
  <c r="T20" i="10"/>
  <c r="S20" i="10"/>
  <c r="T19" i="10"/>
  <c r="S19" i="10"/>
  <c r="T16" i="10"/>
  <c r="S16" i="10"/>
  <c r="T15" i="10"/>
  <c r="S15" i="10"/>
  <c r="T12" i="10"/>
  <c r="S12" i="10"/>
  <c r="T9" i="10"/>
  <c r="S9" i="10"/>
  <c r="T6" i="10"/>
  <c r="S6" i="10"/>
  <c r="T24" i="8"/>
  <c r="S24" i="8"/>
  <c r="T23" i="8"/>
  <c r="S23" i="8"/>
  <c r="T20" i="8"/>
  <c r="S20" i="8"/>
  <c r="T19" i="8"/>
  <c r="S19" i="8"/>
  <c r="T18" i="8"/>
  <c r="S18" i="8"/>
  <c r="T15" i="8"/>
  <c r="S15" i="8"/>
  <c r="T14" i="8"/>
  <c r="S14" i="8"/>
  <c r="T13" i="8"/>
  <c r="S13" i="8"/>
  <c r="T12" i="8"/>
  <c r="S12" i="8"/>
  <c r="T9" i="8"/>
  <c r="S9" i="8"/>
  <c r="T6" i="8"/>
  <c r="S6" i="8"/>
  <c r="T42" i="6"/>
  <c r="S42" i="6"/>
  <c r="T41" i="6"/>
  <c r="S41" i="6"/>
  <c r="T38" i="6"/>
  <c r="S38" i="6"/>
  <c r="T37" i="6"/>
  <c r="T36" i="6"/>
  <c r="S36" i="6"/>
  <c r="T35" i="6"/>
  <c r="S35" i="6"/>
  <c r="T32" i="6"/>
  <c r="S32" i="6"/>
  <c r="T31" i="6"/>
  <c r="S31" i="6"/>
  <c r="T28" i="6"/>
  <c r="S28" i="6"/>
  <c r="T25" i="6"/>
  <c r="S25" i="6"/>
  <c r="T22" i="6"/>
  <c r="S22" i="6"/>
  <c r="T21" i="6"/>
  <c r="S21" i="6"/>
  <c r="T20" i="6"/>
  <c r="S20" i="6"/>
  <c r="T17" i="6"/>
  <c r="S17" i="6"/>
  <c r="T14" i="6"/>
  <c r="S14" i="6"/>
  <c r="T11" i="6"/>
  <c r="S11" i="6"/>
  <c r="T10" i="6"/>
  <c r="S10" i="6"/>
  <c r="T9" i="6"/>
  <c r="S9" i="6"/>
  <c r="T6" i="6"/>
  <c r="S6" i="6"/>
</calcChain>
</file>

<file path=xl/sharedStrings.xml><?xml version="1.0" encoding="utf-8"?>
<sst xmlns="http://schemas.openxmlformats.org/spreadsheetml/2006/main" count="1845" uniqueCount="556">
  <si>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</si>
  <si>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</si>
  <si>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</si>
  <si>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</si>
  <si>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</si>
  <si>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</si>
  <si>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</si>
  <si>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</si>
  <si>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</si>
  <si>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</si>
  <si>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</si>
  <si>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56</t>
  </si>
  <si>
    <t>Открытая (23.10.1987)/35</t>
  </si>
  <si>
    <t>55,00</t>
  </si>
  <si>
    <t>75,0</t>
  </si>
  <si>
    <t>80,0</t>
  </si>
  <si>
    <t>90,0</t>
  </si>
  <si>
    <t>30,0</t>
  </si>
  <si>
    <t>35,0</t>
  </si>
  <si>
    <t>37,5</t>
  </si>
  <si>
    <t>100,0</t>
  </si>
  <si>
    <t>ВЕСОВАЯ КАТЕГОРИЯ   60</t>
  </si>
  <si>
    <t xml:space="preserve">Миниахметова Карина </t>
  </si>
  <si>
    <t>Открытая (30.09.2001)/21</t>
  </si>
  <si>
    <t>59,00</t>
  </si>
  <si>
    <t>60,0</t>
  </si>
  <si>
    <t>62,5</t>
  </si>
  <si>
    <t>65,0</t>
  </si>
  <si>
    <t>140,0</t>
  </si>
  <si>
    <t>150,0</t>
  </si>
  <si>
    <t xml:space="preserve">Костина Александра </t>
  </si>
  <si>
    <t>Открытая (28.10.1989)/33</t>
  </si>
  <si>
    <t>58,20</t>
  </si>
  <si>
    <t>95,0</t>
  </si>
  <si>
    <t>52,5</t>
  </si>
  <si>
    <t>55,0</t>
  </si>
  <si>
    <t>57,5</t>
  </si>
  <si>
    <t>127,5</t>
  </si>
  <si>
    <t>132,5</t>
  </si>
  <si>
    <t>135,0</t>
  </si>
  <si>
    <t>Открытая (24.01.1997)/26</t>
  </si>
  <si>
    <t>59,10</t>
  </si>
  <si>
    <t>97,5</t>
  </si>
  <si>
    <t>102,5</t>
  </si>
  <si>
    <t>ВЕСОВАЯ КАТЕГОРИЯ   67.5</t>
  </si>
  <si>
    <t>66,10</t>
  </si>
  <si>
    <t xml:space="preserve">Астрахань/Астраханская область </t>
  </si>
  <si>
    <t>105,0</t>
  </si>
  <si>
    <t>107,5</t>
  </si>
  <si>
    <t>50,0</t>
  </si>
  <si>
    <t>110,0</t>
  </si>
  <si>
    <t>122,5</t>
  </si>
  <si>
    <t>ВЕСОВАЯ КАТЕГОРИЯ   82.5</t>
  </si>
  <si>
    <t>Открытая (14.06.1986)/36</t>
  </si>
  <si>
    <t>80,90</t>
  </si>
  <si>
    <t>70,0</t>
  </si>
  <si>
    <t>115,0</t>
  </si>
  <si>
    <t>120,0</t>
  </si>
  <si>
    <t>59,50</t>
  </si>
  <si>
    <t>67,5</t>
  </si>
  <si>
    <t>58,90</t>
  </si>
  <si>
    <t xml:space="preserve">Волжский/Волгоградская область </t>
  </si>
  <si>
    <t>77,5</t>
  </si>
  <si>
    <t>125,0</t>
  </si>
  <si>
    <t>Открытая (26.06.1987)/35</t>
  </si>
  <si>
    <t>58,80</t>
  </si>
  <si>
    <t>162,5</t>
  </si>
  <si>
    <t>200,0</t>
  </si>
  <si>
    <t>210,0</t>
  </si>
  <si>
    <t xml:space="preserve">Кудряшов Дмитрий </t>
  </si>
  <si>
    <t xml:space="preserve">Седов Даниил </t>
  </si>
  <si>
    <t>65,90</t>
  </si>
  <si>
    <t xml:space="preserve">Волгоград/Волгоградская область </t>
  </si>
  <si>
    <t>130,0</t>
  </si>
  <si>
    <t>160,0</t>
  </si>
  <si>
    <t>170,0</t>
  </si>
  <si>
    <t>175,0</t>
  </si>
  <si>
    <t>76,20</t>
  </si>
  <si>
    <t xml:space="preserve">Харабали/Астраханская область </t>
  </si>
  <si>
    <t>85,0</t>
  </si>
  <si>
    <t>145,0</t>
  </si>
  <si>
    <t>155,0</t>
  </si>
  <si>
    <t>ВЕСОВАЯ КАТЕГОРИЯ   90</t>
  </si>
  <si>
    <t>88,20</t>
  </si>
  <si>
    <t>Открытая (26.03.2000)/23</t>
  </si>
  <si>
    <t>89,20</t>
  </si>
  <si>
    <t>230,0</t>
  </si>
  <si>
    <t>245,0</t>
  </si>
  <si>
    <t>ВЕСОВАЯ КАТЕГОРИЯ   100</t>
  </si>
  <si>
    <t>Открытая (09.08.2003)/19</t>
  </si>
  <si>
    <t>98,00</t>
  </si>
  <si>
    <t>190,0</t>
  </si>
  <si>
    <t>205,0</t>
  </si>
  <si>
    <t>212,5</t>
  </si>
  <si>
    <t>Открытая (10.03.1985)/38</t>
  </si>
  <si>
    <t>182,5</t>
  </si>
  <si>
    <t>195,0</t>
  </si>
  <si>
    <t>192,5</t>
  </si>
  <si>
    <t>Открытая (22.09.1987)/35</t>
  </si>
  <si>
    <t>99,00</t>
  </si>
  <si>
    <t>220,0</t>
  </si>
  <si>
    <t>97,40</t>
  </si>
  <si>
    <t>137,5</t>
  </si>
  <si>
    <t>250,0</t>
  </si>
  <si>
    <t>260,0</t>
  </si>
  <si>
    <t>ВЕСОВАЯ КАТЕГОРИЯ   110</t>
  </si>
  <si>
    <t>108,20</t>
  </si>
  <si>
    <t>180,0</t>
  </si>
  <si>
    <t>Открытая (24.08.1991)/31</t>
  </si>
  <si>
    <t>105,50</t>
  </si>
  <si>
    <t>142,5</t>
  </si>
  <si>
    <t>240,0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</si>
  <si>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</si>
  <si>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</si>
  <si>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</si>
  <si>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</si>
  <si>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</si>
  <si>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Reshel </t>
  </si>
  <si>
    <t>60</t>
  </si>
  <si>
    <t>67.5</t>
  </si>
  <si>
    <t xml:space="preserve">Мужчины </t>
  </si>
  <si>
    <t xml:space="preserve">Юноши </t>
  </si>
  <si>
    <t>110</t>
  </si>
  <si>
    <t>90</t>
  </si>
  <si>
    <t>100</t>
  </si>
  <si>
    <t>1</t>
  </si>
  <si>
    <t>Ульянова Анна</t>
  </si>
  <si>
    <t>Миниахметова Карина</t>
  </si>
  <si>
    <t>2</t>
  </si>
  <si>
    <t>Костина Александра</t>
  </si>
  <si>
    <t>3</t>
  </si>
  <si>
    <t>Четверикова Маргарита</t>
  </si>
  <si>
    <t>Степкина Белла</t>
  </si>
  <si>
    <t>Ширяева Анна</t>
  </si>
  <si>
    <t>Богатырев Родион</t>
  </si>
  <si>
    <t>Тельнов Виктор</t>
  </si>
  <si>
    <t>Джумахметов Азамат</t>
  </si>
  <si>
    <t>Седов Даниил</t>
  </si>
  <si>
    <t>Беляев Тимофей</t>
  </si>
  <si>
    <t>Филимонов Илья</t>
  </si>
  <si>
    <t>Магомедов Заур</t>
  </si>
  <si>
    <t>Амерханов Олег</t>
  </si>
  <si>
    <t>Васенко Сергей</t>
  </si>
  <si>
    <t>-</t>
  </si>
  <si>
    <t>Бондаренко Никита</t>
  </si>
  <si>
    <t>Литвинов Александр</t>
  </si>
  <si>
    <t>Ажмамбетов Амаль</t>
  </si>
  <si>
    <t>Александров Сергей</t>
  </si>
  <si>
    <t>Открытая (08.02.1991)/32</t>
  </si>
  <si>
    <t>81,90</t>
  </si>
  <si>
    <t>227,5</t>
  </si>
  <si>
    <t>112,5</t>
  </si>
  <si>
    <t>222,5</t>
  </si>
  <si>
    <t>Открытая (25.10.1995)/27</t>
  </si>
  <si>
    <t>78,70</t>
  </si>
  <si>
    <t>Открытая (20.06.1987)/35</t>
  </si>
  <si>
    <t>88,70</t>
  </si>
  <si>
    <t>225,0</t>
  </si>
  <si>
    <t>Открытая (05.04.1992)/31</t>
  </si>
  <si>
    <t>Открытая (10.12.1992)/30</t>
  </si>
  <si>
    <t>83,60</t>
  </si>
  <si>
    <t>Открытая (31.08.1988)/34</t>
  </si>
  <si>
    <t>87,20</t>
  </si>
  <si>
    <t xml:space="preserve">Михайловка/Волгоградская облас </t>
  </si>
  <si>
    <t>157,5</t>
  </si>
  <si>
    <t>165,0</t>
  </si>
  <si>
    <t>185,0</t>
  </si>
  <si>
    <t xml:space="preserve">Чередниченко Александр </t>
  </si>
  <si>
    <t>Открытая (04.02.1991)/32</t>
  </si>
  <si>
    <t>91,50</t>
  </si>
  <si>
    <t xml:space="preserve">Михайловка/Волгоградская область </t>
  </si>
  <si>
    <t>255,0</t>
  </si>
  <si>
    <t>167,5</t>
  </si>
  <si>
    <t>177,5</t>
  </si>
  <si>
    <t>280,0</t>
  </si>
  <si>
    <t>302,5</t>
  </si>
  <si>
    <t>320,0</t>
  </si>
  <si>
    <t xml:space="preserve">Семенов Владислав </t>
  </si>
  <si>
    <t>Открытая (29.06.1997)/25</t>
  </si>
  <si>
    <t>99,30</t>
  </si>
  <si>
    <t>265,0</t>
  </si>
  <si>
    <t>275,0</t>
  </si>
  <si>
    <t>295,0</t>
  </si>
  <si>
    <t>Открытая (29.05.1990)/33</t>
  </si>
  <si>
    <t>98,10</t>
  </si>
  <si>
    <t>215,0</t>
  </si>
  <si>
    <t>235,0</t>
  </si>
  <si>
    <t xml:space="preserve">Воробьев Игорь </t>
  </si>
  <si>
    <t>Открытая (18.06.1994)/28</t>
  </si>
  <si>
    <t>100,70</t>
  </si>
  <si>
    <t>300,0</t>
  </si>
  <si>
    <t>340,0</t>
  </si>
  <si>
    <t>Открытая (02.04.1995)/28</t>
  </si>
  <si>
    <t>107,90</t>
  </si>
  <si>
    <t>290,0</t>
  </si>
  <si>
    <t>82.5</t>
  </si>
  <si>
    <t>Печерская Елена</t>
  </si>
  <si>
    <t>Пахомов Тимур</t>
  </si>
  <si>
    <t>Садчиков Александр</t>
  </si>
  <si>
    <t>Маслов Дмитрий</t>
  </si>
  <si>
    <t>Хомутецкий Эдуард</t>
  </si>
  <si>
    <t>4</t>
  </si>
  <si>
    <t>Величко Андрей</t>
  </si>
  <si>
    <t>Чередниченко Александр</t>
  </si>
  <si>
    <t>Семенов Владислав</t>
  </si>
  <si>
    <t>Чараев Муса</t>
  </si>
  <si>
    <t>Воробьев Игорь</t>
  </si>
  <si>
    <t>Туманов Андрей</t>
  </si>
  <si>
    <t>Открытая (11.06.1990)/32</t>
  </si>
  <si>
    <t>79,30</t>
  </si>
  <si>
    <t>42,5</t>
  </si>
  <si>
    <t>47,5</t>
  </si>
  <si>
    <t>ВЕСОВАЯ КАТЕГОРИЯ   75</t>
  </si>
  <si>
    <t>Открытая (24.11.1996)/26</t>
  </si>
  <si>
    <t>74,20</t>
  </si>
  <si>
    <t xml:space="preserve">Нефтекумск/Ставропольский край </t>
  </si>
  <si>
    <t>147,5</t>
  </si>
  <si>
    <t>Открытая (10.10.1992)/30</t>
  </si>
  <si>
    <t>77,60</t>
  </si>
  <si>
    <t xml:space="preserve">Алиев Исамудин </t>
  </si>
  <si>
    <t>Открытая (14.12.1990)/32</t>
  </si>
  <si>
    <t>88,80</t>
  </si>
  <si>
    <t>Открытая (19.03.1989)/34</t>
  </si>
  <si>
    <t>87,40</t>
  </si>
  <si>
    <t>Открытая (25.06.1989)/33</t>
  </si>
  <si>
    <t>98,90</t>
  </si>
  <si>
    <t>270,0</t>
  </si>
  <si>
    <t>Открытая (09.07.1988)/34</t>
  </si>
  <si>
    <t>97,10</t>
  </si>
  <si>
    <t>Дмитриева Оксана</t>
  </si>
  <si>
    <t>Карташов Алексей</t>
  </si>
  <si>
    <t>Кибичов Масхуд</t>
  </si>
  <si>
    <t>Татаев Ислам</t>
  </si>
  <si>
    <t>Илисов Магомед</t>
  </si>
  <si>
    <t>Матрашов Сулима</t>
  </si>
  <si>
    <t>Арсаев Муслим</t>
  </si>
  <si>
    <t>66,00</t>
  </si>
  <si>
    <t>65,20</t>
  </si>
  <si>
    <t>81,30</t>
  </si>
  <si>
    <t>82,20</t>
  </si>
  <si>
    <t>Открытая (08.12.1989)/33</t>
  </si>
  <si>
    <t>85,80</t>
  </si>
  <si>
    <t>Евдокимов Олег</t>
  </si>
  <si>
    <t>Щербатых Максим</t>
  </si>
  <si>
    <t>Кузнецов Ярослав</t>
  </si>
  <si>
    <t>Жабунин Станислав</t>
  </si>
  <si>
    <t>Конивец Иван</t>
  </si>
  <si>
    <t>80,95</t>
  </si>
  <si>
    <t>85,50</t>
  </si>
  <si>
    <t>84,60</t>
  </si>
  <si>
    <t>Открытая (20.01.1992)/31</t>
  </si>
  <si>
    <t>83,75</t>
  </si>
  <si>
    <t xml:space="preserve">Дубовка/Волгоградская область </t>
  </si>
  <si>
    <t>Открытая (05.03.1997)/26</t>
  </si>
  <si>
    <t>102,40</t>
  </si>
  <si>
    <t>100,10</t>
  </si>
  <si>
    <t>ВЕСОВАЯ КАТЕГОРИЯ   125</t>
  </si>
  <si>
    <t>121,00</t>
  </si>
  <si>
    <t>202,5</t>
  </si>
  <si>
    <t xml:space="preserve">Результат </t>
  </si>
  <si>
    <t>125</t>
  </si>
  <si>
    <t>Результат</t>
  </si>
  <si>
    <t>Воробьев Сергей</t>
  </si>
  <si>
    <t>Бикмурзаев Ильяс</t>
  </si>
  <si>
    <t>Сайко Павел</t>
  </si>
  <si>
    <t>Степанов Евгений</t>
  </si>
  <si>
    <t>Добровольский Александр</t>
  </si>
  <si>
    <t>Тароватов Василий</t>
  </si>
  <si>
    <t>Хмелев Александр</t>
  </si>
  <si>
    <t>ВЕСОВАЯ КАТЕГОРИЯ   48</t>
  </si>
  <si>
    <t>Открытая (15.06.1990)/32</t>
  </si>
  <si>
    <t>47,10</t>
  </si>
  <si>
    <t>45,0</t>
  </si>
  <si>
    <t>ВЕСОВАЯ КАТЕГОРИЯ   52</t>
  </si>
  <si>
    <t>51,90</t>
  </si>
  <si>
    <t>40,0</t>
  </si>
  <si>
    <t>Открытая (04.05.1987)/36</t>
  </si>
  <si>
    <t>50,00</t>
  </si>
  <si>
    <t xml:space="preserve">Камышин/Волгоградская область </t>
  </si>
  <si>
    <t>Открытая (21.10.1997)/25</t>
  </si>
  <si>
    <t>54,70</t>
  </si>
  <si>
    <t>59,60</t>
  </si>
  <si>
    <t xml:space="preserve">Байрамова Эльмира </t>
  </si>
  <si>
    <t>Открытая (02.06.1993)/30</t>
  </si>
  <si>
    <t>73,90</t>
  </si>
  <si>
    <t>72,5</t>
  </si>
  <si>
    <t>54,40</t>
  </si>
  <si>
    <t>64,60</t>
  </si>
  <si>
    <t xml:space="preserve">Дрыгин Евгений </t>
  </si>
  <si>
    <t>Открытая (24.07.1987)/35</t>
  </si>
  <si>
    <t>Открытая (14.02.1998)/25</t>
  </si>
  <si>
    <t>66,40</t>
  </si>
  <si>
    <t>67,30</t>
  </si>
  <si>
    <t>Открытая (21.01.1992)/31</t>
  </si>
  <si>
    <t>74,40</t>
  </si>
  <si>
    <t>117,5</t>
  </si>
  <si>
    <t xml:space="preserve">Стешина Елена </t>
  </si>
  <si>
    <t>Открытая (19.02.1994)/29</t>
  </si>
  <si>
    <t>74,50</t>
  </si>
  <si>
    <t>Открытая (16.02.1996)/27</t>
  </si>
  <si>
    <t>73,60</t>
  </si>
  <si>
    <t>80,50</t>
  </si>
  <si>
    <t xml:space="preserve">Селеменев Александр </t>
  </si>
  <si>
    <t>Открытая (18.09.1988)/34</t>
  </si>
  <si>
    <t>81,40</t>
  </si>
  <si>
    <t>Открытая (08.11.1987)/35</t>
  </si>
  <si>
    <t>79,60</t>
  </si>
  <si>
    <t>76,00</t>
  </si>
  <si>
    <t>Открытая (19.07.1983)/39</t>
  </si>
  <si>
    <t>86,40</t>
  </si>
  <si>
    <t>87,80</t>
  </si>
  <si>
    <t>Открытая (30.03.1992)/31</t>
  </si>
  <si>
    <t>95,20</t>
  </si>
  <si>
    <t>99,60</t>
  </si>
  <si>
    <t xml:space="preserve">Кувакин Владимир </t>
  </si>
  <si>
    <t>Открытая (21.01.1987)/36</t>
  </si>
  <si>
    <t>115,90</t>
  </si>
  <si>
    <t>Открытая (28.02.1986)/37</t>
  </si>
  <si>
    <t>113,30</t>
  </si>
  <si>
    <t>172,5</t>
  </si>
  <si>
    <t>75</t>
  </si>
  <si>
    <t>Акопян Лусине</t>
  </si>
  <si>
    <t>Селиванова Светлана</t>
  </si>
  <si>
    <t>Макарова Людмила</t>
  </si>
  <si>
    <t>Скибо Лариса</t>
  </si>
  <si>
    <t>Федорова Алина</t>
  </si>
  <si>
    <t>Байрамова Эльмира</t>
  </si>
  <si>
    <t>Бунин Илья</t>
  </si>
  <si>
    <t>Саркисов Артем</t>
  </si>
  <si>
    <t>Дрыгин Евгений</t>
  </si>
  <si>
    <t>Khujamurotov Shokhrukh</t>
  </si>
  <si>
    <t>Айвазян Размик</t>
  </si>
  <si>
    <t>Маркосян Мелик</t>
  </si>
  <si>
    <t>Костелов Иван</t>
  </si>
  <si>
    <t>Назаренко Анатолий</t>
  </si>
  <si>
    <t>Матыгин Даниил</t>
  </si>
  <si>
    <t>Селеменев Александр</t>
  </si>
  <si>
    <t>Сахнов Антон</t>
  </si>
  <si>
    <t>Двизов Юрий</t>
  </si>
  <si>
    <t>Макарычев Павел</t>
  </si>
  <si>
    <t>Ахмедов Асаф</t>
  </si>
  <si>
    <t>Масягутов Дамир</t>
  </si>
  <si>
    <t>Нестеров Никита</t>
  </si>
  <si>
    <t>Кувакин Владимир</t>
  </si>
  <si>
    <t>Овчинников Алексей</t>
  </si>
  <si>
    <t>86,90</t>
  </si>
  <si>
    <t>Лопырев Владимир</t>
  </si>
  <si>
    <t>54,00</t>
  </si>
  <si>
    <t>Открытая (05.10.1983)/39</t>
  </si>
  <si>
    <t>71,70</t>
  </si>
  <si>
    <t xml:space="preserve">Козырев Олег </t>
  </si>
  <si>
    <t>64,90</t>
  </si>
  <si>
    <t>Открытая (05.12.1983)/39</t>
  </si>
  <si>
    <t>66,30</t>
  </si>
  <si>
    <t xml:space="preserve">Филимонов Олег </t>
  </si>
  <si>
    <t>74,00</t>
  </si>
  <si>
    <t>237,5</t>
  </si>
  <si>
    <t>Открытая (20.11.1980)/42</t>
  </si>
  <si>
    <t>89,70</t>
  </si>
  <si>
    <t xml:space="preserve">Махачкала/Дагестан республика </t>
  </si>
  <si>
    <t>Открытая (28.06.1994)/28</t>
  </si>
  <si>
    <t>97,60</t>
  </si>
  <si>
    <t>Открытая (05.12.1994)/28</t>
  </si>
  <si>
    <t>93,25</t>
  </si>
  <si>
    <t>92,90</t>
  </si>
  <si>
    <t>102,80</t>
  </si>
  <si>
    <t>Открытая (16.12.1988)/34</t>
  </si>
  <si>
    <t>108,80</t>
  </si>
  <si>
    <t>102,10</t>
  </si>
  <si>
    <t>Грудинина Елена</t>
  </si>
  <si>
    <t>Малиновская Виктория</t>
  </si>
  <si>
    <t>Фомиченко Александр</t>
  </si>
  <si>
    <t>Алекберов Орхан</t>
  </si>
  <si>
    <t>Никитин Сергей</t>
  </si>
  <si>
    <t>Магомедов Руслан</t>
  </si>
  <si>
    <t>Костин Григорий</t>
  </si>
  <si>
    <t>Стамбулов Къанбулат</t>
  </si>
  <si>
    <t>Карпов Евгений</t>
  </si>
  <si>
    <t>Дубков Андрей</t>
  </si>
  <si>
    <t>Буйлов Александр</t>
  </si>
  <si>
    <t>Киселев Алексей</t>
  </si>
  <si>
    <t>Открытая (24.07.1992)/30</t>
  </si>
  <si>
    <t>50,50</t>
  </si>
  <si>
    <t>54,90</t>
  </si>
  <si>
    <t>Открытая (06.06.1966)/56</t>
  </si>
  <si>
    <t>70,80</t>
  </si>
  <si>
    <t>Открытая (16.01.1994)/29</t>
  </si>
  <si>
    <t>82,50</t>
  </si>
  <si>
    <t>55,50</t>
  </si>
  <si>
    <t>64,40</t>
  </si>
  <si>
    <t xml:space="preserve">Сулоев Даниил </t>
  </si>
  <si>
    <t>71,90</t>
  </si>
  <si>
    <t xml:space="preserve">Акуев Ефим </t>
  </si>
  <si>
    <t>79,00</t>
  </si>
  <si>
    <t xml:space="preserve">Искаринов Аслан </t>
  </si>
  <si>
    <t>Открытая (05.09.1998)/24</t>
  </si>
  <si>
    <t>80,60</t>
  </si>
  <si>
    <t xml:space="preserve">Золотари/Волгоградская область </t>
  </si>
  <si>
    <t>277,5</t>
  </si>
  <si>
    <t xml:space="preserve">Исаков Тимур </t>
  </si>
  <si>
    <t>Открытая (15.08.1987)/35</t>
  </si>
  <si>
    <t>152,5</t>
  </si>
  <si>
    <t>252,5</t>
  </si>
  <si>
    <t>Открытая (26.01.1987)/36</t>
  </si>
  <si>
    <t>86,80</t>
  </si>
  <si>
    <t>Открытая (28.01.1978)/45</t>
  </si>
  <si>
    <t>187,5</t>
  </si>
  <si>
    <t>Открытая (28.04.1980)/43</t>
  </si>
  <si>
    <t>95,40</t>
  </si>
  <si>
    <t>Открытая (07.03.1997)/26</t>
  </si>
  <si>
    <t>Открытая (14.04.1987)/36</t>
  </si>
  <si>
    <t>95,85</t>
  </si>
  <si>
    <t>242,5</t>
  </si>
  <si>
    <t xml:space="preserve">Козлов Артём </t>
  </si>
  <si>
    <t>Открытая (26.12.1991)/31</t>
  </si>
  <si>
    <t>111,20</t>
  </si>
  <si>
    <t>285,0</t>
  </si>
  <si>
    <t>Артемова Юлия</t>
  </si>
  <si>
    <t>Гливенко Полина</t>
  </si>
  <si>
    <t>Полянинова Бэлла</t>
  </si>
  <si>
    <t>Шишова Екатерина</t>
  </si>
  <si>
    <t>Ширяев Валерий</t>
  </si>
  <si>
    <t>Кудашкин Данила</t>
  </si>
  <si>
    <t>Сулоев Даниил</t>
  </si>
  <si>
    <t>Селиванов Александр</t>
  </si>
  <si>
    <t>Акуев Ефим</t>
  </si>
  <si>
    <t>Искаринов Аслан</t>
  </si>
  <si>
    <t>Федоренко Андрей</t>
  </si>
  <si>
    <t>Исаков Тимур</t>
  </si>
  <si>
    <t>Кадиев Артур</t>
  </si>
  <si>
    <t>Нечистенко Дмитрий</t>
  </si>
  <si>
    <t>Балычев Сергей</t>
  </si>
  <si>
    <t>Киселев Дмитрий</t>
  </si>
  <si>
    <t>Амчеславский Сергей</t>
  </si>
  <si>
    <t>Козлов Артём</t>
  </si>
  <si>
    <t>Волколупова Варвара</t>
  </si>
  <si>
    <t>96,70</t>
  </si>
  <si>
    <t>Самойлов Сергей</t>
  </si>
  <si>
    <t>Открытая (02.01.1991)/32</t>
  </si>
  <si>
    <t>42,40</t>
  </si>
  <si>
    <t>Открытая (16.05.1992)/31</t>
  </si>
  <si>
    <t>94,60</t>
  </si>
  <si>
    <t>101,40</t>
  </si>
  <si>
    <t>Ибрагимова Эльвира</t>
  </si>
  <si>
    <t>Узун Ярослав</t>
  </si>
  <si>
    <t>Смирнов Денис</t>
  </si>
  <si>
    <t>Акимов Юрий</t>
  </si>
  <si>
    <t>ВЕСОВАЯ КАТЕГОРИЯ   140+</t>
  </si>
  <si>
    <t>Открытая (28.01.1985)/38</t>
  </si>
  <si>
    <t>142,50</t>
  </si>
  <si>
    <t>400,0</t>
  </si>
  <si>
    <t>430,0</t>
  </si>
  <si>
    <t>Кусакин Михаил</t>
  </si>
  <si>
    <t>Козырев Олег</t>
  </si>
  <si>
    <t xml:space="preserve">Леонов Антон </t>
  </si>
  <si>
    <t xml:space="preserve">Киселёв Алексей </t>
  </si>
  <si>
    <t>Амазян Давид</t>
  </si>
  <si>
    <t>Киселёв Алексей</t>
  </si>
  <si>
    <t>Лопырев Виктор</t>
  </si>
  <si>
    <t>Шподарев Василий</t>
  </si>
  <si>
    <t xml:space="preserve"> Самостоятельно</t>
  </si>
  <si>
    <t>Самостоятельно</t>
  </si>
  <si>
    <t>Кумскова Инна</t>
  </si>
  <si>
    <t>Бебенин Григорий</t>
  </si>
  <si>
    <t>Открытый Чемпионат Евразии
GPA Пауэрлифтинг без экипировки ДК
Волгоград/Волгоградская область, 03-04 июня 2023 года</t>
  </si>
  <si>
    <t>Открытый Чемпионат Евразии
GPA Пауэрлифтинг без экипировки
Волгоград/Волгоградская область, 03-04 июня 2023 года</t>
  </si>
  <si>
    <t>Открытый Чемпионат Евразии
GPA Пауэрлифтинг в бинтах ДК
Волгоград/Волгоградская область, 03-04 июня 2023 года</t>
  </si>
  <si>
    <t>Открытый Чемпионат Евразии
GPA Пауэрлифтинг в бинтах
Волгоград/Волгоградская область, 03-04 июня 2023 года</t>
  </si>
  <si>
    <t>Открытый Чемпионат Евразии
GPA Силовое двоеборье без экипировки ДК
Волгоград/Волгоградская область, 03-04 июня 2023 года</t>
  </si>
  <si>
    <t>Открытый Чемпионат Евразии
GPA Силовое двоеборье без экипировки
Волгоград/Волгоградская область, 03-04 июня 2023 года</t>
  </si>
  <si>
    <t>Открытый Чемпионат Евразии
GPA Присед без экипировки ДК
Волгоград/Волгоградская область, 03-04 июня 2023 года</t>
  </si>
  <si>
    <t>Открытый Чемпионат Евразии
GPA Присед в бинтах ДК
Волгоград/Волгоградская область, 03-04 июня 2023 года</t>
  </si>
  <si>
    <t>Открытый Чемпионат Евразии
GPA Жим лежа без экипировки ДК
Волгоград/Волгоградская область, 03-04 июня 2023 года</t>
  </si>
  <si>
    <t>Открытый Чемпионат Евразии
GPA Жим лежа без экипировки
Волгоград/Волгоградская область, 03-04 июня 2023 года</t>
  </si>
  <si>
    <t>Открытый Чемпионат Евразии
IPO Жим лежа в однослойной экипировке ДК
Волгоград/Волгоградская область, 03-04 июня 2023 года</t>
  </si>
  <si>
    <t>Открытый Чемпионат Евразии
СПР Жим лежа в многопетельной софт экипировке
Волгоград/Волгоградская область, 03-04 июня 2023 года</t>
  </si>
  <si>
    <t>Открытый Чемпионат Евразии
GPA Становая тяга без экипировки ДК
Волгоград/Волгоградская область, 03-04 июня 2023 года</t>
  </si>
  <si>
    <t>Открытый Чемпионат Евразии
GPA Становая тяга без экипировки
Волгоград/Волгоградская область, 03-04 июня 2023 года</t>
  </si>
  <si>
    <t>Открытый Чемпионат Евразии
IPO Становая тяга в экипировке
Волгоград/Волгоградская область, 03-04 июня 2023 года</t>
  </si>
  <si>
    <t>Мастера 40-44 (22.10.1978)/44</t>
  </si>
  <si>
    <t>Юноши 18-19 (08.08.2003)/19</t>
  </si>
  <si>
    <t>Юноши 18-19 (20.06.2003)/19</t>
  </si>
  <si>
    <t>Юноши 16-17 (23.03.2007)/16</t>
  </si>
  <si>
    <t>Юноши 13-15 (11.07.2007)/15</t>
  </si>
  <si>
    <t>Юноши 18-19 (03.10.2004)/18</t>
  </si>
  <si>
    <t>Мастера 40-44 (05.06.1979)/43</t>
  </si>
  <si>
    <t>Юноши 16-17 (28.09.2006)/16</t>
  </si>
  <si>
    <t>Юноши 18-19 (08.10.2004)/18</t>
  </si>
  <si>
    <t>Юниоры 20-23 (28.04.2003)/20</t>
  </si>
  <si>
    <t>Юноши 16-17 (19.01.2006)/17</t>
  </si>
  <si>
    <t>Юниоры 20-23 (05.10.2000)/22</t>
  </si>
  <si>
    <t>Юноши 13-15 (20.08.2009)/13</t>
  </si>
  <si>
    <t>Мастера 55-59 (06.09.1967)/55</t>
  </si>
  <si>
    <t>Мастера 55-59 (02.12.1966)/56</t>
  </si>
  <si>
    <t>Девушки 16-17 (28.06.2006)/16</t>
  </si>
  <si>
    <t>Девушки 13-15 (28.05.2009)/14</t>
  </si>
  <si>
    <t>Юниорки 20-23 (28.08.2001)/21</t>
  </si>
  <si>
    <t>Юноши 13-15 (11.01.2008)/15</t>
  </si>
  <si>
    <t>Юноши 16-17 (21.08.2006)/16</t>
  </si>
  <si>
    <t>Мастера 65-69 (28.12.1957)/65</t>
  </si>
  <si>
    <t>Юноши 18-19 (07.02.2005)/18</t>
  </si>
  <si>
    <t>Мастера 75-79 (05.02.1947)/76</t>
  </si>
  <si>
    <t>Мастера 55-59 (23.07.1965)/57</t>
  </si>
  <si>
    <t>Мастера 40-44 (29.07.1982)/40</t>
  </si>
  <si>
    <t>Мастера 45-49 (04.01.1975)/48</t>
  </si>
  <si>
    <t>Юноши 18-19 (12.09.2003)/19</t>
  </si>
  <si>
    <t>Мастера 40-44 (16.12.1981)/41</t>
  </si>
  <si>
    <t>Мастера 50-54 (19.09.1971)/51</t>
  </si>
  <si>
    <t>Мастера 50-54 (05.08.1972)/50</t>
  </si>
  <si>
    <t>Девушки 18-19 (29.06.2003)/19</t>
  </si>
  <si>
    <t>Мастера 55-59 (06.06.1966)/56</t>
  </si>
  <si>
    <t>Юноши 13-15 (22.04.2010)/13</t>
  </si>
  <si>
    <t>Юниоры 20-23 (10.01.2003)/20</t>
  </si>
  <si>
    <t>Юноши 18-19 (07.07.2004)/18</t>
  </si>
  <si>
    <t>Юноши 13-15 (14.08.2007)/15</t>
  </si>
  <si>
    <t>Юноши 16-17 (07.12.2005)/17</t>
  </si>
  <si>
    <t>Юноши 18-19 (16.11.2004)/18</t>
  </si>
  <si>
    <t xml:space="preserve">Юноши 18-19 </t>
  </si>
  <si>
    <t xml:space="preserve">Юноши 16-17 </t>
  </si>
  <si>
    <t>Девушки 18-19 (10.05.2004)/19</t>
  </si>
  <si>
    <t>Юноши 16-17 (18.07.2006)/16</t>
  </si>
  <si>
    <t>Мастера 55-59 (28.03.1964)/59</t>
  </si>
  <si>
    <t>Мастера 65-69 (18.07.1956)/66</t>
  </si>
  <si>
    <t>Юноши 13-15 (28.07.2008)/14</t>
  </si>
  <si>
    <t>Мастера 45-49 (27.04.1974)/49</t>
  </si>
  <si>
    <t xml:space="preserve">Дерябин Александр </t>
  </si>
  <si>
    <t>Гудермес/Чеченская Республика</t>
  </si>
  <si>
    <t>Грозный/Чеченская Республика</t>
  </si>
  <si>
    <t xml:space="preserve">Симферополь/Республика Крым </t>
  </si>
  <si>
    <t xml:space="preserve">Махачкала/Республика Дагестан </t>
  </si>
  <si>
    <t>Весовая категория</t>
  </si>
  <si>
    <t xml:space="preserve">Светлый Яр/Волгоградская область </t>
  </si>
  <si>
    <t>Астрахань/Астраханская область</t>
  </si>
  <si>
    <t xml:space="preserve">Палласовка/Волгоградская область </t>
  </si>
  <si>
    <t>Махачкала/Республика Дагестан</t>
  </si>
  <si>
    <t>Палласовка/Волгоградская область</t>
  </si>
  <si>
    <t xml:space="preserve">Свет/Волгоградская область </t>
  </si>
  <si>
    <t xml:space="preserve">Керчь/Республика Крым </t>
  </si>
  <si>
    <t xml:space="preserve">Амазян Давид </t>
  </si>
  <si>
    <t xml:space="preserve">Дзержинск/Нижегородская область </t>
  </si>
  <si>
    <t>Термез/Узбекистан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</si>
  <si>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</si>
  <si>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</si>
  <si>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</si>
  <si>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</si>
  <si>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</si>
  <si>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M1</t>
  </si>
  <si>
    <t>T3</t>
  </si>
  <si>
    <t>T2</t>
  </si>
  <si>
    <t>T1</t>
  </si>
  <si>
    <t>J</t>
  </si>
  <si>
    <t>M4</t>
  </si>
  <si>
    <t>M6</t>
  </si>
  <si>
    <t>M8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</si>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</sst>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218CB25E-267F-43CB-82D5-5F310186C02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F5725-43F2-4227-ABFF-205694AED2F4}">
  <dimension ref="A1:U44"/>
  <sheetViews>
    <sheetView topLeftCell="A22" workbookViewId="0">
      <selection activeCell="E43" sqref="E43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29" bestFit="1" customWidth="1"/>
    <col min="20" max="20" width="8.5" style="7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58" t="s">
        <v>464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0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3"/>
      <c r="U4" s="55"/>
    </row>
    <row r="5" spans="1:21" ht="16">
      <c r="A5" s="56" t="s">
        <v>11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32" t="s">
        <v>125</v>
      </c>
      <c r="B6" s="11" t="s">
        <v>126</v>
      </c>
      <c r="C6" s="11" t="s">
        <v>12</v>
      </c>
      <c r="D6" s="11" t="s">
        <v>13</v>
      </c>
      <c r="E6" s="12" t="s">
        <v>545</v>
      </c>
      <c r="F6" s="11" t="s">
        <v>72</v>
      </c>
      <c r="G6" s="30" t="s">
        <v>14</v>
      </c>
      <c r="H6" s="30" t="s">
        <v>15</v>
      </c>
      <c r="I6" s="31" t="s">
        <v>16</v>
      </c>
      <c r="J6" s="32"/>
      <c r="K6" s="30" t="s">
        <v>17</v>
      </c>
      <c r="L6" s="31" t="s">
        <v>18</v>
      </c>
      <c r="M6" s="30" t="s">
        <v>19</v>
      </c>
      <c r="N6" s="32"/>
      <c r="O6" s="30" t="s">
        <v>15</v>
      </c>
      <c r="P6" s="30" t="s">
        <v>16</v>
      </c>
      <c r="Q6" s="30" t="s">
        <v>20</v>
      </c>
      <c r="R6" s="32"/>
      <c r="S6" s="42" t="str">
        <f>"217,5"</f>
        <v>217,5</v>
      </c>
      <c r="T6" s="13" t="str">
        <f>"422,3850"</f>
        <v>422,3850</v>
      </c>
      <c r="U6" s="11"/>
    </row>
    <row r="8" spans="1:21" ht="16">
      <c r="A8" s="46" t="s">
        <v>21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35" t="s">
        <v>125</v>
      </c>
      <c r="B9" s="15" t="s">
        <v>127</v>
      </c>
      <c r="C9" s="15" t="s">
        <v>23</v>
      </c>
      <c r="D9" s="15" t="s">
        <v>24</v>
      </c>
      <c r="E9" s="16" t="s">
        <v>545</v>
      </c>
      <c r="F9" s="15" t="s">
        <v>72</v>
      </c>
      <c r="G9" s="33" t="s">
        <v>16</v>
      </c>
      <c r="H9" s="34" t="s">
        <v>20</v>
      </c>
      <c r="I9" s="34" t="s">
        <v>20</v>
      </c>
      <c r="J9" s="35"/>
      <c r="K9" s="33" t="s">
        <v>25</v>
      </c>
      <c r="L9" s="33" t="s">
        <v>26</v>
      </c>
      <c r="M9" s="34" t="s">
        <v>27</v>
      </c>
      <c r="N9" s="35"/>
      <c r="O9" s="34" t="s">
        <v>28</v>
      </c>
      <c r="P9" s="33" t="s">
        <v>28</v>
      </c>
      <c r="Q9" s="33" t="s">
        <v>29</v>
      </c>
      <c r="R9" s="35"/>
      <c r="S9" s="43" t="str">
        <f>"302,5"</f>
        <v>302,5</v>
      </c>
      <c r="T9" s="17" t="str">
        <f>"546,9200"</f>
        <v>546,9200</v>
      </c>
      <c r="U9" s="15" t="s">
        <v>456</v>
      </c>
    </row>
    <row r="10" spans="1:21">
      <c r="A10" s="38" t="s">
        <v>128</v>
      </c>
      <c r="B10" s="18" t="s">
        <v>129</v>
      </c>
      <c r="C10" s="18" t="s">
        <v>31</v>
      </c>
      <c r="D10" s="18" t="s">
        <v>32</v>
      </c>
      <c r="E10" s="19" t="s">
        <v>545</v>
      </c>
      <c r="F10" s="18" t="s">
        <v>72</v>
      </c>
      <c r="G10" s="36" t="s">
        <v>16</v>
      </c>
      <c r="H10" s="37" t="s">
        <v>33</v>
      </c>
      <c r="I10" s="37" t="s">
        <v>33</v>
      </c>
      <c r="J10" s="38"/>
      <c r="K10" s="36" t="s">
        <v>34</v>
      </c>
      <c r="L10" s="36" t="s">
        <v>35</v>
      </c>
      <c r="M10" s="36" t="s">
        <v>36</v>
      </c>
      <c r="N10" s="38"/>
      <c r="O10" s="36" t="s">
        <v>37</v>
      </c>
      <c r="P10" s="36" t="s">
        <v>38</v>
      </c>
      <c r="Q10" s="36" t="s">
        <v>39</v>
      </c>
      <c r="R10" s="38"/>
      <c r="S10" s="44" t="str">
        <f>"282,5"</f>
        <v>282,5</v>
      </c>
      <c r="T10" s="20" t="str">
        <f>"517,4270"</f>
        <v>517,4270</v>
      </c>
      <c r="U10" s="18" t="s">
        <v>375</v>
      </c>
    </row>
    <row r="11" spans="1:21">
      <c r="A11" s="41" t="s">
        <v>130</v>
      </c>
      <c r="B11" s="21" t="s">
        <v>131</v>
      </c>
      <c r="C11" s="21" t="s">
        <v>40</v>
      </c>
      <c r="D11" s="21" t="s">
        <v>41</v>
      </c>
      <c r="E11" s="22" t="s">
        <v>545</v>
      </c>
      <c r="F11" s="21" t="s">
        <v>72</v>
      </c>
      <c r="G11" s="39" t="s">
        <v>16</v>
      </c>
      <c r="H11" s="40" t="s">
        <v>33</v>
      </c>
      <c r="I11" s="39" t="s">
        <v>33</v>
      </c>
      <c r="J11" s="41"/>
      <c r="K11" s="39" t="s">
        <v>34</v>
      </c>
      <c r="L11" s="40" t="s">
        <v>36</v>
      </c>
      <c r="M11" s="39" t="s">
        <v>36</v>
      </c>
      <c r="N11" s="41"/>
      <c r="O11" s="39" t="s">
        <v>16</v>
      </c>
      <c r="P11" s="39" t="s">
        <v>42</v>
      </c>
      <c r="Q11" s="39" t="s">
        <v>43</v>
      </c>
      <c r="R11" s="41"/>
      <c r="S11" s="45" t="str">
        <f>"255,0"</f>
        <v>255,0</v>
      </c>
      <c r="T11" s="23" t="str">
        <f>"460,4280"</f>
        <v>460,4280</v>
      </c>
      <c r="U11" s="21"/>
    </row>
    <row r="13" spans="1:21" ht="16">
      <c r="A13" s="46" t="s">
        <v>44</v>
      </c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1">
      <c r="A14" s="32" t="s">
        <v>125</v>
      </c>
      <c r="B14" s="11" t="s">
        <v>132</v>
      </c>
      <c r="C14" s="11" t="s">
        <v>479</v>
      </c>
      <c r="D14" s="11" t="s">
        <v>45</v>
      </c>
      <c r="E14" s="12" t="s">
        <v>546</v>
      </c>
      <c r="F14" s="11" t="s">
        <v>46</v>
      </c>
      <c r="G14" s="30" t="s">
        <v>43</v>
      </c>
      <c r="H14" s="30" t="s">
        <v>47</v>
      </c>
      <c r="I14" s="31" t="s">
        <v>48</v>
      </c>
      <c r="J14" s="32"/>
      <c r="K14" s="30" t="s">
        <v>49</v>
      </c>
      <c r="L14" s="30" t="s">
        <v>35</v>
      </c>
      <c r="M14" s="31" t="s">
        <v>25</v>
      </c>
      <c r="N14" s="32"/>
      <c r="O14" s="30" t="s">
        <v>47</v>
      </c>
      <c r="P14" s="30" t="s">
        <v>50</v>
      </c>
      <c r="Q14" s="31" t="s">
        <v>51</v>
      </c>
      <c r="R14" s="32"/>
      <c r="S14" s="42" t="str">
        <f>"270,0"</f>
        <v>270,0</v>
      </c>
      <c r="T14" s="13" t="str">
        <f>"468,5973"</f>
        <v>468,5973</v>
      </c>
      <c r="U14" s="11" t="s">
        <v>457</v>
      </c>
    </row>
    <row r="16" spans="1:21" ht="16">
      <c r="A16" s="46" t="s">
        <v>52</v>
      </c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21">
      <c r="A17" s="32" t="s">
        <v>125</v>
      </c>
      <c r="B17" s="11" t="s">
        <v>133</v>
      </c>
      <c r="C17" s="11" t="s">
        <v>53</v>
      </c>
      <c r="D17" s="11" t="s">
        <v>54</v>
      </c>
      <c r="E17" s="12" t="s">
        <v>545</v>
      </c>
      <c r="F17" s="11" t="s">
        <v>46</v>
      </c>
      <c r="G17" s="31" t="s">
        <v>33</v>
      </c>
      <c r="H17" s="30" t="s">
        <v>33</v>
      </c>
      <c r="I17" s="30" t="s">
        <v>50</v>
      </c>
      <c r="J17" s="32"/>
      <c r="K17" s="30" t="s">
        <v>25</v>
      </c>
      <c r="L17" s="30" t="s">
        <v>27</v>
      </c>
      <c r="M17" s="31" t="s">
        <v>55</v>
      </c>
      <c r="N17" s="32"/>
      <c r="O17" s="30" t="s">
        <v>50</v>
      </c>
      <c r="P17" s="30" t="s">
        <v>56</v>
      </c>
      <c r="Q17" s="30" t="s">
        <v>57</v>
      </c>
      <c r="R17" s="32"/>
      <c r="S17" s="42" t="str">
        <f>"295,0"</f>
        <v>295,0</v>
      </c>
      <c r="T17" s="13" t="str">
        <f>"439,1960"</f>
        <v>439,1960</v>
      </c>
      <c r="U17" s="11"/>
    </row>
    <row r="19" spans="1:21" ht="16">
      <c r="A19" s="46" t="s">
        <v>21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21">
      <c r="A20" s="35" t="s">
        <v>125</v>
      </c>
      <c r="B20" s="15" t="s">
        <v>134</v>
      </c>
      <c r="C20" s="15" t="s">
        <v>480</v>
      </c>
      <c r="D20" s="15" t="s">
        <v>58</v>
      </c>
      <c r="E20" s="16" t="s">
        <v>547</v>
      </c>
      <c r="F20" s="15" t="s">
        <v>72</v>
      </c>
      <c r="G20" s="34" t="s">
        <v>16</v>
      </c>
      <c r="H20" s="33" t="s">
        <v>20</v>
      </c>
      <c r="I20" s="33" t="s">
        <v>47</v>
      </c>
      <c r="J20" s="35"/>
      <c r="K20" s="33" t="s">
        <v>26</v>
      </c>
      <c r="L20" s="33" t="s">
        <v>59</v>
      </c>
      <c r="M20" s="33" t="s">
        <v>55</v>
      </c>
      <c r="N20" s="35"/>
      <c r="O20" s="33" t="s">
        <v>50</v>
      </c>
      <c r="P20" s="33" t="s">
        <v>51</v>
      </c>
      <c r="Q20" s="33" t="s">
        <v>39</v>
      </c>
      <c r="R20" s="35"/>
      <c r="S20" s="43" t="str">
        <f>"310,0"</f>
        <v>310,0</v>
      </c>
      <c r="T20" s="17" t="str">
        <f>"447,0200"</f>
        <v>447,0200</v>
      </c>
      <c r="U20" s="15"/>
    </row>
    <row r="21" spans="1:21">
      <c r="A21" s="38" t="s">
        <v>128</v>
      </c>
      <c r="B21" s="18" t="s">
        <v>135</v>
      </c>
      <c r="C21" s="18" t="s">
        <v>481</v>
      </c>
      <c r="D21" s="18" t="s">
        <v>60</v>
      </c>
      <c r="E21" s="19" t="s">
        <v>547</v>
      </c>
      <c r="F21" s="18" t="s">
        <v>61</v>
      </c>
      <c r="G21" s="36" t="s">
        <v>20</v>
      </c>
      <c r="H21" s="36" t="s">
        <v>43</v>
      </c>
      <c r="I21" s="36" t="s">
        <v>47</v>
      </c>
      <c r="J21" s="38"/>
      <c r="K21" s="37" t="s">
        <v>62</v>
      </c>
      <c r="L21" s="36" t="s">
        <v>62</v>
      </c>
      <c r="M21" s="38"/>
      <c r="N21" s="38"/>
      <c r="O21" s="37" t="s">
        <v>63</v>
      </c>
      <c r="P21" s="36" t="s">
        <v>63</v>
      </c>
      <c r="Q21" s="37" t="s">
        <v>37</v>
      </c>
      <c r="R21" s="38"/>
      <c r="S21" s="44" t="str">
        <f>"307,5"</f>
        <v>307,5</v>
      </c>
      <c r="T21" s="20" t="str">
        <f>"450,0570"</f>
        <v>450,0570</v>
      </c>
      <c r="U21" s="18"/>
    </row>
    <row r="22" spans="1:21">
      <c r="A22" s="41" t="s">
        <v>125</v>
      </c>
      <c r="B22" s="21" t="s">
        <v>136</v>
      </c>
      <c r="C22" s="21" t="s">
        <v>64</v>
      </c>
      <c r="D22" s="21" t="s">
        <v>65</v>
      </c>
      <c r="E22" s="22" t="s">
        <v>545</v>
      </c>
      <c r="F22" s="21" t="s">
        <v>72</v>
      </c>
      <c r="G22" s="39" t="s">
        <v>28</v>
      </c>
      <c r="H22" s="39" t="s">
        <v>29</v>
      </c>
      <c r="I22" s="40" t="s">
        <v>66</v>
      </c>
      <c r="J22" s="41"/>
      <c r="K22" s="39" t="s">
        <v>47</v>
      </c>
      <c r="L22" s="39" t="s">
        <v>56</v>
      </c>
      <c r="M22" s="40" t="s">
        <v>51</v>
      </c>
      <c r="N22" s="41"/>
      <c r="O22" s="40" t="s">
        <v>67</v>
      </c>
      <c r="P22" s="39" t="s">
        <v>67</v>
      </c>
      <c r="Q22" s="40" t="s">
        <v>68</v>
      </c>
      <c r="R22" s="41"/>
      <c r="S22" s="45" t="str">
        <f>"465,0"</f>
        <v>465,0</v>
      </c>
      <c r="T22" s="23" t="str">
        <f>"682,2480"</f>
        <v>682,2480</v>
      </c>
      <c r="U22" s="21" t="s">
        <v>69</v>
      </c>
    </row>
    <row r="24" spans="1:21" ht="16">
      <c r="A24" s="46" t="s">
        <v>44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21">
      <c r="A25" s="32" t="s">
        <v>125</v>
      </c>
      <c r="B25" s="11" t="s">
        <v>137</v>
      </c>
      <c r="C25" s="11" t="s">
        <v>482</v>
      </c>
      <c r="D25" s="11" t="s">
        <v>71</v>
      </c>
      <c r="E25" s="12" t="s">
        <v>548</v>
      </c>
      <c r="F25" s="11" t="s">
        <v>72</v>
      </c>
      <c r="G25" s="30" t="s">
        <v>73</v>
      </c>
      <c r="H25" s="30" t="s">
        <v>39</v>
      </c>
      <c r="I25" s="31" t="s">
        <v>28</v>
      </c>
      <c r="J25" s="32"/>
      <c r="K25" s="30" t="s">
        <v>33</v>
      </c>
      <c r="L25" s="31" t="s">
        <v>42</v>
      </c>
      <c r="M25" s="31" t="s">
        <v>42</v>
      </c>
      <c r="N25" s="32"/>
      <c r="O25" s="30" t="s">
        <v>74</v>
      </c>
      <c r="P25" s="30" t="s">
        <v>75</v>
      </c>
      <c r="Q25" s="31" t="s">
        <v>76</v>
      </c>
      <c r="R25" s="32"/>
      <c r="S25" s="42" t="str">
        <f>"400,0"</f>
        <v>400,0</v>
      </c>
      <c r="T25" s="13" t="str">
        <f>"508,0000"</f>
        <v>508,0000</v>
      </c>
      <c r="U25" s="11"/>
    </row>
    <row r="27" spans="1:21" ht="16">
      <c r="A27" s="46" t="s">
        <v>52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32" t="s">
        <v>125</v>
      </c>
      <c r="B28" s="11" t="s">
        <v>138</v>
      </c>
      <c r="C28" s="11" t="s">
        <v>483</v>
      </c>
      <c r="D28" s="11" t="s">
        <v>77</v>
      </c>
      <c r="E28" s="12" t="s">
        <v>549</v>
      </c>
      <c r="F28" s="11" t="s">
        <v>78</v>
      </c>
      <c r="G28" s="30" t="s">
        <v>47</v>
      </c>
      <c r="H28" s="30" t="s">
        <v>56</v>
      </c>
      <c r="I28" s="31" t="s">
        <v>57</v>
      </c>
      <c r="J28" s="32"/>
      <c r="K28" s="30" t="s">
        <v>62</v>
      </c>
      <c r="L28" s="31" t="s">
        <v>79</v>
      </c>
      <c r="M28" s="31" t="s">
        <v>79</v>
      </c>
      <c r="N28" s="32"/>
      <c r="O28" s="30" t="s">
        <v>39</v>
      </c>
      <c r="P28" s="30" t="s">
        <v>80</v>
      </c>
      <c r="Q28" s="30" t="s">
        <v>81</v>
      </c>
      <c r="R28" s="32"/>
      <c r="S28" s="42" t="str">
        <f>"347,5"</f>
        <v>347,5</v>
      </c>
      <c r="T28" s="13" t="str">
        <f>"382,4585"</f>
        <v>382,4585</v>
      </c>
      <c r="U28" s="11"/>
    </row>
    <row r="30" spans="1:21" ht="16">
      <c r="A30" s="46" t="s">
        <v>82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21">
      <c r="A31" s="35" t="s">
        <v>125</v>
      </c>
      <c r="B31" s="15" t="s">
        <v>139</v>
      </c>
      <c r="C31" s="15" t="s">
        <v>484</v>
      </c>
      <c r="D31" s="15" t="s">
        <v>83</v>
      </c>
      <c r="E31" s="16" t="s">
        <v>547</v>
      </c>
      <c r="F31" s="15" t="s">
        <v>46</v>
      </c>
      <c r="G31" s="33" t="s">
        <v>80</v>
      </c>
      <c r="H31" s="33" t="s">
        <v>81</v>
      </c>
      <c r="I31" s="33" t="s">
        <v>75</v>
      </c>
      <c r="J31" s="35"/>
      <c r="K31" s="33" t="s">
        <v>16</v>
      </c>
      <c r="L31" s="34" t="s">
        <v>20</v>
      </c>
      <c r="M31" s="33" t="s">
        <v>20</v>
      </c>
      <c r="N31" s="35"/>
      <c r="O31" s="33" t="s">
        <v>29</v>
      </c>
      <c r="P31" s="33" t="s">
        <v>74</v>
      </c>
      <c r="Q31" s="33" t="s">
        <v>75</v>
      </c>
      <c r="R31" s="35"/>
      <c r="S31" s="43" t="str">
        <f>"440,0"</f>
        <v>440,0</v>
      </c>
      <c r="T31" s="17" t="str">
        <f>"431,8160"</f>
        <v>431,8160</v>
      </c>
      <c r="U31" s="15"/>
    </row>
    <row r="32" spans="1:21">
      <c r="A32" s="41" t="s">
        <v>125</v>
      </c>
      <c r="B32" s="21" t="s">
        <v>140</v>
      </c>
      <c r="C32" s="21" t="s">
        <v>84</v>
      </c>
      <c r="D32" s="21" t="s">
        <v>85</v>
      </c>
      <c r="E32" s="22" t="s">
        <v>545</v>
      </c>
      <c r="F32" s="21" t="s">
        <v>46</v>
      </c>
      <c r="G32" s="39" t="s">
        <v>74</v>
      </c>
      <c r="H32" s="39" t="s">
        <v>75</v>
      </c>
      <c r="I32" s="39" t="s">
        <v>76</v>
      </c>
      <c r="J32" s="41"/>
      <c r="K32" s="39" t="s">
        <v>50</v>
      </c>
      <c r="L32" s="39" t="s">
        <v>57</v>
      </c>
      <c r="M32" s="40" t="s">
        <v>63</v>
      </c>
      <c r="N32" s="41"/>
      <c r="O32" s="39" t="s">
        <v>86</v>
      </c>
      <c r="P32" s="40" t="s">
        <v>87</v>
      </c>
      <c r="Q32" s="39" t="s">
        <v>87</v>
      </c>
      <c r="R32" s="41"/>
      <c r="S32" s="45" t="str">
        <f>"540,0"</f>
        <v>540,0</v>
      </c>
      <c r="T32" s="23" t="str">
        <f>"526,1760"</f>
        <v>526,1760</v>
      </c>
      <c r="U32" s="21"/>
    </row>
    <row r="34" spans="1:21" ht="16">
      <c r="A34" s="46" t="s">
        <v>88</v>
      </c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21">
      <c r="A35" s="35" t="s">
        <v>125</v>
      </c>
      <c r="B35" s="15" t="s">
        <v>141</v>
      </c>
      <c r="C35" s="15" t="s">
        <v>89</v>
      </c>
      <c r="D35" s="15" t="s">
        <v>90</v>
      </c>
      <c r="E35" s="16" t="s">
        <v>545</v>
      </c>
      <c r="F35" s="15" t="s">
        <v>72</v>
      </c>
      <c r="G35" s="33" t="s">
        <v>91</v>
      </c>
      <c r="H35" s="33" t="s">
        <v>92</v>
      </c>
      <c r="I35" s="34" t="s">
        <v>93</v>
      </c>
      <c r="J35" s="35"/>
      <c r="K35" s="33" t="s">
        <v>73</v>
      </c>
      <c r="L35" s="34" t="s">
        <v>28</v>
      </c>
      <c r="M35" s="33" t="s">
        <v>28</v>
      </c>
      <c r="N35" s="35"/>
      <c r="O35" s="33" t="s">
        <v>91</v>
      </c>
      <c r="P35" s="34" t="s">
        <v>67</v>
      </c>
      <c r="Q35" s="33" t="s">
        <v>67</v>
      </c>
      <c r="R35" s="35"/>
      <c r="S35" s="43" t="str">
        <f>"545,0"</f>
        <v>545,0</v>
      </c>
      <c r="T35" s="17" t="str">
        <f>"503,0350"</f>
        <v>503,0350</v>
      </c>
      <c r="U35" s="15"/>
    </row>
    <row r="36" spans="1:21">
      <c r="A36" s="38" t="s">
        <v>128</v>
      </c>
      <c r="B36" s="18" t="s">
        <v>142</v>
      </c>
      <c r="C36" s="18" t="s">
        <v>94</v>
      </c>
      <c r="D36" s="18" t="s">
        <v>90</v>
      </c>
      <c r="E36" s="19" t="s">
        <v>545</v>
      </c>
      <c r="F36" s="18" t="s">
        <v>61</v>
      </c>
      <c r="G36" s="37" t="s">
        <v>75</v>
      </c>
      <c r="H36" s="36" t="s">
        <v>95</v>
      </c>
      <c r="I36" s="36" t="s">
        <v>96</v>
      </c>
      <c r="J36" s="38"/>
      <c r="K36" s="36" t="s">
        <v>73</v>
      </c>
      <c r="L36" s="36" t="s">
        <v>28</v>
      </c>
      <c r="M36" s="37" t="s">
        <v>80</v>
      </c>
      <c r="N36" s="38"/>
      <c r="O36" s="36" t="s">
        <v>75</v>
      </c>
      <c r="P36" s="36" t="s">
        <v>95</v>
      </c>
      <c r="Q36" s="36" t="s">
        <v>97</v>
      </c>
      <c r="R36" s="38"/>
      <c r="S36" s="44" t="str">
        <f>"527,5"</f>
        <v>527,5</v>
      </c>
      <c r="T36" s="20" t="str">
        <f>"486,8825"</f>
        <v>486,8825</v>
      </c>
      <c r="U36" s="18"/>
    </row>
    <row r="37" spans="1:21">
      <c r="A37" s="38" t="s">
        <v>143</v>
      </c>
      <c r="B37" s="18" t="s">
        <v>144</v>
      </c>
      <c r="C37" s="18" t="s">
        <v>98</v>
      </c>
      <c r="D37" s="18" t="s">
        <v>99</v>
      </c>
      <c r="E37" s="19" t="s">
        <v>545</v>
      </c>
      <c r="F37" s="18" t="s">
        <v>72</v>
      </c>
      <c r="G37" s="37" t="s">
        <v>76</v>
      </c>
      <c r="H37" s="37" t="s">
        <v>76</v>
      </c>
      <c r="I37" s="37" t="s">
        <v>76</v>
      </c>
      <c r="J37" s="38"/>
      <c r="K37" s="37"/>
      <c r="L37" s="38"/>
      <c r="M37" s="38"/>
      <c r="N37" s="38"/>
      <c r="O37" s="37"/>
      <c r="P37" s="38"/>
      <c r="Q37" s="38"/>
      <c r="R37" s="38"/>
      <c r="S37" s="44">
        <v>0</v>
      </c>
      <c r="T37" s="20" t="str">
        <f>"0,0000"</f>
        <v>0,0000</v>
      </c>
      <c r="U37" s="18" t="s">
        <v>461</v>
      </c>
    </row>
    <row r="38" spans="1:21">
      <c r="A38" s="41" t="s">
        <v>125</v>
      </c>
      <c r="B38" s="21" t="s">
        <v>145</v>
      </c>
      <c r="C38" s="21" t="s">
        <v>485</v>
      </c>
      <c r="D38" s="21" t="s">
        <v>101</v>
      </c>
      <c r="E38" s="22" t="s">
        <v>546</v>
      </c>
      <c r="F38" s="21" t="s">
        <v>72</v>
      </c>
      <c r="G38" s="40" t="s">
        <v>68</v>
      </c>
      <c r="H38" s="39" t="s">
        <v>68</v>
      </c>
      <c r="I38" s="39" t="s">
        <v>100</v>
      </c>
      <c r="J38" s="41"/>
      <c r="K38" s="40" t="s">
        <v>63</v>
      </c>
      <c r="L38" s="39" t="s">
        <v>73</v>
      </c>
      <c r="M38" s="40" t="s">
        <v>102</v>
      </c>
      <c r="N38" s="41"/>
      <c r="O38" s="39" t="s">
        <v>86</v>
      </c>
      <c r="P38" s="39" t="s">
        <v>103</v>
      </c>
      <c r="Q38" s="39" t="s">
        <v>104</v>
      </c>
      <c r="R38" s="41"/>
      <c r="S38" s="45" t="str">
        <f>"610,0"</f>
        <v>610,0</v>
      </c>
      <c r="T38" s="23" t="str">
        <f>"580,2998"</f>
        <v>580,2998</v>
      </c>
      <c r="U38" s="21" t="s">
        <v>461</v>
      </c>
    </row>
    <row r="40" spans="1:21" ht="16">
      <c r="A40" s="46" t="s">
        <v>105</v>
      </c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21">
      <c r="A41" s="35" t="s">
        <v>125</v>
      </c>
      <c r="B41" s="15" t="s">
        <v>146</v>
      </c>
      <c r="C41" s="15" t="s">
        <v>486</v>
      </c>
      <c r="D41" s="15" t="s">
        <v>106</v>
      </c>
      <c r="E41" s="16" t="s">
        <v>548</v>
      </c>
      <c r="F41" s="15" t="s">
        <v>72</v>
      </c>
      <c r="G41" s="34" t="s">
        <v>68</v>
      </c>
      <c r="H41" s="33" t="s">
        <v>68</v>
      </c>
      <c r="I41" s="34" t="s">
        <v>86</v>
      </c>
      <c r="J41" s="35"/>
      <c r="K41" s="33" t="s">
        <v>63</v>
      </c>
      <c r="L41" s="33" t="s">
        <v>38</v>
      </c>
      <c r="M41" s="33" t="s">
        <v>28</v>
      </c>
      <c r="N41" s="35"/>
      <c r="O41" s="33" t="s">
        <v>75</v>
      </c>
      <c r="P41" s="33" t="s">
        <v>107</v>
      </c>
      <c r="Q41" s="33" t="s">
        <v>91</v>
      </c>
      <c r="R41" s="35"/>
      <c r="S41" s="43" t="str">
        <f>"540,0"</f>
        <v>540,0</v>
      </c>
      <c r="T41" s="17" t="str">
        <f>"480,1680"</f>
        <v>480,1680</v>
      </c>
      <c r="U41" s="15" t="s">
        <v>461</v>
      </c>
    </row>
    <row r="42" spans="1:21">
      <c r="A42" s="41" t="s">
        <v>125</v>
      </c>
      <c r="B42" s="21" t="s">
        <v>147</v>
      </c>
      <c r="C42" s="21" t="s">
        <v>108</v>
      </c>
      <c r="D42" s="21" t="s">
        <v>109</v>
      </c>
      <c r="E42" s="22" t="s">
        <v>545</v>
      </c>
      <c r="F42" s="21" t="s">
        <v>61</v>
      </c>
      <c r="G42" s="40" t="s">
        <v>68</v>
      </c>
      <c r="H42" s="39" t="s">
        <v>68</v>
      </c>
      <c r="I42" s="41"/>
      <c r="J42" s="41"/>
      <c r="K42" s="39" t="s">
        <v>39</v>
      </c>
      <c r="L42" s="39" t="s">
        <v>110</v>
      </c>
      <c r="M42" s="40" t="s">
        <v>29</v>
      </c>
      <c r="N42" s="41"/>
      <c r="O42" s="40" t="s">
        <v>86</v>
      </c>
      <c r="P42" s="39" t="s">
        <v>111</v>
      </c>
      <c r="Q42" s="40" t="s">
        <v>104</v>
      </c>
      <c r="R42" s="41"/>
      <c r="S42" s="45" t="str">
        <f>"592,5"</f>
        <v>592,5</v>
      </c>
      <c r="T42" s="23" t="str">
        <f>"531,4725"</f>
        <v>531,4725</v>
      </c>
      <c r="U42" s="21" t="s">
        <v>525</v>
      </c>
    </row>
    <row r="44" spans="1:21">
      <c r="G44" s="5"/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0:R30"/>
    <mergeCell ref="A34:R34"/>
    <mergeCell ref="A40:R40"/>
    <mergeCell ref="B3:B4"/>
    <mergeCell ref="A8:R8"/>
    <mergeCell ref="A13:R13"/>
    <mergeCell ref="A16:R16"/>
    <mergeCell ref="A19:R19"/>
    <mergeCell ref="A24:R24"/>
    <mergeCell ref="A27:R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8B2A-58DE-424C-A3D1-A6C8D2589FD6}">
  <dimension ref="A1:M20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4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58" t="s">
        <v>473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9</v>
      </c>
      <c r="H3" s="70"/>
      <c r="I3" s="70"/>
      <c r="J3" s="70"/>
      <c r="K3" s="52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52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125</v>
      </c>
      <c r="B6" s="11" t="s">
        <v>262</v>
      </c>
      <c r="C6" s="11" t="s">
        <v>504</v>
      </c>
      <c r="D6" s="11" t="s">
        <v>247</v>
      </c>
      <c r="E6" s="12" t="s">
        <v>554</v>
      </c>
      <c r="F6" s="11" t="s">
        <v>252</v>
      </c>
      <c r="G6" s="30" t="s">
        <v>73</v>
      </c>
      <c r="H6" s="30" t="s">
        <v>38</v>
      </c>
      <c r="I6" s="30" t="s">
        <v>39</v>
      </c>
      <c r="J6" s="32"/>
      <c r="K6" s="13" t="str">
        <f>"135,0"</f>
        <v>135,0</v>
      </c>
      <c r="L6" s="13" t="str">
        <f>"157,0673"</f>
        <v>157,0673</v>
      </c>
      <c r="M6" s="11"/>
    </row>
    <row r="8" spans="1:13" ht="16">
      <c r="A8" s="46" t="s">
        <v>82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5" t="s">
        <v>125</v>
      </c>
      <c r="B9" s="15" t="s">
        <v>263</v>
      </c>
      <c r="C9" s="15" t="s">
        <v>505</v>
      </c>
      <c r="D9" s="15" t="s">
        <v>248</v>
      </c>
      <c r="E9" s="16" t="s">
        <v>547</v>
      </c>
      <c r="F9" s="15" t="s">
        <v>72</v>
      </c>
      <c r="G9" s="34" t="s">
        <v>50</v>
      </c>
      <c r="H9" s="33" t="s">
        <v>50</v>
      </c>
      <c r="I9" s="33" t="s">
        <v>57</v>
      </c>
      <c r="J9" s="35"/>
      <c r="K9" s="17" t="str">
        <f>"120,0"</f>
        <v>120,0</v>
      </c>
      <c r="L9" s="17" t="str">
        <f>"120,2400"</f>
        <v>120,2400</v>
      </c>
      <c r="M9" s="15" t="s">
        <v>461</v>
      </c>
    </row>
    <row r="10" spans="1:13">
      <c r="A10" s="38" t="s">
        <v>125</v>
      </c>
      <c r="B10" s="18" t="s">
        <v>264</v>
      </c>
      <c r="C10" s="18" t="s">
        <v>217</v>
      </c>
      <c r="D10" s="18" t="s">
        <v>249</v>
      </c>
      <c r="E10" s="19" t="s">
        <v>545</v>
      </c>
      <c r="F10" s="18" t="s">
        <v>72</v>
      </c>
      <c r="G10" s="36" t="s">
        <v>165</v>
      </c>
      <c r="H10" s="37" t="s">
        <v>75</v>
      </c>
      <c r="I10" s="37" t="s">
        <v>75</v>
      </c>
      <c r="J10" s="38"/>
      <c r="K10" s="20" t="str">
        <f>"165,0"</f>
        <v>165,0</v>
      </c>
      <c r="L10" s="20" t="str">
        <f>"166,6170"</f>
        <v>166,6170</v>
      </c>
      <c r="M10" s="18" t="s">
        <v>460</v>
      </c>
    </row>
    <row r="11" spans="1:13">
      <c r="A11" s="41" t="s">
        <v>128</v>
      </c>
      <c r="B11" s="21" t="s">
        <v>265</v>
      </c>
      <c r="C11" s="21" t="s">
        <v>250</v>
      </c>
      <c r="D11" s="21" t="s">
        <v>251</v>
      </c>
      <c r="E11" s="22" t="s">
        <v>545</v>
      </c>
      <c r="F11" s="21" t="s">
        <v>252</v>
      </c>
      <c r="G11" s="39" t="s">
        <v>57</v>
      </c>
      <c r="H11" s="39" t="s">
        <v>63</v>
      </c>
      <c r="I11" s="40" t="s">
        <v>37</v>
      </c>
      <c r="J11" s="41"/>
      <c r="K11" s="23" t="str">
        <f>"125,0"</f>
        <v>125,0</v>
      </c>
      <c r="L11" s="23" t="str">
        <f>"127,1250"</f>
        <v>127,1250</v>
      </c>
      <c r="M11" s="21" t="s">
        <v>460</v>
      </c>
    </row>
    <row r="13" spans="1:13" ht="16">
      <c r="A13" s="46" t="s">
        <v>105</v>
      </c>
      <c r="B13" s="46"/>
      <c r="C13" s="47"/>
      <c r="D13" s="47"/>
      <c r="E13" s="47"/>
      <c r="F13" s="47"/>
      <c r="G13" s="47"/>
      <c r="H13" s="47"/>
      <c r="I13" s="47"/>
      <c r="J13" s="47"/>
    </row>
    <row r="14" spans="1:13">
      <c r="A14" s="35" t="s">
        <v>125</v>
      </c>
      <c r="B14" s="15" t="s">
        <v>266</v>
      </c>
      <c r="C14" s="15" t="s">
        <v>253</v>
      </c>
      <c r="D14" s="15" t="s">
        <v>254</v>
      </c>
      <c r="E14" s="16" t="s">
        <v>545</v>
      </c>
      <c r="F14" s="15" t="s">
        <v>531</v>
      </c>
      <c r="G14" s="33" t="s">
        <v>29</v>
      </c>
      <c r="H14" s="33" t="s">
        <v>74</v>
      </c>
      <c r="I14" s="33" t="s">
        <v>172</v>
      </c>
      <c r="J14" s="35"/>
      <c r="K14" s="17" t="str">
        <f>"167,5"</f>
        <v>167,5</v>
      </c>
      <c r="L14" s="17" t="str">
        <f>"151,8890"</f>
        <v>151,8890</v>
      </c>
      <c r="M14" s="15"/>
    </row>
    <row r="15" spans="1:13">
      <c r="A15" s="41" t="s">
        <v>125</v>
      </c>
      <c r="B15" s="21" t="s">
        <v>267</v>
      </c>
      <c r="C15" s="21" t="s">
        <v>506</v>
      </c>
      <c r="D15" s="21" t="s">
        <v>255</v>
      </c>
      <c r="E15" s="22" t="s">
        <v>546</v>
      </c>
      <c r="F15" s="21" t="s">
        <v>252</v>
      </c>
      <c r="G15" s="39" t="s">
        <v>28</v>
      </c>
      <c r="H15" s="39" t="s">
        <v>80</v>
      </c>
      <c r="I15" s="41"/>
      <c r="J15" s="41"/>
      <c r="K15" s="23" t="str">
        <f>"145,0"</f>
        <v>145,0</v>
      </c>
      <c r="L15" s="23" t="str">
        <f>"133,2801"</f>
        <v>133,2801</v>
      </c>
      <c r="M15" s="21" t="s">
        <v>461</v>
      </c>
    </row>
    <row r="17" spans="1:13" ht="16">
      <c r="A17" s="46" t="s">
        <v>256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32" t="s">
        <v>125</v>
      </c>
      <c r="B18" s="11" t="s">
        <v>268</v>
      </c>
      <c r="C18" s="11" t="s">
        <v>507</v>
      </c>
      <c r="D18" s="11" t="s">
        <v>257</v>
      </c>
      <c r="E18" s="12" t="s">
        <v>555</v>
      </c>
      <c r="F18" s="11" t="s">
        <v>61</v>
      </c>
      <c r="G18" s="31" t="s">
        <v>173</v>
      </c>
      <c r="H18" s="30" t="s">
        <v>91</v>
      </c>
      <c r="I18" s="30" t="s">
        <v>258</v>
      </c>
      <c r="J18" s="32"/>
      <c r="K18" s="13" t="str">
        <f>"202,5"</f>
        <v>202,5</v>
      </c>
      <c r="L18" s="13" t="str">
        <f>"203,8802"</f>
        <v>203,8802</v>
      </c>
      <c r="M18" s="11" t="s">
        <v>453</v>
      </c>
    </row>
    <row r="20" spans="1:13">
      <c r="E20" s="5"/>
      <c r="F20" s="6"/>
      <c r="G20" s="5"/>
      <c r="K20" s="10"/>
      <c r="M20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7:J17"/>
    <mergeCell ref="B3:B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1AE6-4B99-46AF-BC77-1D38A4C40067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8.5" style="5" bestFit="1" customWidth="1"/>
    <col min="4" max="4" width="15.5" style="5" bestFit="1" customWidth="1"/>
    <col min="5" max="5" width="10.1640625" style="6" customWidth="1"/>
    <col min="6" max="6" width="32.83203125" style="5" customWidth="1"/>
    <col min="7" max="9" width="5.5" style="10" customWidth="1"/>
    <col min="10" max="10" width="4.83203125" style="10" customWidth="1"/>
    <col min="11" max="11" width="10.5" style="29" bestFit="1" customWidth="1"/>
    <col min="12" max="12" width="10.6640625" style="7" customWidth="1"/>
    <col min="13" max="13" width="21" style="5" customWidth="1"/>
    <col min="14" max="16384" width="9.1640625" style="3"/>
  </cols>
  <sheetData>
    <row r="1" spans="1:13" s="2" customFormat="1" ht="29" customHeight="1">
      <c r="A1" s="58" t="s">
        <v>474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9</v>
      </c>
      <c r="H3" s="70"/>
      <c r="I3" s="70"/>
      <c r="J3" s="70"/>
      <c r="K3" s="50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1"/>
      <c r="L4" s="53"/>
      <c r="M4" s="55"/>
    </row>
    <row r="5" spans="1:13" ht="16">
      <c r="A5" s="56" t="s">
        <v>82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143</v>
      </c>
      <c r="B6" s="11" t="s">
        <v>346</v>
      </c>
      <c r="C6" s="11" t="s">
        <v>508</v>
      </c>
      <c r="D6" s="11" t="s">
        <v>345</v>
      </c>
      <c r="E6" s="12" t="s">
        <v>555</v>
      </c>
      <c r="F6" s="11" t="s">
        <v>46</v>
      </c>
      <c r="G6" s="31" t="s">
        <v>68</v>
      </c>
      <c r="H6" s="31" t="s">
        <v>68</v>
      </c>
      <c r="I6" s="31" t="s">
        <v>68</v>
      </c>
      <c r="J6" s="32"/>
      <c r="K6" s="42">
        <v>0</v>
      </c>
      <c r="L6" s="13" t="str">
        <f>"0,0000"</f>
        <v>0,0000</v>
      </c>
      <c r="M6" s="11" t="s">
        <v>541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FFDA-1821-4926-9328-35ABBDEF3CAF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332031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9" style="5" customWidth="1"/>
    <col min="14" max="16384" width="9.1640625" style="3"/>
  </cols>
  <sheetData>
    <row r="1" spans="1:13" s="2" customFormat="1" ht="29" customHeight="1">
      <c r="A1" s="58" t="s">
        <v>475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9</v>
      </c>
      <c r="H3" s="70"/>
      <c r="I3" s="70"/>
      <c r="J3" s="70"/>
      <c r="K3" s="52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447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125</v>
      </c>
      <c r="B6" s="11" t="s">
        <v>452</v>
      </c>
      <c r="C6" s="11" t="s">
        <v>448</v>
      </c>
      <c r="D6" s="11" t="s">
        <v>449</v>
      </c>
      <c r="E6" s="12" t="s">
        <v>545</v>
      </c>
      <c r="F6" s="11" t="s">
        <v>61</v>
      </c>
      <c r="G6" s="31" t="s">
        <v>450</v>
      </c>
      <c r="H6" s="30" t="s">
        <v>450</v>
      </c>
      <c r="I6" s="31" t="s">
        <v>451</v>
      </c>
      <c r="J6" s="32"/>
      <c r="K6" s="13" t="str">
        <f>"400,0"</f>
        <v>400,0</v>
      </c>
      <c r="L6" s="13" t="str">
        <f>"211,6180"</f>
        <v>211,6180</v>
      </c>
      <c r="M6" s="11" t="s">
        <v>453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19B7-D89B-498A-AEDE-5C5C130950C5}">
  <dimension ref="A1:M81"/>
  <sheetViews>
    <sheetView topLeftCell="A25" workbookViewId="0">
      <selection activeCell="E58" sqref="E58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58" t="s">
        <v>476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10</v>
      </c>
      <c r="H3" s="70"/>
      <c r="I3" s="70"/>
      <c r="J3" s="70"/>
      <c r="K3" s="52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273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125</v>
      </c>
      <c r="B6" s="11" t="s">
        <v>417</v>
      </c>
      <c r="C6" s="11" t="s">
        <v>381</v>
      </c>
      <c r="D6" s="11" t="s">
        <v>382</v>
      </c>
      <c r="E6" s="12" t="s">
        <v>545</v>
      </c>
      <c r="F6" s="11" t="s">
        <v>72</v>
      </c>
      <c r="G6" s="30" t="s">
        <v>15</v>
      </c>
      <c r="H6" s="31" t="s">
        <v>79</v>
      </c>
      <c r="I6" s="31" t="s">
        <v>79</v>
      </c>
      <c r="J6" s="32"/>
      <c r="K6" s="13" t="str">
        <f>"80,0"</f>
        <v>80,0</v>
      </c>
      <c r="L6" s="13" t="str">
        <f>"172,8000"</f>
        <v>172,8000</v>
      </c>
      <c r="M6" s="11"/>
    </row>
    <row r="8" spans="1:13" ht="16">
      <c r="A8" s="46" t="s">
        <v>11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5" t="s">
        <v>125</v>
      </c>
      <c r="B9" s="15" t="s">
        <v>418</v>
      </c>
      <c r="C9" s="15" t="s">
        <v>509</v>
      </c>
      <c r="D9" s="15" t="s">
        <v>383</v>
      </c>
      <c r="E9" s="16" t="s">
        <v>547</v>
      </c>
      <c r="F9" s="15" t="s">
        <v>61</v>
      </c>
      <c r="G9" s="34" t="s">
        <v>33</v>
      </c>
      <c r="H9" s="33" t="s">
        <v>33</v>
      </c>
      <c r="I9" s="33" t="s">
        <v>42</v>
      </c>
      <c r="J9" s="35"/>
      <c r="K9" s="17" t="str">
        <f>"97,5"</f>
        <v>97,5</v>
      </c>
      <c r="L9" s="17" t="str">
        <f>"189,7740"</f>
        <v>189,7740</v>
      </c>
      <c r="M9" s="15"/>
    </row>
    <row r="10" spans="1:13">
      <c r="A10" s="41" t="s">
        <v>125</v>
      </c>
      <c r="B10" s="21" t="s">
        <v>126</v>
      </c>
      <c r="C10" s="21" t="s">
        <v>12</v>
      </c>
      <c r="D10" s="21" t="s">
        <v>13</v>
      </c>
      <c r="E10" s="22" t="s">
        <v>545</v>
      </c>
      <c r="F10" s="21" t="s">
        <v>72</v>
      </c>
      <c r="G10" s="39" t="s">
        <v>15</v>
      </c>
      <c r="H10" s="39" t="s">
        <v>16</v>
      </c>
      <c r="I10" s="39" t="s">
        <v>20</v>
      </c>
      <c r="J10" s="41"/>
      <c r="K10" s="23" t="str">
        <f>"100,0"</f>
        <v>100,0</v>
      </c>
      <c r="L10" s="23" t="str">
        <f>"194,2000"</f>
        <v>194,2000</v>
      </c>
      <c r="M10" s="21"/>
    </row>
    <row r="12" spans="1:13" ht="16">
      <c r="A12" s="46" t="s">
        <v>21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35" t="s">
        <v>125</v>
      </c>
      <c r="B13" s="15" t="s">
        <v>127</v>
      </c>
      <c r="C13" s="15" t="s">
        <v>23</v>
      </c>
      <c r="D13" s="15" t="s">
        <v>24</v>
      </c>
      <c r="E13" s="16" t="s">
        <v>545</v>
      </c>
      <c r="F13" s="15" t="s">
        <v>72</v>
      </c>
      <c r="G13" s="34" t="s">
        <v>28</v>
      </c>
      <c r="H13" s="33" t="s">
        <v>28</v>
      </c>
      <c r="I13" s="33" t="s">
        <v>29</v>
      </c>
      <c r="J13" s="35"/>
      <c r="K13" s="17" t="str">
        <f>"150,0"</f>
        <v>150,0</v>
      </c>
      <c r="L13" s="17" t="str">
        <f>"271,2000"</f>
        <v>271,2000</v>
      </c>
      <c r="M13" s="15" t="s">
        <v>456</v>
      </c>
    </row>
    <row r="14" spans="1:13">
      <c r="A14" s="41" t="s">
        <v>128</v>
      </c>
      <c r="B14" s="21" t="s">
        <v>129</v>
      </c>
      <c r="C14" s="21" t="s">
        <v>31</v>
      </c>
      <c r="D14" s="21" t="s">
        <v>32</v>
      </c>
      <c r="E14" s="22" t="s">
        <v>545</v>
      </c>
      <c r="F14" s="21" t="s">
        <v>72</v>
      </c>
      <c r="G14" s="39" t="s">
        <v>37</v>
      </c>
      <c r="H14" s="39" t="s">
        <v>38</v>
      </c>
      <c r="I14" s="39" t="s">
        <v>39</v>
      </c>
      <c r="J14" s="41"/>
      <c r="K14" s="23" t="str">
        <f>"135,0"</f>
        <v>135,0</v>
      </c>
      <c r="L14" s="23" t="str">
        <f>"247,2660"</f>
        <v>247,2660</v>
      </c>
      <c r="M14" s="21" t="s">
        <v>375</v>
      </c>
    </row>
    <row r="16" spans="1:13" ht="16">
      <c r="A16" s="46" t="s">
        <v>44</v>
      </c>
      <c r="B16" s="46"/>
      <c r="C16" s="47"/>
      <c r="D16" s="47"/>
      <c r="E16" s="47"/>
      <c r="F16" s="47"/>
      <c r="G16" s="47"/>
      <c r="H16" s="47"/>
      <c r="I16" s="47"/>
      <c r="J16" s="47"/>
    </row>
    <row r="17" spans="1:13">
      <c r="A17" s="32" t="s">
        <v>125</v>
      </c>
      <c r="B17" s="11" t="s">
        <v>132</v>
      </c>
      <c r="C17" s="11" t="s">
        <v>479</v>
      </c>
      <c r="D17" s="11" t="s">
        <v>45</v>
      </c>
      <c r="E17" s="12" t="s">
        <v>546</v>
      </c>
      <c r="F17" s="11" t="s">
        <v>46</v>
      </c>
      <c r="G17" s="30" t="s">
        <v>47</v>
      </c>
      <c r="H17" s="30" t="s">
        <v>50</v>
      </c>
      <c r="I17" s="31" t="s">
        <v>51</v>
      </c>
      <c r="J17" s="32"/>
      <c r="K17" s="13" t="str">
        <f>"110,0"</f>
        <v>110,0</v>
      </c>
      <c r="L17" s="13" t="str">
        <f>"190,9100"</f>
        <v>190,9100</v>
      </c>
      <c r="M17" s="11" t="s">
        <v>457</v>
      </c>
    </row>
    <row r="19" spans="1:13" ht="16">
      <c r="A19" s="46" t="s">
        <v>212</v>
      </c>
      <c r="B19" s="46"/>
      <c r="C19" s="47"/>
      <c r="D19" s="47"/>
      <c r="E19" s="47"/>
      <c r="F19" s="47"/>
      <c r="G19" s="47"/>
      <c r="H19" s="47"/>
      <c r="I19" s="47"/>
      <c r="J19" s="47"/>
    </row>
    <row r="20" spans="1:13">
      <c r="A20" s="35" t="s">
        <v>125</v>
      </c>
      <c r="B20" s="15" t="s">
        <v>326</v>
      </c>
      <c r="C20" s="15" t="s">
        <v>283</v>
      </c>
      <c r="D20" s="15" t="s">
        <v>284</v>
      </c>
      <c r="E20" s="16" t="s">
        <v>545</v>
      </c>
      <c r="F20" s="15" t="s">
        <v>529</v>
      </c>
      <c r="G20" s="33" t="s">
        <v>29</v>
      </c>
      <c r="H20" s="33" t="s">
        <v>74</v>
      </c>
      <c r="I20" s="34" t="s">
        <v>75</v>
      </c>
      <c r="J20" s="35"/>
      <c r="K20" s="17" t="str">
        <f>"160,0"</f>
        <v>160,0</v>
      </c>
      <c r="L20" s="17" t="str">
        <f>"248,9920"</f>
        <v>248,9920</v>
      </c>
      <c r="M20" s="15"/>
    </row>
    <row r="21" spans="1:13">
      <c r="A21" s="38" t="s">
        <v>128</v>
      </c>
      <c r="B21" s="18" t="s">
        <v>419</v>
      </c>
      <c r="C21" s="18" t="s">
        <v>384</v>
      </c>
      <c r="D21" s="18" t="s">
        <v>385</v>
      </c>
      <c r="E21" s="19" t="s">
        <v>545</v>
      </c>
      <c r="F21" s="18" t="s">
        <v>72</v>
      </c>
      <c r="G21" s="37" t="s">
        <v>50</v>
      </c>
      <c r="H21" s="36" t="s">
        <v>57</v>
      </c>
      <c r="I21" s="37" t="s">
        <v>37</v>
      </c>
      <c r="J21" s="38"/>
      <c r="K21" s="20" t="str">
        <f>"120,0"</f>
        <v>120,0</v>
      </c>
      <c r="L21" s="20" t="str">
        <f>"191,3280"</f>
        <v>191,3280</v>
      </c>
      <c r="M21" s="18"/>
    </row>
    <row r="22" spans="1:13">
      <c r="A22" s="41" t="s">
        <v>125</v>
      </c>
      <c r="B22" s="21" t="s">
        <v>419</v>
      </c>
      <c r="C22" s="21" t="s">
        <v>510</v>
      </c>
      <c r="D22" s="21" t="s">
        <v>385</v>
      </c>
      <c r="E22" s="22" t="s">
        <v>551</v>
      </c>
      <c r="F22" s="21" t="s">
        <v>72</v>
      </c>
      <c r="G22" s="40" t="s">
        <v>50</v>
      </c>
      <c r="H22" s="39" t="s">
        <v>57</v>
      </c>
      <c r="I22" s="40" t="s">
        <v>37</v>
      </c>
      <c r="J22" s="41"/>
      <c r="K22" s="23" t="str">
        <f>"120,0"</f>
        <v>120,0</v>
      </c>
      <c r="L22" s="23" t="str">
        <f>"243,5606"</f>
        <v>243,5606</v>
      </c>
      <c r="M22" s="21"/>
    </row>
    <row r="24" spans="1:13" ht="16">
      <c r="A24" s="46" t="s">
        <v>52</v>
      </c>
      <c r="B24" s="46"/>
      <c r="C24" s="47"/>
      <c r="D24" s="47"/>
      <c r="E24" s="47"/>
      <c r="F24" s="47"/>
      <c r="G24" s="47"/>
      <c r="H24" s="47"/>
      <c r="I24" s="47"/>
      <c r="J24" s="47"/>
    </row>
    <row r="25" spans="1:13">
      <c r="A25" s="32" t="s">
        <v>125</v>
      </c>
      <c r="B25" s="11" t="s">
        <v>420</v>
      </c>
      <c r="C25" s="11" t="s">
        <v>386</v>
      </c>
      <c r="D25" s="11" t="s">
        <v>387</v>
      </c>
      <c r="E25" s="12" t="s">
        <v>545</v>
      </c>
      <c r="F25" s="11" t="s">
        <v>72</v>
      </c>
      <c r="G25" s="30" t="s">
        <v>57</v>
      </c>
      <c r="H25" s="30" t="s">
        <v>73</v>
      </c>
      <c r="I25" s="31" t="s">
        <v>39</v>
      </c>
      <c r="J25" s="32"/>
      <c r="K25" s="13" t="str">
        <f>"130,0"</f>
        <v>130,0</v>
      </c>
      <c r="L25" s="13" t="str">
        <f>"191,7500"</f>
        <v>191,7500</v>
      </c>
      <c r="M25" s="11"/>
    </row>
    <row r="27" spans="1:13" ht="16">
      <c r="A27" s="46" t="s">
        <v>11</v>
      </c>
      <c r="B27" s="46"/>
      <c r="C27" s="47"/>
      <c r="D27" s="47"/>
      <c r="E27" s="47"/>
      <c r="F27" s="47"/>
      <c r="G27" s="47"/>
      <c r="H27" s="47"/>
      <c r="I27" s="47"/>
      <c r="J27" s="47"/>
    </row>
    <row r="28" spans="1:13">
      <c r="A28" s="32" t="s">
        <v>125</v>
      </c>
      <c r="B28" s="11" t="s">
        <v>421</v>
      </c>
      <c r="C28" s="11" t="s">
        <v>511</v>
      </c>
      <c r="D28" s="11" t="s">
        <v>388</v>
      </c>
      <c r="E28" s="12" t="s">
        <v>549</v>
      </c>
      <c r="F28" s="11" t="s">
        <v>532</v>
      </c>
      <c r="G28" s="30" t="s">
        <v>16</v>
      </c>
      <c r="H28" s="30" t="s">
        <v>33</v>
      </c>
      <c r="I28" s="30" t="s">
        <v>20</v>
      </c>
      <c r="J28" s="32"/>
      <c r="K28" s="13" t="str">
        <f>"100,0"</f>
        <v>100,0</v>
      </c>
      <c r="L28" s="13" t="str">
        <f>"161,7000"</f>
        <v>161,7000</v>
      </c>
      <c r="M28" s="11" t="s">
        <v>458</v>
      </c>
    </row>
    <row r="30" spans="1:13" ht="16">
      <c r="A30" s="46" t="s">
        <v>44</v>
      </c>
      <c r="B30" s="46"/>
      <c r="C30" s="47"/>
      <c r="D30" s="47"/>
      <c r="E30" s="47"/>
      <c r="F30" s="47"/>
      <c r="G30" s="47"/>
      <c r="H30" s="47"/>
      <c r="I30" s="47"/>
      <c r="J30" s="47"/>
    </row>
    <row r="31" spans="1:13">
      <c r="A31" s="35" t="s">
        <v>125</v>
      </c>
      <c r="B31" s="15" t="s">
        <v>137</v>
      </c>
      <c r="C31" s="15" t="s">
        <v>482</v>
      </c>
      <c r="D31" s="15" t="s">
        <v>71</v>
      </c>
      <c r="E31" s="16" t="s">
        <v>548</v>
      </c>
      <c r="F31" s="15" t="s">
        <v>72</v>
      </c>
      <c r="G31" s="33" t="s">
        <v>74</v>
      </c>
      <c r="H31" s="33" t="s">
        <v>75</v>
      </c>
      <c r="I31" s="34" t="s">
        <v>76</v>
      </c>
      <c r="J31" s="35"/>
      <c r="K31" s="17" t="str">
        <f>"170,0"</f>
        <v>170,0</v>
      </c>
      <c r="L31" s="17" t="str">
        <f>"215,9000"</f>
        <v>215,9000</v>
      </c>
      <c r="M31" s="15"/>
    </row>
    <row r="32" spans="1:13">
      <c r="A32" s="41" t="s">
        <v>125</v>
      </c>
      <c r="B32" s="21" t="s">
        <v>422</v>
      </c>
      <c r="C32" s="21" t="s">
        <v>512</v>
      </c>
      <c r="D32" s="21" t="s">
        <v>389</v>
      </c>
      <c r="E32" s="22" t="s">
        <v>550</v>
      </c>
      <c r="F32" s="21" t="s">
        <v>72</v>
      </c>
      <c r="G32" s="39" t="s">
        <v>29</v>
      </c>
      <c r="H32" s="39" t="s">
        <v>74</v>
      </c>
      <c r="I32" s="40" t="s">
        <v>75</v>
      </c>
      <c r="J32" s="41"/>
      <c r="K32" s="23" t="str">
        <f>"160,0"</f>
        <v>160,0</v>
      </c>
      <c r="L32" s="23" t="str">
        <f>"208,3840"</f>
        <v>208,3840</v>
      </c>
      <c r="M32" s="21" t="s">
        <v>373</v>
      </c>
    </row>
    <row r="34" spans="1:13" ht="16">
      <c r="A34" s="46" t="s">
        <v>212</v>
      </c>
      <c r="B34" s="46"/>
      <c r="C34" s="47"/>
      <c r="D34" s="47"/>
      <c r="E34" s="47"/>
      <c r="F34" s="47"/>
      <c r="G34" s="47"/>
      <c r="H34" s="47"/>
      <c r="I34" s="47"/>
      <c r="J34" s="47"/>
    </row>
    <row r="35" spans="1:13">
      <c r="A35" s="32" t="s">
        <v>125</v>
      </c>
      <c r="B35" s="11" t="s">
        <v>423</v>
      </c>
      <c r="C35" s="11" t="s">
        <v>513</v>
      </c>
      <c r="D35" s="11" t="s">
        <v>391</v>
      </c>
      <c r="E35" s="12" t="s">
        <v>547</v>
      </c>
      <c r="F35" s="11" t="s">
        <v>61</v>
      </c>
      <c r="G35" s="30" t="s">
        <v>91</v>
      </c>
      <c r="H35" s="30" t="s">
        <v>68</v>
      </c>
      <c r="I35" s="31" t="s">
        <v>111</v>
      </c>
      <c r="J35" s="32"/>
      <c r="K35" s="13" t="str">
        <f>"210,0"</f>
        <v>210,0</v>
      </c>
      <c r="L35" s="13" t="str">
        <f>"244,3560"</f>
        <v>244,3560</v>
      </c>
      <c r="M35" s="11"/>
    </row>
    <row r="37" spans="1:13" ht="16">
      <c r="A37" s="46" t="s">
        <v>52</v>
      </c>
      <c r="B37" s="46"/>
      <c r="C37" s="47"/>
      <c r="D37" s="47"/>
      <c r="E37" s="47"/>
      <c r="F37" s="47"/>
      <c r="G37" s="47"/>
      <c r="H37" s="47"/>
      <c r="I37" s="47"/>
      <c r="J37" s="47"/>
    </row>
    <row r="38" spans="1:13">
      <c r="A38" s="35" t="s">
        <v>125</v>
      </c>
      <c r="B38" s="15" t="s">
        <v>424</v>
      </c>
      <c r="C38" s="15" t="s">
        <v>514</v>
      </c>
      <c r="D38" s="15" t="s">
        <v>301</v>
      </c>
      <c r="E38" s="16" t="s">
        <v>549</v>
      </c>
      <c r="F38" s="15" t="s">
        <v>72</v>
      </c>
      <c r="G38" s="33" t="s">
        <v>14</v>
      </c>
      <c r="H38" s="33" t="s">
        <v>79</v>
      </c>
      <c r="I38" s="33" t="s">
        <v>16</v>
      </c>
      <c r="J38" s="35"/>
      <c r="K38" s="17" t="str">
        <f>"90,0"</f>
        <v>90,0</v>
      </c>
      <c r="L38" s="17" t="str">
        <f>"94,3200"</f>
        <v>94,3200</v>
      </c>
      <c r="M38" s="15"/>
    </row>
    <row r="39" spans="1:13">
      <c r="A39" s="38" t="s">
        <v>125</v>
      </c>
      <c r="B39" s="18" t="s">
        <v>425</v>
      </c>
      <c r="C39" s="18" t="s">
        <v>515</v>
      </c>
      <c r="D39" s="18" t="s">
        <v>393</v>
      </c>
      <c r="E39" s="19" t="s">
        <v>548</v>
      </c>
      <c r="F39" s="18" t="s">
        <v>533</v>
      </c>
      <c r="G39" s="36" t="s">
        <v>75</v>
      </c>
      <c r="H39" s="36" t="s">
        <v>91</v>
      </c>
      <c r="I39" s="36" t="s">
        <v>67</v>
      </c>
      <c r="J39" s="38"/>
      <c r="K39" s="20" t="str">
        <f>"200,0"</f>
        <v>200,0</v>
      </c>
      <c r="L39" s="20" t="str">
        <f>"213,2000"</f>
        <v>213,2000</v>
      </c>
      <c r="M39" s="18"/>
    </row>
    <row r="40" spans="1:13">
      <c r="A40" s="41" t="s">
        <v>125</v>
      </c>
      <c r="B40" s="21" t="s">
        <v>426</v>
      </c>
      <c r="C40" s="21" t="s">
        <v>395</v>
      </c>
      <c r="D40" s="21" t="s">
        <v>396</v>
      </c>
      <c r="E40" s="22" t="s">
        <v>545</v>
      </c>
      <c r="F40" s="21" t="s">
        <v>397</v>
      </c>
      <c r="G40" s="39" t="s">
        <v>103</v>
      </c>
      <c r="H40" s="39" t="s">
        <v>180</v>
      </c>
      <c r="I40" s="40" t="s">
        <v>398</v>
      </c>
      <c r="J40" s="41"/>
      <c r="K40" s="23" t="str">
        <f>"265,0"</f>
        <v>265,0</v>
      </c>
      <c r="L40" s="23" t="str">
        <f>"277,5080"</f>
        <v>277,5080</v>
      </c>
      <c r="M40" s="21"/>
    </row>
    <row r="42" spans="1:13" ht="16">
      <c r="A42" s="46" t="s">
        <v>82</v>
      </c>
      <c r="B42" s="46"/>
      <c r="C42" s="47"/>
      <c r="D42" s="47"/>
      <c r="E42" s="47"/>
      <c r="F42" s="47"/>
      <c r="G42" s="47"/>
      <c r="H42" s="47"/>
      <c r="I42" s="47"/>
      <c r="J42" s="47"/>
    </row>
    <row r="43" spans="1:13">
      <c r="A43" s="35" t="s">
        <v>125</v>
      </c>
      <c r="B43" s="15" t="s">
        <v>427</v>
      </c>
      <c r="C43" s="15" t="s">
        <v>516</v>
      </c>
      <c r="D43" s="15" t="s">
        <v>248</v>
      </c>
      <c r="E43" s="16" t="s">
        <v>547</v>
      </c>
      <c r="F43" s="15" t="s">
        <v>535</v>
      </c>
      <c r="G43" s="33" t="s">
        <v>74</v>
      </c>
      <c r="H43" s="33" t="s">
        <v>75</v>
      </c>
      <c r="I43" s="33" t="s">
        <v>166</v>
      </c>
      <c r="J43" s="35"/>
      <c r="K43" s="17" t="str">
        <f>"185,0"</f>
        <v>185,0</v>
      </c>
      <c r="L43" s="17" t="str">
        <f>"185,3700"</f>
        <v>185,3700</v>
      </c>
      <c r="M43" s="15"/>
    </row>
    <row r="44" spans="1:13">
      <c r="A44" s="38" t="s">
        <v>128</v>
      </c>
      <c r="B44" s="18" t="s">
        <v>139</v>
      </c>
      <c r="C44" s="18" t="s">
        <v>484</v>
      </c>
      <c r="D44" s="18" t="s">
        <v>83</v>
      </c>
      <c r="E44" s="19" t="s">
        <v>547</v>
      </c>
      <c r="F44" s="18" t="s">
        <v>46</v>
      </c>
      <c r="G44" s="36" t="s">
        <v>29</v>
      </c>
      <c r="H44" s="36" t="s">
        <v>74</v>
      </c>
      <c r="I44" s="36" t="s">
        <v>75</v>
      </c>
      <c r="J44" s="38"/>
      <c r="K44" s="20" t="str">
        <f>"170,0"</f>
        <v>170,0</v>
      </c>
      <c r="L44" s="20" t="str">
        <f>"166,8380"</f>
        <v>166,8380</v>
      </c>
      <c r="M44" s="18"/>
    </row>
    <row r="45" spans="1:13">
      <c r="A45" s="38" t="s">
        <v>125</v>
      </c>
      <c r="B45" s="18" t="s">
        <v>428</v>
      </c>
      <c r="C45" s="18" t="s">
        <v>400</v>
      </c>
      <c r="D45" s="18" t="s">
        <v>223</v>
      </c>
      <c r="E45" s="19" t="s">
        <v>545</v>
      </c>
      <c r="F45" s="18" t="s">
        <v>534</v>
      </c>
      <c r="G45" s="36" t="s">
        <v>186</v>
      </c>
      <c r="H45" s="36" t="s">
        <v>87</v>
      </c>
      <c r="I45" s="37" t="s">
        <v>402</v>
      </c>
      <c r="J45" s="38"/>
      <c r="K45" s="20" t="str">
        <f>"245,0"</f>
        <v>245,0</v>
      </c>
      <c r="L45" s="20" t="str">
        <f>"241,9130"</f>
        <v>241,9130</v>
      </c>
      <c r="M45" s="18"/>
    </row>
    <row r="46" spans="1:13">
      <c r="A46" s="38" t="s">
        <v>128</v>
      </c>
      <c r="B46" s="18" t="s">
        <v>140</v>
      </c>
      <c r="C46" s="18" t="s">
        <v>84</v>
      </c>
      <c r="D46" s="18" t="s">
        <v>85</v>
      </c>
      <c r="E46" s="19" t="s">
        <v>545</v>
      </c>
      <c r="F46" s="18" t="s">
        <v>46</v>
      </c>
      <c r="G46" s="36" t="s">
        <v>86</v>
      </c>
      <c r="H46" s="37" t="s">
        <v>87</v>
      </c>
      <c r="I46" s="36" t="s">
        <v>87</v>
      </c>
      <c r="J46" s="38"/>
      <c r="K46" s="20" t="str">
        <f>"245,0"</f>
        <v>245,0</v>
      </c>
      <c r="L46" s="20" t="str">
        <f>"238,7280"</f>
        <v>238,7280</v>
      </c>
      <c r="M46" s="18"/>
    </row>
    <row r="47" spans="1:13">
      <c r="A47" s="38" t="s">
        <v>130</v>
      </c>
      <c r="B47" s="18" t="s">
        <v>429</v>
      </c>
      <c r="C47" s="18" t="s">
        <v>403</v>
      </c>
      <c r="D47" s="18" t="s">
        <v>404</v>
      </c>
      <c r="E47" s="19" t="s">
        <v>545</v>
      </c>
      <c r="F47" s="18" t="s">
        <v>536</v>
      </c>
      <c r="G47" s="36" t="s">
        <v>91</v>
      </c>
      <c r="H47" s="36" t="s">
        <v>67</v>
      </c>
      <c r="I47" s="36" t="s">
        <v>68</v>
      </c>
      <c r="J47" s="38"/>
      <c r="K47" s="20" t="str">
        <f>"210,0"</f>
        <v>210,0</v>
      </c>
      <c r="L47" s="20" t="str">
        <f>"208,2360"</f>
        <v>208,2360</v>
      </c>
      <c r="M47" s="18" t="s">
        <v>338</v>
      </c>
    </row>
    <row r="48" spans="1:13">
      <c r="A48" s="41" t="s">
        <v>201</v>
      </c>
      <c r="B48" s="21" t="s">
        <v>430</v>
      </c>
      <c r="C48" s="21" t="s">
        <v>405</v>
      </c>
      <c r="D48" s="21" t="s">
        <v>345</v>
      </c>
      <c r="E48" s="22" t="s">
        <v>545</v>
      </c>
      <c r="F48" s="21" t="s">
        <v>537</v>
      </c>
      <c r="G48" s="39" t="s">
        <v>406</v>
      </c>
      <c r="H48" s="40" t="s">
        <v>67</v>
      </c>
      <c r="I48" s="40" t="s">
        <v>258</v>
      </c>
      <c r="J48" s="41"/>
      <c r="K48" s="23" t="str">
        <f>"187,5"</f>
        <v>187,5</v>
      </c>
      <c r="L48" s="23" t="str">
        <f>"185,7750"</f>
        <v>185,7750</v>
      </c>
      <c r="M48" s="21"/>
    </row>
    <row r="50" spans="1:13" ht="16">
      <c r="A50" s="46" t="s">
        <v>88</v>
      </c>
      <c r="B50" s="46"/>
      <c r="C50" s="47"/>
      <c r="D50" s="47"/>
      <c r="E50" s="47"/>
      <c r="F50" s="47"/>
      <c r="G50" s="47"/>
      <c r="H50" s="47"/>
      <c r="I50" s="47"/>
      <c r="J50" s="47"/>
    </row>
    <row r="51" spans="1:13">
      <c r="A51" s="35" t="s">
        <v>125</v>
      </c>
      <c r="B51" s="15" t="s">
        <v>431</v>
      </c>
      <c r="C51" s="15" t="s">
        <v>407</v>
      </c>
      <c r="D51" s="15" t="s">
        <v>408</v>
      </c>
      <c r="E51" s="16" t="s">
        <v>545</v>
      </c>
      <c r="F51" s="15" t="s">
        <v>536</v>
      </c>
      <c r="G51" s="33" t="s">
        <v>111</v>
      </c>
      <c r="H51" s="33" t="s">
        <v>103</v>
      </c>
      <c r="I51" s="33" t="s">
        <v>171</v>
      </c>
      <c r="J51" s="35"/>
      <c r="K51" s="17" t="str">
        <f>"255,0"</f>
        <v>255,0</v>
      </c>
      <c r="L51" s="17" t="str">
        <f>"238,2720"</f>
        <v>238,2720</v>
      </c>
      <c r="M51" s="15" t="s">
        <v>338</v>
      </c>
    </row>
    <row r="52" spans="1:13">
      <c r="A52" s="38" t="s">
        <v>128</v>
      </c>
      <c r="B52" s="18" t="s">
        <v>432</v>
      </c>
      <c r="C52" s="18" t="s">
        <v>409</v>
      </c>
      <c r="D52" s="18" t="s">
        <v>361</v>
      </c>
      <c r="E52" s="19" t="s">
        <v>545</v>
      </c>
      <c r="F52" s="18" t="s">
        <v>46</v>
      </c>
      <c r="G52" s="36" t="s">
        <v>152</v>
      </c>
      <c r="H52" s="36" t="s">
        <v>111</v>
      </c>
      <c r="I52" s="37" t="s">
        <v>103</v>
      </c>
      <c r="J52" s="38"/>
      <c r="K52" s="20" t="str">
        <f>"240,0"</f>
        <v>240,0</v>
      </c>
      <c r="L52" s="20" t="str">
        <f>"221,9040"</f>
        <v>221,9040</v>
      </c>
      <c r="M52" s="18"/>
    </row>
    <row r="53" spans="1:13">
      <c r="A53" s="38" t="s">
        <v>130</v>
      </c>
      <c r="B53" s="18" t="s">
        <v>433</v>
      </c>
      <c r="C53" s="18" t="s">
        <v>410</v>
      </c>
      <c r="D53" s="18" t="s">
        <v>411</v>
      </c>
      <c r="E53" s="19" t="s">
        <v>545</v>
      </c>
      <c r="F53" s="18" t="s">
        <v>72</v>
      </c>
      <c r="G53" s="36" t="s">
        <v>157</v>
      </c>
      <c r="H53" s="36" t="s">
        <v>186</v>
      </c>
      <c r="I53" s="37" t="s">
        <v>412</v>
      </c>
      <c r="J53" s="38"/>
      <c r="K53" s="20" t="str">
        <f>"235,0"</f>
        <v>235,0</v>
      </c>
      <c r="L53" s="20" t="str">
        <f>"219,1610"</f>
        <v>219,1610</v>
      </c>
      <c r="M53" s="18"/>
    </row>
    <row r="54" spans="1:13">
      <c r="A54" s="41" t="s">
        <v>201</v>
      </c>
      <c r="B54" s="21" t="s">
        <v>341</v>
      </c>
      <c r="C54" s="21" t="s">
        <v>311</v>
      </c>
      <c r="D54" s="21" t="s">
        <v>312</v>
      </c>
      <c r="E54" s="22" t="s">
        <v>545</v>
      </c>
      <c r="F54" s="21" t="s">
        <v>252</v>
      </c>
      <c r="G54" s="40" t="s">
        <v>107</v>
      </c>
      <c r="H54" s="39" t="s">
        <v>107</v>
      </c>
      <c r="I54" s="39" t="s">
        <v>91</v>
      </c>
      <c r="J54" s="41"/>
      <c r="K54" s="23" t="str">
        <f>"190,0"</f>
        <v>190,0</v>
      </c>
      <c r="L54" s="23" t="str">
        <f>"177,7260"</f>
        <v>177,7260</v>
      </c>
      <c r="M54" s="21" t="s">
        <v>454</v>
      </c>
    </row>
    <row r="56" spans="1:13" ht="16">
      <c r="A56" s="46" t="s">
        <v>256</v>
      </c>
      <c r="B56" s="46"/>
      <c r="C56" s="47"/>
      <c r="D56" s="47"/>
      <c r="E56" s="47"/>
      <c r="F56" s="47"/>
      <c r="G56" s="47"/>
      <c r="H56" s="47"/>
      <c r="I56" s="47"/>
      <c r="J56" s="47"/>
    </row>
    <row r="57" spans="1:13">
      <c r="A57" s="32" t="s">
        <v>125</v>
      </c>
      <c r="B57" s="11" t="s">
        <v>434</v>
      </c>
      <c r="C57" s="11" t="s">
        <v>414</v>
      </c>
      <c r="D57" s="11" t="s">
        <v>415</v>
      </c>
      <c r="E57" s="12" t="s">
        <v>545</v>
      </c>
      <c r="F57" s="11" t="s">
        <v>533</v>
      </c>
      <c r="G57" s="30" t="s">
        <v>104</v>
      </c>
      <c r="H57" s="30" t="s">
        <v>174</v>
      </c>
      <c r="I57" s="31" t="s">
        <v>416</v>
      </c>
      <c r="J57" s="32"/>
      <c r="K57" s="13" t="str">
        <f>"280,0"</f>
        <v>280,0</v>
      </c>
      <c r="L57" s="13" t="str">
        <f>"246,7360"</f>
        <v>246,7360</v>
      </c>
      <c r="M57" s="11"/>
    </row>
    <row r="59" spans="1:13" ht="16">
      <c r="F59" s="8"/>
      <c r="G59" s="5"/>
      <c r="K59" s="10"/>
      <c r="M59" s="7"/>
    </row>
    <row r="60" spans="1:13">
      <c r="G60" s="5"/>
      <c r="K60" s="10"/>
      <c r="M60" s="7"/>
    </row>
    <row r="61" spans="1:13" ht="18">
      <c r="B61" s="9" t="s">
        <v>7</v>
      </c>
      <c r="C61" s="9"/>
      <c r="K61" s="10"/>
      <c r="M61" s="7"/>
    </row>
    <row r="62" spans="1:13" ht="16">
      <c r="B62" s="14" t="s">
        <v>112</v>
      </c>
      <c r="C62" s="14"/>
      <c r="K62" s="10"/>
      <c r="M62" s="7"/>
    </row>
    <row r="63" spans="1:13" ht="14">
      <c r="B63" s="24"/>
      <c r="C63" s="25" t="s">
        <v>113</v>
      </c>
      <c r="K63" s="10"/>
      <c r="M63" s="7"/>
    </row>
    <row r="64" spans="1:13" ht="14">
      <c r="B64" s="26" t="s">
        <v>114</v>
      </c>
      <c r="C64" s="26" t="s">
        <v>115</v>
      </c>
      <c r="D64" s="26" t="s">
        <v>530</v>
      </c>
      <c r="E64" s="27" t="s">
        <v>259</v>
      </c>
      <c r="F64" s="26" t="s">
        <v>117</v>
      </c>
      <c r="K64" s="10"/>
      <c r="M64" s="7"/>
    </row>
    <row r="65" spans="2:13">
      <c r="B65" s="5" t="s">
        <v>22</v>
      </c>
      <c r="C65" s="5" t="s">
        <v>113</v>
      </c>
      <c r="D65" s="10" t="s">
        <v>118</v>
      </c>
      <c r="E65" s="29">
        <v>150</v>
      </c>
      <c r="F65" s="28">
        <v>271.19999527931202</v>
      </c>
      <c r="K65" s="10"/>
      <c r="M65" s="7"/>
    </row>
    <row r="66" spans="2:13">
      <c r="B66" s="5" t="s">
        <v>282</v>
      </c>
      <c r="C66" s="5" t="s">
        <v>113</v>
      </c>
      <c r="D66" s="10" t="s">
        <v>320</v>
      </c>
      <c r="E66" s="29">
        <v>160</v>
      </c>
      <c r="F66" s="28">
        <v>248.99200439453099</v>
      </c>
      <c r="K66" s="10"/>
      <c r="M66" s="7"/>
    </row>
    <row r="67" spans="2:13">
      <c r="B67" s="5" t="s">
        <v>30</v>
      </c>
      <c r="C67" s="5" t="s">
        <v>113</v>
      </c>
      <c r="D67" s="10" t="s">
        <v>118</v>
      </c>
      <c r="E67" s="29">
        <v>135</v>
      </c>
      <c r="F67" s="28">
        <v>247.265993356705</v>
      </c>
      <c r="K67" s="10"/>
      <c r="M67" s="7"/>
    </row>
    <row r="68" spans="2:13">
      <c r="K68" s="10"/>
      <c r="M68" s="7"/>
    </row>
    <row r="69" spans="2:13" ht="16">
      <c r="B69" s="14" t="s">
        <v>120</v>
      </c>
      <c r="C69" s="14"/>
      <c r="K69" s="10"/>
      <c r="M69" s="7"/>
    </row>
    <row r="70" spans="2:13" ht="14">
      <c r="B70" s="24"/>
      <c r="C70" s="25" t="s">
        <v>121</v>
      </c>
      <c r="K70" s="10"/>
      <c r="M70" s="7"/>
    </row>
    <row r="71" spans="2:13" ht="14">
      <c r="B71" s="26" t="s">
        <v>114</v>
      </c>
      <c r="C71" s="26" t="s">
        <v>115</v>
      </c>
      <c r="D71" s="26" t="s">
        <v>530</v>
      </c>
      <c r="E71" s="27" t="s">
        <v>259</v>
      </c>
      <c r="F71" s="26" t="s">
        <v>117</v>
      </c>
      <c r="K71" s="10"/>
      <c r="M71" s="7"/>
    </row>
    <row r="72" spans="2:13">
      <c r="B72" s="5" t="s">
        <v>390</v>
      </c>
      <c r="C72" s="5" t="s">
        <v>517</v>
      </c>
      <c r="D72" s="10" t="s">
        <v>320</v>
      </c>
      <c r="E72" s="29">
        <v>210</v>
      </c>
      <c r="F72" s="28">
        <v>244.355993270874</v>
      </c>
      <c r="K72" s="10"/>
      <c r="M72" s="7"/>
    </row>
    <row r="73" spans="2:13">
      <c r="B73" s="5" t="s">
        <v>70</v>
      </c>
      <c r="C73" s="5" t="s">
        <v>518</v>
      </c>
      <c r="D73" s="10" t="s">
        <v>119</v>
      </c>
      <c r="E73" s="29">
        <v>170</v>
      </c>
      <c r="F73" s="28">
        <v>215.89999675750701</v>
      </c>
      <c r="K73" s="10"/>
      <c r="M73" s="7"/>
    </row>
    <row r="74" spans="2:13">
      <c r="B74" s="5" t="s">
        <v>392</v>
      </c>
      <c r="C74" s="5" t="s">
        <v>518</v>
      </c>
      <c r="D74" s="10" t="s">
        <v>195</v>
      </c>
      <c r="E74" s="29">
        <v>200</v>
      </c>
      <c r="F74" s="28">
        <v>213.19999694824199</v>
      </c>
      <c r="K74" s="10"/>
      <c r="M74" s="7"/>
    </row>
    <row r="75" spans="2:13">
      <c r="K75" s="10"/>
      <c r="M75" s="7"/>
    </row>
    <row r="76" spans="2:13" ht="14">
      <c r="B76" s="24"/>
      <c r="C76" s="25" t="s">
        <v>113</v>
      </c>
      <c r="K76" s="10"/>
      <c r="M76" s="7"/>
    </row>
    <row r="77" spans="2:13" ht="14">
      <c r="B77" s="26" t="s">
        <v>114</v>
      </c>
      <c r="C77" s="26" t="s">
        <v>115</v>
      </c>
      <c r="D77" s="26" t="s">
        <v>530</v>
      </c>
      <c r="E77" s="27" t="s">
        <v>259</v>
      </c>
      <c r="F77" s="26" t="s">
        <v>117</v>
      </c>
      <c r="K77" s="10"/>
      <c r="M77" s="7"/>
    </row>
    <row r="78" spans="2:13">
      <c r="B78" s="5" t="s">
        <v>394</v>
      </c>
      <c r="C78" s="5" t="s">
        <v>113</v>
      </c>
      <c r="D78" s="10" t="s">
        <v>195</v>
      </c>
      <c r="E78" s="29">
        <v>265</v>
      </c>
      <c r="F78" s="28">
        <v>277.50799059867899</v>
      </c>
      <c r="K78" s="10"/>
      <c r="M78" s="7"/>
    </row>
    <row r="79" spans="2:13">
      <c r="B79" s="5" t="s">
        <v>413</v>
      </c>
      <c r="C79" s="5" t="s">
        <v>113</v>
      </c>
      <c r="D79" s="10" t="s">
        <v>260</v>
      </c>
      <c r="E79" s="29">
        <v>280</v>
      </c>
      <c r="F79" s="28">
        <v>246.73600435257001</v>
      </c>
      <c r="K79" s="10"/>
      <c r="M79" s="7"/>
    </row>
    <row r="80" spans="2:13">
      <c r="B80" s="5" t="s">
        <v>399</v>
      </c>
      <c r="C80" s="5" t="s">
        <v>113</v>
      </c>
      <c r="D80" s="10" t="s">
        <v>123</v>
      </c>
      <c r="E80" s="29">
        <v>245</v>
      </c>
      <c r="F80" s="28">
        <v>241.91299885511401</v>
      </c>
      <c r="K80" s="10"/>
      <c r="M80" s="7"/>
    </row>
    <row r="81" spans="5:13">
      <c r="E81" s="5"/>
      <c r="F81" s="6"/>
      <c r="G81" s="5"/>
      <c r="K81" s="10"/>
      <c r="M81" s="7"/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56:J56"/>
    <mergeCell ref="A8:J8"/>
    <mergeCell ref="A12:J12"/>
    <mergeCell ref="A16:J16"/>
    <mergeCell ref="A19:J19"/>
    <mergeCell ref="A24:J24"/>
    <mergeCell ref="A27:J27"/>
    <mergeCell ref="A30:J30"/>
    <mergeCell ref="A34:J34"/>
    <mergeCell ref="A37:J37"/>
    <mergeCell ref="A42:J42"/>
    <mergeCell ref="A50:J5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1AC2-3781-4DB0-B975-2F2BC6C4DA0A}">
  <dimension ref="A1:M32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4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5.33203125" style="5" customWidth="1"/>
    <col min="14" max="16384" width="9.1640625" style="3"/>
  </cols>
  <sheetData>
    <row r="1" spans="1:13" s="2" customFormat="1" ht="29" customHeight="1">
      <c r="A1" s="58" t="s">
        <v>477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10</v>
      </c>
      <c r="H3" s="70"/>
      <c r="I3" s="70"/>
      <c r="J3" s="70"/>
      <c r="K3" s="52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11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125</v>
      </c>
      <c r="B6" s="11" t="s">
        <v>369</v>
      </c>
      <c r="C6" s="11" t="s">
        <v>519</v>
      </c>
      <c r="D6" s="11" t="s">
        <v>347</v>
      </c>
      <c r="E6" s="12" t="s">
        <v>547</v>
      </c>
      <c r="F6" s="11" t="s">
        <v>278</v>
      </c>
      <c r="G6" s="31" t="s">
        <v>15</v>
      </c>
      <c r="H6" s="30" t="s">
        <v>79</v>
      </c>
      <c r="I6" s="30" t="s">
        <v>16</v>
      </c>
      <c r="J6" s="32"/>
      <c r="K6" s="13" t="str">
        <f>"90,0"</f>
        <v>90,0</v>
      </c>
      <c r="L6" s="13" t="str">
        <f>"178,5600"</f>
        <v>178,5600</v>
      </c>
      <c r="M6" s="11"/>
    </row>
    <row r="8" spans="1:13" ht="16">
      <c r="A8" s="46" t="s">
        <v>212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2" t="s">
        <v>125</v>
      </c>
      <c r="B9" s="11" t="s">
        <v>370</v>
      </c>
      <c r="C9" s="11" t="s">
        <v>348</v>
      </c>
      <c r="D9" s="11" t="s">
        <v>349</v>
      </c>
      <c r="E9" s="12" t="s">
        <v>545</v>
      </c>
      <c r="F9" s="11" t="s">
        <v>61</v>
      </c>
      <c r="G9" s="30" t="s">
        <v>111</v>
      </c>
      <c r="H9" s="31" t="s">
        <v>103</v>
      </c>
      <c r="I9" s="32"/>
      <c r="J9" s="32"/>
      <c r="K9" s="13" t="str">
        <f>"240,0"</f>
        <v>240,0</v>
      </c>
      <c r="L9" s="13" t="str">
        <f>"379,9200"</f>
        <v>379,9200</v>
      </c>
      <c r="M9" s="11" t="s">
        <v>350</v>
      </c>
    </row>
    <row r="11" spans="1:13" ht="16">
      <c r="A11" s="46" t="s">
        <v>44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35" t="s">
        <v>125</v>
      </c>
      <c r="B12" s="15" t="s">
        <v>371</v>
      </c>
      <c r="C12" s="15" t="s">
        <v>520</v>
      </c>
      <c r="D12" s="15" t="s">
        <v>351</v>
      </c>
      <c r="E12" s="16" t="s">
        <v>548</v>
      </c>
      <c r="F12" s="15" t="s">
        <v>278</v>
      </c>
      <c r="G12" s="33" t="s">
        <v>39</v>
      </c>
      <c r="H12" s="33" t="s">
        <v>28</v>
      </c>
      <c r="I12" s="34" t="s">
        <v>29</v>
      </c>
      <c r="J12" s="35"/>
      <c r="K12" s="17" t="str">
        <f>"140,0"</f>
        <v>140,0</v>
      </c>
      <c r="L12" s="17" t="str">
        <f>"180,8800"</f>
        <v>180,8800</v>
      </c>
      <c r="M12" s="15"/>
    </row>
    <row r="13" spans="1:13">
      <c r="A13" s="41" t="s">
        <v>125</v>
      </c>
      <c r="B13" s="21" t="s">
        <v>372</v>
      </c>
      <c r="C13" s="21" t="s">
        <v>352</v>
      </c>
      <c r="D13" s="21" t="s">
        <v>353</v>
      </c>
      <c r="E13" s="22" t="s">
        <v>545</v>
      </c>
      <c r="F13" s="21" t="s">
        <v>72</v>
      </c>
      <c r="G13" s="39" t="s">
        <v>68</v>
      </c>
      <c r="H13" s="39" t="s">
        <v>100</v>
      </c>
      <c r="I13" s="39" t="s">
        <v>157</v>
      </c>
      <c r="J13" s="41"/>
      <c r="K13" s="23" t="str">
        <f>"225,0"</f>
        <v>225,0</v>
      </c>
      <c r="L13" s="23" t="str">
        <f>"283,9050"</f>
        <v>283,9050</v>
      </c>
      <c r="M13" s="21" t="s">
        <v>354</v>
      </c>
    </row>
    <row r="15" spans="1:13" ht="16">
      <c r="A15" s="46" t="s">
        <v>212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32" t="s">
        <v>125</v>
      </c>
      <c r="B16" s="11" t="s">
        <v>373</v>
      </c>
      <c r="C16" s="11" t="s">
        <v>521</v>
      </c>
      <c r="D16" s="11" t="s">
        <v>355</v>
      </c>
      <c r="E16" s="12" t="s">
        <v>551</v>
      </c>
      <c r="F16" s="11" t="s">
        <v>72</v>
      </c>
      <c r="G16" s="30" t="s">
        <v>185</v>
      </c>
      <c r="H16" s="30" t="s">
        <v>86</v>
      </c>
      <c r="I16" s="30" t="s">
        <v>356</v>
      </c>
      <c r="J16" s="32"/>
      <c r="K16" s="13" t="str">
        <f>"237,5"</f>
        <v>237,5</v>
      </c>
      <c r="L16" s="13" t="str">
        <f>"362,9475"</f>
        <v>362,9475</v>
      </c>
      <c r="M16" s="11"/>
    </row>
    <row r="18" spans="1:13" ht="16">
      <c r="A18" s="46" t="s">
        <v>82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32" t="s">
        <v>125</v>
      </c>
      <c r="B19" s="11" t="s">
        <v>374</v>
      </c>
      <c r="C19" s="11" t="s">
        <v>357</v>
      </c>
      <c r="D19" s="11" t="s">
        <v>358</v>
      </c>
      <c r="E19" s="12" t="s">
        <v>545</v>
      </c>
      <c r="F19" s="11" t="s">
        <v>534</v>
      </c>
      <c r="G19" s="30" t="s">
        <v>104</v>
      </c>
      <c r="H19" s="30" t="s">
        <v>181</v>
      </c>
      <c r="I19" s="31" t="s">
        <v>190</v>
      </c>
      <c r="J19" s="32"/>
      <c r="K19" s="13" t="str">
        <f>"275,0"</f>
        <v>275,0</v>
      </c>
      <c r="L19" s="13" t="str">
        <f>"266,8600"</f>
        <v>266,8600</v>
      </c>
      <c r="M19" s="11"/>
    </row>
    <row r="21" spans="1:13" ht="16">
      <c r="A21" s="46" t="s">
        <v>88</v>
      </c>
      <c r="B21" s="46"/>
      <c r="C21" s="47"/>
      <c r="D21" s="47"/>
      <c r="E21" s="47"/>
      <c r="F21" s="47"/>
      <c r="G21" s="47"/>
      <c r="H21" s="47"/>
      <c r="I21" s="47"/>
      <c r="J21" s="47"/>
    </row>
    <row r="22" spans="1:13">
      <c r="A22" s="35" t="s">
        <v>125</v>
      </c>
      <c r="B22" s="15" t="s">
        <v>375</v>
      </c>
      <c r="C22" s="15" t="s">
        <v>360</v>
      </c>
      <c r="D22" s="15" t="s">
        <v>361</v>
      </c>
      <c r="E22" s="16" t="s">
        <v>545</v>
      </c>
      <c r="F22" s="15" t="s">
        <v>72</v>
      </c>
      <c r="G22" s="33" t="s">
        <v>104</v>
      </c>
      <c r="H22" s="34" t="s">
        <v>181</v>
      </c>
      <c r="I22" s="34" t="s">
        <v>181</v>
      </c>
      <c r="J22" s="35"/>
      <c r="K22" s="17" t="str">
        <f>"260,0"</f>
        <v>260,0</v>
      </c>
      <c r="L22" s="17" t="str">
        <f>"240,3960"</f>
        <v>240,3960</v>
      </c>
      <c r="M22" s="15"/>
    </row>
    <row r="23" spans="1:13">
      <c r="A23" s="38" t="s">
        <v>128</v>
      </c>
      <c r="B23" s="18" t="s">
        <v>376</v>
      </c>
      <c r="C23" s="18" t="s">
        <v>362</v>
      </c>
      <c r="D23" s="18" t="s">
        <v>363</v>
      </c>
      <c r="E23" s="19" t="s">
        <v>545</v>
      </c>
      <c r="F23" s="18" t="s">
        <v>46</v>
      </c>
      <c r="G23" s="36" t="s">
        <v>67</v>
      </c>
      <c r="H23" s="37" t="s">
        <v>100</v>
      </c>
      <c r="I23" s="37" t="s">
        <v>86</v>
      </c>
      <c r="J23" s="38"/>
      <c r="K23" s="20" t="str">
        <f>"200,0"</f>
        <v>200,0</v>
      </c>
      <c r="L23" s="20" t="str">
        <f>"189,4000"</f>
        <v>189,4000</v>
      </c>
      <c r="M23" s="18"/>
    </row>
    <row r="24" spans="1:13">
      <c r="A24" s="41" t="s">
        <v>125</v>
      </c>
      <c r="B24" s="21" t="s">
        <v>377</v>
      </c>
      <c r="C24" s="21" t="s">
        <v>522</v>
      </c>
      <c r="D24" s="21" t="s">
        <v>364</v>
      </c>
      <c r="E24" s="22" t="s">
        <v>552</v>
      </c>
      <c r="F24" s="21" t="s">
        <v>539</v>
      </c>
      <c r="G24" s="39" t="s">
        <v>29</v>
      </c>
      <c r="H24" s="39" t="s">
        <v>74</v>
      </c>
      <c r="I24" s="40" t="s">
        <v>66</v>
      </c>
      <c r="J24" s="41"/>
      <c r="K24" s="23" t="str">
        <f>"160,0"</f>
        <v>160,0</v>
      </c>
      <c r="L24" s="23" t="str">
        <f>"237,5795"</f>
        <v>237,5795</v>
      </c>
      <c r="M24" s="21"/>
    </row>
    <row r="26" spans="1:13" ht="16">
      <c r="A26" s="46" t="s">
        <v>105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35" t="s">
        <v>125</v>
      </c>
      <c r="B27" s="15" t="s">
        <v>378</v>
      </c>
      <c r="C27" s="15" t="s">
        <v>523</v>
      </c>
      <c r="D27" s="15" t="s">
        <v>365</v>
      </c>
      <c r="E27" s="16" t="s">
        <v>549</v>
      </c>
      <c r="F27" s="15" t="s">
        <v>72</v>
      </c>
      <c r="G27" s="33" t="s">
        <v>74</v>
      </c>
      <c r="H27" s="33" t="s">
        <v>75</v>
      </c>
      <c r="I27" s="33" t="s">
        <v>76</v>
      </c>
      <c r="J27" s="35"/>
      <c r="K27" s="17" t="str">
        <f>"175,0"</f>
        <v>175,0</v>
      </c>
      <c r="L27" s="17" t="str">
        <f>"158,3400"</f>
        <v>158,3400</v>
      </c>
      <c r="M27" s="15"/>
    </row>
    <row r="28" spans="1:13">
      <c r="A28" s="38" t="s">
        <v>125</v>
      </c>
      <c r="B28" s="18" t="s">
        <v>379</v>
      </c>
      <c r="C28" s="18" t="s">
        <v>366</v>
      </c>
      <c r="D28" s="18" t="s">
        <v>367</v>
      </c>
      <c r="E28" s="19" t="s">
        <v>545</v>
      </c>
      <c r="F28" s="18" t="s">
        <v>46</v>
      </c>
      <c r="G28" s="36" t="s">
        <v>174</v>
      </c>
      <c r="H28" s="36" t="s">
        <v>194</v>
      </c>
      <c r="I28" s="37" t="s">
        <v>190</v>
      </c>
      <c r="J28" s="38"/>
      <c r="K28" s="20" t="str">
        <f>"290,0"</f>
        <v>290,0</v>
      </c>
      <c r="L28" s="20" t="str">
        <f>"257,4620"</f>
        <v>257,4620</v>
      </c>
      <c r="M28" s="18"/>
    </row>
    <row r="29" spans="1:13">
      <c r="A29" s="38" t="s">
        <v>128</v>
      </c>
      <c r="B29" s="18" t="s">
        <v>207</v>
      </c>
      <c r="C29" s="18" t="s">
        <v>192</v>
      </c>
      <c r="D29" s="18" t="s">
        <v>193</v>
      </c>
      <c r="E29" s="19" t="s">
        <v>545</v>
      </c>
      <c r="F29" s="18" t="s">
        <v>72</v>
      </c>
      <c r="G29" s="36" t="s">
        <v>181</v>
      </c>
      <c r="H29" s="37" t="s">
        <v>194</v>
      </c>
      <c r="I29" s="37" t="s">
        <v>194</v>
      </c>
      <c r="J29" s="38"/>
      <c r="K29" s="20" t="str">
        <f>"275,0"</f>
        <v>275,0</v>
      </c>
      <c r="L29" s="20" t="str">
        <f>"244,7500"</f>
        <v>244,7500</v>
      </c>
      <c r="M29" s="18" t="s">
        <v>538</v>
      </c>
    </row>
    <row r="30" spans="1:13">
      <c r="A30" s="41" t="s">
        <v>125</v>
      </c>
      <c r="B30" s="21" t="s">
        <v>380</v>
      </c>
      <c r="C30" s="21" t="s">
        <v>524</v>
      </c>
      <c r="D30" s="21" t="s">
        <v>368</v>
      </c>
      <c r="E30" s="22" t="s">
        <v>554</v>
      </c>
      <c r="F30" s="21" t="s">
        <v>46</v>
      </c>
      <c r="G30" s="39" t="s">
        <v>87</v>
      </c>
      <c r="H30" s="39" t="s">
        <v>171</v>
      </c>
      <c r="I30" s="41"/>
      <c r="J30" s="41"/>
      <c r="K30" s="23" t="str">
        <f>"255,0"</f>
        <v>255,0</v>
      </c>
      <c r="L30" s="23" t="str">
        <f>"262,2765"</f>
        <v>262,2765</v>
      </c>
      <c r="M30" s="21"/>
    </row>
    <row r="32" spans="1:13">
      <c r="G32" s="5"/>
      <c r="K32" s="10"/>
      <c r="M32" s="7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26:J26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21:J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7B6D-D235-47C8-A65B-2A548ABD242D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33203125" style="5" bestFit="1" customWidth="1"/>
    <col min="7" max="8" width="5.5" style="10" customWidth="1"/>
    <col min="9" max="9" width="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8" t="s">
        <v>478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10</v>
      </c>
      <c r="H3" s="70"/>
      <c r="I3" s="70"/>
      <c r="J3" s="70"/>
      <c r="K3" s="52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212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125</v>
      </c>
      <c r="B6" s="11" t="s">
        <v>370</v>
      </c>
      <c r="C6" s="11" t="s">
        <v>348</v>
      </c>
      <c r="D6" s="11" t="s">
        <v>349</v>
      </c>
      <c r="E6" s="12" t="s">
        <v>545</v>
      </c>
      <c r="F6" s="11" t="s">
        <v>61</v>
      </c>
      <c r="G6" s="30" t="s">
        <v>111</v>
      </c>
      <c r="H6" s="31" t="s">
        <v>103</v>
      </c>
      <c r="I6" s="32"/>
      <c r="J6" s="32"/>
      <c r="K6" s="13" t="str">
        <f>"240,0"</f>
        <v>240,0</v>
      </c>
      <c r="L6" s="13" t="str">
        <f>"379,9200"</f>
        <v>379,9200</v>
      </c>
      <c r="M6" s="11" t="s">
        <v>350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4E98F-FEFB-415A-BABB-FFDEC2B268AB}">
  <dimension ref="A1:U14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6.6640625" style="5" bestFit="1" customWidth="1"/>
    <col min="22" max="16384" width="9.1640625" style="3"/>
  </cols>
  <sheetData>
    <row r="1" spans="1:21" s="2" customFormat="1" ht="29" customHeight="1">
      <c r="A1" s="58" t="s">
        <v>465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2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3"/>
      <c r="U4" s="55"/>
    </row>
    <row r="5" spans="1:21" ht="16">
      <c r="A5" s="56" t="s">
        <v>44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35" t="s">
        <v>125</v>
      </c>
      <c r="B6" s="15" t="s">
        <v>242</v>
      </c>
      <c r="C6" s="15" t="s">
        <v>487</v>
      </c>
      <c r="D6" s="15" t="s">
        <v>236</v>
      </c>
      <c r="E6" s="16" t="s">
        <v>547</v>
      </c>
      <c r="F6" s="15" t="s">
        <v>72</v>
      </c>
      <c r="G6" s="33" t="s">
        <v>33</v>
      </c>
      <c r="H6" s="33" t="s">
        <v>20</v>
      </c>
      <c r="I6" s="34" t="s">
        <v>43</v>
      </c>
      <c r="J6" s="35"/>
      <c r="K6" s="34" t="s">
        <v>55</v>
      </c>
      <c r="L6" s="33" t="s">
        <v>55</v>
      </c>
      <c r="M6" s="34" t="s">
        <v>14</v>
      </c>
      <c r="N6" s="35"/>
      <c r="O6" s="34" t="s">
        <v>51</v>
      </c>
      <c r="P6" s="33" t="s">
        <v>51</v>
      </c>
      <c r="Q6" s="34" t="s">
        <v>63</v>
      </c>
      <c r="R6" s="35"/>
      <c r="S6" s="17" t="str">
        <f>"292,5"</f>
        <v>292,5</v>
      </c>
      <c r="T6" s="17" t="str">
        <f>"370,8900"</f>
        <v>370,8900</v>
      </c>
      <c r="U6" s="15"/>
    </row>
    <row r="7" spans="1:21">
      <c r="A7" s="41" t="s">
        <v>125</v>
      </c>
      <c r="B7" s="21" t="s">
        <v>243</v>
      </c>
      <c r="C7" s="21" t="s">
        <v>488</v>
      </c>
      <c r="D7" s="21" t="s">
        <v>237</v>
      </c>
      <c r="E7" s="22" t="s">
        <v>550</v>
      </c>
      <c r="F7" s="21" t="s">
        <v>72</v>
      </c>
      <c r="G7" s="40" t="s">
        <v>20</v>
      </c>
      <c r="H7" s="39" t="s">
        <v>20</v>
      </c>
      <c r="I7" s="40" t="s">
        <v>48</v>
      </c>
      <c r="J7" s="41"/>
      <c r="K7" s="39" t="s">
        <v>27</v>
      </c>
      <c r="L7" s="40" t="s">
        <v>14</v>
      </c>
      <c r="M7" s="39" t="s">
        <v>14</v>
      </c>
      <c r="N7" s="41"/>
      <c r="O7" s="39" t="s">
        <v>57</v>
      </c>
      <c r="P7" s="40" t="s">
        <v>73</v>
      </c>
      <c r="Q7" s="39" t="s">
        <v>73</v>
      </c>
      <c r="R7" s="41"/>
      <c r="S7" s="23" t="str">
        <f>"305,0"</f>
        <v>305,0</v>
      </c>
      <c r="T7" s="23" t="str">
        <f>"391,9860"</f>
        <v>391,9860</v>
      </c>
      <c r="U7" s="21" t="s">
        <v>373</v>
      </c>
    </row>
    <row r="9" spans="1:21" ht="16">
      <c r="A9" s="46" t="s">
        <v>52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1">
      <c r="A10" s="35" t="s">
        <v>125</v>
      </c>
      <c r="B10" s="15" t="s">
        <v>244</v>
      </c>
      <c r="C10" s="15" t="s">
        <v>489</v>
      </c>
      <c r="D10" s="15" t="s">
        <v>238</v>
      </c>
      <c r="E10" s="16" t="s">
        <v>548</v>
      </c>
      <c r="F10" s="15" t="s">
        <v>72</v>
      </c>
      <c r="G10" s="34" t="s">
        <v>20</v>
      </c>
      <c r="H10" s="33" t="s">
        <v>48</v>
      </c>
      <c r="I10" s="34" t="s">
        <v>56</v>
      </c>
      <c r="J10" s="35"/>
      <c r="K10" s="33" t="s">
        <v>16</v>
      </c>
      <c r="L10" s="33" t="s">
        <v>33</v>
      </c>
      <c r="M10" s="34" t="s">
        <v>20</v>
      </c>
      <c r="N10" s="35"/>
      <c r="O10" s="33" t="s">
        <v>57</v>
      </c>
      <c r="P10" s="33" t="s">
        <v>73</v>
      </c>
      <c r="Q10" s="34" t="s">
        <v>28</v>
      </c>
      <c r="R10" s="35"/>
      <c r="S10" s="17" t="str">
        <f>"332,5"</f>
        <v>332,5</v>
      </c>
      <c r="T10" s="17" t="str">
        <f>"345,9995"</f>
        <v>345,9995</v>
      </c>
      <c r="U10" s="15"/>
    </row>
    <row r="11" spans="1:21">
      <c r="A11" s="41" t="s">
        <v>125</v>
      </c>
      <c r="B11" s="21" t="s">
        <v>245</v>
      </c>
      <c r="C11" s="21" t="s">
        <v>490</v>
      </c>
      <c r="D11" s="21" t="s">
        <v>239</v>
      </c>
      <c r="E11" s="22" t="s">
        <v>550</v>
      </c>
      <c r="F11" s="21" t="s">
        <v>72</v>
      </c>
      <c r="G11" s="40" t="s">
        <v>76</v>
      </c>
      <c r="H11" s="39" t="s">
        <v>166</v>
      </c>
      <c r="I11" s="39" t="s">
        <v>91</v>
      </c>
      <c r="J11" s="41"/>
      <c r="K11" s="39" t="s">
        <v>33</v>
      </c>
      <c r="L11" s="39" t="s">
        <v>47</v>
      </c>
      <c r="M11" s="39" t="s">
        <v>50</v>
      </c>
      <c r="N11" s="41"/>
      <c r="O11" s="39" t="s">
        <v>96</v>
      </c>
      <c r="P11" s="39" t="s">
        <v>68</v>
      </c>
      <c r="Q11" s="39" t="s">
        <v>157</v>
      </c>
      <c r="R11" s="41"/>
      <c r="S11" s="23" t="str">
        <f>"525,0"</f>
        <v>525,0</v>
      </c>
      <c r="T11" s="23" t="str">
        <f>"541,5900"</f>
        <v>541,5900</v>
      </c>
      <c r="U11" s="21" t="s">
        <v>456</v>
      </c>
    </row>
    <row r="13" spans="1:21" ht="16">
      <c r="A13" s="46" t="s">
        <v>82</v>
      </c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1">
      <c r="A14" s="32" t="s">
        <v>125</v>
      </c>
      <c r="B14" s="11" t="s">
        <v>246</v>
      </c>
      <c r="C14" s="11" t="s">
        <v>240</v>
      </c>
      <c r="D14" s="11" t="s">
        <v>241</v>
      </c>
      <c r="E14" s="12" t="s">
        <v>545</v>
      </c>
      <c r="F14" s="11" t="s">
        <v>72</v>
      </c>
      <c r="G14" s="30" t="s">
        <v>29</v>
      </c>
      <c r="H14" s="30" t="s">
        <v>74</v>
      </c>
      <c r="I14" s="31" t="s">
        <v>165</v>
      </c>
      <c r="J14" s="32"/>
      <c r="K14" s="30" t="s">
        <v>20</v>
      </c>
      <c r="L14" s="31" t="s">
        <v>50</v>
      </c>
      <c r="M14" s="30" t="s">
        <v>50</v>
      </c>
      <c r="N14" s="32"/>
      <c r="O14" s="30" t="s">
        <v>74</v>
      </c>
      <c r="P14" s="30" t="s">
        <v>75</v>
      </c>
      <c r="Q14" s="31" t="s">
        <v>107</v>
      </c>
      <c r="R14" s="32"/>
      <c r="S14" s="13" t="str">
        <f>"440,0"</f>
        <v>440,0</v>
      </c>
      <c r="T14" s="13" t="str">
        <f>"439,8240"</f>
        <v>439,8240</v>
      </c>
      <c r="U14" s="11" t="s">
        <v>461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3:R13"/>
    <mergeCell ref="B3:B4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E071-8147-41A2-843C-E111A55168F9}">
  <dimension ref="A1:U20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1.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0" style="5" customWidth="1"/>
    <col min="22" max="16384" width="9.1640625" style="3"/>
  </cols>
  <sheetData>
    <row r="1" spans="1:21" s="2" customFormat="1" ht="29" customHeight="1">
      <c r="A1" s="58" t="s">
        <v>466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2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3"/>
      <c r="U4" s="55"/>
    </row>
    <row r="5" spans="1:21" ht="16">
      <c r="A5" s="56" t="s">
        <v>52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32" t="s">
        <v>125</v>
      </c>
      <c r="B6" s="11" t="s">
        <v>229</v>
      </c>
      <c r="C6" s="11" t="s">
        <v>208</v>
      </c>
      <c r="D6" s="11" t="s">
        <v>209</v>
      </c>
      <c r="E6" s="12" t="s">
        <v>545</v>
      </c>
      <c r="F6" s="11" t="s">
        <v>61</v>
      </c>
      <c r="G6" s="30" t="s">
        <v>16</v>
      </c>
      <c r="H6" s="31" t="s">
        <v>33</v>
      </c>
      <c r="I6" s="30" t="s">
        <v>33</v>
      </c>
      <c r="J6" s="32"/>
      <c r="K6" s="30" t="s">
        <v>210</v>
      </c>
      <c r="L6" s="30" t="s">
        <v>211</v>
      </c>
      <c r="M6" s="31" t="s">
        <v>34</v>
      </c>
      <c r="N6" s="32"/>
      <c r="O6" s="30" t="s">
        <v>16</v>
      </c>
      <c r="P6" s="30" t="s">
        <v>20</v>
      </c>
      <c r="Q6" s="30" t="s">
        <v>50</v>
      </c>
      <c r="R6" s="32"/>
      <c r="S6" s="13" t="str">
        <f>"252,5"</f>
        <v>252,5</v>
      </c>
      <c r="T6" s="13" t="str">
        <f>"379,4065"</f>
        <v>379,4065</v>
      </c>
      <c r="U6" s="11" t="s">
        <v>460</v>
      </c>
    </row>
    <row r="8" spans="1:21" ht="16">
      <c r="A8" s="46" t="s">
        <v>212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32" t="s">
        <v>125</v>
      </c>
      <c r="B9" s="11" t="s">
        <v>230</v>
      </c>
      <c r="C9" s="11" t="s">
        <v>213</v>
      </c>
      <c r="D9" s="11" t="s">
        <v>214</v>
      </c>
      <c r="E9" s="12" t="s">
        <v>545</v>
      </c>
      <c r="F9" s="11" t="s">
        <v>215</v>
      </c>
      <c r="G9" s="30" t="s">
        <v>28</v>
      </c>
      <c r="H9" s="31" t="s">
        <v>216</v>
      </c>
      <c r="I9" s="30" t="s">
        <v>29</v>
      </c>
      <c r="J9" s="32"/>
      <c r="K9" s="30" t="s">
        <v>14</v>
      </c>
      <c r="L9" s="30" t="s">
        <v>15</v>
      </c>
      <c r="M9" s="31" t="s">
        <v>79</v>
      </c>
      <c r="N9" s="32"/>
      <c r="O9" s="30" t="s">
        <v>74</v>
      </c>
      <c r="P9" s="31" t="s">
        <v>172</v>
      </c>
      <c r="Q9" s="31" t="s">
        <v>75</v>
      </c>
      <c r="R9" s="32"/>
      <c r="S9" s="13" t="str">
        <f>"390,0"</f>
        <v>390,0</v>
      </c>
      <c r="T9" s="13" t="str">
        <f>"440,2320"</f>
        <v>440,2320</v>
      </c>
      <c r="U9" s="11" t="s">
        <v>462</v>
      </c>
    </row>
    <row r="11" spans="1:21" ht="16">
      <c r="A11" s="46" t="s">
        <v>52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32" t="s">
        <v>125</v>
      </c>
      <c r="B12" s="11" t="s">
        <v>231</v>
      </c>
      <c r="C12" s="11" t="s">
        <v>217</v>
      </c>
      <c r="D12" s="11" t="s">
        <v>218</v>
      </c>
      <c r="E12" s="12" t="s">
        <v>545</v>
      </c>
      <c r="F12" s="11" t="s">
        <v>526</v>
      </c>
      <c r="G12" s="31" t="s">
        <v>75</v>
      </c>
      <c r="H12" s="30" t="s">
        <v>75</v>
      </c>
      <c r="I12" s="30" t="s">
        <v>107</v>
      </c>
      <c r="J12" s="32"/>
      <c r="K12" s="30" t="s">
        <v>57</v>
      </c>
      <c r="L12" s="30" t="s">
        <v>73</v>
      </c>
      <c r="M12" s="30" t="s">
        <v>39</v>
      </c>
      <c r="N12" s="32"/>
      <c r="O12" s="30" t="s">
        <v>67</v>
      </c>
      <c r="P12" s="30" t="s">
        <v>68</v>
      </c>
      <c r="Q12" s="30" t="s">
        <v>185</v>
      </c>
      <c r="R12" s="32"/>
      <c r="S12" s="13" t="str">
        <f>"530,0"</f>
        <v>530,0</v>
      </c>
      <c r="T12" s="13" t="str">
        <f>"573,8840"</f>
        <v>573,8840</v>
      </c>
      <c r="U12" s="11" t="s">
        <v>219</v>
      </c>
    </row>
    <row r="14" spans="1:21" ht="16">
      <c r="A14" s="46" t="s">
        <v>82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1">
      <c r="A15" s="35" t="s">
        <v>125</v>
      </c>
      <c r="B15" s="15" t="s">
        <v>232</v>
      </c>
      <c r="C15" s="15" t="s">
        <v>220</v>
      </c>
      <c r="D15" s="15" t="s">
        <v>221</v>
      </c>
      <c r="E15" s="16" t="s">
        <v>545</v>
      </c>
      <c r="F15" s="15" t="s">
        <v>527</v>
      </c>
      <c r="G15" s="33" t="s">
        <v>67</v>
      </c>
      <c r="H15" s="34" t="s">
        <v>68</v>
      </c>
      <c r="I15" s="33" t="s">
        <v>68</v>
      </c>
      <c r="J15" s="35"/>
      <c r="K15" s="33" t="s">
        <v>73</v>
      </c>
      <c r="L15" s="33" t="s">
        <v>39</v>
      </c>
      <c r="M15" s="33" t="s">
        <v>102</v>
      </c>
      <c r="N15" s="35"/>
      <c r="O15" s="33" t="s">
        <v>67</v>
      </c>
      <c r="P15" s="33" t="s">
        <v>68</v>
      </c>
      <c r="Q15" s="33" t="s">
        <v>185</v>
      </c>
      <c r="R15" s="35"/>
      <c r="S15" s="17" t="str">
        <f>"562,5"</f>
        <v>562,5</v>
      </c>
      <c r="T15" s="17" t="str">
        <f>"549,9000"</f>
        <v>549,9000</v>
      </c>
      <c r="U15" s="15" t="s">
        <v>219</v>
      </c>
    </row>
    <row r="16" spans="1:21">
      <c r="A16" s="41" t="s">
        <v>128</v>
      </c>
      <c r="B16" s="21" t="s">
        <v>233</v>
      </c>
      <c r="C16" s="21" t="s">
        <v>222</v>
      </c>
      <c r="D16" s="21" t="s">
        <v>223</v>
      </c>
      <c r="E16" s="22" t="s">
        <v>545</v>
      </c>
      <c r="F16" s="21" t="s">
        <v>527</v>
      </c>
      <c r="G16" s="39" t="s">
        <v>74</v>
      </c>
      <c r="H16" s="40" t="s">
        <v>75</v>
      </c>
      <c r="I16" s="40" t="s">
        <v>75</v>
      </c>
      <c r="J16" s="41"/>
      <c r="K16" s="39" t="s">
        <v>50</v>
      </c>
      <c r="L16" s="39" t="s">
        <v>57</v>
      </c>
      <c r="M16" s="39" t="s">
        <v>63</v>
      </c>
      <c r="N16" s="41"/>
      <c r="O16" s="39" t="s">
        <v>74</v>
      </c>
      <c r="P16" s="39" t="s">
        <v>75</v>
      </c>
      <c r="Q16" s="39" t="s">
        <v>107</v>
      </c>
      <c r="R16" s="41"/>
      <c r="S16" s="23" t="str">
        <f>"465,0"</f>
        <v>465,0</v>
      </c>
      <c r="T16" s="23" t="str">
        <f>"459,1410"</f>
        <v>459,1410</v>
      </c>
      <c r="U16" s="21" t="s">
        <v>219</v>
      </c>
    </row>
    <row r="18" spans="1:21" ht="16">
      <c r="A18" s="46" t="s">
        <v>88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21">
      <c r="A19" s="35" t="s">
        <v>125</v>
      </c>
      <c r="B19" s="15" t="s">
        <v>234</v>
      </c>
      <c r="C19" s="15" t="s">
        <v>224</v>
      </c>
      <c r="D19" s="15" t="s">
        <v>225</v>
      </c>
      <c r="E19" s="16" t="s">
        <v>545</v>
      </c>
      <c r="F19" s="15" t="s">
        <v>526</v>
      </c>
      <c r="G19" s="33" t="s">
        <v>103</v>
      </c>
      <c r="H19" s="33" t="s">
        <v>104</v>
      </c>
      <c r="I19" s="34" t="s">
        <v>226</v>
      </c>
      <c r="J19" s="35"/>
      <c r="K19" s="33" t="s">
        <v>75</v>
      </c>
      <c r="L19" s="33" t="s">
        <v>107</v>
      </c>
      <c r="M19" s="34" t="s">
        <v>91</v>
      </c>
      <c r="N19" s="35"/>
      <c r="O19" s="33" t="s">
        <v>111</v>
      </c>
      <c r="P19" s="33" t="s">
        <v>103</v>
      </c>
      <c r="Q19" s="34" t="s">
        <v>104</v>
      </c>
      <c r="R19" s="35"/>
      <c r="S19" s="17" t="str">
        <f>"690,0"</f>
        <v>690,0</v>
      </c>
      <c r="T19" s="17" t="str">
        <f>"634,3860"</f>
        <v>634,3860</v>
      </c>
      <c r="U19" s="15" t="s">
        <v>219</v>
      </c>
    </row>
    <row r="20" spans="1:21">
      <c r="A20" s="41" t="s">
        <v>128</v>
      </c>
      <c r="B20" s="21" t="s">
        <v>235</v>
      </c>
      <c r="C20" s="21" t="s">
        <v>227</v>
      </c>
      <c r="D20" s="21" t="s">
        <v>228</v>
      </c>
      <c r="E20" s="22" t="s">
        <v>545</v>
      </c>
      <c r="F20" s="21" t="s">
        <v>526</v>
      </c>
      <c r="G20" s="39" t="s">
        <v>67</v>
      </c>
      <c r="H20" s="40" t="s">
        <v>68</v>
      </c>
      <c r="I20" s="40" t="s">
        <v>68</v>
      </c>
      <c r="J20" s="41"/>
      <c r="K20" s="39" t="s">
        <v>56</v>
      </c>
      <c r="L20" s="39" t="s">
        <v>51</v>
      </c>
      <c r="M20" s="39" t="s">
        <v>73</v>
      </c>
      <c r="N20" s="41"/>
      <c r="O20" s="39" t="s">
        <v>68</v>
      </c>
      <c r="P20" s="39" t="s">
        <v>100</v>
      </c>
      <c r="Q20" s="39" t="s">
        <v>86</v>
      </c>
      <c r="R20" s="41"/>
      <c r="S20" s="23" t="str">
        <f>"560,0"</f>
        <v>560,0</v>
      </c>
      <c r="T20" s="23" t="str">
        <f>"518,8960"</f>
        <v>518,8960</v>
      </c>
      <c r="U20" s="21" t="s">
        <v>219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8:R18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0F65-7479-4CA8-80B2-914B4B228EEA}">
  <dimension ref="A1:U34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3.33203125" style="5" bestFit="1" customWidth="1"/>
    <col min="7" max="7" width="5.6640625" style="10" bestFit="1" customWidth="1"/>
    <col min="8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58" t="s">
        <v>467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1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70" t="s">
        <v>10</v>
      </c>
      <c r="P3" s="70"/>
      <c r="Q3" s="70"/>
      <c r="R3" s="70"/>
      <c r="S3" s="52" t="s">
        <v>1</v>
      </c>
      <c r="T3" s="52" t="s">
        <v>3</v>
      </c>
      <c r="U3" s="54" t="s">
        <v>2</v>
      </c>
    </row>
    <row r="4" spans="1:21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3"/>
      <c r="T4" s="53"/>
      <c r="U4" s="55"/>
    </row>
    <row r="5" spans="1:21" ht="16">
      <c r="A5" s="56" t="s">
        <v>52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21">
      <c r="A6" s="32" t="s">
        <v>125</v>
      </c>
      <c r="B6" s="11" t="s">
        <v>196</v>
      </c>
      <c r="C6" s="11" t="s">
        <v>148</v>
      </c>
      <c r="D6" s="11" t="s">
        <v>149</v>
      </c>
      <c r="E6" s="12" t="s">
        <v>545</v>
      </c>
      <c r="F6" s="11" t="s">
        <v>528</v>
      </c>
      <c r="G6" s="30" t="s">
        <v>68</v>
      </c>
      <c r="H6" s="30" t="s">
        <v>100</v>
      </c>
      <c r="I6" s="30" t="s">
        <v>150</v>
      </c>
      <c r="J6" s="32"/>
      <c r="K6" s="30" t="s">
        <v>48</v>
      </c>
      <c r="L6" s="31" t="s">
        <v>151</v>
      </c>
      <c r="M6" s="31" t="s">
        <v>151</v>
      </c>
      <c r="N6" s="32"/>
      <c r="O6" s="30" t="s">
        <v>92</v>
      </c>
      <c r="P6" s="30" t="s">
        <v>93</v>
      </c>
      <c r="Q6" s="30" t="s">
        <v>152</v>
      </c>
      <c r="R6" s="32"/>
      <c r="S6" s="13" t="str">
        <f>"557,5"</f>
        <v>557,5</v>
      </c>
      <c r="T6" s="13" t="str">
        <f>"824,9885"</f>
        <v>824,9885</v>
      </c>
      <c r="U6" s="11" t="s">
        <v>461</v>
      </c>
    </row>
    <row r="8" spans="1:21" ht="16">
      <c r="A8" s="46" t="s">
        <v>52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32" t="s">
        <v>125</v>
      </c>
      <c r="B9" s="11" t="s">
        <v>197</v>
      </c>
      <c r="C9" s="11" t="s">
        <v>153</v>
      </c>
      <c r="D9" s="11" t="s">
        <v>154</v>
      </c>
      <c r="E9" s="12" t="s">
        <v>545</v>
      </c>
      <c r="F9" s="11" t="s">
        <v>72</v>
      </c>
      <c r="G9" s="30" t="s">
        <v>107</v>
      </c>
      <c r="H9" s="30" t="s">
        <v>96</v>
      </c>
      <c r="I9" s="31" t="s">
        <v>67</v>
      </c>
      <c r="J9" s="32"/>
      <c r="K9" s="30" t="s">
        <v>39</v>
      </c>
      <c r="L9" s="30" t="s">
        <v>80</v>
      </c>
      <c r="M9" s="30" t="s">
        <v>29</v>
      </c>
      <c r="N9" s="32"/>
      <c r="O9" s="30" t="s">
        <v>100</v>
      </c>
      <c r="P9" s="30" t="s">
        <v>86</v>
      </c>
      <c r="Q9" s="31" t="s">
        <v>111</v>
      </c>
      <c r="R9" s="32"/>
      <c r="S9" s="13" t="str">
        <f>"575,0"</f>
        <v>575,0</v>
      </c>
      <c r="T9" s="13" t="str">
        <f>"615,0200"</f>
        <v>615,0200</v>
      </c>
      <c r="U9" s="11" t="s">
        <v>461</v>
      </c>
    </row>
    <row r="11" spans="1:21" ht="16">
      <c r="A11" s="46" t="s">
        <v>82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35" t="s">
        <v>125</v>
      </c>
      <c r="B12" s="15" t="s">
        <v>198</v>
      </c>
      <c r="C12" s="15" t="s">
        <v>155</v>
      </c>
      <c r="D12" s="15" t="s">
        <v>156</v>
      </c>
      <c r="E12" s="16" t="s">
        <v>545</v>
      </c>
      <c r="F12" s="15" t="s">
        <v>72</v>
      </c>
      <c r="G12" s="33" t="s">
        <v>68</v>
      </c>
      <c r="H12" s="33" t="s">
        <v>100</v>
      </c>
      <c r="I12" s="34" t="s">
        <v>157</v>
      </c>
      <c r="J12" s="35"/>
      <c r="K12" s="33" t="s">
        <v>80</v>
      </c>
      <c r="L12" s="34" t="s">
        <v>81</v>
      </c>
      <c r="M12" s="34" t="s">
        <v>74</v>
      </c>
      <c r="N12" s="35"/>
      <c r="O12" s="33" t="s">
        <v>86</v>
      </c>
      <c r="P12" s="33" t="s">
        <v>111</v>
      </c>
      <c r="Q12" s="33" t="s">
        <v>87</v>
      </c>
      <c r="R12" s="35"/>
      <c r="S12" s="17" t="str">
        <f>"610,0"</f>
        <v>610,0</v>
      </c>
      <c r="T12" s="17" t="str">
        <f>"596,7020"</f>
        <v>596,7020</v>
      </c>
      <c r="U12" s="15" t="s">
        <v>461</v>
      </c>
    </row>
    <row r="13" spans="1:21">
      <c r="A13" s="38" t="s">
        <v>128</v>
      </c>
      <c r="B13" s="18" t="s">
        <v>199</v>
      </c>
      <c r="C13" s="18" t="s">
        <v>158</v>
      </c>
      <c r="D13" s="18" t="s">
        <v>156</v>
      </c>
      <c r="E13" s="19" t="s">
        <v>545</v>
      </c>
      <c r="F13" s="18" t="s">
        <v>72</v>
      </c>
      <c r="G13" s="36" t="s">
        <v>91</v>
      </c>
      <c r="H13" s="36" t="s">
        <v>92</v>
      </c>
      <c r="I13" s="36" t="s">
        <v>68</v>
      </c>
      <c r="J13" s="38"/>
      <c r="K13" s="36" t="s">
        <v>28</v>
      </c>
      <c r="L13" s="37" t="s">
        <v>29</v>
      </c>
      <c r="M13" s="36" t="s">
        <v>29</v>
      </c>
      <c r="N13" s="38"/>
      <c r="O13" s="36" t="s">
        <v>67</v>
      </c>
      <c r="P13" s="36" t="s">
        <v>100</v>
      </c>
      <c r="Q13" s="37" t="s">
        <v>157</v>
      </c>
      <c r="R13" s="38"/>
      <c r="S13" s="20" t="str">
        <f>"580,0"</f>
        <v>580,0</v>
      </c>
      <c r="T13" s="20" t="str">
        <f>"567,3560"</f>
        <v>567,3560</v>
      </c>
      <c r="U13" s="18" t="s">
        <v>463</v>
      </c>
    </row>
    <row r="14" spans="1:21">
      <c r="A14" s="38" t="s">
        <v>130</v>
      </c>
      <c r="B14" s="18" t="s">
        <v>200</v>
      </c>
      <c r="C14" s="18" t="s">
        <v>159</v>
      </c>
      <c r="D14" s="18" t="s">
        <v>160</v>
      </c>
      <c r="E14" s="19" t="s">
        <v>545</v>
      </c>
      <c r="F14" s="18" t="s">
        <v>72</v>
      </c>
      <c r="G14" s="36" t="s">
        <v>75</v>
      </c>
      <c r="H14" s="37" t="s">
        <v>107</v>
      </c>
      <c r="I14" s="37" t="s">
        <v>107</v>
      </c>
      <c r="J14" s="38"/>
      <c r="K14" s="36" t="s">
        <v>20</v>
      </c>
      <c r="L14" s="37" t="s">
        <v>48</v>
      </c>
      <c r="M14" s="37" t="s">
        <v>48</v>
      </c>
      <c r="N14" s="38"/>
      <c r="O14" s="36" t="s">
        <v>107</v>
      </c>
      <c r="P14" s="36" t="s">
        <v>96</v>
      </c>
      <c r="Q14" s="36" t="s">
        <v>92</v>
      </c>
      <c r="R14" s="38"/>
      <c r="S14" s="20" t="str">
        <f>"475,0"</f>
        <v>475,0</v>
      </c>
      <c r="T14" s="20" t="str">
        <f>"483,6450"</f>
        <v>483,6450</v>
      </c>
      <c r="U14" s="18"/>
    </row>
    <row r="15" spans="1:21">
      <c r="A15" s="41" t="s">
        <v>201</v>
      </c>
      <c r="B15" s="21" t="s">
        <v>202</v>
      </c>
      <c r="C15" s="21" t="s">
        <v>161</v>
      </c>
      <c r="D15" s="21" t="s">
        <v>162</v>
      </c>
      <c r="E15" s="22" t="s">
        <v>545</v>
      </c>
      <c r="F15" s="21" t="s">
        <v>163</v>
      </c>
      <c r="G15" s="39" t="s">
        <v>80</v>
      </c>
      <c r="H15" s="39" t="s">
        <v>164</v>
      </c>
      <c r="I15" s="39" t="s">
        <v>165</v>
      </c>
      <c r="J15" s="41"/>
      <c r="K15" s="39" t="s">
        <v>33</v>
      </c>
      <c r="L15" s="39" t="s">
        <v>43</v>
      </c>
      <c r="M15" s="39" t="s">
        <v>50</v>
      </c>
      <c r="N15" s="41"/>
      <c r="O15" s="39" t="s">
        <v>74</v>
      </c>
      <c r="P15" s="40" t="s">
        <v>76</v>
      </c>
      <c r="Q15" s="39" t="s">
        <v>166</v>
      </c>
      <c r="R15" s="41"/>
      <c r="S15" s="23" t="str">
        <f>"460,0"</f>
        <v>460,0</v>
      </c>
      <c r="T15" s="23" t="str">
        <f>"454,6640"</f>
        <v>454,6640</v>
      </c>
      <c r="U15" s="21" t="s">
        <v>461</v>
      </c>
    </row>
    <row r="17" spans="1:21" ht="16">
      <c r="A17" s="46" t="s">
        <v>88</v>
      </c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21">
      <c r="A18" s="35" t="s">
        <v>125</v>
      </c>
      <c r="B18" s="15" t="s">
        <v>203</v>
      </c>
      <c r="C18" s="15" t="s">
        <v>168</v>
      </c>
      <c r="D18" s="15" t="s">
        <v>169</v>
      </c>
      <c r="E18" s="16" t="s">
        <v>545</v>
      </c>
      <c r="F18" s="15" t="s">
        <v>170</v>
      </c>
      <c r="G18" s="33" t="s">
        <v>86</v>
      </c>
      <c r="H18" s="33" t="s">
        <v>111</v>
      </c>
      <c r="I18" s="33" t="s">
        <v>171</v>
      </c>
      <c r="J18" s="35"/>
      <c r="K18" s="33" t="s">
        <v>81</v>
      </c>
      <c r="L18" s="33" t="s">
        <v>172</v>
      </c>
      <c r="M18" s="33" t="s">
        <v>173</v>
      </c>
      <c r="N18" s="35"/>
      <c r="O18" s="33" t="s">
        <v>174</v>
      </c>
      <c r="P18" s="33" t="s">
        <v>175</v>
      </c>
      <c r="Q18" s="34" t="s">
        <v>176</v>
      </c>
      <c r="R18" s="35"/>
      <c r="S18" s="17" t="str">
        <f>"735,0"</f>
        <v>735,0</v>
      </c>
      <c r="T18" s="17" t="str">
        <f>"703,8360"</f>
        <v>703,8360</v>
      </c>
      <c r="U18" s="15"/>
    </row>
    <row r="19" spans="1:21">
      <c r="A19" s="38" t="s">
        <v>128</v>
      </c>
      <c r="B19" s="18" t="s">
        <v>204</v>
      </c>
      <c r="C19" s="18" t="s">
        <v>178</v>
      </c>
      <c r="D19" s="18" t="s">
        <v>179</v>
      </c>
      <c r="E19" s="19" t="s">
        <v>545</v>
      </c>
      <c r="F19" s="18" t="s">
        <v>72</v>
      </c>
      <c r="G19" s="36" t="s">
        <v>103</v>
      </c>
      <c r="H19" s="36" t="s">
        <v>180</v>
      </c>
      <c r="I19" s="38"/>
      <c r="J19" s="38"/>
      <c r="K19" s="36" t="s">
        <v>173</v>
      </c>
      <c r="L19" s="36" t="s">
        <v>166</v>
      </c>
      <c r="M19" s="37" t="s">
        <v>96</v>
      </c>
      <c r="N19" s="38"/>
      <c r="O19" s="36" t="s">
        <v>181</v>
      </c>
      <c r="P19" s="37" t="s">
        <v>182</v>
      </c>
      <c r="Q19" s="38"/>
      <c r="R19" s="38"/>
      <c r="S19" s="20" t="str">
        <f>"725,0"</f>
        <v>725,0</v>
      </c>
      <c r="T19" s="20" t="str">
        <f>"665,4050"</f>
        <v>665,4050</v>
      </c>
      <c r="U19" s="18" t="s">
        <v>461</v>
      </c>
    </row>
    <row r="20" spans="1:21">
      <c r="A20" s="41" t="s">
        <v>130</v>
      </c>
      <c r="B20" s="21" t="s">
        <v>205</v>
      </c>
      <c r="C20" s="21" t="s">
        <v>183</v>
      </c>
      <c r="D20" s="21" t="s">
        <v>184</v>
      </c>
      <c r="E20" s="22" t="s">
        <v>545</v>
      </c>
      <c r="F20" s="21" t="s">
        <v>526</v>
      </c>
      <c r="G20" s="39" t="s">
        <v>68</v>
      </c>
      <c r="H20" s="39" t="s">
        <v>100</v>
      </c>
      <c r="I20" s="40" t="s">
        <v>86</v>
      </c>
      <c r="J20" s="41"/>
      <c r="K20" s="39" t="s">
        <v>81</v>
      </c>
      <c r="L20" s="39" t="s">
        <v>74</v>
      </c>
      <c r="M20" s="40" t="s">
        <v>165</v>
      </c>
      <c r="N20" s="41"/>
      <c r="O20" s="40" t="s">
        <v>185</v>
      </c>
      <c r="P20" s="39" t="s">
        <v>157</v>
      </c>
      <c r="Q20" s="40" t="s">
        <v>186</v>
      </c>
      <c r="R20" s="41"/>
      <c r="S20" s="23" t="str">
        <f>"605,0"</f>
        <v>605,0</v>
      </c>
      <c r="T20" s="23" t="str">
        <f>"558,1730"</f>
        <v>558,1730</v>
      </c>
      <c r="U20" s="21"/>
    </row>
    <row r="22" spans="1:21" ht="16">
      <c r="A22" s="46" t="s">
        <v>105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21">
      <c r="A23" s="35" t="s">
        <v>125</v>
      </c>
      <c r="B23" s="15" t="s">
        <v>206</v>
      </c>
      <c r="C23" s="15" t="s">
        <v>188</v>
      </c>
      <c r="D23" s="15" t="s">
        <v>189</v>
      </c>
      <c r="E23" s="16" t="s">
        <v>545</v>
      </c>
      <c r="F23" s="15" t="s">
        <v>72</v>
      </c>
      <c r="G23" s="33" t="s">
        <v>104</v>
      </c>
      <c r="H23" s="34" t="s">
        <v>181</v>
      </c>
      <c r="I23" s="33" t="s">
        <v>181</v>
      </c>
      <c r="J23" s="35"/>
      <c r="K23" s="33" t="s">
        <v>107</v>
      </c>
      <c r="L23" s="33" t="s">
        <v>91</v>
      </c>
      <c r="M23" s="34" t="s">
        <v>67</v>
      </c>
      <c r="N23" s="35"/>
      <c r="O23" s="33" t="s">
        <v>190</v>
      </c>
      <c r="P23" s="33" t="s">
        <v>176</v>
      </c>
      <c r="Q23" s="34" t="s">
        <v>191</v>
      </c>
      <c r="R23" s="35"/>
      <c r="S23" s="17" t="str">
        <f>"785,0"</f>
        <v>785,0</v>
      </c>
      <c r="T23" s="17" t="str">
        <f>"716,0770"</f>
        <v>716,0770</v>
      </c>
      <c r="U23" s="15" t="s">
        <v>461</v>
      </c>
    </row>
    <row r="24" spans="1:21">
      <c r="A24" s="41" t="s">
        <v>128</v>
      </c>
      <c r="B24" s="21" t="s">
        <v>207</v>
      </c>
      <c r="C24" s="21" t="s">
        <v>192</v>
      </c>
      <c r="D24" s="21" t="s">
        <v>193</v>
      </c>
      <c r="E24" s="22" t="s">
        <v>545</v>
      </c>
      <c r="F24" s="21" t="s">
        <v>72</v>
      </c>
      <c r="G24" s="39" t="s">
        <v>190</v>
      </c>
      <c r="H24" s="40" t="s">
        <v>176</v>
      </c>
      <c r="I24" s="40" t="s">
        <v>176</v>
      </c>
      <c r="J24" s="41"/>
      <c r="K24" s="39" t="s">
        <v>29</v>
      </c>
      <c r="L24" s="39" t="s">
        <v>66</v>
      </c>
      <c r="M24" s="41"/>
      <c r="N24" s="41"/>
      <c r="O24" s="39" t="s">
        <v>181</v>
      </c>
      <c r="P24" s="40" t="s">
        <v>194</v>
      </c>
      <c r="Q24" s="40" t="s">
        <v>194</v>
      </c>
      <c r="R24" s="41"/>
      <c r="S24" s="23" t="str">
        <f>"737,5"</f>
        <v>737,5</v>
      </c>
      <c r="T24" s="23" t="str">
        <f>"656,3750"</f>
        <v>656,3750</v>
      </c>
      <c r="U24" s="21" t="s">
        <v>456</v>
      </c>
    </row>
    <row r="26" spans="1:21">
      <c r="G26" s="5"/>
    </row>
    <row r="28" spans="1:21" ht="18">
      <c r="B28" s="9" t="s">
        <v>7</v>
      </c>
      <c r="C28" s="9"/>
    </row>
    <row r="29" spans="1:21" ht="16">
      <c r="B29" s="14" t="s">
        <v>120</v>
      </c>
      <c r="C29" s="14"/>
    </row>
    <row r="30" spans="1:21" ht="14">
      <c r="B30" s="24"/>
      <c r="C30" s="25" t="s">
        <v>113</v>
      </c>
    </row>
    <row r="31" spans="1:21" ht="14">
      <c r="B31" s="26" t="s">
        <v>114</v>
      </c>
      <c r="C31" s="26" t="s">
        <v>115</v>
      </c>
      <c r="D31" s="26" t="s">
        <v>530</v>
      </c>
      <c r="E31" s="27" t="s">
        <v>116</v>
      </c>
      <c r="F31" s="26" t="s">
        <v>117</v>
      </c>
    </row>
    <row r="32" spans="1:21">
      <c r="B32" s="5" t="s">
        <v>187</v>
      </c>
      <c r="C32" s="5" t="s">
        <v>113</v>
      </c>
      <c r="D32" s="10" t="s">
        <v>122</v>
      </c>
      <c r="E32" s="29">
        <v>785</v>
      </c>
      <c r="F32" s="28">
        <v>716.076979637146</v>
      </c>
    </row>
    <row r="33" spans="2:7">
      <c r="B33" s="5" t="s">
        <v>167</v>
      </c>
      <c r="C33" s="5" t="s">
        <v>113</v>
      </c>
      <c r="D33" s="10" t="s">
        <v>124</v>
      </c>
      <c r="E33" s="29">
        <v>735</v>
      </c>
      <c r="F33" s="28">
        <v>703.83599817752804</v>
      </c>
    </row>
    <row r="34" spans="2:7">
      <c r="B34" s="5" t="s">
        <v>177</v>
      </c>
      <c r="C34" s="5" t="s">
        <v>113</v>
      </c>
      <c r="D34" s="10" t="s">
        <v>124</v>
      </c>
      <c r="E34" s="29">
        <v>725</v>
      </c>
      <c r="F34" s="28">
        <v>665.40500670671497</v>
      </c>
      <c r="G34" s="5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7:R17"/>
    <mergeCell ref="A22:R22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4344-8679-47DF-8EE9-4CDA54BB5173}">
  <dimension ref="A1:Q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6.83203125" style="5" bestFit="1" customWidth="1"/>
    <col min="18" max="16384" width="9.1640625" style="3"/>
  </cols>
  <sheetData>
    <row r="1" spans="1:17" s="2" customFormat="1" ht="29" customHeight="1">
      <c r="A1" s="58" t="s">
        <v>468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9</v>
      </c>
      <c r="H3" s="70"/>
      <c r="I3" s="70"/>
      <c r="J3" s="70"/>
      <c r="K3" s="70" t="s">
        <v>10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21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32" t="s">
        <v>125</v>
      </c>
      <c r="B6" s="11" t="s">
        <v>443</v>
      </c>
      <c r="C6" s="11" t="s">
        <v>438</v>
      </c>
      <c r="D6" s="11" t="s">
        <v>65</v>
      </c>
      <c r="E6" s="12" t="s">
        <v>545</v>
      </c>
      <c r="F6" s="11" t="s">
        <v>359</v>
      </c>
      <c r="G6" s="30" t="s">
        <v>34</v>
      </c>
      <c r="H6" s="31" t="s">
        <v>36</v>
      </c>
      <c r="I6" s="31" t="s">
        <v>36</v>
      </c>
      <c r="J6" s="32"/>
      <c r="K6" s="30" t="s">
        <v>56</v>
      </c>
      <c r="L6" s="30" t="s">
        <v>51</v>
      </c>
      <c r="M6" s="30" t="s">
        <v>37</v>
      </c>
      <c r="N6" s="32"/>
      <c r="O6" s="13" t="str">
        <f>"180,0"</f>
        <v>180,0</v>
      </c>
      <c r="P6" s="13" t="str">
        <f>"326,4480"</f>
        <v>326,4480</v>
      </c>
      <c r="Q6" s="11"/>
    </row>
    <row r="8" spans="1:17" ht="16">
      <c r="A8" s="46" t="s">
        <v>273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32" t="s">
        <v>125</v>
      </c>
      <c r="B9" s="11" t="s">
        <v>444</v>
      </c>
      <c r="C9" s="11" t="s">
        <v>491</v>
      </c>
      <c r="D9" s="11" t="s">
        <v>439</v>
      </c>
      <c r="E9" s="12" t="s">
        <v>549</v>
      </c>
      <c r="F9" s="11" t="s">
        <v>46</v>
      </c>
      <c r="G9" s="30" t="s">
        <v>275</v>
      </c>
      <c r="H9" s="30" t="s">
        <v>272</v>
      </c>
      <c r="I9" s="31" t="s">
        <v>49</v>
      </c>
      <c r="J9" s="32"/>
      <c r="K9" s="30" t="s">
        <v>25</v>
      </c>
      <c r="L9" s="30" t="s">
        <v>55</v>
      </c>
      <c r="M9" s="30" t="s">
        <v>14</v>
      </c>
      <c r="N9" s="32"/>
      <c r="O9" s="13" t="str">
        <f>"120,0"</f>
        <v>120,0</v>
      </c>
      <c r="P9" s="13" t="str">
        <f>"234,6000"</f>
        <v>234,6000</v>
      </c>
      <c r="Q9" s="11"/>
    </row>
    <row r="11" spans="1:17" ht="16">
      <c r="A11" s="46" t="s">
        <v>82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32" t="s">
        <v>125</v>
      </c>
      <c r="B12" s="11" t="s">
        <v>428</v>
      </c>
      <c r="C12" s="11" t="s">
        <v>400</v>
      </c>
      <c r="D12" s="11" t="s">
        <v>223</v>
      </c>
      <c r="E12" s="12" t="s">
        <v>545</v>
      </c>
      <c r="F12" s="11" t="s">
        <v>359</v>
      </c>
      <c r="G12" s="30" t="s">
        <v>28</v>
      </c>
      <c r="H12" s="30" t="s">
        <v>80</v>
      </c>
      <c r="I12" s="30" t="s">
        <v>401</v>
      </c>
      <c r="J12" s="32"/>
      <c r="K12" s="30" t="s">
        <v>186</v>
      </c>
      <c r="L12" s="30" t="s">
        <v>87</v>
      </c>
      <c r="M12" s="31" t="s">
        <v>402</v>
      </c>
      <c r="N12" s="32"/>
      <c r="O12" s="13" t="str">
        <f>"397,5"</f>
        <v>397,5</v>
      </c>
      <c r="P12" s="13" t="str">
        <f>"392,4915"</f>
        <v>392,4915</v>
      </c>
      <c r="Q12" s="11"/>
    </row>
    <row r="14" spans="1:17" ht="16">
      <c r="A14" s="46" t="s">
        <v>88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>
      <c r="A15" s="35" t="s">
        <v>125</v>
      </c>
      <c r="B15" s="15" t="s">
        <v>445</v>
      </c>
      <c r="C15" s="15" t="s">
        <v>440</v>
      </c>
      <c r="D15" s="15" t="s">
        <v>441</v>
      </c>
      <c r="E15" s="16" t="s">
        <v>545</v>
      </c>
      <c r="F15" s="15" t="s">
        <v>72</v>
      </c>
      <c r="G15" s="33" t="s">
        <v>102</v>
      </c>
      <c r="H15" s="33" t="s">
        <v>110</v>
      </c>
      <c r="I15" s="33" t="s">
        <v>80</v>
      </c>
      <c r="J15" s="35"/>
      <c r="K15" s="33" t="s">
        <v>96</v>
      </c>
      <c r="L15" s="33" t="s">
        <v>92</v>
      </c>
      <c r="M15" s="33" t="s">
        <v>68</v>
      </c>
      <c r="N15" s="35"/>
      <c r="O15" s="17" t="str">
        <f>"355,0"</f>
        <v>355,0</v>
      </c>
      <c r="P15" s="17" t="str">
        <f>"333,2030"</f>
        <v>333,2030</v>
      </c>
      <c r="Q15" s="15"/>
    </row>
    <row r="16" spans="1:17">
      <c r="A16" s="41" t="s">
        <v>128</v>
      </c>
      <c r="B16" s="21" t="s">
        <v>341</v>
      </c>
      <c r="C16" s="21" t="s">
        <v>311</v>
      </c>
      <c r="D16" s="21" t="s">
        <v>312</v>
      </c>
      <c r="E16" s="22" t="s">
        <v>545</v>
      </c>
      <c r="F16" s="21" t="s">
        <v>252</v>
      </c>
      <c r="G16" s="40" t="s">
        <v>39</v>
      </c>
      <c r="H16" s="39" t="s">
        <v>39</v>
      </c>
      <c r="I16" s="39" t="s">
        <v>28</v>
      </c>
      <c r="J16" s="41"/>
      <c r="K16" s="40" t="s">
        <v>107</v>
      </c>
      <c r="L16" s="39" t="s">
        <v>107</v>
      </c>
      <c r="M16" s="39" t="s">
        <v>91</v>
      </c>
      <c r="N16" s="41"/>
      <c r="O16" s="23" t="str">
        <f>"330,0"</f>
        <v>330,0</v>
      </c>
      <c r="P16" s="23" t="str">
        <f>"308,6820"</f>
        <v>308,6820</v>
      </c>
      <c r="Q16" s="21" t="s">
        <v>454</v>
      </c>
    </row>
    <row r="18" spans="1:17" ht="16">
      <c r="A18" s="46" t="s">
        <v>105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7">
      <c r="A19" s="32" t="s">
        <v>125</v>
      </c>
      <c r="B19" s="11" t="s">
        <v>446</v>
      </c>
      <c r="C19" s="11" t="s">
        <v>492</v>
      </c>
      <c r="D19" s="11" t="s">
        <v>442</v>
      </c>
      <c r="E19" s="12" t="s">
        <v>551</v>
      </c>
      <c r="F19" s="11" t="s">
        <v>46</v>
      </c>
      <c r="G19" s="30" t="s">
        <v>295</v>
      </c>
      <c r="H19" s="30" t="s">
        <v>57</v>
      </c>
      <c r="I19" s="31" t="s">
        <v>63</v>
      </c>
      <c r="J19" s="32"/>
      <c r="K19" s="30" t="s">
        <v>67</v>
      </c>
      <c r="L19" s="30" t="s">
        <v>68</v>
      </c>
      <c r="M19" s="31" t="s">
        <v>100</v>
      </c>
      <c r="N19" s="32"/>
      <c r="O19" s="13" t="str">
        <f>"330,0"</f>
        <v>330,0</v>
      </c>
      <c r="P19" s="13" t="str">
        <f>"375,1275"</f>
        <v>375,1275</v>
      </c>
      <c r="Q19" s="11"/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8:N18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5C12-EA90-4FDF-A29A-8C3D0ED40B52}">
  <dimension ref="A1:Q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58" t="s">
        <v>469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9</v>
      </c>
      <c r="H3" s="70"/>
      <c r="I3" s="70"/>
      <c r="J3" s="70"/>
      <c r="K3" s="70" t="s">
        <v>10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82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32" t="s">
        <v>125</v>
      </c>
      <c r="B6" s="11" t="s">
        <v>374</v>
      </c>
      <c r="C6" s="11" t="s">
        <v>357</v>
      </c>
      <c r="D6" s="11" t="s">
        <v>358</v>
      </c>
      <c r="E6" s="12" t="s">
        <v>545</v>
      </c>
      <c r="F6" s="11" t="s">
        <v>529</v>
      </c>
      <c r="G6" s="30" t="s">
        <v>165</v>
      </c>
      <c r="H6" s="30" t="s">
        <v>319</v>
      </c>
      <c r="I6" s="31" t="s">
        <v>173</v>
      </c>
      <c r="J6" s="32"/>
      <c r="K6" s="30" t="s">
        <v>104</v>
      </c>
      <c r="L6" s="30" t="s">
        <v>181</v>
      </c>
      <c r="M6" s="31" t="s">
        <v>190</v>
      </c>
      <c r="N6" s="32"/>
      <c r="O6" s="13" t="str">
        <f>"447,5"</f>
        <v>447,5</v>
      </c>
      <c r="P6" s="13" t="str">
        <f>"434,2540"</f>
        <v>434,2540</v>
      </c>
      <c r="Q6" s="11"/>
    </row>
    <row r="8" spans="1:17" ht="16">
      <c r="A8" s="46" t="s">
        <v>88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32" t="s">
        <v>125</v>
      </c>
      <c r="B9" s="11" t="s">
        <v>437</v>
      </c>
      <c r="C9" s="11" t="s">
        <v>493</v>
      </c>
      <c r="D9" s="11" t="s">
        <v>436</v>
      </c>
      <c r="E9" s="12" t="s">
        <v>551</v>
      </c>
      <c r="F9" s="11" t="s">
        <v>72</v>
      </c>
      <c r="G9" s="30" t="s">
        <v>56</v>
      </c>
      <c r="H9" s="31" t="s">
        <v>63</v>
      </c>
      <c r="I9" s="31" t="s">
        <v>63</v>
      </c>
      <c r="J9" s="32"/>
      <c r="K9" s="30" t="s">
        <v>67</v>
      </c>
      <c r="L9" s="30" t="s">
        <v>68</v>
      </c>
      <c r="M9" s="31" t="s">
        <v>185</v>
      </c>
      <c r="N9" s="32"/>
      <c r="O9" s="13" t="str">
        <f>"325,0"</f>
        <v>325,0</v>
      </c>
      <c r="P9" s="13" t="str">
        <f>"384,0195"</f>
        <v>384,0195</v>
      </c>
      <c r="Q9" s="11" t="s">
        <v>541</v>
      </c>
    </row>
    <row r="11" spans="1:17" ht="16">
      <c r="A11" s="46" t="s">
        <v>105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32" t="s">
        <v>125</v>
      </c>
      <c r="B12" s="11" t="s">
        <v>379</v>
      </c>
      <c r="C12" s="11" t="s">
        <v>366</v>
      </c>
      <c r="D12" s="11" t="s">
        <v>367</v>
      </c>
      <c r="E12" s="12" t="s">
        <v>545</v>
      </c>
      <c r="F12" s="11" t="s">
        <v>46</v>
      </c>
      <c r="G12" s="30" t="s">
        <v>107</v>
      </c>
      <c r="H12" s="30" t="s">
        <v>96</v>
      </c>
      <c r="I12" s="31" t="s">
        <v>67</v>
      </c>
      <c r="J12" s="32"/>
      <c r="K12" s="30" t="s">
        <v>174</v>
      </c>
      <c r="L12" s="30" t="s">
        <v>194</v>
      </c>
      <c r="M12" s="31" t="s">
        <v>190</v>
      </c>
      <c r="N12" s="32"/>
      <c r="O12" s="13" t="str">
        <f>"485,0"</f>
        <v>485,0</v>
      </c>
      <c r="P12" s="13" t="str">
        <f>"430,5830"</f>
        <v>430,5830</v>
      </c>
      <c r="Q12" s="11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8A41-598C-4B50-A6E5-4F01134AD3FA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6.1640625" style="5" customWidth="1"/>
    <col min="14" max="16384" width="9.1640625" style="3"/>
  </cols>
  <sheetData>
    <row r="1" spans="1:13" s="2" customFormat="1" ht="29" customHeight="1">
      <c r="A1" s="58" t="s">
        <v>470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8</v>
      </c>
      <c r="H3" s="70"/>
      <c r="I3" s="70"/>
      <c r="J3" s="70"/>
      <c r="K3" s="52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44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125</v>
      </c>
      <c r="B6" s="11" t="s">
        <v>132</v>
      </c>
      <c r="C6" s="11" t="s">
        <v>479</v>
      </c>
      <c r="D6" s="11" t="s">
        <v>45</v>
      </c>
      <c r="E6" s="12" t="s">
        <v>546</v>
      </c>
      <c r="F6" s="11" t="s">
        <v>46</v>
      </c>
      <c r="G6" s="30" t="s">
        <v>43</v>
      </c>
      <c r="H6" s="30" t="s">
        <v>47</v>
      </c>
      <c r="I6" s="31" t="s">
        <v>48</v>
      </c>
      <c r="J6" s="32"/>
      <c r="K6" s="13" t="str">
        <f>"105,0"</f>
        <v>105,0</v>
      </c>
      <c r="L6" s="13" t="str">
        <f>"182,2323"</f>
        <v>182,2323</v>
      </c>
      <c r="M6" s="11" t="s">
        <v>455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4C11-D698-497E-B14F-02A7AA89F65A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9" style="5" bestFit="1" customWidth="1"/>
    <col min="4" max="4" width="15.5" style="5" bestFit="1" customWidth="1"/>
    <col min="5" max="5" width="10.6640625" style="6" customWidth="1"/>
    <col min="6" max="6" width="31.1640625" style="5" bestFit="1" customWidth="1"/>
    <col min="7" max="9" width="5.33203125" style="10" customWidth="1"/>
    <col min="10" max="10" width="4.83203125" style="10" customWidth="1"/>
    <col min="11" max="11" width="10.5" style="29" bestFit="1" customWidth="1"/>
    <col min="12" max="12" width="9.33203125" style="7" customWidth="1"/>
    <col min="13" max="13" width="17.83203125" style="5" customWidth="1"/>
    <col min="14" max="16384" width="9.1640625" style="3"/>
  </cols>
  <sheetData>
    <row r="1" spans="1:13" s="2" customFormat="1" ht="29" customHeight="1">
      <c r="A1" s="58" t="s">
        <v>471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8</v>
      </c>
      <c r="H3" s="70"/>
      <c r="I3" s="70"/>
      <c r="J3" s="70"/>
      <c r="K3" s="50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1"/>
      <c r="L4" s="53"/>
      <c r="M4" s="55"/>
    </row>
    <row r="5" spans="1:13" ht="16">
      <c r="A5" s="56" t="s">
        <v>273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143</v>
      </c>
      <c r="B6" s="11" t="s">
        <v>435</v>
      </c>
      <c r="C6" s="11" t="s">
        <v>494</v>
      </c>
      <c r="D6" s="11" t="s">
        <v>382</v>
      </c>
      <c r="E6" s="12" t="s">
        <v>548</v>
      </c>
      <c r="F6" s="11" t="s">
        <v>278</v>
      </c>
      <c r="G6" s="31" t="s">
        <v>15</v>
      </c>
      <c r="H6" s="31" t="s">
        <v>15</v>
      </c>
      <c r="I6" s="31" t="s">
        <v>79</v>
      </c>
      <c r="J6" s="32"/>
      <c r="K6" s="42">
        <v>0</v>
      </c>
      <c r="L6" s="13" t="str">
        <f>"0,0000"</f>
        <v>0,0000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E686-A440-4EE9-9CCA-DF5AEBC1980A}">
  <dimension ref="A1:M63"/>
  <sheetViews>
    <sheetView topLeftCell="A25" workbookViewId="0">
      <selection activeCell="E54" sqref="E54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9" style="5" bestFit="1" customWidth="1"/>
    <col min="4" max="4" width="21.5" style="5" bestFit="1" customWidth="1"/>
    <col min="5" max="5" width="10.5" style="6" bestFit="1" customWidth="1"/>
    <col min="6" max="6" width="31.6640625" style="5" bestFit="1" customWidth="1"/>
    <col min="7" max="9" width="5.5" style="10" customWidth="1"/>
    <col min="10" max="10" width="4.83203125" style="10" customWidth="1"/>
    <col min="11" max="11" width="10.5" style="29" bestFit="1" customWidth="1"/>
    <col min="12" max="12" width="8.5" style="7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58" t="s">
        <v>472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542</v>
      </c>
      <c r="B3" s="48" t="s">
        <v>0</v>
      </c>
      <c r="C3" s="68" t="s">
        <v>543</v>
      </c>
      <c r="D3" s="68" t="s">
        <v>6</v>
      </c>
      <c r="E3" s="52" t="s">
        <v>544</v>
      </c>
      <c r="F3" s="70" t="s">
        <v>5</v>
      </c>
      <c r="G3" s="70" t="s">
        <v>9</v>
      </c>
      <c r="H3" s="70"/>
      <c r="I3" s="70"/>
      <c r="J3" s="70"/>
      <c r="K3" s="50" t="s">
        <v>261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1"/>
      <c r="L4" s="53"/>
      <c r="M4" s="55"/>
    </row>
    <row r="5" spans="1:13" ht="16">
      <c r="A5" s="56" t="s">
        <v>269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32" t="s">
        <v>143</v>
      </c>
      <c r="B6" s="11" t="s">
        <v>321</v>
      </c>
      <c r="C6" s="11" t="s">
        <v>270</v>
      </c>
      <c r="D6" s="11" t="s">
        <v>271</v>
      </c>
      <c r="E6" s="12" t="s">
        <v>545</v>
      </c>
      <c r="F6" s="11" t="s">
        <v>61</v>
      </c>
      <c r="G6" s="31" t="s">
        <v>272</v>
      </c>
      <c r="H6" s="31" t="s">
        <v>272</v>
      </c>
      <c r="I6" s="31" t="s">
        <v>272</v>
      </c>
      <c r="J6" s="32"/>
      <c r="K6" s="42" t="str">
        <f>"0.00"</f>
        <v>0.00</v>
      </c>
      <c r="L6" s="13" t="str">
        <f>"0,0000"</f>
        <v>0,0000</v>
      </c>
      <c r="M6" s="11" t="s">
        <v>541</v>
      </c>
    </row>
    <row r="8" spans="1:13" ht="16">
      <c r="A8" s="46" t="s">
        <v>273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5" t="s">
        <v>143</v>
      </c>
      <c r="B9" s="15" t="s">
        <v>322</v>
      </c>
      <c r="C9" s="15" t="s">
        <v>495</v>
      </c>
      <c r="D9" s="15" t="s">
        <v>274</v>
      </c>
      <c r="E9" s="16" t="s">
        <v>549</v>
      </c>
      <c r="F9" s="15" t="s">
        <v>72</v>
      </c>
      <c r="G9" s="34" t="s">
        <v>275</v>
      </c>
      <c r="H9" s="34" t="s">
        <v>275</v>
      </c>
      <c r="I9" s="34" t="s">
        <v>275</v>
      </c>
      <c r="J9" s="35"/>
      <c r="K9" s="43" t="str">
        <f>"0.00"</f>
        <v>0.00</v>
      </c>
      <c r="L9" s="17" t="str">
        <f>"0,0000"</f>
        <v>0,0000</v>
      </c>
      <c r="M9" s="15"/>
    </row>
    <row r="10" spans="1:13">
      <c r="A10" s="41" t="s">
        <v>125</v>
      </c>
      <c r="B10" s="21" t="s">
        <v>323</v>
      </c>
      <c r="C10" s="21" t="s">
        <v>276</v>
      </c>
      <c r="D10" s="21" t="s">
        <v>277</v>
      </c>
      <c r="E10" s="22" t="s">
        <v>545</v>
      </c>
      <c r="F10" s="21" t="s">
        <v>278</v>
      </c>
      <c r="G10" s="39" t="s">
        <v>272</v>
      </c>
      <c r="H10" s="40" t="s">
        <v>49</v>
      </c>
      <c r="I10" s="40" t="s">
        <v>49</v>
      </c>
      <c r="J10" s="41"/>
      <c r="K10" s="45" t="str">
        <f>"45,0"</f>
        <v>45,0</v>
      </c>
      <c r="L10" s="23" t="str">
        <f>"98,4600"</f>
        <v>98,4600</v>
      </c>
      <c r="M10" s="21"/>
    </row>
    <row r="12" spans="1:13" ht="16">
      <c r="A12" s="46" t="s">
        <v>11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32" t="s">
        <v>125</v>
      </c>
      <c r="B13" s="11" t="s">
        <v>324</v>
      </c>
      <c r="C13" s="11" t="s">
        <v>279</v>
      </c>
      <c r="D13" s="11" t="s">
        <v>280</v>
      </c>
      <c r="E13" s="12" t="s">
        <v>545</v>
      </c>
      <c r="F13" s="11" t="s">
        <v>46</v>
      </c>
      <c r="G13" s="30" t="s">
        <v>35</v>
      </c>
      <c r="H13" s="30" t="s">
        <v>36</v>
      </c>
      <c r="I13" s="31" t="s">
        <v>26</v>
      </c>
      <c r="J13" s="32"/>
      <c r="K13" s="42" t="str">
        <f>"57,5"</f>
        <v>57,5</v>
      </c>
      <c r="L13" s="13" t="str">
        <f>"112,4125"</f>
        <v>112,4125</v>
      </c>
      <c r="M13" s="11"/>
    </row>
    <row r="15" spans="1:13" ht="16">
      <c r="A15" s="46" t="s">
        <v>21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32" t="s">
        <v>125</v>
      </c>
      <c r="B16" s="11" t="s">
        <v>325</v>
      </c>
      <c r="C16" s="11" t="s">
        <v>496</v>
      </c>
      <c r="D16" s="11" t="s">
        <v>281</v>
      </c>
      <c r="E16" s="12" t="s">
        <v>550</v>
      </c>
      <c r="F16" s="11" t="s">
        <v>72</v>
      </c>
      <c r="G16" s="30" t="s">
        <v>275</v>
      </c>
      <c r="H16" s="30" t="s">
        <v>272</v>
      </c>
      <c r="I16" s="31" t="s">
        <v>49</v>
      </c>
      <c r="J16" s="32"/>
      <c r="K16" s="42" t="str">
        <f>"45,0"</f>
        <v>45,0</v>
      </c>
      <c r="L16" s="13" t="str">
        <f>"80,6670"</f>
        <v>80,6670</v>
      </c>
      <c r="M16" s="11"/>
    </row>
    <row r="18" spans="1:13" ht="16">
      <c r="A18" s="46" t="s">
        <v>212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32" t="s">
        <v>125</v>
      </c>
      <c r="B19" s="11" t="s">
        <v>326</v>
      </c>
      <c r="C19" s="11" t="s">
        <v>283</v>
      </c>
      <c r="D19" s="11" t="s">
        <v>284</v>
      </c>
      <c r="E19" s="12" t="s">
        <v>545</v>
      </c>
      <c r="F19" s="11" t="s">
        <v>529</v>
      </c>
      <c r="G19" s="30" t="s">
        <v>285</v>
      </c>
      <c r="H19" s="31" t="s">
        <v>62</v>
      </c>
      <c r="I19" s="31" t="s">
        <v>62</v>
      </c>
      <c r="J19" s="32"/>
      <c r="K19" s="42" t="str">
        <f>"72,5"</f>
        <v>72,5</v>
      </c>
      <c r="L19" s="13" t="str">
        <f>"112,8245"</f>
        <v>112,8245</v>
      </c>
      <c r="M19" s="11"/>
    </row>
    <row r="21" spans="1:13" ht="16">
      <c r="A21" s="46" t="s">
        <v>11</v>
      </c>
      <c r="B21" s="46"/>
      <c r="C21" s="47"/>
      <c r="D21" s="47"/>
      <c r="E21" s="47"/>
      <c r="F21" s="47"/>
      <c r="G21" s="47"/>
      <c r="H21" s="47"/>
      <c r="I21" s="47"/>
      <c r="J21" s="47"/>
    </row>
    <row r="22" spans="1:13">
      <c r="A22" s="32" t="s">
        <v>125</v>
      </c>
      <c r="B22" s="11" t="s">
        <v>327</v>
      </c>
      <c r="C22" s="11" t="s">
        <v>497</v>
      </c>
      <c r="D22" s="11" t="s">
        <v>286</v>
      </c>
      <c r="E22" s="12" t="s">
        <v>549</v>
      </c>
      <c r="F22" s="11" t="s">
        <v>78</v>
      </c>
      <c r="G22" s="31" t="s">
        <v>55</v>
      </c>
      <c r="H22" s="30" t="s">
        <v>14</v>
      </c>
      <c r="I22" s="31" t="s">
        <v>15</v>
      </c>
      <c r="J22" s="32"/>
      <c r="K22" s="42" t="str">
        <f>"75,0"</f>
        <v>75,0</v>
      </c>
      <c r="L22" s="13" t="str">
        <f>"125,4750"</f>
        <v>125,4750</v>
      </c>
      <c r="M22" s="11"/>
    </row>
    <row r="24" spans="1:13" ht="16">
      <c r="A24" s="46" t="s">
        <v>44</v>
      </c>
      <c r="B24" s="46"/>
      <c r="C24" s="47"/>
      <c r="D24" s="47"/>
      <c r="E24" s="47"/>
      <c r="F24" s="47"/>
      <c r="G24" s="47"/>
      <c r="H24" s="47"/>
      <c r="I24" s="47"/>
      <c r="J24" s="47"/>
    </row>
    <row r="25" spans="1:13">
      <c r="A25" s="35" t="s">
        <v>125</v>
      </c>
      <c r="B25" s="15" t="s">
        <v>328</v>
      </c>
      <c r="C25" s="15" t="s">
        <v>498</v>
      </c>
      <c r="D25" s="15" t="s">
        <v>287</v>
      </c>
      <c r="E25" s="16" t="s">
        <v>548</v>
      </c>
      <c r="F25" s="15" t="s">
        <v>46</v>
      </c>
      <c r="G25" s="33" t="s">
        <v>16</v>
      </c>
      <c r="H25" s="33" t="s">
        <v>33</v>
      </c>
      <c r="I25" s="33" t="s">
        <v>42</v>
      </c>
      <c r="J25" s="35"/>
      <c r="K25" s="43" t="str">
        <f>"97,5"</f>
        <v>97,5</v>
      </c>
      <c r="L25" s="17" t="str">
        <f>"126,5550"</f>
        <v>126,5550</v>
      </c>
      <c r="M25" s="15"/>
    </row>
    <row r="26" spans="1:13">
      <c r="A26" s="38" t="s">
        <v>125</v>
      </c>
      <c r="B26" s="18" t="s">
        <v>329</v>
      </c>
      <c r="C26" s="18" t="s">
        <v>289</v>
      </c>
      <c r="D26" s="18" t="s">
        <v>236</v>
      </c>
      <c r="E26" s="19" t="s">
        <v>545</v>
      </c>
      <c r="F26" s="18" t="s">
        <v>72</v>
      </c>
      <c r="G26" s="36" t="s">
        <v>48</v>
      </c>
      <c r="H26" s="36" t="s">
        <v>50</v>
      </c>
      <c r="I26" s="36" t="s">
        <v>56</v>
      </c>
      <c r="J26" s="38"/>
      <c r="K26" s="44" t="str">
        <f>"115,0"</f>
        <v>115,0</v>
      </c>
      <c r="L26" s="20" t="str">
        <f>"145,8200"</f>
        <v>145,8200</v>
      </c>
      <c r="M26" s="18"/>
    </row>
    <row r="27" spans="1:13">
      <c r="A27" s="38" t="s">
        <v>128</v>
      </c>
      <c r="B27" s="18" t="s">
        <v>330</v>
      </c>
      <c r="C27" s="18" t="s">
        <v>290</v>
      </c>
      <c r="D27" s="18" t="s">
        <v>291</v>
      </c>
      <c r="E27" s="19" t="s">
        <v>545</v>
      </c>
      <c r="F27" s="18" t="s">
        <v>540</v>
      </c>
      <c r="G27" s="36" t="s">
        <v>42</v>
      </c>
      <c r="H27" s="37" t="s">
        <v>43</v>
      </c>
      <c r="I27" s="37" t="s">
        <v>48</v>
      </c>
      <c r="J27" s="38"/>
      <c r="K27" s="44" t="str">
        <f>"97,5"</f>
        <v>97,5</v>
      </c>
      <c r="L27" s="20" t="str">
        <f>"122,7915"</f>
        <v>122,7915</v>
      </c>
      <c r="M27" s="18"/>
    </row>
    <row r="28" spans="1:13">
      <c r="A28" s="41" t="s">
        <v>125</v>
      </c>
      <c r="B28" s="21" t="s">
        <v>331</v>
      </c>
      <c r="C28" s="21" t="s">
        <v>499</v>
      </c>
      <c r="D28" s="21" t="s">
        <v>292</v>
      </c>
      <c r="E28" s="22" t="s">
        <v>552</v>
      </c>
      <c r="F28" s="21" t="s">
        <v>536</v>
      </c>
      <c r="G28" s="39" t="s">
        <v>20</v>
      </c>
      <c r="H28" s="39" t="s">
        <v>47</v>
      </c>
      <c r="I28" s="41"/>
      <c r="J28" s="41"/>
      <c r="K28" s="45" t="str">
        <f>"105,0"</f>
        <v>105,0</v>
      </c>
      <c r="L28" s="23" t="str">
        <f>"199,7576"</f>
        <v>199,7576</v>
      </c>
      <c r="M28" s="21" t="s">
        <v>338</v>
      </c>
    </row>
    <row r="30" spans="1:13" ht="16">
      <c r="A30" s="46" t="s">
        <v>212</v>
      </c>
      <c r="B30" s="46"/>
      <c r="C30" s="47"/>
      <c r="D30" s="47"/>
      <c r="E30" s="47"/>
      <c r="F30" s="47"/>
      <c r="G30" s="47"/>
      <c r="H30" s="47"/>
      <c r="I30" s="47"/>
      <c r="J30" s="47"/>
    </row>
    <row r="31" spans="1:13">
      <c r="A31" s="35" t="s">
        <v>125</v>
      </c>
      <c r="B31" s="15" t="s">
        <v>332</v>
      </c>
      <c r="C31" s="15" t="s">
        <v>293</v>
      </c>
      <c r="D31" s="15" t="s">
        <v>294</v>
      </c>
      <c r="E31" s="16" t="s">
        <v>545</v>
      </c>
      <c r="F31" s="15" t="s">
        <v>72</v>
      </c>
      <c r="G31" s="33" t="s">
        <v>151</v>
      </c>
      <c r="H31" s="34" t="s">
        <v>295</v>
      </c>
      <c r="I31" s="34" t="s">
        <v>295</v>
      </c>
      <c r="J31" s="35"/>
      <c r="K31" s="43" t="str">
        <f>"112,5"</f>
        <v>112,5</v>
      </c>
      <c r="L31" s="17" t="str">
        <f>"126,6300"</f>
        <v>126,6300</v>
      </c>
      <c r="M31" s="15" t="s">
        <v>296</v>
      </c>
    </row>
    <row r="32" spans="1:13">
      <c r="A32" s="38" t="s">
        <v>128</v>
      </c>
      <c r="B32" s="18" t="s">
        <v>333</v>
      </c>
      <c r="C32" s="18" t="s">
        <v>297</v>
      </c>
      <c r="D32" s="18" t="s">
        <v>298</v>
      </c>
      <c r="E32" s="19" t="s">
        <v>545</v>
      </c>
      <c r="F32" s="18" t="s">
        <v>72</v>
      </c>
      <c r="G32" s="37" t="s">
        <v>47</v>
      </c>
      <c r="H32" s="36" t="s">
        <v>47</v>
      </c>
      <c r="I32" s="36" t="s">
        <v>50</v>
      </c>
      <c r="J32" s="38"/>
      <c r="K32" s="44" t="str">
        <f>"110,0"</f>
        <v>110,0</v>
      </c>
      <c r="L32" s="20" t="str">
        <f>"123,6400"</f>
        <v>123,6400</v>
      </c>
      <c r="M32" s="18" t="s">
        <v>541</v>
      </c>
    </row>
    <row r="33" spans="1:13">
      <c r="A33" s="41" t="s">
        <v>143</v>
      </c>
      <c r="B33" s="21" t="s">
        <v>334</v>
      </c>
      <c r="C33" s="21" t="s">
        <v>299</v>
      </c>
      <c r="D33" s="21" t="s">
        <v>300</v>
      </c>
      <c r="E33" s="22" t="s">
        <v>545</v>
      </c>
      <c r="F33" s="21" t="s">
        <v>72</v>
      </c>
      <c r="G33" s="40" t="s">
        <v>47</v>
      </c>
      <c r="H33" s="40" t="s">
        <v>47</v>
      </c>
      <c r="I33" s="41"/>
      <c r="J33" s="41"/>
      <c r="K33" s="45">
        <v>0</v>
      </c>
      <c r="L33" s="23" t="str">
        <f>"0,0000"</f>
        <v>0,0000</v>
      </c>
      <c r="M33" s="21" t="s">
        <v>541</v>
      </c>
    </row>
    <row r="35" spans="1:13" ht="16">
      <c r="A35" s="46" t="s">
        <v>52</v>
      </c>
      <c r="B35" s="46"/>
      <c r="C35" s="47"/>
      <c r="D35" s="47"/>
      <c r="E35" s="47"/>
      <c r="F35" s="47"/>
      <c r="G35" s="47"/>
      <c r="H35" s="47"/>
      <c r="I35" s="47"/>
      <c r="J35" s="47"/>
    </row>
    <row r="36" spans="1:13">
      <c r="A36" s="35" t="s">
        <v>125</v>
      </c>
      <c r="B36" s="15" t="s">
        <v>138</v>
      </c>
      <c r="C36" s="15" t="s">
        <v>483</v>
      </c>
      <c r="D36" s="15" t="s">
        <v>77</v>
      </c>
      <c r="E36" s="16" t="s">
        <v>549</v>
      </c>
      <c r="F36" s="15" t="s">
        <v>78</v>
      </c>
      <c r="G36" s="33" t="s">
        <v>62</v>
      </c>
      <c r="H36" s="34" t="s">
        <v>79</v>
      </c>
      <c r="I36" s="34" t="s">
        <v>79</v>
      </c>
      <c r="J36" s="35"/>
      <c r="K36" s="43" t="str">
        <f>"77,5"</f>
        <v>77,5</v>
      </c>
      <c r="L36" s="17" t="str">
        <f>"85,2965"</f>
        <v>85,2965</v>
      </c>
      <c r="M36" s="15"/>
    </row>
    <row r="37" spans="1:13">
      <c r="A37" s="38" t="s">
        <v>125</v>
      </c>
      <c r="B37" s="18" t="s">
        <v>335</v>
      </c>
      <c r="C37" s="18" t="s">
        <v>500</v>
      </c>
      <c r="D37" s="18" t="s">
        <v>301</v>
      </c>
      <c r="E37" s="19" t="s">
        <v>547</v>
      </c>
      <c r="F37" s="18" t="s">
        <v>72</v>
      </c>
      <c r="G37" s="37" t="s">
        <v>57</v>
      </c>
      <c r="H37" s="36" t="s">
        <v>51</v>
      </c>
      <c r="I37" s="36" t="s">
        <v>37</v>
      </c>
      <c r="J37" s="38"/>
      <c r="K37" s="44" t="str">
        <f>"127,5"</f>
        <v>127,5</v>
      </c>
      <c r="L37" s="20" t="str">
        <f>"133,6200"</f>
        <v>133,6200</v>
      </c>
      <c r="M37" s="18" t="s">
        <v>541</v>
      </c>
    </row>
    <row r="38" spans="1:13">
      <c r="A38" s="38" t="s">
        <v>125</v>
      </c>
      <c r="B38" s="18" t="s">
        <v>336</v>
      </c>
      <c r="C38" s="18" t="s">
        <v>303</v>
      </c>
      <c r="D38" s="18" t="s">
        <v>304</v>
      </c>
      <c r="E38" s="19" t="s">
        <v>545</v>
      </c>
      <c r="F38" s="18" t="s">
        <v>61</v>
      </c>
      <c r="G38" s="36" t="s">
        <v>73</v>
      </c>
      <c r="H38" s="36" t="s">
        <v>28</v>
      </c>
      <c r="I38" s="37" t="s">
        <v>80</v>
      </c>
      <c r="J38" s="38"/>
      <c r="K38" s="44" t="str">
        <f>"140,0"</f>
        <v>140,0</v>
      </c>
      <c r="L38" s="20" t="str">
        <f>"145,5720"</f>
        <v>145,5720</v>
      </c>
      <c r="M38" s="18" t="s">
        <v>459</v>
      </c>
    </row>
    <row r="39" spans="1:13">
      <c r="A39" s="38" t="s">
        <v>128</v>
      </c>
      <c r="B39" s="18" t="s">
        <v>337</v>
      </c>
      <c r="C39" s="18" t="s">
        <v>305</v>
      </c>
      <c r="D39" s="18" t="s">
        <v>306</v>
      </c>
      <c r="E39" s="19" t="s">
        <v>545</v>
      </c>
      <c r="F39" s="18" t="s">
        <v>61</v>
      </c>
      <c r="G39" s="36" t="s">
        <v>20</v>
      </c>
      <c r="H39" s="37" t="s">
        <v>50</v>
      </c>
      <c r="I39" s="37" t="s">
        <v>50</v>
      </c>
      <c r="J39" s="38"/>
      <c r="K39" s="44" t="str">
        <f>"100,0"</f>
        <v>100,0</v>
      </c>
      <c r="L39" s="20" t="str">
        <f>"105,8800"</f>
        <v>105,8800</v>
      </c>
      <c r="M39" s="18" t="s">
        <v>459</v>
      </c>
    </row>
    <row r="40" spans="1:13">
      <c r="A40" s="41" t="s">
        <v>125</v>
      </c>
      <c r="B40" s="21" t="s">
        <v>338</v>
      </c>
      <c r="C40" s="21" t="s">
        <v>501</v>
      </c>
      <c r="D40" s="21" t="s">
        <v>307</v>
      </c>
      <c r="E40" s="22" t="s">
        <v>553</v>
      </c>
      <c r="F40" s="21" t="s">
        <v>536</v>
      </c>
      <c r="G40" s="39" t="s">
        <v>50</v>
      </c>
      <c r="H40" s="40" t="s">
        <v>56</v>
      </c>
      <c r="I40" s="40" t="s">
        <v>56</v>
      </c>
      <c r="J40" s="41"/>
      <c r="K40" s="45" t="str">
        <f>"110,0"</f>
        <v>110,0</v>
      </c>
      <c r="L40" s="23" t="str">
        <f>"235,3802"</f>
        <v>235,3802</v>
      </c>
      <c r="M40" s="21"/>
    </row>
    <row r="42" spans="1:13" ht="16">
      <c r="A42" s="46" t="s">
        <v>82</v>
      </c>
      <c r="B42" s="46"/>
      <c r="C42" s="47"/>
      <c r="D42" s="47"/>
      <c r="E42" s="47"/>
      <c r="F42" s="47"/>
      <c r="G42" s="47"/>
      <c r="H42" s="47"/>
      <c r="I42" s="47"/>
      <c r="J42" s="47"/>
    </row>
    <row r="43" spans="1:13">
      <c r="A43" s="35" t="s">
        <v>125</v>
      </c>
      <c r="B43" s="15" t="s">
        <v>139</v>
      </c>
      <c r="C43" s="15" t="s">
        <v>484</v>
      </c>
      <c r="D43" s="15" t="s">
        <v>83</v>
      </c>
      <c r="E43" s="16" t="s">
        <v>547</v>
      </c>
      <c r="F43" s="15" t="s">
        <v>46</v>
      </c>
      <c r="G43" s="33" t="s">
        <v>16</v>
      </c>
      <c r="H43" s="34" t="s">
        <v>20</v>
      </c>
      <c r="I43" s="33" t="s">
        <v>20</v>
      </c>
      <c r="J43" s="35"/>
      <c r="K43" s="43" t="str">
        <f>"100,0"</f>
        <v>100,0</v>
      </c>
      <c r="L43" s="17" t="str">
        <f>"98,1400"</f>
        <v>98,1400</v>
      </c>
      <c r="M43" s="15"/>
    </row>
    <row r="44" spans="1:13">
      <c r="A44" s="38" t="s">
        <v>125</v>
      </c>
      <c r="B44" s="18" t="s">
        <v>339</v>
      </c>
      <c r="C44" s="18" t="s">
        <v>308</v>
      </c>
      <c r="D44" s="18" t="s">
        <v>309</v>
      </c>
      <c r="E44" s="19" t="s">
        <v>545</v>
      </c>
      <c r="F44" s="18" t="s">
        <v>46</v>
      </c>
      <c r="G44" s="36" t="s">
        <v>51</v>
      </c>
      <c r="H44" s="36" t="s">
        <v>38</v>
      </c>
      <c r="I44" s="38"/>
      <c r="J44" s="38"/>
      <c r="K44" s="44" t="str">
        <f>"132,5"</f>
        <v>132,5</v>
      </c>
      <c r="L44" s="20" t="str">
        <f>"131,8110"</f>
        <v>131,8110</v>
      </c>
      <c r="M44" s="18" t="s">
        <v>541</v>
      </c>
    </row>
    <row r="45" spans="1:13">
      <c r="A45" s="41" t="s">
        <v>125</v>
      </c>
      <c r="B45" s="21" t="s">
        <v>340</v>
      </c>
      <c r="C45" s="21" t="s">
        <v>502</v>
      </c>
      <c r="D45" s="21" t="s">
        <v>310</v>
      </c>
      <c r="E45" s="22" t="s">
        <v>551</v>
      </c>
      <c r="F45" s="21" t="s">
        <v>533</v>
      </c>
      <c r="G45" s="39" t="s">
        <v>39</v>
      </c>
      <c r="H45" s="39" t="s">
        <v>110</v>
      </c>
      <c r="I45" s="40" t="s">
        <v>216</v>
      </c>
      <c r="J45" s="41"/>
      <c r="K45" s="45" t="str">
        <f>"142,5"</f>
        <v>142,5</v>
      </c>
      <c r="L45" s="23" t="str">
        <f>"181,9762"</f>
        <v>181,9762</v>
      </c>
      <c r="M45" s="21"/>
    </row>
    <row r="47" spans="1:13" ht="16">
      <c r="A47" s="46" t="s">
        <v>88</v>
      </c>
      <c r="B47" s="46"/>
      <c r="C47" s="47"/>
      <c r="D47" s="47"/>
      <c r="E47" s="47"/>
      <c r="F47" s="47"/>
      <c r="G47" s="47"/>
      <c r="H47" s="47"/>
      <c r="I47" s="47"/>
      <c r="J47" s="47"/>
    </row>
    <row r="48" spans="1:13">
      <c r="A48" s="35" t="s">
        <v>125</v>
      </c>
      <c r="B48" s="15" t="s">
        <v>341</v>
      </c>
      <c r="C48" s="15" t="s">
        <v>311</v>
      </c>
      <c r="D48" s="15" t="s">
        <v>312</v>
      </c>
      <c r="E48" s="16" t="s">
        <v>545</v>
      </c>
      <c r="F48" s="15" t="s">
        <v>252</v>
      </c>
      <c r="G48" s="34" t="s">
        <v>39</v>
      </c>
      <c r="H48" s="33" t="s">
        <v>39</v>
      </c>
      <c r="I48" s="33" t="s">
        <v>28</v>
      </c>
      <c r="J48" s="35"/>
      <c r="K48" s="43" t="str">
        <f>"140,0"</f>
        <v>140,0</v>
      </c>
      <c r="L48" s="17" t="str">
        <f>"130,9560"</f>
        <v>130,9560</v>
      </c>
      <c r="M48" s="15" t="s">
        <v>454</v>
      </c>
    </row>
    <row r="49" spans="1:13">
      <c r="A49" s="41" t="s">
        <v>125</v>
      </c>
      <c r="B49" s="21" t="s">
        <v>342</v>
      </c>
      <c r="C49" s="21" t="s">
        <v>503</v>
      </c>
      <c r="D49" s="21" t="s">
        <v>313</v>
      </c>
      <c r="E49" s="22" t="s">
        <v>546</v>
      </c>
      <c r="F49" s="21" t="s">
        <v>72</v>
      </c>
      <c r="G49" s="39" t="s">
        <v>81</v>
      </c>
      <c r="H49" s="39" t="s">
        <v>66</v>
      </c>
      <c r="I49" s="40" t="s">
        <v>75</v>
      </c>
      <c r="J49" s="41"/>
      <c r="K49" s="45" t="str">
        <f>"162,5"</f>
        <v>162,5</v>
      </c>
      <c r="L49" s="23" t="str">
        <f>"148,9475"</f>
        <v>148,9475</v>
      </c>
      <c r="M49" s="21" t="s">
        <v>338</v>
      </c>
    </row>
    <row r="51" spans="1:13" ht="16">
      <c r="A51" s="46" t="s">
        <v>256</v>
      </c>
      <c r="B51" s="46"/>
      <c r="C51" s="47"/>
      <c r="D51" s="47"/>
      <c r="E51" s="47"/>
      <c r="F51" s="47"/>
      <c r="G51" s="47"/>
      <c r="H51" s="47"/>
      <c r="I51" s="47"/>
      <c r="J51" s="47"/>
    </row>
    <row r="52" spans="1:13">
      <c r="A52" s="35" t="s">
        <v>125</v>
      </c>
      <c r="B52" s="15" t="s">
        <v>343</v>
      </c>
      <c r="C52" s="15" t="s">
        <v>315</v>
      </c>
      <c r="D52" s="15" t="s">
        <v>316</v>
      </c>
      <c r="E52" s="16" t="s">
        <v>545</v>
      </c>
      <c r="F52" s="15" t="s">
        <v>72</v>
      </c>
      <c r="G52" s="33" t="s">
        <v>107</v>
      </c>
      <c r="H52" s="34" t="s">
        <v>166</v>
      </c>
      <c r="I52" s="34" t="s">
        <v>166</v>
      </c>
      <c r="J52" s="35"/>
      <c r="K52" s="43" t="str">
        <f>"180,0"</f>
        <v>180,0</v>
      </c>
      <c r="L52" s="17" t="str">
        <f>"156,7800"</f>
        <v>156,7800</v>
      </c>
      <c r="M52" s="15" t="s">
        <v>338</v>
      </c>
    </row>
    <row r="53" spans="1:13">
      <c r="A53" s="41" t="s">
        <v>128</v>
      </c>
      <c r="B53" s="21" t="s">
        <v>344</v>
      </c>
      <c r="C53" s="21" t="s">
        <v>317</v>
      </c>
      <c r="D53" s="21" t="s">
        <v>318</v>
      </c>
      <c r="E53" s="22" t="s">
        <v>545</v>
      </c>
      <c r="F53" s="21" t="s">
        <v>72</v>
      </c>
      <c r="G53" s="39" t="s">
        <v>165</v>
      </c>
      <c r="H53" s="40" t="s">
        <v>319</v>
      </c>
      <c r="I53" s="40" t="s">
        <v>319</v>
      </c>
      <c r="J53" s="41"/>
      <c r="K53" s="45" t="str">
        <f>"165,0"</f>
        <v>165,0</v>
      </c>
      <c r="L53" s="23" t="str">
        <f>"144,5400"</f>
        <v>144,5400</v>
      </c>
      <c r="M53" s="21"/>
    </row>
    <row r="55" spans="1:13">
      <c r="G55" s="5"/>
      <c r="M55" s="7"/>
    </row>
    <row r="56" spans="1:13">
      <c r="M56" s="7"/>
    </row>
    <row r="57" spans="1:13" ht="18">
      <c r="B57" s="9" t="s">
        <v>7</v>
      </c>
      <c r="C57" s="9"/>
      <c r="M57" s="7"/>
    </row>
    <row r="58" spans="1:13" ht="16">
      <c r="B58" s="14" t="s">
        <v>120</v>
      </c>
      <c r="C58" s="14"/>
      <c r="M58" s="7"/>
    </row>
    <row r="59" spans="1:13" ht="14">
      <c r="B59" s="24"/>
      <c r="C59" s="25" t="s">
        <v>113</v>
      </c>
      <c r="M59" s="7"/>
    </row>
    <row r="60" spans="1:13" ht="14">
      <c r="B60" s="26" t="s">
        <v>114</v>
      </c>
      <c r="C60" s="26" t="s">
        <v>115</v>
      </c>
      <c r="D60" s="26" t="s">
        <v>530</v>
      </c>
      <c r="E60" s="27" t="s">
        <v>259</v>
      </c>
      <c r="F60" s="26" t="s">
        <v>117</v>
      </c>
      <c r="M60" s="7"/>
    </row>
    <row r="61" spans="1:13">
      <c r="B61" s="5" t="s">
        <v>314</v>
      </c>
      <c r="C61" s="5" t="s">
        <v>113</v>
      </c>
      <c r="D61" s="10" t="s">
        <v>260</v>
      </c>
      <c r="E61" s="29">
        <v>180</v>
      </c>
      <c r="F61" s="28">
        <v>156.77999854087801</v>
      </c>
      <c r="M61" s="7"/>
    </row>
    <row r="62" spans="1:13">
      <c r="B62" s="5" t="s">
        <v>288</v>
      </c>
      <c r="C62" s="5" t="s">
        <v>113</v>
      </c>
      <c r="D62" s="10" t="s">
        <v>119</v>
      </c>
      <c r="E62" s="29">
        <v>115</v>
      </c>
      <c r="F62" s="28">
        <v>145.820000767708</v>
      </c>
      <c r="M62" s="7"/>
    </row>
    <row r="63" spans="1:13">
      <c r="B63" s="5" t="s">
        <v>302</v>
      </c>
      <c r="C63" s="5" t="s">
        <v>113</v>
      </c>
      <c r="D63" s="10" t="s">
        <v>195</v>
      </c>
      <c r="E63" s="29">
        <v>140</v>
      </c>
      <c r="F63" s="28">
        <v>145.57200670242301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1:J21"/>
    <mergeCell ref="A24:J24"/>
    <mergeCell ref="K3:K4"/>
    <mergeCell ref="L3:L4"/>
    <mergeCell ref="M3:M4"/>
    <mergeCell ref="A5:J5"/>
    <mergeCell ref="B3:B4"/>
    <mergeCell ref="A8:J8"/>
    <mergeCell ref="A12:J12"/>
    <mergeCell ref="A15:J15"/>
    <mergeCell ref="A18:J18"/>
    <mergeCell ref="A30:J30"/>
    <mergeCell ref="A35:J35"/>
    <mergeCell ref="A42:J42"/>
    <mergeCell ref="A47:J47"/>
    <mergeCell ref="A51:J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Двоеборье без экип</vt:lpstr>
      <vt:lpstr>GPA Присед без экипировки ДК</vt:lpstr>
      <vt:lpstr>GPA Присед в бинтах ДК</vt:lpstr>
      <vt:lpstr>GPA Жим без экипировки ДК</vt:lpstr>
      <vt:lpstr>GPA Жим без экипировки</vt:lpstr>
      <vt:lpstr>IPO Жим однослой ДК</vt:lpstr>
      <vt:lpstr>СПР Жим софт многопетельная</vt:lpstr>
      <vt:lpstr>GPA Тяга без экипировки ДК</vt:lpstr>
      <vt:lpstr>GPA Тяга без экипировки</vt:lpstr>
      <vt:lpstr>IPO Тяга в экипировке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2023-06-09T17:24:04Z</dcterms:modified>
</cp:coreProperties>
</file>