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Июнь/"/>
    </mc:Choice>
  </mc:AlternateContent>
  <xr:revisionPtr revIDLastSave="0" documentId="13_ncr:1_{2A7D4E1D-FE9C-2042-B61E-8266D584BD8C}" xr6:coauthVersionLast="45" xr6:coauthVersionMax="45" xr10:uidLastSave="{00000000-0000-0000-0000-000000000000}"/>
  <bookViews>
    <workbookView xWindow="480" yWindow="460" windowWidth="28160" windowHeight="15900" firstSheet="15" activeTab="20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" sheetId="7" r:id="rId3"/>
    <sheet name="IPL Двоеборье без экип ДК" sheetId="17" r:id="rId4"/>
    <sheet name="IPL Двоеборье без экип" sheetId="16" r:id="rId5"/>
    <sheet name="IPL Присед без экипировки ДК" sheetId="15" r:id="rId6"/>
    <sheet name="IPL Присед без экипировки" sheetId="14" r:id="rId7"/>
    <sheet name="IPL Жим без экипировки ДК" sheetId="10" r:id="rId8"/>
    <sheet name="IPL Жим без экипировки" sheetId="9" r:id="rId9"/>
    <sheet name="СПР Жим софт однопетельная ДК" sheetId="27" r:id="rId10"/>
    <sheet name="СПР Жим софт многопетельная" sheetId="28" r:id="rId11"/>
    <sheet name="СПР Жим СФО" sheetId="37" r:id="rId12"/>
    <sheet name="WRPF Военный жим ДК" sheetId="35" r:id="rId13"/>
    <sheet name="WRPF Военный жим" sheetId="34" r:id="rId14"/>
    <sheet name="IPL Тяга без экипировки ДК" sheetId="12" r:id="rId15"/>
    <sheet name="IPL Тяга без экипировки" sheetId="11" r:id="rId16"/>
    <sheet name="СПР Пауэрспорт" sheetId="26" r:id="rId17"/>
    <sheet name="СПР Жим стоя" sheetId="23" r:id="rId18"/>
    <sheet name="СПР Подъем на бицепс ДК" sheetId="25" r:id="rId19"/>
    <sheet name="WRPF Подъем на бицепс ДК" sheetId="19" r:id="rId20"/>
    <sheet name="ФЖД Армейский жим макс.ДК" sheetId="32" r:id="rId21"/>
  </sheets>
  <definedNames>
    <definedName name="_FilterDatabase" localSheetId="1" hidden="1">'IPL ПЛ без экипировки'!$A$1:$S$3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37" l="1"/>
  <c r="K19" i="37"/>
  <c r="L16" i="37"/>
  <c r="K16" i="37"/>
  <c r="L13" i="37"/>
  <c r="K13" i="37"/>
  <c r="L10" i="37"/>
  <c r="K10" i="37"/>
  <c r="L9" i="37"/>
  <c r="K9" i="37"/>
  <c r="L6" i="37"/>
  <c r="K6" i="37"/>
  <c r="L6" i="35"/>
  <c r="K6" i="35"/>
  <c r="L6" i="34"/>
  <c r="K6" i="34"/>
  <c r="L9" i="32"/>
  <c r="K9" i="32"/>
  <c r="L6" i="32"/>
  <c r="L6" i="28"/>
  <c r="K6" i="28"/>
  <c r="L9" i="27"/>
  <c r="K9" i="27"/>
  <c r="L6" i="27"/>
  <c r="K6" i="27"/>
  <c r="P15" i="26"/>
  <c r="O15" i="26"/>
  <c r="P14" i="26"/>
  <c r="O14" i="26"/>
  <c r="P11" i="26"/>
  <c r="O11" i="26"/>
  <c r="P8" i="26"/>
  <c r="O8" i="26"/>
  <c r="P7" i="26"/>
  <c r="O7" i="26"/>
  <c r="P6" i="26"/>
  <c r="O6" i="26"/>
  <c r="L7" i="25"/>
  <c r="K7" i="25"/>
  <c r="L6" i="25"/>
  <c r="K6" i="25"/>
  <c r="L9" i="23"/>
  <c r="K9" i="23"/>
  <c r="L6" i="23"/>
  <c r="K6" i="23"/>
  <c r="L14" i="19"/>
  <c r="K14" i="19"/>
  <c r="L13" i="19"/>
  <c r="K13" i="19"/>
  <c r="L12" i="19"/>
  <c r="K12" i="19"/>
  <c r="L9" i="19"/>
  <c r="K9" i="19"/>
  <c r="L6" i="19"/>
  <c r="K6" i="19"/>
  <c r="P6" i="17"/>
  <c r="O6" i="17"/>
  <c r="P6" i="16"/>
  <c r="O6" i="16"/>
  <c r="L6" i="15"/>
  <c r="K6" i="15"/>
  <c r="L9" i="14"/>
  <c r="K9" i="14"/>
  <c r="L6" i="14"/>
  <c r="K6" i="14"/>
  <c r="L6" i="12"/>
  <c r="K6" i="12"/>
  <c r="L17" i="11"/>
  <c r="K17" i="11"/>
  <c r="L16" i="11"/>
  <c r="K16" i="11"/>
  <c r="L13" i="11"/>
  <c r="K13" i="11"/>
  <c r="L10" i="11"/>
  <c r="K10" i="11"/>
  <c r="L7" i="11"/>
  <c r="K7" i="11"/>
  <c r="L6" i="11"/>
  <c r="K6" i="11"/>
  <c r="L13" i="10"/>
  <c r="K13" i="10"/>
  <c r="L10" i="10"/>
  <c r="K10" i="10"/>
  <c r="L7" i="10"/>
  <c r="K7" i="10"/>
  <c r="L6" i="10"/>
  <c r="K6" i="10"/>
  <c r="L30" i="9"/>
  <c r="K30" i="9"/>
  <c r="L27" i="9"/>
  <c r="K27" i="9"/>
  <c r="L26" i="9"/>
  <c r="K26" i="9"/>
  <c r="L23" i="9"/>
  <c r="K23" i="9"/>
  <c r="L22" i="9"/>
  <c r="K22" i="9"/>
  <c r="L21" i="9"/>
  <c r="K21" i="9"/>
  <c r="L18" i="9"/>
  <c r="K18" i="9"/>
  <c r="L17" i="9"/>
  <c r="K17" i="9"/>
  <c r="L16" i="9"/>
  <c r="K16" i="9"/>
  <c r="L13" i="9"/>
  <c r="K13" i="9"/>
  <c r="L10" i="9"/>
  <c r="K10" i="9"/>
  <c r="L9" i="9"/>
  <c r="K9" i="9"/>
  <c r="L6" i="9"/>
  <c r="K6" i="9"/>
  <c r="T6" i="7"/>
  <c r="S6" i="7"/>
  <c r="T16" i="6"/>
  <c r="S16" i="6"/>
  <c r="T13" i="6"/>
  <c r="S13" i="6"/>
  <c r="T10" i="6"/>
  <c r="S10" i="6"/>
  <c r="T7" i="6"/>
  <c r="S7" i="6"/>
  <c r="T6" i="6"/>
  <c r="S6" i="6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<sst xmlns="http://schemas.openxmlformats.org/spreadsheetml/2006/main" count="1058" uniqueCount="341">
  <si>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</si>
  <si>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</si>
  <si>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</si>
  <si>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</si>
  <si>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</si>
  <si>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</si>
  <si>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</si>
  <si>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</si>
  <si>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</si>
  <si>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</si>
  <si>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</si>
  <si>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Егорова Ольга</t>
  </si>
  <si>
    <t>63,90</t>
  </si>
  <si>
    <t xml:space="preserve">Самара/Самарская область </t>
  </si>
  <si>
    <t>92,5</t>
  </si>
  <si>
    <t>97,5</t>
  </si>
  <si>
    <t>102,5</t>
  </si>
  <si>
    <t>77,5</t>
  </si>
  <si>
    <t>82,5</t>
  </si>
  <si>
    <t>85,0</t>
  </si>
  <si>
    <t>125,0</t>
  </si>
  <si>
    <t>135,0</t>
  </si>
  <si>
    <t>140,0</t>
  </si>
  <si>
    <t xml:space="preserve">Смирнов Антон </t>
  </si>
  <si>
    <t>ВЕСОВАЯ КАТЕГОРИЯ   75</t>
  </si>
  <si>
    <t>Замятина Наталья</t>
  </si>
  <si>
    <t>72,80</t>
  </si>
  <si>
    <t>110,0</t>
  </si>
  <si>
    <t>120,0</t>
  </si>
  <si>
    <t>130,0</t>
  </si>
  <si>
    <t>90,0</t>
  </si>
  <si>
    <t>95,0</t>
  </si>
  <si>
    <t>100,0</t>
  </si>
  <si>
    <t>105,0</t>
  </si>
  <si>
    <t xml:space="preserve">Замятин Игорь </t>
  </si>
  <si>
    <t>Шишикин Илья</t>
  </si>
  <si>
    <t>Открытая (12.08.1993)/29</t>
  </si>
  <si>
    <t>75,00</t>
  </si>
  <si>
    <t xml:space="preserve">Пенза/Пензенская область </t>
  </si>
  <si>
    <t>195,0</t>
  </si>
  <si>
    <t>200,0</t>
  </si>
  <si>
    <t>142,5</t>
  </si>
  <si>
    <t>220,0</t>
  </si>
  <si>
    <t>235,0</t>
  </si>
  <si>
    <t>ВЕСОВАЯ КАТЕГОРИЯ   110</t>
  </si>
  <si>
    <t>Неклеенко Антон</t>
  </si>
  <si>
    <t>Открытая (18.01.1979)/44</t>
  </si>
  <si>
    <t>104,50</t>
  </si>
  <si>
    <t>215,0</t>
  </si>
  <si>
    <t>185,0</t>
  </si>
  <si>
    <t>230,0</t>
  </si>
  <si>
    <t>252,5</t>
  </si>
  <si>
    <t xml:space="preserve">Абсолютный зачёт </t>
  </si>
  <si>
    <t xml:space="preserve">ФИО </t>
  </si>
  <si>
    <t xml:space="preserve">Возрастная группа </t>
  </si>
  <si>
    <t xml:space="preserve">Wilks </t>
  </si>
  <si>
    <t xml:space="preserve">Мужчины </t>
  </si>
  <si>
    <t xml:space="preserve">Открытая </t>
  </si>
  <si>
    <t>110</t>
  </si>
  <si>
    <t>1</t>
  </si>
  <si>
    <t>ВЕСОВАЯ КАТЕГОРИЯ   60</t>
  </si>
  <si>
    <t>Афонасьева Варвара</t>
  </si>
  <si>
    <t>Девушки 15-19 (07.06.2007)/16</t>
  </si>
  <si>
    <t>59,40</t>
  </si>
  <si>
    <t>75,0</t>
  </si>
  <si>
    <t>80,0</t>
  </si>
  <si>
    <t>40,0</t>
  </si>
  <si>
    <t>42,5</t>
  </si>
  <si>
    <t>45,0</t>
  </si>
  <si>
    <t>67,5</t>
  </si>
  <si>
    <t>70,0</t>
  </si>
  <si>
    <t>72,5</t>
  </si>
  <si>
    <t xml:space="preserve">Гомазкова Анастасия </t>
  </si>
  <si>
    <t>Бурочкина Мария</t>
  </si>
  <si>
    <t>Открытая (24.02.1990)/33</t>
  </si>
  <si>
    <t>58,40</t>
  </si>
  <si>
    <t>55,0</t>
  </si>
  <si>
    <t>57,5</t>
  </si>
  <si>
    <t>60,0</t>
  </si>
  <si>
    <t>115,0</t>
  </si>
  <si>
    <t>137,5</t>
  </si>
  <si>
    <t>ВЕСОВАЯ КАТЕГОРИЯ   82.5</t>
  </si>
  <si>
    <t>Чернявский Вадим</t>
  </si>
  <si>
    <t>Открытая (04.08.1998)/24</t>
  </si>
  <si>
    <t>81,90</t>
  </si>
  <si>
    <t>205,0</t>
  </si>
  <si>
    <t>180,0</t>
  </si>
  <si>
    <t xml:space="preserve">Егорова Ольга </t>
  </si>
  <si>
    <t>ВЕСОВАЯ КАТЕГОРИЯ   90</t>
  </si>
  <si>
    <t>Мубаракшин Михаил</t>
  </si>
  <si>
    <t>Открытая (08.10.2001)/21</t>
  </si>
  <si>
    <t>89,50</t>
  </si>
  <si>
    <t>145,0</t>
  </si>
  <si>
    <t>150,0</t>
  </si>
  <si>
    <t>225,0</t>
  </si>
  <si>
    <t>240,0</t>
  </si>
  <si>
    <t>Зайцев Владимир</t>
  </si>
  <si>
    <t>109,30</t>
  </si>
  <si>
    <t>170,0</t>
  </si>
  <si>
    <t>177,5</t>
  </si>
  <si>
    <t>ВЕСОВАЯ КАТЕГОРИЯ   100</t>
  </si>
  <si>
    <t>Гинглятт Иван</t>
  </si>
  <si>
    <t>Открытая (17.04.2000)/23</t>
  </si>
  <si>
    <t>98,40</t>
  </si>
  <si>
    <t xml:space="preserve">Отрадный/Самарская область </t>
  </si>
  <si>
    <t>155,0</t>
  </si>
  <si>
    <t>165,0</t>
  </si>
  <si>
    <t>175,0</t>
  </si>
  <si>
    <t>100</t>
  </si>
  <si>
    <t>Байгузина Карина</t>
  </si>
  <si>
    <t>57,80</t>
  </si>
  <si>
    <t>32,5</t>
  </si>
  <si>
    <t>37,5</t>
  </si>
  <si>
    <t>Кнутова Татьяна</t>
  </si>
  <si>
    <t>Открытая (16.06.1972)/50</t>
  </si>
  <si>
    <t>66,00</t>
  </si>
  <si>
    <t xml:space="preserve">Трухтанов Павел </t>
  </si>
  <si>
    <t>Кискин Константин</t>
  </si>
  <si>
    <t>Открытая (28.05.1986)/37</t>
  </si>
  <si>
    <t>81,10</t>
  </si>
  <si>
    <t xml:space="preserve">Саратов/Саратовская область </t>
  </si>
  <si>
    <t>147,5</t>
  </si>
  <si>
    <t>Богданов Роман</t>
  </si>
  <si>
    <t>Открытая (11.05.1973)/50</t>
  </si>
  <si>
    <t>81,50</t>
  </si>
  <si>
    <t xml:space="preserve">Тюмень/Тюменская область </t>
  </si>
  <si>
    <t>Мирзахметов Вадим</t>
  </si>
  <si>
    <t>Открытая (15.10.1980)/42</t>
  </si>
  <si>
    <t>97,00</t>
  </si>
  <si>
    <t>187,5</t>
  </si>
  <si>
    <t>190,0</t>
  </si>
  <si>
    <t>Орехов Александр</t>
  </si>
  <si>
    <t>Открытая (22.07.1994)/28</t>
  </si>
  <si>
    <t>94,50</t>
  </si>
  <si>
    <t xml:space="preserve">Кинель-Черкассы/Самарская область </t>
  </si>
  <si>
    <t>162,5</t>
  </si>
  <si>
    <t>167,5</t>
  </si>
  <si>
    <t>172,5</t>
  </si>
  <si>
    <t xml:space="preserve">Филатов Евгений </t>
  </si>
  <si>
    <t>Левша Михаил</t>
  </si>
  <si>
    <t>Открытая (13.10.1988)/34</t>
  </si>
  <si>
    <t>95,60</t>
  </si>
  <si>
    <t>160,0</t>
  </si>
  <si>
    <t>Потапов Денис</t>
  </si>
  <si>
    <t>Открытая (05.02.1990)/33</t>
  </si>
  <si>
    <t>108,80</t>
  </si>
  <si>
    <t>ВЕСОВАЯ КАТЕГОРИЯ   125</t>
  </si>
  <si>
    <t>Магер Дмитрий</t>
  </si>
  <si>
    <t>Открытая (19.07.1989)/33</t>
  </si>
  <si>
    <t>112,30</t>
  </si>
  <si>
    <t>207,5</t>
  </si>
  <si>
    <t xml:space="preserve">Суслов Николай </t>
  </si>
  <si>
    <t xml:space="preserve">Результат </t>
  </si>
  <si>
    <t>125</t>
  </si>
  <si>
    <t>Результат</t>
  </si>
  <si>
    <t>2</t>
  </si>
  <si>
    <t>3</t>
  </si>
  <si>
    <t>ВЕСОВАЯ КАТЕГОРИЯ   56</t>
  </si>
  <si>
    <t>Дорш Олеся</t>
  </si>
  <si>
    <t>Открытая (28.06.1986)/36</t>
  </si>
  <si>
    <t>55,80</t>
  </si>
  <si>
    <t>Горожанина Ольга</t>
  </si>
  <si>
    <t>Открытая (05.11.1983)/39</t>
  </si>
  <si>
    <t>55,90</t>
  </si>
  <si>
    <t xml:space="preserve">Ульяновск/Ульяновская область </t>
  </si>
  <si>
    <t>Новиков Вадим</t>
  </si>
  <si>
    <t>Юноши 15-19 (26.03.2007)/16</t>
  </si>
  <si>
    <t>74,20</t>
  </si>
  <si>
    <t>112,5</t>
  </si>
  <si>
    <t>117,5</t>
  </si>
  <si>
    <t xml:space="preserve">Стецко Юрий </t>
  </si>
  <si>
    <t>Калашников Александр</t>
  </si>
  <si>
    <t>Открытая (27.10.1980)/42</t>
  </si>
  <si>
    <t>88,10</t>
  </si>
  <si>
    <t xml:space="preserve">Гатауллин Тимур </t>
  </si>
  <si>
    <t>Коркин Владислав</t>
  </si>
  <si>
    <t>Открытая (23.12.1993)/29</t>
  </si>
  <si>
    <t>78,00</t>
  </si>
  <si>
    <t xml:space="preserve">Кинель/Самарская область </t>
  </si>
  <si>
    <t>210,0</t>
  </si>
  <si>
    <t>Гридин Роман</t>
  </si>
  <si>
    <t>Открытая (28.01.1972)/51</t>
  </si>
  <si>
    <t>83,30</t>
  </si>
  <si>
    <t xml:space="preserve">Луцук Виталий </t>
  </si>
  <si>
    <t>Новлянский Виктор</t>
  </si>
  <si>
    <t>105,00</t>
  </si>
  <si>
    <t>217,5</t>
  </si>
  <si>
    <t xml:space="preserve">Гераймас Александр </t>
  </si>
  <si>
    <t>Севрюкова Светлана</t>
  </si>
  <si>
    <t>72,40</t>
  </si>
  <si>
    <t>ВЕСОВАЯ КАТЕГОРИЯ   48</t>
  </si>
  <si>
    <t>Муратхузина Эльвина</t>
  </si>
  <si>
    <t>Открытая (27.01.2007)/16</t>
  </si>
  <si>
    <t>47,50</t>
  </si>
  <si>
    <t>50,0</t>
  </si>
  <si>
    <t>Дементьев Илья</t>
  </si>
  <si>
    <t>Юноши 15-19 (02.08.2005)/17</t>
  </si>
  <si>
    <t>86,70</t>
  </si>
  <si>
    <t>250,0</t>
  </si>
  <si>
    <t>Беляков Олег</t>
  </si>
  <si>
    <t>67,50</t>
  </si>
  <si>
    <t>47,5</t>
  </si>
  <si>
    <t>Стецко Игорь</t>
  </si>
  <si>
    <t>71,90</t>
  </si>
  <si>
    <t>52,5</t>
  </si>
  <si>
    <t>Шувакин Максим</t>
  </si>
  <si>
    <t>76,50</t>
  </si>
  <si>
    <t>62,5</t>
  </si>
  <si>
    <t>Кичигин Илья</t>
  </si>
  <si>
    <t>Открытая (24.08.1998)/24</t>
  </si>
  <si>
    <t>75,60</t>
  </si>
  <si>
    <t xml:space="preserve">Тольятти/Самарская область </t>
  </si>
  <si>
    <t>Семенов Андрей</t>
  </si>
  <si>
    <t>79,80</t>
  </si>
  <si>
    <t>Жим стоя</t>
  </si>
  <si>
    <t>Яковлев Максим</t>
  </si>
  <si>
    <t>Открытая (17.06.1982)/40</t>
  </si>
  <si>
    <t>Николаев Алексей</t>
  </si>
  <si>
    <t>91,80</t>
  </si>
  <si>
    <t>Хамматов Александр</t>
  </si>
  <si>
    <t>Ахмеров Ильнас</t>
  </si>
  <si>
    <t>66,40</t>
  </si>
  <si>
    <t>Соловьёв Владислав</t>
  </si>
  <si>
    <t>61,10</t>
  </si>
  <si>
    <t>25,0</t>
  </si>
  <si>
    <t>30,0</t>
  </si>
  <si>
    <t>35,0</t>
  </si>
  <si>
    <t>27,5</t>
  </si>
  <si>
    <t>Травкин Георгий</t>
  </si>
  <si>
    <t>Открытая (01.04.2009)/14</t>
  </si>
  <si>
    <t>66,50</t>
  </si>
  <si>
    <t>Султанов Ринат</t>
  </si>
  <si>
    <t>89,80</t>
  </si>
  <si>
    <t>Стецко Юрий</t>
  </si>
  <si>
    <t>Открытая (02.04.1986)/37</t>
  </si>
  <si>
    <t>114,80</t>
  </si>
  <si>
    <t xml:space="preserve">село Тоцкое Второе/Оренбургска </t>
  </si>
  <si>
    <t>Иванов Михаил</t>
  </si>
  <si>
    <t>Открытая (21.05.1996)/27</t>
  </si>
  <si>
    <t>118,30</t>
  </si>
  <si>
    <t xml:space="preserve">Аткарск/Саратовская область </t>
  </si>
  <si>
    <t>127,5</t>
  </si>
  <si>
    <t>Пузин Максим</t>
  </si>
  <si>
    <t>Открытая (23.09.1986)/36</t>
  </si>
  <si>
    <t>202,5</t>
  </si>
  <si>
    <t>Бакунц Гагик</t>
  </si>
  <si>
    <t>Открытая (22.03.1990)/33</t>
  </si>
  <si>
    <t>120,20</t>
  </si>
  <si>
    <t>247,5</t>
  </si>
  <si>
    <t>262,5</t>
  </si>
  <si>
    <t>Грищенко Андрей</t>
  </si>
  <si>
    <t>Открытая (19.06.1996)/26</t>
  </si>
  <si>
    <t>93,70</t>
  </si>
  <si>
    <t>320,0</t>
  </si>
  <si>
    <t>330,0</t>
  </si>
  <si>
    <t xml:space="preserve">Брославский Владислав </t>
  </si>
  <si>
    <t>ВЕСОВАЯ КАТЕГОРИЯ   70</t>
  </si>
  <si>
    <t>ВЕСОВАЯ КАТЕГОРИЯ   80</t>
  </si>
  <si>
    <t>87,5</t>
  </si>
  <si>
    <t>-</t>
  </si>
  <si>
    <t>Юноши 17-19 (02.08.2005)/17</t>
  </si>
  <si>
    <t>Воровкин Максим</t>
  </si>
  <si>
    <t>Мастера 40-49 (31.03.1980)/43</t>
  </si>
  <si>
    <t>65,70</t>
  </si>
  <si>
    <t>65,0</t>
  </si>
  <si>
    <t>Калявин Максим</t>
  </si>
  <si>
    <t>Открытая (10.04.1989)/34</t>
  </si>
  <si>
    <t>69,00</t>
  </si>
  <si>
    <t>Гугняков Александр</t>
  </si>
  <si>
    <t>Мастера 40-49 (17.09.1974)/48</t>
  </si>
  <si>
    <t>73,80</t>
  </si>
  <si>
    <t>152,5</t>
  </si>
  <si>
    <t>Попов Антон</t>
  </si>
  <si>
    <t>Открытая (11.01.1989)/34</t>
  </si>
  <si>
    <t>76,10</t>
  </si>
  <si>
    <t xml:space="preserve">Новокуйбышевск/Самарская область </t>
  </si>
  <si>
    <t>Исаев Андрей</t>
  </si>
  <si>
    <t>Мастера 50-59 (30.03.1970)/53</t>
  </si>
  <si>
    <t>88,20</t>
  </si>
  <si>
    <t xml:space="preserve">Губанов Александр </t>
  </si>
  <si>
    <t>Титов Андрей</t>
  </si>
  <si>
    <t>Мастера 40-49 (15.11.1977)/45</t>
  </si>
  <si>
    <t>114,50</t>
  </si>
  <si>
    <t>Всероссийский турнир
СПР Жим лежа среди спортсменов с физическими особенностями
Самара/Самарская область, 10 июня 2023 года</t>
  </si>
  <si>
    <t>Юноши 13-19 (14.07.2009)/13</t>
  </si>
  <si>
    <t xml:space="preserve">Тоцкое Второе/Оренбургская область </t>
  </si>
  <si>
    <t>Всероссийский турнир
WRPF Военный жим лежа с ДК
Самара/Самарская область, 10 июня 2023 года</t>
  </si>
  <si>
    <t>Всероссийский турнир
WRPF Военный жим лежа
Самара/Самарская область, 10 июня 2023 года</t>
  </si>
  <si>
    <t>Мастера 50-54 (17.07.1970)/52</t>
  </si>
  <si>
    <t>Мастера 55-59 (07.09.1963)/59</t>
  </si>
  <si>
    <t>Национальный Кубок
ФЖД Армейский жим на максимум ДК
Самара/Самарская область, 10 июня 2023 года</t>
  </si>
  <si>
    <t>Национальный Кубок
СПР Жим лежа в многопетельной софт экипировке
Самара/Самарская область, 10 июня 2023 года</t>
  </si>
  <si>
    <t>Национальный Кубок
СПР Жим лежа в однопетельной софт экипировке ДК
Самара/Самарская область, 10 июня 2023 года</t>
  </si>
  <si>
    <t>Всероссийский турнир
СПР Пауэрспорт
Самара/Самарская область, 10 июня 2023 года</t>
  </si>
  <si>
    <t>Юноши 13-19 (07.03.2008)/15</t>
  </si>
  <si>
    <t>Юноши 13-19 (03.09.2009)/13</t>
  </si>
  <si>
    <t>Юноши 13-19 (26.04.2008)/15</t>
  </si>
  <si>
    <t>Юноши 13-19 (27.01.2008)/15</t>
  </si>
  <si>
    <t>Мастера 50-59 (17.07.1970)/52</t>
  </si>
  <si>
    <t>Юноши 13-19 (08.10.2006)/16</t>
  </si>
  <si>
    <t>Юноши 13-19 (14.12.2005)/17</t>
  </si>
  <si>
    <t>Мастера 50-59 (07.09.1963)/59</t>
  </si>
  <si>
    <t>Мастера 50-54 (16.06.1972)/50</t>
  </si>
  <si>
    <t>Мастера 55-59 (07.02.1968)/55</t>
  </si>
  <si>
    <t>Мастера 45-49 (14.03.1975)/48</t>
  </si>
  <si>
    <t>Мастера 55-59 (01.11.1965)/57</t>
  </si>
  <si>
    <t>Юниорки 20-23 (04.01.2002)/21</t>
  </si>
  <si>
    <t>Мастера 40-44 (14.04.1980)/43</t>
  </si>
  <si>
    <t>Мастера 50-54 (11.05.1973)/50</t>
  </si>
  <si>
    <t>Мастера 70-74 (02.11.1949)/73</t>
  </si>
  <si>
    <t>Всероссийский турнир
СПР Строгий подъем штанги на бицепс ДК
Самара/Самарская область, 10 июня 2023 года</t>
  </si>
  <si>
    <t>Уральск/Казахстан</t>
  </si>
  <si>
    <t>Всероссийский турнир
СПР Жим штанги стоя
Самара/Самарская область, 10 июня 2023 года</t>
  </si>
  <si>
    <t>Всероссийский турнир
WRPF Строгий подъем штанги на бицепс ДК
Самара/Самарская область, 10 июня 2023 года</t>
  </si>
  <si>
    <t>Национальный Кубок
IPL Силовое двоеборье без экипировки ДК
Самара/Самарская область, 10 июня 2023 года</t>
  </si>
  <si>
    <t>Национальный Кубок
IPL Силовое двоеборье без экипировки
Самара/Самарская область, 10 июня 2023 года</t>
  </si>
  <si>
    <t>Национальный Кубок
IPL Присед без экипировки ДК
Самара/Самарская область, 10 июня 2023 года</t>
  </si>
  <si>
    <t>Национальный Кубок
IPL Присед без экипировки
Самара/Самарская область, 10 июня 2023 года</t>
  </si>
  <si>
    <t>Национальный Кубок
IPL Становая тяга без экипировки ДК
Самара/Самарская область, 10 июня 2023 года</t>
  </si>
  <si>
    <t>Национальный Кубок
IPL Становая тяга без экипировки
Самара/Самарская область, 10 июня 2023 года</t>
  </si>
  <si>
    <t>Национальный Кубок
IPL Жим лежа без экипировки ДК
Самара/Самарская область, 10 июня 2023 года</t>
  </si>
  <si>
    <t>Национальный Кубок
IPL Жим лежа без экипировки
Самара/Самарская область, 10 июня 2023 года</t>
  </si>
  <si>
    <t>Национальный Кубок
IPL Пауэрлифтинг в бинтах
Самара/Самарская область, 10 июня 2023 года</t>
  </si>
  <si>
    <t>Национальный Кубок
IPL Пауэрлифтинг без экипировки ДК
Самара/Самарская область, 10 июня 2023 года</t>
  </si>
  <si>
    <t>Национальный Кубок
IPL Пауэрлифтинг без экипировки
Самара/Самарская область, 10 июня 2023 года</t>
  </si>
  <si>
    <t>Весовая категория</t>
  </si>
  <si>
    <t>Гугняков Алексадр</t>
  </si>
  <si>
    <t>Жим</t>
  </si>
  <si>
    <t>№</t>
  </si>
  <si>
    <t>Тяга</t>
  </si>
  <si>
    <t xml:space="preserve">
Дата рождения/Возраст</t>
  </si>
  <si>
    <t>Возрастная группа</t>
  </si>
  <si>
    <t>T</t>
  </si>
  <si>
    <t>O</t>
  </si>
  <si>
    <t>M7</t>
  </si>
  <si>
    <t>M2</t>
  </si>
  <si>
    <t>M1</t>
  </si>
  <si>
    <t>M3</t>
  </si>
  <si>
    <t>J</t>
  </si>
  <si>
    <t>T2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</si>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</sst>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8.5" style="5" bestFit="1" customWidth="1"/>
    <col min="4" max="4" width="21.5" style="5" bestFit="1" customWidth="1"/>
    <col min="5" max="5" width="10.5" style="11" bestFit="1" customWidth="1"/>
    <col min="6" max="6" width="28.6640625" style="5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24.83203125" style="5" customWidth="1"/>
    <col min="22" max="16384" width="9.1640625" style="3"/>
  </cols>
  <sheetData>
    <row r="1" spans="1:21" s="2" customFormat="1" ht="29" customHeight="1">
      <c r="A1" s="55" t="s">
        <v>323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67" t="s">
        <v>1</v>
      </c>
      <c r="T3" s="67" t="s">
        <v>3</v>
      </c>
      <c r="U3" s="51" t="s">
        <v>2</v>
      </c>
    </row>
    <row r="4" spans="1:21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8"/>
      <c r="T4" s="68"/>
      <c r="U4" s="52"/>
    </row>
    <row r="5" spans="1:21" ht="16">
      <c r="A5" s="53" t="s">
        <v>60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>
      <c r="A6" s="32" t="s">
        <v>59</v>
      </c>
      <c r="B6" s="24" t="s">
        <v>61</v>
      </c>
      <c r="C6" s="24" t="s">
        <v>62</v>
      </c>
      <c r="D6" s="24" t="s">
        <v>63</v>
      </c>
      <c r="E6" s="25" t="s">
        <v>332</v>
      </c>
      <c r="F6" s="24" t="s">
        <v>13</v>
      </c>
      <c r="G6" s="30" t="s">
        <v>64</v>
      </c>
      <c r="H6" s="31" t="s">
        <v>17</v>
      </c>
      <c r="I6" s="30" t="s">
        <v>65</v>
      </c>
      <c r="J6" s="32"/>
      <c r="K6" s="31" t="s">
        <v>66</v>
      </c>
      <c r="L6" s="30" t="s">
        <v>67</v>
      </c>
      <c r="M6" s="30" t="s">
        <v>68</v>
      </c>
      <c r="N6" s="32"/>
      <c r="O6" s="31" t="s">
        <v>69</v>
      </c>
      <c r="P6" s="31" t="s">
        <v>70</v>
      </c>
      <c r="Q6" s="31" t="s">
        <v>71</v>
      </c>
      <c r="R6" s="32"/>
      <c r="S6" s="26" t="str">
        <f>"190,0"</f>
        <v>190,0</v>
      </c>
      <c r="T6" s="26" t="str">
        <f>"213,4840"</f>
        <v>213,4840</v>
      </c>
      <c r="U6" s="24" t="s">
        <v>72</v>
      </c>
    </row>
    <row r="7" spans="1:21">
      <c r="A7" s="34" t="s">
        <v>59</v>
      </c>
      <c r="B7" s="27" t="s">
        <v>73</v>
      </c>
      <c r="C7" s="27" t="s">
        <v>74</v>
      </c>
      <c r="D7" s="27" t="s">
        <v>75</v>
      </c>
      <c r="E7" s="28" t="s">
        <v>333</v>
      </c>
      <c r="F7" s="27" t="s">
        <v>13</v>
      </c>
      <c r="G7" s="33" t="s">
        <v>30</v>
      </c>
      <c r="H7" s="33" t="s">
        <v>31</v>
      </c>
      <c r="I7" s="33" t="s">
        <v>32</v>
      </c>
      <c r="J7" s="34"/>
      <c r="K7" s="33" t="s">
        <v>76</v>
      </c>
      <c r="L7" s="33" t="s">
        <v>77</v>
      </c>
      <c r="M7" s="33" t="s">
        <v>78</v>
      </c>
      <c r="N7" s="34"/>
      <c r="O7" s="33" t="s">
        <v>79</v>
      </c>
      <c r="P7" s="33" t="s">
        <v>20</v>
      </c>
      <c r="Q7" s="35" t="s">
        <v>80</v>
      </c>
      <c r="R7" s="34"/>
      <c r="S7" s="29" t="str">
        <f>"285,0"</f>
        <v>285,0</v>
      </c>
      <c r="T7" s="29" t="str">
        <f>"324,5010"</f>
        <v>324,5010</v>
      </c>
      <c r="U7" s="27" t="s">
        <v>326</v>
      </c>
    </row>
    <row r="9" spans="1:21" ht="16">
      <c r="A9" s="70" t="s">
        <v>81</v>
      </c>
      <c r="B9" s="70"/>
      <c r="C9" s="70"/>
      <c r="D9" s="70"/>
      <c r="E9" s="71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1">
      <c r="A10" s="22" t="s">
        <v>59</v>
      </c>
      <c r="B10" s="7" t="s">
        <v>82</v>
      </c>
      <c r="C10" s="7" t="s">
        <v>83</v>
      </c>
      <c r="D10" s="7" t="s">
        <v>84</v>
      </c>
      <c r="E10" s="8" t="s">
        <v>333</v>
      </c>
      <c r="F10" s="7" t="s">
        <v>13</v>
      </c>
      <c r="G10" s="21" t="s">
        <v>49</v>
      </c>
      <c r="H10" s="21" t="s">
        <v>39</v>
      </c>
      <c r="I10" s="23" t="s">
        <v>85</v>
      </c>
      <c r="J10" s="22"/>
      <c r="K10" s="21" t="s">
        <v>79</v>
      </c>
      <c r="L10" s="21" t="s">
        <v>28</v>
      </c>
      <c r="M10" s="21" t="s">
        <v>20</v>
      </c>
      <c r="N10" s="22"/>
      <c r="O10" s="21" t="s">
        <v>86</v>
      </c>
      <c r="P10" s="21" t="s">
        <v>39</v>
      </c>
      <c r="Q10" s="23" t="s">
        <v>85</v>
      </c>
      <c r="R10" s="22"/>
      <c r="S10" s="9" t="str">
        <f>"515,0"</f>
        <v>515,0</v>
      </c>
      <c r="T10" s="9" t="str">
        <f>"346,5435"</f>
        <v>346,5435</v>
      </c>
      <c r="U10" s="7" t="s">
        <v>87</v>
      </c>
    </row>
    <row r="12" spans="1:21" ht="16">
      <c r="A12" s="70" t="s">
        <v>88</v>
      </c>
      <c r="B12" s="70"/>
      <c r="C12" s="70"/>
      <c r="D12" s="70"/>
      <c r="E12" s="71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21">
      <c r="A13" s="22" t="s">
        <v>59</v>
      </c>
      <c r="B13" s="7" t="s">
        <v>89</v>
      </c>
      <c r="C13" s="7" t="s">
        <v>90</v>
      </c>
      <c r="D13" s="7" t="s">
        <v>91</v>
      </c>
      <c r="E13" s="8" t="s">
        <v>333</v>
      </c>
      <c r="F13" s="7" t="s">
        <v>13</v>
      </c>
      <c r="G13" s="21" t="s">
        <v>42</v>
      </c>
      <c r="H13" s="23" t="s">
        <v>50</v>
      </c>
      <c r="I13" s="21" t="s">
        <v>50</v>
      </c>
      <c r="J13" s="22"/>
      <c r="K13" s="23" t="s">
        <v>22</v>
      </c>
      <c r="L13" s="21" t="s">
        <v>92</v>
      </c>
      <c r="M13" s="21" t="s">
        <v>93</v>
      </c>
      <c r="N13" s="22"/>
      <c r="O13" s="21" t="s">
        <v>94</v>
      </c>
      <c r="P13" s="21" t="s">
        <v>43</v>
      </c>
      <c r="Q13" s="21" t="s">
        <v>95</v>
      </c>
      <c r="R13" s="22"/>
      <c r="S13" s="9" t="str">
        <f>"620,0"</f>
        <v>620,0</v>
      </c>
      <c r="T13" s="9" t="str">
        <f>"396,9240"</f>
        <v>396,9240</v>
      </c>
      <c r="U13" s="7"/>
    </row>
    <row r="15" spans="1:21" ht="16">
      <c r="A15" s="70" t="s">
        <v>44</v>
      </c>
      <c r="B15" s="70"/>
      <c r="C15" s="70"/>
      <c r="D15" s="70"/>
      <c r="E15" s="71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21">
      <c r="A16" s="22" t="s">
        <v>59</v>
      </c>
      <c r="B16" s="7" t="s">
        <v>96</v>
      </c>
      <c r="C16" s="7" t="s">
        <v>309</v>
      </c>
      <c r="D16" s="7" t="s">
        <v>97</v>
      </c>
      <c r="E16" s="8" t="s">
        <v>334</v>
      </c>
      <c r="F16" s="7" t="s">
        <v>13</v>
      </c>
      <c r="G16" s="21" t="s">
        <v>79</v>
      </c>
      <c r="H16" s="21" t="s">
        <v>20</v>
      </c>
      <c r="I16" s="21" t="s">
        <v>21</v>
      </c>
      <c r="J16" s="22"/>
      <c r="K16" s="21" t="s">
        <v>31</v>
      </c>
      <c r="L16" s="21" t="s">
        <v>33</v>
      </c>
      <c r="M16" s="23" t="s">
        <v>27</v>
      </c>
      <c r="N16" s="22"/>
      <c r="O16" s="21" t="s">
        <v>93</v>
      </c>
      <c r="P16" s="21" t="s">
        <v>98</v>
      </c>
      <c r="Q16" s="21" t="s">
        <v>99</v>
      </c>
      <c r="R16" s="22"/>
      <c r="S16" s="9" t="str">
        <f>"417,5"</f>
        <v>417,5</v>
      </c>
      <c r="T16" s="9" t="str">
        <f>"448,0835"</f>
        <v>448,0835</v>
      </c>
      <c r="U16" s="7"/>
    </row>
  </sheetData>
  <mergeCells count="17">
    <mergeCell ref="A9:R9"/>
    <mergeCell ref="A12:R12"/>
    <mergeCell ref="A15:R15"/>
    <mergeCell ref="B3:B4"/>
    <mergeCell ref="S3:S4"/>
    <mergeCell ref="K3:N3"/>
    <mergeCell ref="O3:R3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T3:T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6.33203125" style="5" bestFit="1" customWidth="1"/>
    <col min="4" max="4" width="21.5" style="5" bestFit="1" customWidth="1"/>
    <col min="5" max="5" width="10.5" style="11" bestFit="1" customWidth="1"/>
    <col min="6" max="6" width="26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55" t="s">
        <v>292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8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100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242</v>
      </c>
      <c r="C6" s="7" t="s">
        <v>243</v>
      </c>
      <c r="D6" s="7" t="s">
        <v>103</v>
      </c>
      <c r="E6" s="8" t="s">
        <v>333</v>
      </c>
      <c r="F6" s="7" t="s">
        <v>13</v>
      </c>
      <c r="G6" s="23" t="s">
        <v>244</v>
      </c>
      <c r="H6" s="23" t="s">
        <v>244</v>
      </c>
      <c r="I6" s="21" t="s">
        <v>244</v>
      </c>
      <c r="J6" s="22"/>
      <c r="K6" s="9" t="str">
        <f>"202,5"</f>
        <v>202,5</v>
      </c>
      <c r="L6" s="9" t="str">
        <f>"118,5334"</f>
        <v>118,5334</v>
      </c>
      <c r="M6" s="7" t="s">
        <v>34</v>
      </c>
    </row>
    <row r="8" spans="1:13" ht="16">
      <c r="A8" s="70" t="s">
        <v>146</v>
      </c>
      <c r="B8" s="70"/>
      <c r="C8" s="70"/>
      <c r="D8" s="70"/>
      <c r="E8" s="71"/>
      <c r="F8" s="70"/>
      <c r="G8" s="70"/>
      <c r="H8" s="70"/>
      <c r="I8" s="70"/>
      <c r="J8" s="70"/>
    </row>
    <row r="9" spans="1:13">
      <c r="A9" s="22" t="s">
        <v>59</v>
      </c>
      <c r="B9" s="7" t="s">
        <v>245</v>
      </c>
      <c r="C9" s="7" t="s">
        <v>246</v>
      </c>
      <c r="D9" s="7" t="s">
        <v>247</v>
      </c>
      <c r="E9" s="8" t="s">
        <v>333</v>
      </c>
      <c r="F9" s="7" t="s">
        <v>13</v>
      </c>
      <c r="G9" s="21" t="s">
        <v>43</v>
      </c>
      <c r="H9" s="21" t="s">
        <v>248</v>
      </c>
      <c r="I9" s="21" t="s">
        <v>249</v>
      </c>
      <c r="J9" s="22"/>
      <c r="K9" s="9" t="str">
        <f>"262,5"</f>
        <v>262,5</v>
      </c>
      <c r="L9" s="9" t="str">
        <f>"144,5719"</f>
        <v>144,5719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33203125" style="5" bestFit="1" customWidth="1"/>
    <col min="4" max="4" width="21.5" style="5" bestFit="1" customWidth="1"/>
    <col min="5" max="5" width="10.5" style="11" bestFit="1" customWidth="1"/>
    <col min="6" max="6" width="26.8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3.1640625" style="5" bestFit="1" customWidth="1"/>
    <col min="14" max="16384" width="9.1640625" style="3"/>
  </cols>
  <sheetData>
    <row r="1" spans="1:13" s="2" customFormat="1" ht="29" customHeight="1">
      <c r="A1" s="55" t="s">
        <v>291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8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100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250</v>
      </c>
      <c r="C6" s="7" t="s">
        <v>251</v>
      </c>
      <c r="D6" s="7" t="s">
        <v>252</v>
      </c>
      <c r="E6" s="8" t="s">
        <v>333</v>
      </c>
      <c r="F6" s="7" t="s">
        <v>211</v>
      </c>
      <c r="G6" s="21" t="s">
        <v>253</v>
      </c>
      <c r="H6" s="23" t="s">
        <v>254</v>
      </c>
      <c r="I6" s="23" t="s">
        <v>254</v>
      </c>
      <c r="J6" s="22"/>
      <c r="K6" s="9" t="str">
        <f>"320,0"</f>
        <v>320,0</v>
      </c>
      <c r="L6" s="9" t="str">
        <f>"191,6800"</f>
        <v>191,6800</v>
      </c>
      <c r="M6" s="7" t="s">
        <v>255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9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5" style="5" customWidth="1"/>
    <col min="3" max="3" width="27.5" style="5" bestFit="1" customWidth="1"/>
    <col min="4" max="4" width="21.5" style="5" bestFit="1" customWidth="1"/>
    <col min="5" max="5" width="10.5" style="11" bestFit="1" customWidth="1"/>
    <col min="6" max="6" width="34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6640625" style="6" bestFit="1" customWidth="1"/>
    <col min="13" max="13" width="18.6640625" style="5" bestFit="1" customWidth="1"/>
    <col min="14" max="16384" width="9.1640625" style="3"/>
  </cols>
  <sheetData>
    <row r="1" spans="1:13" s="2" customFormat="1" ht="29" customHeight="1">
      <c r="A1" s="55" t="s">
        <v>283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8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10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261</v>
      </c>
      <c r="C6" s="7" t="s">
        <v>262</v>
      </c>
      <c r="D6" s="7" t="s">
        <v>263</v>
      </c>
      <c r="E6" s="8" t="s">
        <v>336</v>
      </c>
      <c r="F6" s="7" t="s">
        <v>275</v>
      </c>
      <c r="G6" s="21" t="s">
        <v>264</v>
      </c>
      <c r="H6" s="21" t="s">
        <v>71</v>
      </c>
      <c r="I6" s="21" t="s">
        <v>64</v>
      </c>
      <c r="J6" s="22"/>
      <c r="K6" s="9" t="str">
        <f>"75,0"</f>
        <v>75,0</v>
      </c>
      <c r="L6" s="9" t="str">
        <f>"59,2309"</f>
        <v>59,2309</v>
      </c>
      <c r="M6" s="7"/>
    </row>
    <row r="8" spans="1:13" ht="16">
      <c r="A8" s="70" t="s">
        <v>24</v>
      </c>
      <c r="B8" s="70"/>
      <c r="C8" s="70"/>
      <c r="D8" s="70"/>
      <c r="E8" s="71"/>
      <c r="F8" s="70"/>
      <c r="G8" s="70"/>
      <c r="H8" s="70"/>
      <c r="I8" s="70"/>
      <c r="J8" s="70"/>
    </row>
    <row r="9" spans="1:13">
      <c r="A9" s="32" t="s">
        <v>59</v>
      </c>
      <c r="B9" s="24" t="s">
        <v>265</v>
      </c>
      <c r="C9" s="24" t="s">
        <v>266</v>
      </c>
      <c r="D9" s="24" t="s">
        <v>267</v>
      </c>
      <c r="E9" s="25" t="s">
        <v>333</v>
      </c>
      <c r="F9" s="24" t="s">
        <v>275</v>
      </c>
      <c r="G9" s="31" t="s">
        <v>19</v>
      </c>
      <c r="H9" s="31" t="s">
        <v>31</v>
      </c>
      <c r="I9" s="30" t="s">
        <v>32</v>
      </c>
      <c r="J9" s="32"/>
      <c r="K9" s="26" t="str">
        <f>"95,0"</f>
        <v>95,0</v>
      </c>
      <c r="L9" s="26" t="str">
        <f>"69,8107"</f>
        <v>69,8107</v>
      </c>
      <c r="M9" s="24"/>
    </row>
    <row r="10" spans="1:13">
      <c r="A10" s="34" t="s">
        <v>59</v>
      </c>
      <c r="B10" s="27" t="s">
        <v>268</v>
      </c>
      <c r="C10" s="27" t="s">
        <v>269</v>
      </c>
      <c r="D10" s="27" t="s">
        <v>270</v>
      </c>
      <c r="E10" s="28" t="s">
        <v>336</v>
      </c>
      <c r="F10" s="27" t="s">
        <v>13</v>
      </c>
      <c r="G10" s="33" t="s">
        <v>22</v>
      </c>
      <c r="H10" s="33" t="s">
        <v>93</v>
      </c>
      <c r="I10" s="33" t="s">
        <v>271</v>
      </c>
      <c r="J10" s="34"/>
      <c r="K10" s="29" t="str">
        <f>"152,5"</f>
        <v>152,5</v>
      </c>
      <c r="L10" s="29" t="str">
        <f>"116,5778"</f>
        <v>116,5778</v>
      </c>
      <c r="M10" s="27"/>
    </row>
    <row r="12" spans="1:13" ht="16">
      <c r="A12" s="70" t="s">
        <v>81</v>
      </c>
      <c r="B12" s="70"/>
      <c r="C12" s="70"/>
      <c r="D12" s="70"/>
      <c r="E12" s="71"/>
      <c r="F12" s="70"/>
      <c r="G12" s="70"/>
      <c r="H12" s="70"/>
      <c r="I12" s="70"/>
      <c r="J12" s="70"/>
    </row>
    <row r="13" spans="1:13">
      <c r="A13" s="22" t="s">
        <v>59</v>
      </c>
      <c r="B13" s="7" t="s">
        <v>272</v>
      </c>
      <c r="C13" s="7" t="s">
        <v>273</v>
      </c>
      <c r="D13" s="7" t="s">
        <v>274</v>
      </c>
      <c r="E13" s="8" t="s">
        <v>333</v>
      </c>
      <c r="F13" s="7" t="s">
        <v>275</v>
      </c>
      <c r="G13" s="23" t="s">
        <v>27</v>
      </c>
      <c r="H13" s="21" t="s">
        <v>28</v>
      </c>
      <c r="I13" s="22"/>
      <c r="J13" s="22"/>
      <c r="K13" s="9" t="str">
        <f>"120,0"</f>
        <v>120,0</v>
      </c>
      <c r="L13" s="9" t="str">
        <f>"81,7500"</f>
        <v>81,7500</v>
      </c>
      <c r="M13" s="7"/>
    </row>
    <row r="15" spans="1:13" ht="16">
      <c r="A15" s="70" t="s">
        <v>88</v>
      </c>
      <c r="B15" s="70"/>
      <c r="C15" s="70"/>
      <c r="D15" s="70"/>
      <c r="E15" s="71"/>
      <c r="F15" s="70"/>
      <c r="G15" s="70"/>
      <c r="H15" s="70"/>
      <c r="I15" s="70"/>
      <c r="J15" s="70"/>
    </row>
    <row r="16" spans="1:13">
      <c r="A16" s="22" t="s">
        <v>59</v>
      </c>
      <c r="B16" s="7" t="s">
        <v>276</v>
      </c>
      <c r="C16" s="7" t="s">
        <v>277</v>
      </c>
      <c r="D16" s="7" t="s">
        <v>278</v>
      </c>
      <c r="E16" s="8" t="s">
        <v>335</v>
      </c>
      <c r="F16" s="7" t="s">
        <v>13</v>
      </c>
      <c r="G16" s="21" t="s">
        <v>31</v>
      </c>
      <c r="H16" s="21" t="s">
        <v>16</v>
      </c>
      <c r="I16" s="23" t="s">
        <v>27</v>
      </c>
      <c r="J16" s="22"/>
      <c r="K16" s="9" t="str">
        <f>"102,5"</f>
        <v>102,5</v>
      </c>
      <c r="L16" s="9" t="str">
        <f>"75,1036"</f>
        <v>75,1036</v>
      </c>
      <c r="M16" s="7" t="s">
        <v>279</v>
      </c>
    </row>
    <row r="18" spans="1:13" ht="16">
      <c r="A18" s="70" t="s">
        <v>146</v>
      </c>
      <c r="B18" s="70"/>
      <c r="C18" s="70"/>
      <c r="D18" s="70"/>
      <c r="E18" s="71"/>
      <c r="F18" s="70"/>
      <c r="G18" s="70"/>
      <c r="H18" s="70"/>
      <c r="I18" s="70"/>
      <c r="J18" s="70"/>
    </row>
    <row r="19" spans="1:13">
      <c r="A19" s="22" t="s">
        <v>59</v>
      </c>
      <c r="B19" s="7" t="s">
        <v>280</v>
      </c>
      <c r="C19" s="7" t="s">
        <v>281</v>
      </c>
      <c r="D19" s="7" t="s">
        <v>282</v>
      </c>
      <c r="E19" s="8" t="s">
        <v>336</v>
      </c>
      <c r="F19" s="7" t="s">
        <v>275</v>
      </c>
      <c r="G19" s="21" t="s">
        <v>33</v>
      </c>
      <c r="H19" s="21" t="s">
        <v>79</v>
      </c>
      <c r="I19" s="23" t="s">
        <v>28</v>
      </c>
      <c r="J19" s="22"/>
      <c r="K19" s="9" t="str">
        <f>"115,0"</f>
        <v>115,0</v>
      </c>
      <c r="L19" s="9" t="str">
        <f>"67,5477"</f>
        <v>67,5477</v>
      </c>
      <c r="M19" s="7"/>
    </row>
  </sheetData>
  <mergeCells count="16">
    <mergeCell ref="A8:J8"/>
    <mergeCell ref="A12:J12"/>
    <mergeCell ref="A15:J15"/>
    <mergeCell ref="A18:J18"/>
    <mergeCell ref="B3:B4"/>
    <mergeCell ref="G3:J3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K3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5" style="5" bestFit="1" customWidth="1"/>
    <col min="4" max="4" width="21.5" style="5" bestFit="1" customWidth="1"/>
    <col min="5" max="5" width="10.5" style="11" bestFit="1" customWidth="1"/>
    <col min="6" max="6" width="34.33203125" style="5" customWidth="1"/>
    <col min="7" max="9" width="5.5" style="19" customWidth="1"/>
    <col min="10" max="10" width="4.83203125" style="19" customWidth="1"/>
    <col min="11" max="11" width="10.5" style="6" bestFit="1" customWidth="1"/>
    <col min="12" max="12" width="7.664062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55" t="s">
        <v>286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8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88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195</v>
      </c>
      <c r="C6" s="7" t="s">
        <v>260</v>
      </c>
      <c r="D6" s="7" t="s">
        <v>197</v>
      </c>
      <c r="E6" s="8" t="s">
        <v>339</v>
      </c>
      <c r="F6" s="7" t="s">
        <v>285</v>
      </c>
      <c r="G6" s="21" t="s">
        <v>29</v>
      </c>
      <c r="H6" s="21" t="s">
        <v>80</v>
      </c>
      <c r="I6" s="21" t="s">
        <v>92</v>
      </c>
      <c r="J6" s="22"/>
      <c r="K6" s="9" t="str">
        <f>"145,0"</f>
        <v>145,0</v>
      </c>
      <c r="L6" s="9" t="str">
        <f>"94,4095"</f>
        <v>94,4095</v>
      </c>
      <c r="M6" s="7" t="s">
        <v>170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6.33203125" style="5" bestFit="1" customWidth="1"/>
    <col min="4" max="4" width="21.5" style="5" bestFit="1" customWidth="1"/>
    <col min="5" max="5" width="10.5" style="11" bestFit="1" customWidth="1"/>
    <col min="6" max="6" width="26.3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664062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55" t="s">
        <v>287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8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81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122</v>
      </c>
      <c r="C6" s="7" t="s">
        <v>123</v>
      </c>
      <c r="D6" s="7" t="s">
        <v>124</v>
      </c>
      <c r="E6" s="8" t="s">
        <v>333</v>
      </c>
      <c r="F6" s="7" t="s">
        <v>125</v>
      </c>
      <c r="G6" s="21" t="s">
        <v>28</v>
      </c>
      <c r="H6" s="21" t="s">
        <v>20</v>
      </c>
      <c r="I6" s="21" t="s">
        <v>29</v>
      </c>
      <c r="J6" s="22"/>
      <c r="K6" s="9" t="str">
        <f>"130,0"</f>
        <v>130,0</v>
      </c>
      <c r="L6" s="9" t="str">
        <f>"87,7370"</f>
        <v>87,7370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83203125" style="5" customWidth="1"/>
    <col min="3" max="3" width="28.5" style="5" bestFit="1" customWidth="1"/>
    <col min="4" max="4" width="21.5" style="5" bestFit="1" customWidth="1"/>
    <col min="5" max="5" width="10.5" style="11" bestFit="1" customWidth="1"/>
    <col min="6" max="6" width="26" style="5" bestFit="1" customWidth="1"/>
    <col min="7" max="7" width="4.5" style="19" customWidth="1"/>
    <col min="8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55" t="s">
        <v>318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9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24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188</v>
      </c>
      <c r="C6" s="7" t="s">
        <v>303</v>
      </c>
      <c r="D6" s="7" t="s">
        <v>189</v>
      </c>
      <c r="E6" s="8" t="s">
        <v>340</v>
      </c>
      <c r="F6" s="7" t="s">
        <v>13</v>
      </c>
      <c r="G6" s="21" t="s">
        <v>30</v>
      </c>
      <c r="H6" s="21" t="s">
        <v>32</v>
      </c>
      <c r="I6" s="23" t="s">
        <v>27</v>
      </c>
      <c r="J6" s="22"/>
      <c r="K6" s="9" t="str">
        <f>"100,0"</f>
        <v>100,0</v>
      </c>
      <c r="L6" s="9" t="str">
        <f>"121,5625"</f>
        <v>121,5625</v>
      </c>
      <c r="M6" s="7" t="s">
        <v>87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7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4.1640625" style="5" customWidth="1"/>
    <col min="3" max="3" width="28.5" style="5" bestFit="1" customWidth="1"/>
    <col min="4" max="4" width="21.5" style="5" bestFit="1" customWidth="1"/>
    <col min="5" max="5" width="10.5" style="11" bestFit="1" customWidth="1"/>
    <col min="6" max="6" width="26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55" t="s">
        <v>319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9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10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32" t="s">
        <v>59</v>
      </c>
      <c r="B6" s="24" t="s">
        <v>11</v>
      </c>
      <c r="C6" s="24" t="s">
        <v>304</v>
      </c>
      <c r="D6" s="24" t="s">
        <v>12</v>
      </c>
      <c r="E6" s="25" t="s">
        <v>335</v>
      </c>
      <c r="F6" s="24" t="s">
        <v>13</v>
      </c>
      <c r="G6" s="31" t="s">
        <v>20</v>
      </c>
      <c r="H6" s="31" t="s">
        <v>21</v>
      </c>
      <c r="I6" s="31" t="s">
        <v>22</v>
      </c>
      <c r="J6" s="32"/>
      <c r="K6" s="26" t="str">
        <f>"140,0"</f>
        <v>140,0</v>
      </c>
      <c r="L6" s="26" t="str">
        <f>"165,7075"</f>
        <v>165,7075</v>
      </c>
      <c r="M6" s="24" t="s">
        <v>23</v>
      </c>
    </row>
    <row r="7" spans="1:13">
      <c r="A7" s="34" t="s">
        <v>59</v>
      </c>
      <c r="B7" s="27" t="s">
        <v>113</v>
      </c>
      <c r="C7" s="27" t="s">
        <v>302</v>
      </c>
      <c r="D7" s="27" t="s">
        <v>115</v>
      </c>
      <c r="E7" s="28" t="s">
        <v>337</v>
      </c>
      <c r="F7" s="27" t="s">
        <v>13</v>
      </c>
      <c r="G7" s="33" t="s">
        <v>98</v>
      </c>
      <c r="H7" s="33" t="s">
        <v>86</v>
      </c>
      <c r="I7" s="33" t="s">
        <v>49</v>
      </c>
      <c r="J7" s="34"/>
      <c r="K7" s="29" t="str">
        <f>"185,0"</f>
        <v>185,0</v>
      </c>
      <c r="L7" s="29" t="str">
        <f>"220,7069"</f>
        <v>220,7069</v>
      </c>
      <c r="M7" s="27" t="s">
        <v>116</v>
      </c>
    </row>
    <row r="9" spans="1:13" ht="16">
      <c r="A9" s="70" t="s">
        <v>81</v>
      </c>
      <c r="B9" s="70"/>
      <c r="C9" s="70"/>
      <c r="D9" s="70"/>
      <c r="E9" s="71"/>
      <c r="F9" s="70"/>
      <c r="G9" s="70"/>
      <c r="H9" s="70"/>
      <c r="I9" s="70"/>
      <c r="J9" s="70"/>
    </row>
    <row r="10" spans="1:13">
      <c r="A10" s="22" t="s">
        <v>59</v>
      </c>
      <c r="B10" s="7" t="s">
        <v>175</v>
      </c>
      <c r="C10" s="7" t="s">
        <v>176</v>
      </c>
      <c r="D10" s="7" t="s">
        <v>177</v>
      </c>
      <c r="E10" s="8" t="s">
        <v>333</v>
      </c>
      <c r="F10" s="7" t="s">
        <v>178</v>
      </c>
      <c r="G10" s="21" t="s">
        <v>130</v>
      </c>
      <c r="H10" s="21" t="s">
        <v>40</v>
      </c>
      <c r="I10" s="23" t="s">
        <v>179</v>
      </c>
      <c r="J10" s="22"/>
      <c r="K10" s="9" t="str">
        <f>"200,0"</f>
        <v>200,0</v>
      </c>
      <c r="L10" s="9" t="str">
        <f>"138,7800"</f>
        <v>138,7800</v>
      </c>
      <c r="M10" s="7"/>
    </row>
    <row r="12" spans="1:13" ht="16">
      <c r="A12" s="70" t="s">
        <v>88</v>
      </c>
      <c r="B12" s="70"/>
      <c r="C12" s="70"/>
      <c r="D12" s="70"/>
      <c r="E12" s="71"/>
      <c r="F12" s="70"/>
      <c r="G12" s="70"/>
      <c r="H12" s="70"/>
      <c r="I12" s="70"/>
      <c r="J12" s="70"/>
    </row>
    <row r="13" spans="1:13">
      <c r="A13" s="22" t="s">
        <v>59</v>
      </c>
      <c r="B13" s="7" t="s">
        <v>180</v>
      </c>
      <c r="C13" s="7" t="s">
        <v>181</v>
      </c>
      <c r="D13" s="7" t="s">
        <v>182</v>
      </c>
      <c r="E13" s="8" t="s">
        <v>333</v>
      </c>
      <c r="F13" s="7" t="s">
        <v>13</v>
      </c>
      <c r="G13" s="21" t="s">
        <v>106</v>
      </c>
      <c r="H13" s="23" t="s">
        <v>98</v>
      </c>
      <c r="I13" s="23" t="s">
        <v>98</v>
      </c>
      <c r="J13" s="22"/>
      <c r="K13" s="9" t="str">
        <f>"165,0"</f>
        <v>165,0</v>
      </c>
      <c r="L13" s="9" t="str">
        <f>"109,9065"</f>
        <v>109,9065</v>
      </c>
      <c r="M13" s="7" t="s">
        <v>183</v>
      </c>
    </row>
    <row r="15" spans="1:13" ht="16">
      <c r="A15" s="70" t="s">
        <v>44</v>
      </c>
      <c r="B15" s="70"/>
      <c r="C15" s="70"/>
      <c r="D15" s="70"/>
      <c r="E15" s="71"/>
      <c r="F15" s="70"/>
      <c r="G15" s="70"/>
      <c r="H15" s="70"/>
      <c r="I15" s="70"/>
      <c r="J15" s="70"/>
    </row>
    <row r="16" spans="1:13">
      <c r="A16" s="32" t="s">
        <v>59</v>
      </c>
      <c r="B16" s="24" t="s">
        <v>45</v>
      </c>
      <c r="C16" s="24" t="s">
        <v>46</v>
      </c>
      <c r="D16" s="24" t="s">
        <v>47</v>
      </c>
      <c r="E16" s="25" t="s">
        <v>333</v>
      </c>
      <c r="F16" s="24" t="s">
        <v>13</v>
      </c>
      <c r="G16" s="31" t="s">
        <v>50</v>
      </c>
      <c r="H16" s="30" t="s">
        <v>51</v>
      </c>
      <c r="I16" s="31" t="s">
        <v>51</v>
      </c>
      <c r="J16" s="32"/>
      <c r="K16" s="26" t="str">
        <f>"252,5"</f>
        <v>252,5</v>
      </c>
      <c r="L16" s="26" t="str">
        <f>"151,1465"</f>
        <v>151,1465</v>
      </c>
      <c r="M16" s="24"/>
    </row>
    <row r="17" spans="1:13">
      <c r="A17" s="34" t="s">
        <v>59</v>
      </c>
      <c r="B17" s="27" t="s">
        <v>184</v>
      </c>
      <c r="C17" s="27" t="s">
        <v>305</v>
      </c>
      <c r="D17" s="27" t="s">
        <v>185</v>
      </c>
      <c r="E17" s="28" t="s">
        <v>340</v>
      </c>
      <c r="F17" s="27" t="s">
        <v>13</v>
      </c>
      <c r="G17" s="33" t="s">
        <v>150</v>
      </c>
      <c r="H17" s="33" t="s">
        <v>48</v>
      </c>
      <c r="I17" s="35" t="s">
        <v>186</v>
      </c>
      <c r="J17" s="34"/>
      <c r="K17" s="29" t="str">
        <f>"215,0"</f>
        <v>215,0</v>
      </c>
      <c r="L17" s="29" t="str">
        <f>"166,6437"</f>
        <v>166,6437</v>
      </c>
      <c r="M17" s="27" t="s">
        <v>187</v>
      </c>
    </row>
  </sheetData>
  <mergeCells count="15">
    <mergeCell ref="A9:J9"/>
    <mergeCell ref="A12:J12"/>
    <mergeCell ref="A15:J15"/>
    <mergeCell ref="B3:B4"/>
    <mergeCell ref="K3:K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L3:L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6640625" style="5" bestFit="1" customWidth="1"/>
    <col min="4" max="4" width="21.5" style="5" bestFit="1" customWidth="1"/>
    <col min="5" max="5" width="10.5" style="11" bestFit="1" customWidth="1"/>
    <col min="6" max="6" width="33.1640625" style="5" customWidth="1"/>
    <col min="7" max="9" width="5.5" style="19" customWidth="1"/>
    <col min="10" max="10" width="4.83203125" style="19" customWidth="1"/>
    <col min="11" max="13" width="4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22" style="5" customWidth="1"/>
    <col min="18" max="16384" width="9.1640625" style="3"/>
  </cols>
  <sheetData>
    <row r="1" spans="1:17" s="2" customFormat="1" ht="29" customHeight="1">
      <c r="A1" s="55" t="s">
        <v>293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327</v>
      </c>
      <c r="H3" s="69"/>
      <c r="I3" s="69"/>
      <c r="J3" s="69"/>
      <c r="K3" s="69" t="s">
        <v>329</v>
      </c>
      <c r="L3" s="69"/>
      <c r="M3" s="69"/>
      <c r="N3" s="69"/>
      <c r="O3" s="67" t="s">
        <v>1</v>
      </c>
      <c r="P3" s="67" t="s">
        <v>3</v>
      </c>
      <c r="Q3" s="51" t="s">
        <v>2</v>
      </c>
    </row>
    <row r="4" spans="1:17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52"/>
    </row>
    <row r="5" spans="1:17" ht="16">
      <c r="A5" s="53" t="s">
        <v>10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32" t="s">
        <v>59</v>
      </c>
      <c r="B6" s="24" t="s">
        <v>220</v>
      </c>
      <c r="C6" s="24" t="s">
        <v>294</v>
      </c>
      <c r="D6" s="24" t="s">
        <v>221</v>
      </c>
      <c r="E6" s="25" t="s">
        <v>332</v>
      </c>
      <c r="F6" s="24" t="s">
        <v>285</v>
      </c>
      <c r="G6" s="31" t="s">
        <v>68</v>
      </c>
      <c r="H6" s="30" t="s">
        <v>194</v>
      </c>
      <c r="I6" s="31" t="s">
        <v>194</v>
      </c>
      <c r="J6" s="32"/>
      <c r="K6" s="31" t="s">
        <v>66</v>
      </c>
      <c r="L6" s="31" t="s">
        <v>68</v>
      </c>
      <c r="M6" s="31" t="s">
        <v>201</v>
      </c>
      <c r="N6" s="32"/>
      <c r="O6" s="26" t="str">
        <f>"97,5"</f>
        <v>97,5</v>
      </c>
      <c r="P6" s="26" t="str">
        <f>"74,0025"</f>
        <v>74,0025</v>
      </c>
      <c r="Q6" s="24" t="s">
        <v>170</v>
      </c>
    </row>
    <row r="7" spans="1:17">
      <c r="A7" s="39" t="s">
        <v>155</v>
      </c>
      <c r="B7" s="36" t="s">
        <v>222</v>
      </c>
      <c r="C7" s="36" t="s">
        <v>295</v>
      </c>
      <c r="D7" s="36" t="s">
        <v>223</v>
      </c>
      <c r="E7" s="37" t="s">
        <v>332</v>
      </c>
      <c r="F7" s="36" t="s">
        <v>285</v>
      </c>
      <c r="G7" s="40" t="s">
        <v>224</v>
      </c>
      <c r="H7" s="40" t="s">
        <v>225</v>
      </c>
      <c r="I7" s="40" t="s">
        <v>226</v>
      </c>
      <c r="J7" s="39"/>
      <c r="K7" s="40" t="s">
        <v>227</v>
      </c>
      <c r="L7" s="40" t="s">
        <v>225</v>
      </c>
      <c r="M7" s="40" t="s">
        <v>111</v>
      </c>
      <c r="N7" s="39"/>
      <c r="O7" s="38" t="str">
        <f>"67,5"</f>
        <v>67,5</v>
      </c>
      <c r="P7" s="38" t="str">
        <f>"55,2454"</f>
        <v>55,2454</v>
      </c>
      <c r="Q7" s="36" t="s">
        <v>170</v>
      </c>
    </row>
    <row r="8" spans="1:17">
      <c r="A8" s="34" t="s">
        <v>59</v>
      </c>
      <c r="B8" s="27" t="s">
        <v>228</v>
      </c>
      <c r="C8" s="27" t="s">
        <v>229</v>
      </c>
      <c r="D8" s="27" t="s">
        <v>230</v>
      </c>
      <c r="E8" s="28" t="s">
        <v>333</v>
      </c>
      <c r="F8" s="27" t="s">
        <v>285</v>
      </c>
      <c r="G8" s="35" t="s">
        <v>67</v>
      </c>
      <c r="H8" s="33" t="s">
        <v>67</v>
      </c>
      <c r="I8" s="33" t="s">
        <v>68</v>
      </c>
      <c r="J8" s="34"/>
      <c r="K8" s="33" t="s">
        <v>112</v>
      </c>
      <c r="L8" s="35" t="s">
        <v>66</v>
      </c>
      <c r="M8" s="33" t="s">
        <v>66</v>
      </c>
      <c r="N8" s="34"/>
      <c r="O8" s="29" t="str">
        <f>"85,0"</f>
        <v>85,0</v>
      </c>
      <c r="P8" s="29" t="str">
        <f>"64,4343"</f>
        <v>64,4343</v>
      </c>
      <c r="Q8" s="27" t="s">
        <v>170</v>
      </c>
    </row>
    <row r="10" spans="1:17" ht="16">
      <c r="A10" s="70" t="s">
        <v>88</v>
      </c>
      <c r="B10" s="70"/>
      <c r="C10" s="70"/>
      <c r="D10" s="70"/>
      <c r="E10" s="71"/>
      <c r="F10" s="70"/>
      <c r="G10" s="70"/>
      <c r="H10" s="70"/>
      <c r="I10" s="70"/>
      <c r="J10" s="70"/>
      <c r="K10" s="70"/>
      <c r="L10" s="70"/>
      <c r="M10" s="70"/>
      <c r="N10" s="70"/>
    </row>
    <row r="11" spans="1:17">
      <c r="A11" s="22" t="s">
        <v>59</v>
      </c>
      <c r="B11" s="7" t="s">
        <v>231</v>
      </c>
      <c r="C11" s="7" t="s">
        <v>296</v>
      </c>
      <c r="D11" s="7" t="s">
        <v>232</v>
      </c>
      <c r="E11" s="8" t="s">
        <v>332</v>
      </c>
      <c r="F11" s="7" t="s">
        <v>285</v>
      </c>
      <c r="G11" s="21" t="s">
        <v>225</v>
      </c>
      <c r="H11" s="21" t="s">
        <v>226</v>
      </c>
      <c r="I11" s="23" t="s">
        <v>66</v>
      </c>
      <c r="J11" s="22"/>
      <c r="K11" s="21" t="s">
        <v>227</v>
      </c>
      <c r="L11" s="21" t="s">
        <v>225</v>
      </c>
      <c r="M11" s="21" t="s">
        <v>111</v>
      </c>
      <c r="N11" s="22"/>
      <c r="O11" s="9" t="str">
        <f>"67,5"</f>
        <v>67,5</v>
      </c>
      <c r="P11" s="9" t="str">
        <f>"41,3505"</f>
        <v>41,3505</v>
      </c>
      <c r="Q11" s="7"/>
    </row>
    <row r="13" spans="1:17" ht="16">
      <c r="A13" s="70" t="s">
        <v>146</v>
      </c>
      <c r="B13" s="70"/>
      <c r="C13" s="70"/>
      <c r="D13" s="70"/>
      <c r="E13" s="71"/>
      <c r="F13" s="70"/>
      <c r="G13" s="70"/>
      <c r="H13" s="70"/>
      <c r="I13" s="70"/>
      <c r="J13" s="70"/>
      <c r="K13" s="70"/>
      <c r="L13" s="70"/>
      <c r="M13" s="70"/>
      <c r="N13" s="70"/>
    </row>
    <row r="14" spans="1:17">
      <c r="A14" s="32" t="s">
        <v>59</v>
      </c>
      <c r="B14" s="24" t="s">
        <v>233</v>
      </c>
      <c r="C14" s="24" t="s">
        <v>234</v>
      </c>
      <c r="D14" s="24" t="s">
        <v>235</v>
      </c>
      <c r="E14" s="25" t="s">
        <v>333</v>
      </c>
      <c r="F14" s="24" t="s">
        <v>236</v>
      </c>
      <c r="G14" s="31" t="s">
        <v>21</v>
      </c>
      <c r="H14" s="31" t="s">
        <v>92</v>
      </c>
      <c r="I14" s="31" t="s">
        <v>121</v>
      </c>
      <c r="J14" s="32"/>
      <c r="K14" s="31" t="s">
        <v>65</v>
      </c>
      <c r="L14" s="30" t="s">
        <v>30</v>
      </c>
      <c r="M14" s="31" t="s">
        <v>30</v>
      </c>
      <c r="N14" s="32"/>
      <c r="O14" s="26" t="str">
        <f>"237,5"</f>
        <v>237,5</v>
      </c>
      <c r="P14" s="26" t="str">
        <f>"132,1569"</f>
        <v>132,1569</v>
      </c>
      <c r="Q14" s="24"/>
    </row>
    <row r="15" spans="1:17">
      <c r="A15" s="34" t="s">
        <v>155</v>
      </c>
      <c r="B15" s="27" t="s">
        <v>237</v>
      </c>
      <c r="C15" s="27" t="s">
        <v>238</v>
      </c>
      <c r="D15" s="27" t="s">
        <v>239</v>
      </c>
      <c r="E15" s="28" t="s">
        <v>333</v>
      </c>
      <c r="F15" s="27" t="s">
        <v>240</v>
      </c>
      <c r="G15" s="33" t="s">
        <v>28</v>
      </c>
      <c r="H15" s="35" t="s">
        <v>241</v>
      </c>
      <c r="I15" s="35" t="s">
        <v>241</v>
      </c>
      <c r="J15" s="34"/>
      <c r="K15" s="33" t="s">
        <v>70</v>
      </c>
      <c r="L15" s="35" t="s">
        <v>64</v>
      </c>
      <c r="M15" s="35" t="s">
        <v>64</v>
      </c>
      <c r="N15" s="34"/>
      <c r="O15" s="29" t="str">
        <f>"190,0"</f>
        <v>190,0</v>
      </c>
      <c r="P15" s="29" t="str">
        <f>"105,0130"</f>
        <v>105,0130</v>
      </c>
      <c r="Q15" s="27"/>
    </row>
  </sheetData>
  <mergeCells count="15">
    <mergeCell ref="A10:N10"/>
    <mergeCell ref="A13:N13"/>
    <mergeCell ref="B3:B4"/>
    <mergeCell ref="O3:O4"/>
    <mergeCell ref="P3:P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Q3:Q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7.6640625" style="5" bestFit="1" customWidth="1"/>
    <col min="4" max="4" width="21.5" style="5" bestFit="1" customWidth="1"/>
    <col min="5" max="5" width="10.5" style="11" bestFit="1" customWidth="1"/>
    <col min="6" max="6" width="26" style="5" bestFit="1" customWidth="1"/>
    <col min="7" max="9" width="4.5" style="19" customWidth="1"/>
    <col min="10" max="10" width="4.83203125" style="19" customWidth="1"/>
    <col min="11" max="11" width="10.5" style="6" bestFit="1" customWidth="1"/>
    <col min="12" max="12" width="9.83203125" style="6" customWidth="1"/>
    <col min="13" max="13" width="20.1640625" style="5" customWidth="1"/>
    <col min="14" max="16384" width="9.1640625" style="3"/>
  </cols>
  <sheetData>
    <row r="1" spans="1:13" s="2" customFormat="1" ht="29" customHeight="1">
      <c r="A1" s="55" t="s">
        <v>312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214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88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215</v>
      </c>
      <c r="C6" s="7" t="s">
        <v>216</v>
      </c>
      <c r="D6" s="7" t="s">
        <v>91</v>
      </c>
      <c r="E6" s="8" t="s">
        <v>333</v>
      </c>
      <c r="F6" s="7" t="s">
        <v>13</v>
      </c>
      <c r="G6" s="21" t="s">
        <v>70</v>
      </c>
      <c r="H6" s="21" t="s">
        <v>65</v>
      </c>
      <c r="I6" s="21" t="s">
        <v>30</v>
      </c>
      <c r="J6" s="22"/>
      <c r="K6" s="9" t="str">
        <f>"90,0"</f>
        <v>90,0</v>
      </c>
      <c r="L6" s="9" t="str">
        <f>"55,2375"</f>
        <v>55,2375</v>
      </c>
      <c r="M6" s="7" t="s">
        <v>116</v>
      </c>
    </row>
    <row r="8" spans="1:13" ht="16">
      <c r="A8" s="70" t="s">
        <v>100</v>
      </c>
      <c r="B8" s="70"/>
      <c r="C8" s="70"/>
      <c r="D8" s="70"/>
      <c r="E8" s="71"/>
      <c r="F8" s="70"/>
      <c r="G8" s="70"/>
      <c r="H8" s="70"/>
      <c r="I8" s="70"/>
      <c r="J8" s="70"/>
    </row>
    <row r="9" spans="1:13">
      <c r="A9" s="22" t="s">
        <v>59</v>
      </c>
      <c r="B9" s="7" t="s">
        <v>217</v>
      </c>
      <c r="C9" s="7" t="s">
        <v>284</v>
      </c>
      <c r="D9" s="7" t="s">
        <v>218</v>
      </c>
      <c r="E9" s="8" t="s">
        <v>332</v>
      </c>
      <c r="F9" s="7" t="s">
        <v>13</v>
      </c>
      <c r="G9" s="21" t="s">
        <v>68</v>
      </c>
      <c r="H9" s="21" t="s">
        <v>194</v>
      </c>
      <c r="I9" s="23" t="s">
        <v>76</v>
      </c>
      <c r="J9" s="22"/>
      <c r="K9" s="9" t="str">
        <f>"50,0"</f>
        <v>50,0</v>
      </c>
      <c r="L9" s="9" t="str">
        <f>"30,2675"</f>
        <v>30,2675</v>
      </c>
      <c r="M9" s="7" t="s">
        <v>34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6640625" style="5" bestFit="1" customWidth="1"/>
    <col min="4" max="4" width="21.5" style="5" bestFit="1" customWidth="1"/>
    <col min="5" max="5" width="10.5" style="11" bestFit="1" customWidth="1"/>
    <col min="6" max="6" width="26.83203125" style="5" bestFit="1" customWidth="1"/>
    <col min="7" max="9" width="4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55" t="s">
        <v>310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327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81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32" t="s">
        <v>59</v>
      </c>
      <c r="B6" s="24" t="s">
        <v>219</v>
      </c>
      <c r="C6" s="24" t="s">
        <v>297</v>
      </c>
      <c r="D6" s="24" t="s">
        <v>206</v>
      </c>
      <c r="E6" s="25" t="s">
        <v>332</v>
      </c>
      <c r="F6" s="24" t="s">
        <v>311</v>
      </c>
      <c r="G6" s="31" t="s">
        <v>201</v>
      </c>
      <c r="H6" s="31" t="s">
        <v>76</v>
      </c>
      <c r="I6" s="30" t="s">
        <v>207</v>
      </c>
      <c r="J6" s="32"/>
      <c r="K6" s="26" t="str">
        <f>"55,0"</f>
        <v>55,0</v>
      </c>
      <c r="L6" s="26" t="str">
        <f>"37,3230"</f>
        <v>37,3230</v>
      </c>
      <c r="M6" s="24"/>
    </row>
    <row r="7" spans="1:13">
      <c r="A7" s="34" t="s">
        <v>59</v>
      </c>
      <c r="B7" s="27" t="s">
        <v>208</v>
      </c>
      <c r="C7" s="27" t="s">
        <v>209</v>
      </c>
      <c r="D7" s="27" t="s">
        <v>210</v>
      </c>
      <c r="E7" s="28" t="s">
        <v>333</v>
      </c>
      <c r="F7" s="27" t="s">
        <v>211</v>
      </c>
      <c r="G7" s="33" t="s">
        <v>201</v>
      </c>
      <c r="H7" s="33" t="s">
        <v>194</v>
      </c>
      <c r="I7" s="33" t="s">
        <v>77</v>
      </c>
      <c r="J7" s="34"/>
      <c r="K7" s="29" t="str">
        <f>"57,5"</f>
        <v>57,5</v>
      </c>
      <c r="L7" s="29" t="str">
        <f>"39,3559"</f>
        <v>39,3559</v>
      </c>
      <c r="M7" s="2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pageSetUpPr fitToPage="1"/>
  </sheetPr>
  <dimension ref="A1:U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8.5" style="5" bestFit="1" customWidth="1"/>
    <col min="4" max="4" width="21.5" style="5" bestFit="1" customWidth="1"/>
    <col min="5" max="5" width="10.5" style="11" bestFit="1" customWidth="1"/>
    <col min="6" max="6" width="26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21.1640625" style="5" customWidth="1"/>
    <col min="22" max="16384" width="9.1640625" style="3"/>
  </cols>
  <sheetData>
    <row r="1" spans="1:21" s="2" customFormat="1" ht="29" customHeight="1">
      <c r="A1" s="55" t="s">
        <v>324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67" t="s">
        <v>1</v>
      </c>
      <c r="T3" s="67" t="s">
        <v>3</v>
      </c>
      <c r="U3" s="51" t="s">
        <v>2</v>
      </c>
    </row>
    <row r="4" spans="1:21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8"/>
      <c r="T4" s="68"/>
      <c r="U4" s="52"/>
    </row>
    <row r="5" spans="1:21" ht="16">
      <c r="A5" s="53" t="s">
        <v>10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>
      <c r="A6" s="22" t="s">
        <v>59</v>
      </c>
      <c r="B6" s="7" t="s">
        <v>11</v>
      </c>
      <c r="C6" s="7" t="s">
        <v>304</v>
      </c>
      <c r="D6" s="7" t="s">
        <v>12</v>
      </c>
      <c r="E6" s="8" t="s">
        <v>335</v>
      </c>
      <c r="F6" s="7" t="s">
        <v>13</v>
      </c>
      <c r="G6" s="21" t="s">
        <v>14</v>
      </c>
      <c r="H6" s="21" t="s">
        <v>15</v>
      </c>
      <c r="I6" s="21" t="s">
        <v>16</v>
      </c>
      <c r="J6" s="22"/>
      <c r="K6" s="21" t="s">
        <v>17</v>
      </c>
      <c r="L6" s="23" t="s">
        <v>18</v>
      </c>
      <c r="M6" s="23" t="s">
        <v>19</v>
      </c>
      <c r="N6" s="22"/>
      <c r="O6" s="21" t="s">
        <v>20</v>
      </c>
      <c r="P6" s="21" t="s">
        <v>21</v>
      </c>
      <c r="Q6" s="21" t="s">
        <v>22</v>
      </c>
      <c r="R6" s="22"/>
      <c r="S6" s="9" t="str">
        <f>"320,0"</f>
        <v>320,0</v>
      </c>
      <c r="T6" s="9" t="str">
        <f>"378,7600"</f>
        <v>378,7600</v>
      </c>
      <c r="U6" s="7" t="s">
        <v>23</v>
      </c>
    </row>
    <row r="8" spans="1:21" ht="16">
      <c r="A8" s="70" t="s">
        <v>24</v>
      </c>
      <c r="B8" s="70"/>
      <c r="C8" s="70"/>
      <c r="D8" s="70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21">
      <c r="A9" s="22" t="s">
        <v>59</v>
      </c>
      <c r="B9" s="7" t="s">
        <v>25</v>
      </c>
      <c r="C9" s="7" t="s">
        <v>307</v>
      </c>
      <c r="D9" s="7" t="s">
        <v>26</v>
      </c>
      <c r="E9" s="8" t="s">
        <v>336</v>
      </c>
      <c r="F9" s="7" t="s">
        <v>13</v>
      </c>
      <c r="G9" s="21" t="s">
        <v>27</v>
      </c>
      <c r="H9" s="21" t="s">
        <v>28</v>
      </c>
      <c r="I9" s="21" t="s">
        <v>29</v>
      </c>
      <c r="J9" s="22"/>
      <c r="K9" s="21" t="s">
        <v>19</v>
      </c>
      <c r="L9" s="21" t="s">
        <v>30</v>
      </c>
      <c r="M9" s="21" t="s">
        <v>31</v>
      </c>
      <c r="N9" s="22"/>
      <c r="O9" s="21" t="s">
        <v>32</v>
      </c>
      <c r="P9" s="21" t="s">
        <v>33</v>
      </c>
      <c r="Q9" s="22"/>
      <c r="R9" s="22"/>
      <c r="S9" s="9" t="str">
        <f>"330,0"</f>
        <v>330,0</v>
      </c>
      <c r="T9" s="9" t="str">
        <f>"328,6896"</f>
        <v>328,6896</v>
      </c>
      <c r="U9" s="7" t="s">
        <v>34</v>
      </c>
    </row>
    <row r="11" spans="1:21" ht="16">
      <c r="A11" s="70" t="s">
        <v>24</v>
      </c>
      <c r="B11" s="70"/>
      <c r="C11" s="70"/>
      <c r="D11" s="70"/>
      <c r="E11" s="71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21">
      <c r="A12" s="22" t="s">
        <v>59</v>
      </c>
      <c r="B12" s="7" t="s">
        <v>35</v>
      </c>
      <c r="C12" s="7" t="s">
        <v>36</v>
      </c>
      <c r="D12" s="7" t="s">
        <v>37</v>
      </c>
      <c r="E12" s="8" t="s">
        <v>333</v>
      </c>
      <c r="F12" s="7" t="s">
        <v>38</v>
      </c>
      <c r="G12" s="21" t="s">
        <v>39</v>
      </c>
      <c r="H12" s="21" t="s">
        <v>40</v>
      </c>
      <c r="I12" s="22"/>
      <c r="J12" s="22"/>
      <c r="K12" s="21" t="s">
        <v>21</v>
      </c>
      <c r="L12" s="21" t="s">
        <v>22</v>
      </c>
      <c r="M12" s="21" t="s">
        <v>41</v>
      </c>
      <c r="N12" s="22"/>
      <c r="O12" s="21" t="s">
        <v>42</v>
      </c>
      <c r="P12" s="21" t="s">
        <v>43</v>
      </c>
      <c r="Q12" s="22"/>
      <c r="R12" s="22"/>
      <c r="S12" s="9" t="str">
        <f>"577,5"</f>
        <v>577,5</v>
      </c>
      <c r="T12" s="9" t="str">
        <f>"411,5265"</f>
        <v>411,5265</v>
      </c>
      <c r="U12" s="7"/>
    </row>
    <row r="14" spans="1:21" ht="16">
      <c r="A14" s="70" t="s">
        <v>44</v>
      </c>
      <c r="B14" s="70"/>
      <c r="C14" s="70"/>
      <c r="D14" s="70"/>
      <c r="E14" s="71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21">
      <c r="A15" s="22" t="s">
        <v>59</v>
      </c>
      <c r="B15" s="7" t="s">
        <v>45</v>
      </c>
      <c r="C15" s="7" t="s">
        <v>46</v>
      </c>
      <c r="D15" s="7" t="s">
        <v>47</v>
      </c>
      <c r="E15" s="8" t="s">
        <v>333</v>
      </c>
      <c r="F15" s="7" t="s">
        <v>13</v>
      </c>
      <c r="G15" s="23" t="s">
        <v>48</v>
      </c>
      <c r="H15" s="23" t="s">
        <v>48</v>
      </c>
      <c r="I15" s="21" t="s">
        <v>48</v>
      </c>
      <c r="J15" s="22"/>
      <c r="K15" s="23" t="s">
        <v>49</v>
      </c>
      <c r="L15" s="23" t="s">
        <v>49</v>
      </c>
      <c r="M15" s="21" t="s">
        <v>49</v>
      </c>
      <c r="N15" s="22"/>
      <c r="O15" s="21" t="s">
        <v>50</v>
      </c>
      <c r="P15" s="23" t="s">
        <v>51</v>
      </c>
      <c r="Q15" s="21" t="s">
        <v>51</v>
      </c>
      <c r="R15" s="22"/>
      <c r="S15" s="9" t="str">
        <f>"652,5"</f>
        <v>652,5</v>
      </c>
      <c r="T15" s="9" t="str">
        <f>"390,5865"</f>
        <v>390,5865</v>
      </c>
      <c r="U15" s="7"/>
    </row>
  </sheetData>
  <mergeCells count="17">
    <mergeCell ref="A5:R5"/>
    <mergeCell ref="A8:R8"/>
    <mergeCell ref="A11:R11"/>
    <mergeCell ref="A14:R14"/>
    <mergeCell ref="B3:B4"/>
    <mergeCell ref="E3:E4"/>
    <mergeCell ref="F3:F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4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23.5" style="5" customWidth="1"/>
    <col min="3" max="3" width="28.5" style="5" bestFit="1" customWidth="1"/>
    <col min="4" max="4" width="21.5" style="5" bestFit="1" customWidth="1"/>
    <col min="5" max="5" width="10.5" style="11" bestFit="1" customWidth="1"/>
    <col min="6" max="6" width="31.83203125" style="5" bestFit="1" customWidth="1"/>
    <col min="7" max="9" width="4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55" t="s">
        <v>313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327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10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199</v>
      </c>
      <c r="C6" s="7" t="s">
        <v>298</v>
      </c>
      <c r="D6" s="7" t="s">
        <v>200</v>
      </c>
      <c r="E6" s="8" t="s">
        <v>335</v>
      </c>
      <c r="F6" s="7" t="s">
        <v>13</v>
      </c>
      <c r="G6" s="21" t="s">
        <v>112</v>
      </c>
      <c r="H6" s="21" t="s">
        <v>68</v>
      </c>
      <c r="I6" s="23" t="s">
        <v>201</v>
      </c>
      <c r="J6" s="22"/>
      <c r="K6" s="9" t="str">
        <f>"45,0"</f>
        <v>45,0</v>
      </c>
      <c r="L6" s="9" t="str">
        <f>"39,2349"</f>
        <v>39,2349</v>
      </c>
      <c r="M6" s="7" t="s">
        <v>116</v>
      </c>
    </row>
    <row r="8" spans="1:13" ht="16">
      <c r="A8" s="70" t="s">
        <v>24</v>
      </c>
      <c r="B8" s="70"/>
      <c r="C8" s="70"/>
      <c r="D8" s="70"/>
      <c r="E8" s="71"/>
      <c r="F8" s="70"/>
      <c r="G8" s="70"/>
      <c r="H8" s="70"/>
      <c r="I8" s="70"/>
      <c r="J8" s="70"/>
    </row>
    <row r="9" spans="1:13">
      <c r="A9" s="22" t="s">
        <v>59</v>
      </c>
      <c r="B9" s="7" t="s">
        <v>202</v>
      </c>
      <c r="C9" s="7" t="s">
        <v>299</v>
      </c>
      <c r="D9" s="7" t="s">
        <v>203</v>
      </c>
      <c r="E9" s="8" t="s">
        <v>332</v>
      </c>
      <c r="F9" s="7" t="s">
        <v>285</v>
      </c>
      <c r="G9" s="21" t="s">
        <v>201</v>
      </c>
      <c r="H9" s="21" t="s">
        <v>204</v>
      </c>
      <c r="I9" s="23" t="s">
        <v>77</v>
      </c>
      <c r="J9" s="22"/>
      <c r="K9" s="9" t="str">
        <f>"52,5"</f>
        <v>52,5</v>
      </c>
      <c r="L9" s="9" t="str">
        <f>"37,3249"</f>
        <v>37,3249</v>
      </c>
      <c r="M9" s="7" t="s">
        <v>170</v>
      </c>
    </row>
    <row r="11" spans="1:13" ht="16">
      <c r="A11" s="70" t="s">
        <v>81</v>
      </c>
      <c r="B11" s="70"/>
      <c r="C11" s="70"/>
      <c r="D11" s="70"/>
      <c r="E11" s="71"/>
      <c r="F11" s="70"/>
      <c r="G11" s="70"/>
      <c r="H11" s="70"/>
      <c r="I11" s="70"/>
      <c r="J11" s="70"/>
    </row>
    <row r="12" spans="1:13">
      <c r="A12" s="32" t="s">
        <v>59</v>
      </c>
      <c r="B12" s="24" t="s">
        <v>205</v>
      </c>
      <c r="C12" s="24" t="s">
        <v>300</v>
      </c>
      <c r="D12" s="24" t="s">
        <v>206</v>
      </c>
      <c r="E12" s="25" t="s">
        <v>332</v>
      </c>
      <c r="F12" s="24" t="s">
        <v>120</v>
      </c>
      <c r="G12" s="31" t="s">
        <v>194</v>
      </c>
      <c r="H12" s="31" t="s">
        <v>76</v>
      </c>
      <c r="I12" s="30" t="s">
        <v>207</v>
      </c>
      <c r="J12" s="32"/>
      <c r="K12" s="26" t="str">
        <f>"55,0"</f>
        <v>55,0</v>
      </c>
      <c r="L12" s="26" t="str">
        <f>"37,3230"</f>
        <v>37,3230</v>
      </c>
      <c r="M12" s="24"/>
    </row>
    <row r="13" spans="1:13">
      <c r="A13" s="39" t="s">
        <v>59</v>
      </c>
      <c r="B13" s="36" t="s">
        <v>208</v>
      </c>
      <c r="C13" s="36" t="s">
        <v>209</v>
      </c>
      <c r="D13" s="36" t="s">
        <v>210</v>
      </c>
      <c r="E13" s="37" t="s">
        <v>333</v>
      </c>
      <c r="F13" s="36" t="s">
        <v>211</v>
      </c>
      <c r="G13" s="40" t="s">
        <v>201</v>
      </c>
      <c r="H13" s="40" t="s">
        <v>194</v>
      </c>
      <c r="I13" s="40" t="s">
        <v>77</v>
      </c>
      <c r="J13" s="39"/>
      <c r="K13" s="38" t="str">
        <f>"57,5"</f>
        <v>57,5</v>
      </c>
      <c r="L13" s="38" t="str">
        <f>"39,3559"</f>
        <v>39,3559</v>
      </c>
      <c r="M13" s="36"/>
    </row>
    <row r="14" spans="1:13">
      <c r="A14" s="34" t="s">
        <v>59</v>
      </c>
      <c r="B14" s="27" t="s">
        <v>212</v>
      </c>
      <c r="C14" s="27" t="s">
        <v>301</v>
      </c>
      <c r="D14" s="27" t="s">
        <v>213</v>
      </c>
      <c r="E14" s="28" t="s">
        <v>335</v>
      </c>
      <c r="F14" s="27" t="s">
        <v>13</v>
      </c>
      <c r="G14" s="33" t="s">
        <v>68</v>
      </c>
      <c r="H14" s="33" t="s">
        <v>194</v>
      </c>
      <c r="I14" s="33" t="s">
        <v>76</v>
      </c>
      <c r="J14" s="34"/>
      <c r="K14" s="29" t="str">
        <f>"55,0"</f>
        <v>55,0</v>
      </c>
      <c r="L14" s="29" t="str">
        <f>"47,6586"</f>
        <v>47,6586</v>
      </c>
      <c r="M14" s="27" t="s">
        <v>116</v>
      </c>
    </row>
  </sheetData>
  <mergeCells count="14">
    <mergeCell ref="A8:J8"/>
    <mergeCell ref="A11:J11"/>
    <mergeCell ref="B3:B4"/>
    <mergeCell ref="K3:K4"/>
    <mergeCell ref="L3:L4"/>
    <mergeCell ref="A5:J5"/>
    <mergeCell ref="A1:M2"/>
    <mergeCell ref="A3:A4"/>
    <mergeCell ref="C3:C4"/>
    <mergeCell ref="D3:D4"/>
    <mergeCell ref="E3:E4"/>
    <mergeCell ref="F3:F4"/>
    <mergeCell ref="G3:J3"/>
    <mergeCell ref="M3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9"/>
  <sheetViews>
    <sheetView tabSelected="1" workbookViewId="0">
      <selection activeCell="E9" sqref="E9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8.5" style="5" bestFit="1" customWidth="1"/>
    <col min="4" max="4" width="21.5" style="5" bestFit="1" customWidth="1"/>
    <col min="5" max="5" width="10.5" style="11" bestFit="1" customWidth="1"/>
    <col min="6" max="6" width="26" style="5" bestFit="1" customWidth="1"/>
    <col min="7" max="9" width="4.5" style="19" customWidth="1"/>
    <col min="10" max="10" width="4.83203125" style="19" customWidth="1"/>
    <col min="11" max="11" width="10.5" style="6" bestFit="1" customWidth="1"/>
    <col min="12" max="12" width="10" style="6" customWidth="1"/>
    <col min="13" max="13" width="19.83203125" style="5" customWidth="1"/>
    <col min="14" max="16384" width="9.1640625" style="3"/>
  </cols>
  <sheetData>
    <row r="1" spans="1:13" s="2" customFormat="1" ht="29" customHeight="1">
      <c r="A1" s="55" t="s">
        <v>290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327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256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259</v>
      </c>
      <c r="B6" s="7" t="s">
        <v>199</v>
      </c>
      <c r="C6" s="7" t="s">
        <v>288</v>
      </c>
      <c r="D6" s="7" t="s">
        <v>200</v>
      </c>
      <c r="E6" s="8" t="s">
        <v>337</v>
      </c>
      <c r="F6" s="7" t="s">
        <v>13</v>
      </c>
      <c r="G6" s="23" t="s">
        <v>76</v>
      </c>
      <c r="H6" s="23" t="s">
        <v>78</v>
      </c>
      <c r="I6" s="23" t="s">
        <v>78</v>
      </c>
      <c r="J6" s="22"/>
      <c r="K6" s="42">
        <v>0</v>
      </c>
      <c r="L6" s="9" t="str">
        <f>"0,0000"</f>
        <v>0,0000</v>
      </c>
      <c r="M6" s="7" t="s">
        <v>116</v>
      </c>
    </row>
    <row r="8" spans="1:13" ht="16">
      <c r="A8" s="70" t="s">
        <v>257</v>
      </c>
      <c r="B8" s="70"/>
      <c r="C8" s="70"/>
      <c r="D8" s="70"/>
      <c r="E8" s="71"/>
      <c r="F8" s="70"/>
      <c r="G8" s="70"/>
      <c r="H8" s="70"/>
      <c r="I8" s="70"/>
      <c r="J8" s="70"/>
    </row>
    <row r="9" spans="1:13">
      <c r="A9" s="22" t="s">
        <v>59</v>
      </c>
      <c r="B9" s="7" t="s">
        <v>212</v>
      </c>
      <c r="C9" s="7" t="s">
        <v>289</v>
      </c>
      <c r="D9" s="7" t="s">
        <v>213</v>
      </c>
      <c r="E9" s="8" t="s">
        <v>340</v>
      </c>
      <c r="F9" s="7" t="s">
        <v>13</v>
      </c>
      <c r="G9" s="21" t="s">
        <v>64</v>
      </c>
      <c r="H9" s="21" t="s">
        <v>19</v>
      </c>
      <c r="I9" s="23" t="s">
        <v>258</v>
      </c>
      <c r="J9" s="22"/>
      <c r="K9" s="9" t="str">
        <f>"85,0"</f>
        <v>85,0</v>
      </c>
      <c r="L9" s="9" t="str">
        <f>"78,4660"</f>
        <v>78,4660</v>
      </c>
      <c r="M9" s="7" t="s">
        <v>116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6.33203125" style="5" bestFit="1" customWidth="1"/>
    <col min="4" max="4" width="21.5" style="5" bestFit="1" customWidth="1"/>
    <col min="5" max="5" width="10.5" style="11" bestFit="1" customWidth="1"/>
    <col min="6" max="6" width="28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55" t="s">
        <v>322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67" t="s">
        <v>1</v>
      </c>
      <c r="T3" s="67" t="s">
        <v>3</v>
      </c>
      <c r="U3" s="51" t="s">
        <v>2</v>
      </c>
    </row>
    <row r="4" spans="1:21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8"/>
      <c r="T4" s="68"/>
      <c r="U4" s="52"/>
    </row>
    <row r="5" spans="1:21" ht="16">
      <c r="A5" s="53" t="s">
        <v>100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>
      <c r="A6" s="22" t="s">
        <v>59</v>
      </c>
      <c r="B6" s="7" t="s">
        <v>101</v>
      </c>
      <c r="C6" s="7" t="s">
        <v>102</v>
      </c>
      <c r="D6" s="7" t="s">
        <v>103</v>
      </c>
      <c r="E6" s="8" t="s">
        <v>333</v>
      </c>
      <c r="F6" s="7" t="s">
        <v>104</v>
      </c>
      <c r="G6" s="21" t="s">
        <v>98</v>
      </c>
      <c r="H6" s="21" t="s">
        <v>86</v>
      </c>
      <c r="I6" s="21" t="s">
        <v>49</v>
      </c>
      <c r="J6" s="22"/>
      <c r="K6" s="23" t="s">
        <v>32</v>
      </c>
      <c r="L6" s="21" t="s">
        <v>32</v>
      </c>
      <c r="M6" s="21" t="s">
        <v>33</v>
      </c>
      <c r="N6" s="22"/>
      <c r="O6" s="21" t="s">
        <v>105</v>
      </c>
      <c r="P6" s="21" t="s">
        <v>106</v>
      </c>
      <c r="Q6" s="21" t="s">
        <v>107</v>
      </c>
      <c r="R6" s="22"/>
      <c r="S6" s="9" t="str">
        <f>"465,0"</f>
        <v>465,0</v>
      </c>
      <c r="T6" s="9" t="str">
        <f>"284,8590"</f>
        <v>284,8590</v>
      </c>
      <c r="U6" s="7"/>
    </row>
  </sheetData>
  <mergeCells count="14">
    <mergeCell ref="T3:T4"/>
    <mergeCell ref="U3:U4"/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6.5" style="5" bestFit="1" customWidth="1"/>
    <col min="4" max="4" width="21.5" style="5" bestFit="1" customWidth="1"/>
    <col min="5" max="5" width="10.5" style="11" bestFit="1" customWidth="1"/>
    <col min="6" max="6" width="32.33203125" style="5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16" style="5" customWidth="1"/>
    <col min="18" max="16384" width="9.1640625" style="3"/>
  </cols>
  <sheetData>
    <row r="1" spans="1:17" s="2" customFormat="1" ht="29" customHeight="1">
      <c r="A1" s="55" t="s">
        <v>314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8</v>
      </c>
      <c r="H3" s="69"/>
      <c r="I3" s="69"/>
      <c r="J3" s="69"/>
      <c r="K3" s="69" t="s">
        <v>9</v>
      </c>
      <c r="L3" s="69"/>
      <c r="M3" s="69"/>
      <c r="N3" s="69"/>
      <c r="O3" s="67" t="s">
        <v>1</v>
      </c>
      <c r="P3" s="67" t="s">
        <v>3</v>
      </c>
      <c r="Q3" s="51" t="s">
        <v>2</v>
      </c>
    </row>
    <row r="4" spans="1:17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52"/>
    </row>
    <row r="5" spans="1:17" ht="16">
      <c r="A5" s="53" t="s">
        <v>88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22" t="s">
        <v>59</v>
      </c>
      <c r="B6" s="7" t="s">
        <v>195</v>
      </c>
      <c r="C6" s="7" t="s">
        <v>196</v>
      </c>
      <c r="D6" s="7" t="s">
        <v>197</v>
      </c>
      <c r="E6" s="8" t="s">
        <v>332</v>
      </c>
      <c r="F6" s="7" t="s">
        <v>285</v>
      </c>
      <c r="G6" s="21" t="s">
        <v>92</v>
      </c>
      <c r="H6" s="21" t="s">
        <v>105</v>
      </c>
      <c r="I6" s="21" t="s">
        <v>142</v>
      </c>
      <c r="J6" s="22"/>
      <c r="K6" s="21" t="s">
        <v>179</v>
      </c>
      <c r="L6" s="21" t="s">
        <v>50</v>
      </c>
      <c r="M6" s="21" t="s">
        <v>198</v>
      </c>
      <c r="N6" s="22"/>
      <c r="O6" s="9" t="str">
        <f>"410,0"</f>
        <v>410,0</v>
      </c>
      <c r="P6" s="9" t="str">
        <f>"266,9510"</f>
        <v>266,9510</v>
      </c>
      <c r="Q6" s="7" t="s">
        <v>170</v>
      </c>
    </row>
  </sheetData>
  <mergeCells count="13">
    <mergeCell ref="Q3:Q4"/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8.5" style="5" bestFit="1" customWidth="1"/>
    <col min="4" max="4" width="21.5" style="5" bestFit="1" customWidth="1"/>
    <col min="5" max="5" width="10.5" style="11" bestFit="1" customWidth="1"/>
    <col min="6" max="6" width="26" style="5" bestFit="1" customWidth="1"/>
    <col min="7" max="9" width="4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16.33203125" style="5" bestFit="1" customWidth="1"/>
    <col min="18" max="16384" width="9.1640625" style="3"/>
  </cols>
  <sheetData>
    <row r="1" spans="1:17" s="2" customFormat="1" ht="29" customHeight="1">
      <c r="A1" s="55" t="s">
        <v>315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8</v>
      </c>
      <c r="H3" s="69"/>
      <c r="I3" s="69"/>
      <c r="J3" s="69"/>
      <c r="K3" s="69" t="s">
        <v>9</v>
      </c>
      <c r="L3" s="69"/>
      <c r="M3" s="69"/>
      <c r="N3" s="69"/>
      <c r="O3" s="67" t="s">
        <v>1</v>
      </c>
      <c r="P3" s="67" t="s">
        <v>3</v>
      </c>
      <c r="Q3" s="51" t="s">
        <v>2</v>
      </c>
    </row>
    <row r="4" spans="1:17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52"/>
    </row>
    <row r="5" spans="1:17" ht="16">
      <c r="A5" s="53" t="s">
        <v>10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22" t="s">
        <v>59</v>
      </c>
      <c r="B6" s="7" t="s">
        <v>113</v>
      </c>
      <c r="C6" s="7" t="s">
        <v>302</v>
      </c>
      <c r="D6" s="7" t="s">
        <v>115</v>
      </c>
      <c r="E6" s="8" t="s">
        <v>337</v>
      </c>
      <c r="F6" s="7" t="s">
        <v>13</v>
      </c>
      <c r="G6" s="21" t="s">
        <v>70</v>
      </c>
      <c r="H6" s="21" t="s">
        <v>65</v>
      </c>
      <c r="I6" s="21" t="s">
        <v>19</v>
      </c>
      <c r="J6" s="22"/>
      <c r="K6" s="21" t="s">
        <v>98</v>
      </c>
      <c r="L6" s="21" t="s">
        <v>86</v>
      </c>
      <c r="M6" s="21" t="s">
        <v>49</v>
      </c>
      <c r="N6" s="22"/>
      <c r="O6" s="9" t="str">
        <f>"270,0"</f>
        <v>270,0</v>
      </c>
      <c r="P6" s="9" t="str">
        <f>"322,1127"</f>
        <v>322,1127</v>
      </c>
      <c r="Q6" s="7" t="s">
        <v>116</v>
      </c>
    </row>
  </sheetData>
  <mergeCells count="13">
    <mergeCell ref="Q3:Q4"/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6.33203125" style="5" bestFit="1" customWidth="1"/>
    <col min="4" max="4" width="21.5" style="5" bestFit="1" customWidth="1"/>
    <col min="5" max="5" width="10.5" style="11" bestFit="1" customWidth="1"/>
    <col min="6" max="6" width="26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55" t="s">
        <v>316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7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81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82</v>
      </c>
      <c r="C6" s="7" t="s">
        <v>83</v>
      </c>
      <c r="D6" s="7" t="s">
        <v>84</v>
      </c>
      <c r="E6" s="8" t="s">
        <v>333</v>
      </c>
      <c r="F6" s="7" t="s">
        <v>13</v>
      </c>
      <c r="G6" s="21" t="s">
        <v>49</v>
      </c>
      <c r="H6" s="21" t="s">
        <v>39</v>
      </c>
      <c r="I6" s="23" t="s">
        <v>85</v>
      </c>
      <c r="J6" s="22"/>
      <c r="K6" s="9" t="str">
        <f>"195,0"</f>
        <v>195,0</v>
      </c>
      <c r="L6" s="9" t="str">
        <f>"131,2155"</f>
        <v>131,2155</v>
      </c>
      <c r="M6" s="7" t="s">
        <v>87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6.33203125" style="5" bestFit="1" customWidth="1"/>
    <col min="4" max="4" width="21.5" style="5" bestFit="1" customWidth="1"/>
    <col min="5" max="5" width="10.5" style="11" bestFit="1" customWidth="1"/>
    <col min="6" max="6" width="32.83203125" style="5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55" t="s">
        <v>317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7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190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191</v>
      </c>
      <c r="C6" s="7" t="s">
        <v>192</v>
      </c>
      <c r="D6" s="7" t="s">
        <v>193</v>
      </c>
      <c r="E6" s="8" t="s">
        <v>333</v>
      </c>
      <c r="F6" s="7" t="s">
        <v>285</v>
      </c>
      <c r="G6" s="23" t="s">
        <v>194</v>
      </c>
      <c r="H6" s="21" t="s">
        <v>76</v>
      </c>
      <c r="I6" s="23" t="s">
        <v>78</v>
      </c>
      <c r="J6" s="22"/>
      <c r="K6" s="9" t="str">
        <f>"55,0"</f>
        <v>55,0</v>
      </c>
      <c r="L6" s="9" t="str">
        <f>"73,4030"</f>
        <v>73,4030</v>
      </c>
      <c r="M6" s="7" t="s">
        <v>170</v>
      </c>
    </row>
    <row r="8" spans="1:13" ht="16">
      <c r="A8" s="70" t="s">
        <v>44</v>
      </c>
      <c r="B8" s="70"/>
      <c r="C8" s="70"/>
      <c r="D8" s="70"/>
      <c r="E8" s="71"/>
      <c r="F8" s="70"/>
      <c r="G8" s="70"/>
      <c r="H8" s="70"/>
      <c r="I8" s="70"/>
      <c r="J8" s="70"/>
    </row>
    <row r="9" spans="1:13">
      <c r="A9" s="22" t="s">
        <v>59</v>
      </c>
      <c r="B9" s="7" t="s">
        <v>45</v>
      </c>
      <c r="C9" s="7" t="s">
        <v>46</v>
      </c>
      <c r="D9" s="7" t="s">
        <v>47</v>
      </c>
      <c r="E9" s="8" t="s">
        <v>333</v>
      </c>
      <c r="F9" s="7" t="s">
        <v>13</v>
      </c>
      <c r="G9" s="23" t="s">
        <v>48</v>
      </c>
      <c r="H9" s="23" t="s">
        <v>48</v>
      </c>
      <c r="I9" s="21" t="s">
        <v>48</v>
      </c>
      <c r="J9" s="22"/>
      <c r="K9" s="9" t="str">
        <f>"215,0"</f>
        <v>215,0</v>
      </c>
      <c r="L9" s="9" t="str">
        <f>"128,6990"</f>
        <v>128,6990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1.83203125" style="5" bestFit="1" customWidth="1"/>
    <col min="3" max="3" width="26.5" style="5" bestFit="1" customWidth="1"/>
    <col min="4" max="4" width="21.5" style="5" bestFit="1" customWidth="1"/>
    <col min="5" max="5" width="10.5" style="11" bestFit="1" customWidth="1"/>
    <col min="6" max="6" width="33.33203125" style="5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3.5" style="5" customWidth="1"/>
    <col min="14" max="16384" width="9.1640625" style="3"/>
  </cols>
  <sheetData>
    <row r="1" spans="1:13" s="2" customFormat="1" ht="29" customHeight="1">
      <c r="A1" s="55" t="s">
        <v>320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8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157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32" t="s">
        <v>59</v>
      </c>
      <c r="B6" s="24" t="s">
        <v>158</v>
      </c>
      <c r="C6" s="24" t="s">
        <v>159</v>
      </c>
      <c r="D6" s="24" t="s">
        <v>160</v>
      </c>
      <c r="E6" s="25" t="s">
        <v>333</v>
      </c>
      <c r="F6" s="24" t="s">
        <v>13</v>
      </c>
      <c r="G6" s="30" t="s">
        <v>77</v>
      </c>
      <c r="H6" s="30" t="s">
        <v>78</v>
      </c>
      <c r="I6" s="31" t="s">
        <v>78</v>
      </c>
      <c r="J6" s="32"/>
      <c r="K6" s="26" t="str">
        <f>"60,0"</f>
        <v>60,0</v>
      </c>
      <c r="L6" s="26" t="str">
        <f>"70,7940"</f>
        <v>70,7940</v>
      </c>
      <c r="M6" s="24" t="s">
        <v>268</v>
      </c>
    </row>
    <row r="7" spans="1:13">
      <c r="A7" s="34" t="s">
        <v>155</v>
      </c>
      <c r="B7" s="27" t="s">
        <v>161</v>
      </c>
      <c r="C7" s="27" t="s">
        <v>162</v>
      </c>
      <c r="D7" s="27" t="s">
        <v>163</v>
      </c>
      <c r="E7" s="28" t="s">
        <v>333</v>
      </c>
      <c r="F7" s="27" t="s">
        <v>164</v>
      </c>
      <c r="G7" s="33" t="s">
        <v>76</v>
      </c>
      <c r="H7" s="33" t="s">
        <v>77</v>
      </c>
      <c r="I7" s="33" t="s">
        <v>78</v>
      </c>
      <c r="J7" s="34"/>
      <c r="K7" s="29" t="str">
        <f>"60,0"</f>
        <v>60,0</v>
      </c>
      <c r="L7" s="29" t="str">
        <f>"70,6980"</f>
        <v>70,6980</v>
      </c>
      <c r="M7" s="27"/>
    </row>
    <row r="9" spans="1:13" ht="16">
      <c r="A9" s="70" t="s">
        <v>24</v>
      </c>
      <c r="B9" s="70"/>
      <c r="C9" s="70"/>
      <c r="D9" s="70"/>
      <c r="E9" s="71"/>
      <c r="F9" s="70"/>
      <c r="G9" s="70"/>
      <c r="H9" s="70"/>
      <c r="I9" s="70"/>
      <c r="J9" s="70"/>
    </row>
    <row r="10" spans="1:13">
      <c r="A10" s="22" t="s">
        <v>59</v>
      </c>
      <c r="B10" s="7" t="s">
        <v>165</v>
      </c>
      <c r="C10" s="7" t="s">
        <v>166</v>
      </c>
      <c r="D10" s="7" t="s">
        <v>167</v>
      </c>
      <c r="E10" s="8" t="s">
        <v>332</v>
      </c>
      <c r="F10" s="7" t="s">
        <v>285</v>
      </c>
      <c r="G10" s="21" t="s">
        <v>33</v>
      </c>
      <c r="H10" s="21" t="s">
        <v>168</v>
      </c>
      <c r="I10" s="21" t="s">
        <v>169</v>
      </c>
      <c r="J10" s="22"/>
      <c r="K10" s="9" t="str">
        <f>"117,5"</f>
        <v>117,5</v>
      </c>
      <c r="L10" s="9" t="str">
        <f>"84,3532"</f>
        <v>84,3532</v>
      </c>
      <c r="M10" s="7" t="s">
        <v>170</v>
      </c>
    </row>
    <row r="12" spans="1:13" ht="16">
      <c r="A12" s="70" t="s">
        <v>88</v>
      </c>
      <c r="B12" s="70"/>
      <c r="C12" s="70"/>
      <c r="D12" s="70"/>
      <c r="E12" s="71"/>
      <c r="F12" s="70"/>
      <c r="G12" s="70"/>
      <c r="H12" s="70"/>
      <c r="I12" s="70"/>
      <c r="J12" s="70"/>
    </row>
    <row r="13" spans="1:13">
      <c r="A13" s="22" t="s">
        <v>59</v>
      </c>
      <c r="B13" s="7" t="s">
        <v>171</v>
      </c>
      <c r="C13" s="7" t="s">
        <v>172</v>
      </c>
      <c r="D13" s="7" t="s">
        <v>173</v>
      </c>
      <c r="E13" s="8" t="s">
        <v>333</v>
      </c>
      <c r="F13" s="7" t="s">
        <v>13</v>
      </c>
      <c r="G13" s="21" t="s">
        <v>105</v>
      </c>
      <c r="H13" s="21" t="s">
        <v>142</v>
      </c>
      <c r="I13" s="23" t="s">
        <v>106</v>
      </c>
      <c r="J13" s="22"/>
      <c r="K13" s="9" t="str">
        <f>"160,0"</f>
        <v>160,0</v>
      </c>
      <c r="L13" s="9" t="str">
        <f>"103,2800"</f>
        <v>103,2800</v>
      </c>
      <c r="M13" s="7" t="s">
        <v>174</v>
      </c>
    </row>
  </sheetData>
  <mergeCells count="14">
    <mergeCell ref="A9:J9"/>
    <mergeCell ref="A12:J12"/>
    <mergeCell ref="B3:B4"/>
    <mergeCell ref="K3:K4"/>
    <mergeCell ref="L3:L4"/>
    <mergeCell ref="A5:J5"/>
    <mergeCell ref="A1:M2"/>
    <mergeCell ref="A3:A4"/>
    <mergeCell ref="C3:C4"/>
    <mergeCell ref="D3:D4"/>
    <mergeCell ref="E3:E4"/>
    <mergeCell ref="F3:F4"/>
    <mergeCell ref="G3:J3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0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9" style="5" bestFit="1" customWidth="1"/>
    <col min="4" max="4" width="21.5" style="5" bestFit="1" customWidth="1"/>
    <col min="5" max="5" width="10.5" style="11" bestFit="1" customWidth="1"/>
    <col min="6" max="6" width="34.8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3.5" style="5" customWidth="1"/>
    <col min="14" max="16384" width="9.1640625" style="3"/>
  </cols>
  <sheetData>
    <row r="1" spans="1:13" s="2" customFormat="1" ht="29" customHeight="1">
      <c r="A1" s="55" t="s">
        <v>321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328</v>
      </c>
      <c r="B3" s="72" t="s">
        <v>0</v>
      </c>
      <c r="C3" s="65" t="s">
        <v>330</v>
      </c>
      <c r="D3" s="65" t="s">
        <v>6</v>
      </c>
      <c r="E3" s="67" t="s">
        <v>331</v>
      </c>
      <c r="F3" s="69" t="s">
        <v>5</v>
      </c>
      <c r="G3" s="69" t="s">
        <v>8</v>
      </c>
      <c r="H3" s="69"/>
      <c r="I3" s="69"/>
      <c r="J3" s="69"/>
      <c r="K3" s="67" t="s">
        <v>154</v>
      </c>
      <c r="L3" s="67" t="s">
        <v>3</v>
      </c>
      <c r="M3" s="51" t="s">
        <v>2</v>
      </c>
    </row>
    <row r="4" spans="1:13" s="1" customFormat="1" ht="21" customHeight="1" thickBot="1">
      <c r="A4" s="64"/>
      <c r="B4" s="73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52"/>
    </row>
    <row r="5" spans="1:13" ht="16">
      <c r="A5" s="53" t="s">
        <v>60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2" t="s">
        <v>59</v>
      </c>
      <c r="B6" s="7" t="s">
        <v>109</v>
      </c>
      <c r="C6" s="7" t="s">
        <v>306</v>
      </c>
      <c r="D6" s="7" t="s">
        <v>110</v>
      </c>
      <c r="E6" s="8" t="s">
        <v>338</v>
      </c>
      <c r="F6" s="7" t="s">
        <v>13</v>
      </c>
      <c r="G6" s="21" t="s">
        <v>111</v>
      </c>
      <c r="H6" s="21" t="s">
        <v>112</v>
      </c>
      <c r="I6" s="23" t="s">
        <v>66</v>
      </c>
      <c r="J6" s="22"/>
      <c r="K6" s="9" t="str">
        <f>"37,5"</f>
        <v>37,5</v>
      </c>
      <c r="L6" s="9" t="str">
        <f>"43,0425"</f>
        <v>43,0425</v>
      </c>
      <c r="M6" s="7"/>
    </row>
    <row r="8" spans="1:13" ht="16">
      <c r="A8" s="70" t="s">
        <v>10</v>
      </c>
      <c r="B8" s="70"/>
      <c r="C8" s="70"/>
      <c r="D8" s="70"/>
      <c r="E8" s="71"/>
      <c r="F8" s="70"/>
      <c r="G8" s="70"/>
      <c r="H8" s="70"/>
      <c r="I8" s="70"/>
      <c r="J8" s="70"/>
    </row>
    <row r="9" spans="1:13">
      <c r="A9" s="32" t="s">
        <v>59</v>
      </c>
      <c r="B9" s="24" t="s">
        <v>113</v>
      </c>
      <c r="C9" s="24" t="s">
        <v>114</v>
      </c>
      <c r="D9" s="24" t="s">
        <v>115</v>
      </c>
      <c r="E9" s="25" t="s">
        <v>333</v>
      </c>
      <c r="F9" s="43" t="s">
        <v>13</v>
      </c>
      <c r="G9" s="47" t="s">
        <v>70</v>
      </c>
      <c r="H9" s="31" t="s">
        <v>65</v>
      </c>
      <c r="I9" s="48" t="s">
        <v>19</v>
      </c>
      <c r="J9" s="45"/>
      <c r="K9" s="26" t="str">
        <f>"85,0"</f>
        <v>85,0</v>
      </c>
      <c r="L9" s="26" t="str">
        <f>"88,1790"</f>
        <v>88,1790</v>
      </c>
      <c r="M9" s="24" t="s">
        <v>116</v>
      </c>
    </row>
    <row r="10" spans="1:13">
      <c r="A10" s="34" t="s">
        <v>59</v>
      </c>
      <c r="B10" s="27" t="s">
        <v>11</v>
      </c>
      <c r="C10" s="27" t="s">
        <v>304</v>
      </c>
      <c r="D10" s="27" t="s">
        <v>12</v>
      </c>
      <c r="E10" s="28" t="s">
        <v>335</v>
      </c>
      <c r="F10" s="44" t="s">
        <v>13</v>
      </c>
      <c r="G10" s="49" t="s">
        <v>17</v>
      </c>
      <c r="H10" s="35" t="s">
        <v>18</v>
      </c>
      <c r="I10" s="50" t="s">
        <v>19</v>
      </c>
      <c r="J10" s="46"/>
      <c r="K10" s="29" t="str">
        <f>"77,5"</f>
        <v>77,5</v>
      </c>
      <c r="L10" s="29" t="str">
        <f>"91,7309"</f>
        <v>91,7309</v>
      </c>
      <c r="M10" s="27" t="s">
        <v>23</v>
      </c>
    </row>
    <row r="12" spans="1:13" ht="16">
      <c r="A12" s="70" t="s">
        <v>24</v>
      </c>
      <c r="B12" s="70"/>
      <c r="C12" s="70"/>
      <c r="D12" s="70"/>
      <c r="E12" s="71"/>
      <c r="F12" s="70"/>
      <c r="G12" s="70"/>
      <c r="H12" s="70"/>
      <c r="I12" s="70"/>
      <c r="J12" s="70"/>
    </row>
    <row r="13" spans="1:13">
      <c r="A13" s="22" t="s">
        <v>59</v>
      </c>
      <c r="B13" s="7" t="s">
        <v>25</v>
      </c>
      <c r="C13" s="7" t="s">
        <v>307</v>
      </c>
      <c r="D13" s="7" t="s">
        <v>26</v>
      </c>
      <c r="E13" s="8" t="s">
        <v>336</v>
      </c>
      <c r="F13" s="7" t="s">
        <v>13</v>
      </c>
      <c r="G13" s="21" t="s">
        <v>19</v>
      </c>
      <c r="H13" s="21" t="s">
        <v>30</v>
      </c>
      <c r="I13" s="21" t="s">
        <v>31</v>
      </c>
      <c r="J13" s="22"/>
      <c r="K13" s="9" t="str">
        <f>"95,0"</f>
        <v>95,0</v>
      </c>
      <c r="L13" s="9" t="str">
        <f>"94,6228"</f>
        <v>94,6228</v>
      </c>
      <c r="M13" s="7" t="s">
        <v>34</v>
      </c>
    </row>
    <row r="15" spans="1:13" ht="16">
      <c r="A15" s="70" t="s">
        <v>81</v>
      </c>
      <c r="B15" s="70"/>
      <c r="C15" s="70"/>
      <c r="D15" s="70"/>
      <c r="E15" s="71"/>
      <c r="F15" s="70"/>
      <c r="G15" s="70"/>
      <c r="H15" s="70"/>
      <c r="I15" s="70"/>
      <c r="J15" s="70"/>
    </row>
    <row r="16" spans="1:13">
      <c r="A16" s="32" t="s">
        <v>59</v>
      </c>
      <c r="B16" s="24" t="s">
        <v>117</v>
      </c>
      <c r="C16" s="24" t="s">
        <v>118</v>
      </c>
      <c r="D16" s="24" t="s">
        <v>119</v>
      </c>
      <c r="E16" s="25" t="s">
        <v>333</v>
      </c>
      <c r="F16" s="24" t="s">
        <v>120</v>
      </c>
      <c r="G16" s="31" t="s">
        <v>80</v>
      </c>
      <c r="H16" s="31" t="s">
        <v>41</v>
      </c>
      <c r="I16" s="30" t="s">
        <v>121</v>
      </c>
      <c r="J16" s="32"/>
      <c r="K16" s="26" t="str">
        <f>"142,5"</f>
        <v>142,5</v>
      </c>
      <c r="L16" s="26" t="str">
        <f>"96,4583"</f>
        <v>96,4583</v>
      </c>
      <c r="M16" s="24"/>
    </row>
    <row r="17" spans="1:13">
      <c r="A17" s="39" t="s">
        <v>155</v>
      </c>
      <c r="B17" s="36" t="s">
        <v>122</v>
      </c>
      <c r="C17" s="36" t="s">
        <v>123</v>
      </c>
      <c r="D17" s="36" t="s">
        <v>124</v>
      </c>
      <c r="E17" s="37" t="s">
        <v>333</v>
      </c>
      <c r="F17" s="36" t="s">
        <v>125</v>
      </c>
      <c r="G17" s="40" t="s">
        <v>21</v>
      </c>
      <c r="H17" s="40" t="s">
        <v>22</v>
      </c>
      <c r="I17" s="41" t="s">
        <v>92</v>
      </c>
      <c r="J17" s="39"/>
      <c r="K17" s="38" t="str">
        <f>"140,0"</f>
        <v>140,0</v>
      </c>
      <c r="L17" s="38" t="str">
        <f>"94,4860"</f>
        <v>94,4860</v>
      </c>
      <c r="M17" s="36"/>
    </row>
    <row r="18" spans="1:13">
      <c r="A18" s="34" t="s">
        <v>59</v>
      </c>
      <c r="B18" s="27" t="s">
        <v>122</v>
      </c>
      <c r="C18" s="27" t="s">
        <v>308</v>
      </c>
      <c r="D18" s="27" t="s">
        <v>124</v>
      </c>
      <c r="E18" s="28" t="s">
        <v>337</v>
      </c>
      <c r="F18" s="27" t="s">
        <v>125</v>
      </c>
      <c r="G18" s="33" t="s">
        <v>21</v>
      </c>
      <c r="H18" s="33" t="s">
        <v>22</v>
      </c>
      <c r="I18" s="35" t="s">
        <v>92</v>
      </c>
      <c r="J18" s="34"/>
      <c r="K18" s="29" t="str">
        <f>"140,0"</f>
        <v>140,0</v>
      </c>
      <c r="L18" s="29" t="str">
        <f>"108,6589"</f>
        <v>108,6589</v>
      </c>
      <c r="M18" s="27"/>
    </row>
    <row r="20" spans="1:13" ht="16">
      <c r="A20" s="70" t="s">
        <v>100</v>
      </c>
      <c r="B20" s="70"/>
      <c r="C20" s="70"/>
      <c r="D20" s="70"/>
      <c r="E20" s="71"/>
      <c r="F20" s="70"/>
      <c r="G20" s="70"/>
      <c r="H20" s="70"/>
      <c r="I20" s="70"/>
      <c r="J20" s="70"/>
    </row>
    <row r="21" spans="1:13">
      <c r="A21" s="32" t="s">
        <v>59</v>
      </c>
      <c r="B21" s="24" t="s">
        <v>126</v>
      </c>
      <c r="C21" s="24" t="s">
        <v>127</v>
      </c>
      <c r="D21" s="24" t="s">
        <v>128</v>
      </c>
      <c r="E21" s="25" t="s">
        <v>333</v>
      </c>
      <c r="F21" s="24" t="s">
        <v>13</v>
      </c>
      <c r="G21" s="31" t="s">
        <v>99</v>
      </c>
      <c r="H21" s="30" t="s">
        <v>129</v>
      </c>
      <c r="I21" s="31" t="s">
        <v>130</v>
      </c>
      <c r="J21" s="32"/>
      <c r="K21" s="26" t="str">
        <f>"190,0"</f>
        <v>190,0</v>
      </c>
      <c r="L21" s="26" t="str">
        <f>"117,0970"</f>
        <v>117,0970</v>
      </c>
      <c r="M21" s="24" t="s">
        <v>116</v>
      </c>
    </row>
    <row r="22" spans="1:13">
      <c r="A22" s="39" t="s">
        <v>155</v>
      </c>
      <c r="B22" s="36" t="s">
        <v>131</v>
      </c>
      <c r="C22" s="36" t="s">
        <v>132</v>
      </c>
      <c r="D22" s="36" t="s">
        <v>133</v>
      </c>
      <c r="E22" s="37" t="s">
        <v>333</v>
      </c>
      <c r="F22" s="36" t="s">
        <v>134</v>
      </c>
      <c r="G22" s="40" t="s">
        <v>135</v>
      </c>
      <c r="H22" s="40" t="s">
        <v>136</v>
      </c>
      <c r="I22" s="41" t="s">
        <v>137</v>
      </c>
      <c r="J22" s="39"/>
      <c r="K22" s="38" t="str">
        <f>"167,5"</f>
        <v>167,5</v>
      </c>
      <c r="L22" s="38" t="str">
        <f>"104,4362"</f>
        <v>104,4362</v>
      </c>
      <c r="M22" s="36" t="s">
        <v>138</v>
      </c>
    </row>
    <row r="23" spans="1:13">
      <c r="A23" s="34" t="s">
        <v>156</v>
      </c>
      <c r="B23" s="27" t="s">
        <v>139</v>
      </c>
      <c r="C23" s="27" t="s">
        <v>140</v>
      </c>
      <c r="D23" s="27" t="s">
        <v>141</v>
      </c>
      <c r="E23" s="28" t="s">
        <v>333</v>
      </c>
      <c r="F23" s="27" t="s">
        <v>13</v>
      </c>
      <c r="G23" s="35" t="s">
        <v>142</v>
      </c>
      <c r="H23" s="35" t="s">
        <v>142</v>
      </c>
      <c r="I23" s="33" t="s">
        <v>142</v>
      </c>
      <c r="J23" s="34"/>
      <c r="K23" s="29" t="str">
        <f>"160,0"</f>
        <v>160,0</v>
      </c>
      <c r="L23" s="29" t="str">
        <f>"99,2480"</f>
        <v>99,2480</v>
      </c>
      <c r="M23" s="27" t="s">
        <v>138</v>
      </c>
    </row>
    <row r="25" spans="1:13" ht="16">
      <c r="A25" s="70" t="s">
        <v>44</v>
      </c>
      <c r="B25" s="70"/>
      <c r="C25" s="70"/>
      <c r="D25" s="70"/>
      <c r="E25" s="71"/>
      <c r="F25" s="70"/>
      <c r="G25" s="70"/>
      <c r="H25" s="70"/>
      <c r="I25" s="70"/>
      <c r="J25" s="70"/>
    </row>
    <row r="26" spans="1:13">
      <c r="A26" s="32" t="s">
        <v>59</v>
      </c>
      <c r="B26" s="24" t="s">
        <v>45</v>
      </c>
      <c r="C26" s="24" t="s">
        <v>46</v>
      </c>
      <c r="D26" s="24" t="s">
        <v>47</v>
      </c>
      <c r="E26" s="25" t="s">
        <v>333</v>
      </c>
      <c r="F26" s="24" t="s">
        <v>13</v>
      </c>
      <c r="G26" s="30" t="s">
        <v>49</v>
      </c>
      <c r="H26" s="30" t="s">
        <v>49</v>
      </c>
      <c r="I26" s="31" t="s">
        <v>49</v>
      </c>
      <c r="J26" s="32"/>
      <c r="K26" s="26" t="str">
        <f>"185,0"</f>
        <v>185,0</v>
      </c>
      <c r="L26" s="26" t="str">
        <f>"110,7410"</f>
        <v>110,7410</v>
      </c>
      <c r="M26" s="24"/>
    </row>
    <row r="27" spans="1:13">
      <c r="A27" s="34" t="s">
        <v>155</v>
      </c>
      <c r="B27" s="27" t="s">
        <v>143</v>
      </c>
      <c r="C27" s="27" t="s">
        <v>144</v>
      </c>
      <c r="D27" s="27" t="s">
        <v>145</v>
      </c>
      <c r="E27" s="28" t="s">
        <v>333</v>
      </c>
      <c r="F27" s="27" t="s">
        <v>13</v>
      </c>
      <c r="G27" s="33" t="s">
        <v>86</v>
      </c>
      <c r="H27" s="35" t="s">
        <v>129</v>
      </c>
      <c r="I27" s="35" t="s">
        <v>129</v>
      </c>
      <c r="J27" s="34"/>
      <c r="K27" s="29" t="str">
        <f>"180,0"</f>
        <v>180,0</v>
      </c>
      <c r="L27" s="29" t="str">
        <f>"106,2900"</f>
        <v>106,2900</v>
      </c>
      <c r="M27" s="27"/>
    </row>
    <row r="29" spans="1:13" ht="16">
      <c r="A29" s="70" t="s">
        <v>146</v>
      </c>
      <c r="B29" s="70"/>
      <c r="C29" s="70"/>
      <c r="D29" s="70"/>
      <c r="E29" s="71"/>
      <c r="F29" s="70"/>
      <c r="G29" s="70"/>
      <c r="H29" s="70"/>
      <c r="I29" s="70"/>
      <c r="J29" s="70"/>
    </row>
    <row r="30" spans="1:13">
      <c r="A30" s="22" t="s">
        <v>59</v>
      </c>
      <c r="B30" s="7" t="s">
        <v>147</v>
      </c>
      <c r="C30" s="7" t="s">
        <v>148</v>
      </c>
      <c r="D30" s="7" t="s">
        <v>149</v>
      </c>
      <c r="E30" s="8" t="s">
        <v>333</v>
      </c>
      <c r="F30" s="7" t="s">
        <v>13</v>
      </c>
      <c r="G30" s="21" t="s">
        <v>40</v>
      </c>
      <c r="H30" s="21" t="s">
        <v>85</v>
      </c>
      <c r="I30" s="23" t="s">
        <v>150</v>
      </c>
      <c r="J30" s="22"/>
      <c r="K30" s="9" t="str">
        <f>"205,0"</f>
        <v>205,0</v>
      </c>
      <c r="L30" s="9" t="str">
        <f>"119,9045"</f>
        <v>119,9045</v>
      </c>
      <c r="M30" s="7" t="s">
        <v>151</v>
      </c>
    </row>
    <row r="32" spans="1:13" ht="16">
      <c r="F32" s="12"/>
      <c r="G32" s="5"/>
      <c r="K32" s="19"/>
      <c r="M32" s="6"/>
    </row>
    <row r="33" spans="2:13">
      <c r="G33" s="5"/>
      <c r="K33" s="19"/>
      <c r="M33" s="6"/>
    </row>
    <row r="34" spans="2:13" ht="18">
      <c r="B34" s="13" t="s">
        <v>52</v>
      </c>
      <c r="C34" s="13"/>
      <c r="G34" s="3"/>
      <c r="K34" s="19"/>
      <c r="M34" s="6"/>
    </row>
    <row r="35" spans="2:13" ht="16">
      <c r="B35" s="10" t="s">
        <v>56</v>
      </c>
      <c r="C35" s="10"/>
      <c r="G35" s="3"/>
      <c r="K35" s="19"/>
      <c r="M35" s="6"/>
    </row>
    <row r="36" spans="2:13" ht="14">
      <c r="B36" s="14"/>
      <c r="C36" s="15" t="s">
        <v>57</v>
      </c>
      <c r="G36" s="3"/>
      <c r="K36" s="19"/>
      <c r="M36" s="6"/>
    </row>
    <row r="37" spans="2:13" ht="14">
      <c r="B37" s="16" t="s">
        <v>53</v>
      </c>
      <c r="C37" s="16" t="s">
        <v>54</v>
      </c>
      <c r="D37" s="16" t="s">
        <v>325</v>
      </c>
      <c r="E37" s="17" t="s">
        <v>152</v>
      </c>
      <c r="F37" s="16" t="s">
        <v>55</v>
      </c>
      <c r="G37" s="3"/>
      <c r="K37" s="19"/>
      <c r="M37" s="6"/>
    </row>
    <row r="38" spans="2:13">
      <c r="B38" s="5" t="s">
        <v>147</v>
      </c>
      <c r="C38" s="5" t="s">
        <v>57</v>
      </c>
      <c r="D38" s="19" t="s">
        <v>153</v>
      </c>
      <c r="E38" s="20">
        <v>205</v>
      </c>
      <c r="F38" s="18">
        <v>119.90450441837299</v>
      </c>
      <c r="G38" s="3"/>
      <c r="K38" s="19"/>
      <c r="M38" s="6"/>
    </row>
    <row r="39" spans="2:13">
      <c r="B39" s="5" t="s">
        <v>126</v>
      </c>
      <c r="C39" s="5" t="s">
        <v>57</v>
      </c>
      <c r="D39" s="19" t="s">
        <v>108</v>
      </c>
      <c r="E39" s="20">
        <v>190</v>
      </c>
      <c r="F39" s="18">
        <v>117.096997499466</v>
      </c>
      <c r="G39" s="3"/>
      <c r="K39" s="19"/>
      <c r="M39" s="6"/>
    </row>
    <row r="40" spans="2:13">
      <c r="B40" s="5" t="s">
        <v>45</v>
      </c>
      <c r="C40" s="5" t="s">
        <v>57</v>
      </c>
      <c r="D40" s="19" t="s">
        <v>58</v>
      </c>
      <c r="E40" s="20">
        <v>185</v>
      </c>
      <c r="F40" s="18">
        <v>110.74099451303501</v>
      </c>
      <c r="G40" s="3"/>
      <c r="K40" s="19"/>
      <c r="M40" s="6"/>
    </row>
  </sheetData>
  <mergeCells count="18">
    <mergeCell ref="A29:J29"/>
    <mergeCell ref="A8:J8"/>
    <mergeCell ref="A12:J12"/>
    <mergeCell ref="A15:J15"/>
    <mergeCell ref="A20:J20"/>
    <mergeCell ref="A25:J25"/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IPL ПЛ без экипировки ДК</vt:lpstr>
      <vt:lpstr>IPL ПЛ без экипировки</vt:lpstr>
      <vt:lpstr>IPL ПЛ в бинтах</vt:lpstr>
      <vt:lpstr>IPL Двоеборье без экип ДК</vt:lpstr>
      <vt:lpstr>IPL Двоеборье без экип</vt:lpstr>
      <vt:lpstr>IPL Присед без экипировки ДК</vt:lpstr>
      <vt:lpstr>IPL Присед без экипировки</vt:lpstr>
      <vt:lpstr>IPL Жим без экипировки ДК</vt:lpstr>
      <vt:lpstr>IPL Жим без экипировки</vt:lpstr>
      <vt:lpstr>СПР Жим софт однопетельная ДК</vt:lpstr>
      <vt:lpstr>СПР Жим софт многопетельная</vt:lpstr>
      <vt:lpstr>СПР Жим СФО</vt:lpstr>
      <vt:lpstr>WRPF Военный жим ДК</vt:lpstr>
      <vt:lpstr>WRPF Военный жим</vt:lpstr>
      <vt:lpstr>IPL Тяга без экипировки ДК</vt:lpstr>
      <vt:lpstr>IPL Тяга без экипировки</vt:lpstr>
      <vt:lpstr>СПР Пауэрспорт</vt:lpstr>
      <vt:lpstr>СПР Жим стоя</vt:lpstr>
      <vt:lpstr>СПР Подъем на бицепс ДК</vt:lpstr>
      <vt:lpstr>WRPF Подъем на бицепс ДК</vt:lpstr>
      <vt:lpstr>ФЖД Армейский жим макс.ДК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2023-06-14T15:35:34Z</dcterms:modified>
</cp:coreProperties>
</file>