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Октябрь/"/>
    </mc:Choice>
  </mc:AlternateContent>
  <xr:revisionPtr revIDLastSave="0" documentId="13_ncr:1_{4CD838EB-F792-CB46-91E1-33391315C501}" xr6:coauthVersionLast="45" xr6:coauthVersionMax="45" xr10:uidLastSave="{00000000-0000-0000-0000-000000000000}"/>
  <bookViews>
    <workbookView xWindow="480" yWindow="460" windowWidth="28320" windowHeight="16000" firstSheet="14" activeTab="16" xr2:uid="{00000000-000D-0000-FFFF-FFFF00000000}"/>
  </bookViews>
  <sheets>
    <sheet name="IPL ПЛ без экипировки ДК" sheetId="8" r:id="rId1"/>
    <sheet name="IPL ПЛ без экипировки" sheetId="7" r:id="rId2"/>
    <sheet name="IPL Двоеборье без экип ДК" sheetId="19" r:id="rId3"/>
    <sheet name="IPL Двоеборье без экип" sheetId="18" r:id="rId4"/>
    <sheet name="IPL Присед без экипировки ДК" sheetId="17" r:id="rId5"/>
    <sheet name="IPL Присед без экипировки" sheetId="16" r:id="rId6"/>
    <sheet name="IPL Жим без экипировки ДК" sheetId="10" r:id="rId7"/>
    <sheet name="IPL Жим без экипировки" sheetId="9" r:id="rId8"/>
    <sheet name="IPL Жим однослой" sheetId="11" r:id="rId9"/>
    <sheet name="СПР Жим софт однопетельная" sheetId="41" r:id="rId10"/>
    <sheet name="WRPF Военный жим ДК" sheetId="21" r:id="rId11"/>
    <sheet name="WRPF Военный жим" sheetId="20" r:id="rId12"/>
    <sheet name="СПР Жим СФО" sheetId="43" r:id="rId13"/>
    <sheet name="IPL Тяга без экипировки ДК" sheetId="13" r:id="rId14"/>
    <sheet name="IPL Тяга без экипировки" sheetId="12" r:id="rId15"/>
    <sheet name="СПР Пауэрспорт ДК" sheetId="40" r:id="rId16"/>
    <sheet name="СПР Пауэрспорт" sheetId="39" r:id="rId17"/>
    <sheet name="СПР Жим стоя" sheetId="36" r:id="rId18"/>
    <sheet name="СПР Подъем на бицепс ДК" sheetId="38" r:id="rId19"/>
    <sheet name="WRPF Подъем на бицепс ДК" sheetId="23" r:id="rId20"/>
    <sheet name="WRPF Подъем на бицепс" sheetId="22" r:id="rId21"/>
    <sheet name="ФЖД Армейский жим двоеборье ДК" sheetId="46" r:id="rId22"/>
    <sheet name="ФЖД Армейский жим макс.ДК" sheetId="47" r:id="rId23"/>
    <sheet name="ФЖД Армейский жим макс." sheetId="44" r:id="rId2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47" l="1"/>
  <c r="K9" i="47"/>
  <c r="L6" i="47"/>
  <c r="K6" i="47"/>
  <c r="N6" i="46"/>
  <c r="M6" i="46"/>
  <c r="L6" i="44"/>
  <c r="K6" i="44"/>
  <c r="L6" i="43"/>
  <c r="K6" i="43"/>
  <c r="L9" i="41"/>
  <c r="K9" i="41"/>
  <c r="L6" i="41"/>
  <c r="K6" i="41"/>
  <c r="P6" i="40"/>
  <c r="O6" i="40"/>
  <c r="P16" i="39"/>
  <c r="O16" i="39"/>
  <c r="P13" i="39"/>
  <c r="O13" i="39"/>
  <c r="P10" i="39"/>
  <c r="O10" i="39"/>
  <c r="P9" i="39"/>
  <c r="O9" i="39"/>
  <c r="P6" i="39"/>
  <c r="O6" i="39"/>
  <c r="L9" i="38"/>
  <c r="K9" i="38"/>
  <c r="L6" i="38"/>
  <c r="K6" i="38"/>
  <c r="L6" i="36"/>
  <c r="K6" i="36"/>
  <c r="L25" i="23"/>
  <c r="K25" i="23"/>
  <c r="L24" i="23"/>
  <c r="K24" i="23"/>
  <c r="L21" i="23"/>
  <c r="K21" i="23"/>
  <c r="L20" i="23"/>
  <c r="K20" i="23"/>
  <c r="L17" i="23"/>
  <c r="K17" i="23"/>
  <c r="L16" i="23"/>
  <c r="K16" i="23"/>
  <c r="L15" i="23"/>
  <c r="K15" i="23"/>
  <c r="L14" i="23"/>
  <c r="K14" i="23"/>
  <c r="L11" i="23"/>
  <c r="K11" i="23"/>
  <c r="L10" i="23"/>
  <c r="K10" i="23"/>
  <c r="L7" i="23"/>
  <c r="K7" i="23"/>
  <c r="L6" i="23"/>
  <c r="K6" i="23"/>
  <c r="L15" i="22"/>
  <c r="K15" i="22"/>
  <c r="L12" i="22"/>
  <c r="K12" i="22"/>
  <c r="L9" i="22"/>
  <c r="K9" i="22"/>
  <c r="L6" i="22"/>
  <c r="K6" i="22"/>
  <c r="L6" i="21"/>
  <c r="K6" i="21"/>
  <c r="L6" i="20"/>
  <c r="K6" i="20"/>
  <c r="P6" i="19"/>
  <c r="O6" i="19"/>
  <c r="P6" i="18"/>
  <c r="O6" i="18"/>
  <c r="L6" i="17"/>
  <c r="K6" i="17"/>
  <c r="L9" i="16"/>
  <c r="K9" i="16"/>
  <c r="L6" i="16"/>
  <c r="K6" i="16"/>
  <c r="L21" i="13"/>
  <c r="K21" i="13"/>
  <c r="L18" i="13"/>
  <c r="K18" i="13"/>
  <c r="L15" i="13"/>
  <c r="L12" i="13"/>
  <c r="K12" i="13"/>
  <c r="L9" i="13"/>
  <c r="K9" i="13"/>
  <c r="L6" i="13"/>
  <c r="K6" i="13"/>
  <c r="L10" i="12"/>
  <c r="K10" i="12"/>
  <c r="L9" i="12"/>
  <c r="K9" i="12"/>
  <c r="L6" i="12"/>
  <c r="K6" i="12"/>
  <c r="L6" i="11"/>
  <c r="K6" i="11"/>
  <c r="L21" i="10"/>
  <c r="K21" i="10"/>
  <c r="L18" i="10"/>
  <c r="K18" i="10"/>
  <c r="L17" i="10"/>
  <c r="K17" i="10"/>
  <c r="L16" i="10"/>
  <c r="K16" i="10"/>
  <c r="L15" i="10"/>
  <c r="K15" i="10"/>
  <c r="L12" i="10"/>
  <c r="K12" i="10"/>
  <c r="L9" i="10"/>
  <c r="K9" i="10"/>
  <c r="L6" i="10"/>
  <c r="K6" i="10"/>
  <c r="L24" i="9"/>
  <c r="K24" i="9"/>
  <c r="L23" i="9"/>
  <c r="K23" i="9"/>
  <c r="L20" i="9"/>
  <c r="K20" i="9"/>
  <c r="L19" i="9"/>
  <c r="K19" i="9"/>
  <c r="L16" i="9"/>
  <c r="K16" i="9"/>
  <c r="L13" i="9"/>
  <c r="K13" i="9"/>
  <c r="L10" i="9"/>
  <c r="K10" i="9"/>
  <c r="L9" i="9"/>
  <c r="K9" i="9"/>
  <c r="L6" i="9"/>
  <c r="K6" i="9"/>
  <c r="T14" i="8"/>
  <c r="S14" i="8"/>
  <c r="T13" i="8"/>
  <c r="S13" i="8"/>
  <c r="T12" i="8"/>
  <c r="T9" i="8"/>
  <c r="S9" i="8"/>
  <c r="T6" i="8"/>
  <c r="S6" i="8"/>
  <c r="T6" i="7"/>
  <c r="S6" i="7"/>
</calcChain>
</file>

<file path=xl/sharedStrings.xml><?xml version="1.0" encoding="utf-8"?>
<sst xmlns="http://schemas.openxmlformats.org/spreadsheetml/2006/main" count="1137" uniqueCount="321">
  <si>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</si>
  <si>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</si>
  <si>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</si>
  <si>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</si>
  <si>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</si>
  <si>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</si>
  <si>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</si>
  <si>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</si>
  <si>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</si>
  <si>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Результат</t>
  </si>
  <si>
    <t>Приседание</t>
  </si>
  <si>
    <t>Жим лёжа</t>
  </si>
  <si>
    <t>Становая тяга</t>
  </si>
  <si>
    <t>ВЕСОВАЯ КАТЕГОРИЯ   67.5</t>
  </si>
  <si>
    <t xml:space="preserve">Егорова Ольга </t>
  </si>
  <si>
    <t>66,40</t>
  </si>
  <si>
    <t>115,0</t>
  </si>
  <si>
    <t>120,0</t>
  </si>
  <si>
    <t>125,0</t>
  </si>
  <si>
    <t>85,0</t>
  </si>
  <si>
    <t>90,0</t>
  </si>
  <si>
    <t>130,0</t>
  </si>
  <si>
    <t>142,5</t>
  </si>
  <si>
    <t xml:space="preserve">Смирнов Антон </t>
  </si>
  <si>
    <t>1</t>
  </si>
  <si>
    <t>Егорова Ольга</t>
  </si>
  <si>
    <t>Открытая (15.07.1989)/34</t>
  </si>
  <si>
    <t>66,50</t>
  </si>
  <si>
    <t>80,0</t>
  </si>
  <si>
    <t>140,0</t>
  </si>
  <si>
    <t>150,0</t>
  </si>
  <si>
    <t>160,0</t>
  </si>
  <si>
    <t>ВЕСОВАЯ КАТЕГОРИЯ   82.5</t>
  </si>
  <si>
    <t>Открытая (04.08.1998)/25</t>
  </si>
  <si>
    <t>82,20</t>
  </si>
  <si>
    <t>190,0</t>
  </si>
  <si>
    <t>205,0</t>
  </si>
  <si>
    <t>185,0</t>
  </si>
  <si>
    <t>200,0</t>
  </si>
  <si>
    <t>207,5</t>
  </si>
  <si>
    <t>ВЕСОВАЯ КАТЕГОРИЯ   90</t>
  </si>
  <si>
    <t>Юноши 15-19 (22.09.2008)/15</t>
  </si>
  <si>
    <t>86,30</t>
  </si>
  <si>
    <t>100,0</t>
  </si>
  <si>
    <t>75,0</t>
  </si>
  <si>
    <t>110,0</t>
  </si>
  <si>
    <t xml:space="preserve">Гатауллин Тимур </t>
  </si>
  <si>
    <t>89,40</t>
  </si>
  <si>
    <t>165,0</t>
  </si>
  <si>
    <t xml:space="preserve">Тимофеев Дмитрий </t>
  </si>
  <si>
    <t xml:space="preserve">Тресков Виктор </t>
  </si>
  <si>
    <t>90,00</t>
  </si>
  <si>
    <t>230,0</t>
  </si>
  <si>
    <t>250,0</t>
  </si>
  <si>
    <t>Савинов Олег</t>
  </si>
  <si>
    <t>Чернявский Вадим</t>
  </si>
  <si>
    <t>-</t>
  </si>
  <si>
    <t>Макарычев Арсений</t>
  </si>
  <si>
    <t>Кузеванов Дмитрий</t>
  </si>
  <si>
    <t>Тресков Виктор</t>
  </si>
  <si>
    <t>ВЕСОВАЯ КАТЕГОРИЯ   75</t>
  </si>
  <si>
    <t>Открытая (14.04.1980)/43</t>
  </si>
  <si>
    <t>71,10</t>
  </si>
  <si>
    <t>95,0</t>
  </si>
  <si>
    <t xml:space="preserve">Замятин Игорь </t>
  </si>
  <si>
    <t>Юноши 15-19 (14.09.2010)/13</t>
  </si>
  <si>
    <t>73,70</t>
  </si>
  <si>
    <t>42,5</t>
  </si>
  <si>
    <t>47,5</t>
  </si>
  <si>
    <t>Открытая (14.08.1991)/32</t>
  </si>
  <si>
    <t>87,00</t>
  </si>
  <si>
    <t>170,0</t>
  </si>
  <si>
    <t>ВЕСОВАЯ КАТЕГОРИЯ   100</t>
  </si>
  <si>
    <t>Открытая (15.10.1980)/42</t>
  </si>
  <si>
    <t>98,00</t>
  </si>
  <si>
    <t>177,5</t>
  </si>
  <si>
    <t>182,5</t>
  </si>
  <si>
    <t xml:space="preserve">Трухтанов Павел </t>
  </si>
  <si>
    <t>98,80</t>
  </si>
  <si>
    <t>180,0</t>
  </si>
  <si>
    <t>ВЕСОВАЯ КАТЕГОРИЯ   110</t>
  </si>
  <si>
    <t>103,70</t>
  </si>
  <si>
    <t xml:space="preserve">Матушкин Артем </t>
  </si>
  <si>
    <t xml:space="preserve">Гераймас Александр </t>
  </si>
  <si>
    <t>105,20</t>
  </si>
  <si>
    <t>137,5</t>
  </si>
  <si>
    <t>145,0</t>
  </si>
  <si>
    <t>Замятина Наталья</t>
  </si>
  <si>
    <t>Бикулов Дмитрий</t>
  </si>
  <si>
    <t>Турланов Батырхан</t>
  </si>
  <si>
    <t>Мирзахметов Вадим</t>
  </si>
  <si>
    <t>Пивоваров Александр</t>
  </si>
  <si>
    <t>Омельченко Григорий</t>
  </si>
  <si>
    <t>2</t>
  </si>
  <si>
    <t>Гераймас Александр</t>
  </si>
  <si>
    <t>ВЕСОВАЯ КАТЕГОРИЯ   52</t>
  </si>
  <si>
    <t>Открытая (23.10.1983)/39</t>
  </si>
  <si>
    <t>49,00</t>
  </si>
  <si>
    <t>52,5</t>
  </si>
  <si>
    <t>55,0</t>
  </si>
  <si>
    <t>71,20</t>
  </si>
  <si>
    <t>117,5</t>
  </si>
  <si>
    <t>Открытая (07.09.1977)/46</t>
  </si>
  <si>
    <t>82,40</t>
  </si>
  <si>
    <t>Открытая (08.05.1976)/47</t>
  </si>
  <si>
    <t>88,00</t>
  </si>
  <si>
    <t>172,5</t>
  </si>
  <si>
    <t>Открытая (27.10.1980)/42</t>
  </si>
  <si>
    <t>89,30</t>
  </si>
  <si>
    <t>Открытая (06.12.1982)/40</t>
  </si>
  <si>
    <t>152,5</t>
  </si>
  <si>
    <t>95,60</t>
  </si>
  <si>
    <t>155,0</t>
  </si>
  <si>
    <t>Котрочева Ольга</t>
  </si>
  <si>
    <t>Бирюков Вячеслав</t>
  </si>
  <si>
    <t>Пугачев Павел</t>
  </si>
  <si>
    <t>Плотников Герман</t>
  </si>
  <si>
    <t>Калашников Александр</t>
  </si>
  <si>
    <t>3</t>
  </si>
  <si>
    <t>Кочетков Дмитрий</t>
  </si>
  <si>
    <t>Севрюков Николай</t>
  </si>
  <si>
    <t>Открытая (17.06.1982)/41</t>
  </si>
  <si>
    <t>86,10</t>
  </si>
  <si>
    <t>Яковлев Максим</t>
  </si>
  <si>
    <t>70,0</t>
  </si>
  <si>
    <t>Открытая (13.02.1986)/37</t>
  </si>
  <si>
    <t>110,00</t>
  </si>
  <si>
    <t>260,0</t>
  </si>
  <si>
    <t>285,0</t>
  </si>
  <si>
    <t>290,0</t>
  </si>
  <si>
    <t>106,80</t>
  </si>
  <si>
    <t>202,5</t>
  </si>
  <si>
    <t>Елютин Андрей</t>
  </si>
  <si>
    <t>Новлянский Виктор</t>
  </si>
  <si>
    <t>Открытая (26.09.1986)/37</t>
  </si>
  <si>
    <t>65,80</t>
  </si>
  <si>
    <t>74,00</t>
  </si>
  <si>
    <t>ВЕСОВАЯ КАТЕГОРИЯ   60</t>
  </si>
  <si>
    <t>Юноши 15-19 (23.04.2008)/15</t>
  </si>
  <si>
    <t>59,70</t>
  </si>
  <si>
    <t>Открытая (22.11.1998)/24</t>
  </si>
  <si>
    <t>73,10</t>
  </si>
  <si>
    <t>Юноши 15-19 (25.08.2006)/17</t>
  </si>
  <si>
    <t>80,80</t>
  </si>
  <si>
    <t>Юноши 15-19 (16.08.2006)/17</t>
  </si>
  <si>
    <t>88,60</t>
  </si>
  <si>
    <t>210,0</t>
  </si>
  <si>
    <t>Дармина Марина</t>
  </si>
  <si>
    <t>Севрюкова Светлана</t>
  </si>
  <si>
    <t>Мамонов Демьян</t>
  </si>
  <si>
    <t>Янгазов Айрат</t>
  </si>
  <si>
    <t>Аверьяков Андрей</t>
  </si>
  <si>
    <t>Ермохин Владислав</t>
  </si>
  <si>
    <t>Юноши 15-19 (21.03.2010)/13</t>
  </si>
  <si>
    <t>62,20</t>
  </si>
  <si>
    <t>40,0</t>
  </si>
  <si>
    <t>45,0</t>
  </si>
  <si>
    <t>50,0</t>
  </si>
  <si>
    <t xml:space="preserve">Стецко Юрий </t>
  </si>
  <si>
    <t>Юноши 15-19 (22.07.2009)/14</t>
  </si>
  <si>
    <t>85,00</t>
  </si>
  <si>
    <t>60,0</t>
  </si>
  <si>
    <t>65,0</t>
  </si>
  <si>
    <t>Губарев Владимир</t>
  </si>
  <si>
    <t>Николаев Алексей</t>
  </si>
  <si>
    <t>157,5</t>
  </si>
  <si>
    <t>162,5</t>
  </si>
  <si>
    <t>Открытая (23.09.1999)/24</t>
  </si>
  <si>
    <t>72,50</t>
  </si>
  <si>
    <t>105,0</t>
  </si>
  <si>
    <t>107,5</t>
  </si>
  <si>
    <t>Беднов Данил</t>
  </si>
  <si>
    <t>ВЕСОВАЯ КАТЕГОРИЯ   56</t>
  </si>
  <si>
    <t>54,60</t>
  </si>
  <si>
    <t>35,0</t>
  </si>
  <si>
    <t>67,5</t>
  </si>
  <si>
    <t>57,5</t>
  </si>
  <si>
    <t>62,5</t>
  </si>
  <si>
    <t>ВЕСОВАЯ КАТЕГОРИЯ   125</t>
  </si>
  <si>
    <t>Открытая (19.05.1996)/27</t>
  </si>
  <si>
    <t>120,30</t>
  </si>
  <si>
    <t>77,5</t>
  </si>
  <si>
    <t>82,5</t>
  </si>
  <si>
    <t>Трофимов Глеб</t>
  </si>
  <si>
    <t>Кириенко Антон</t>
  </si>
  <si>
    <t>Хомяков Виталий</t>
  </si>
  <si>
    <t>64,60</t>
  </si>
  <si>
    <t>Открытая (23.04.2001)/22</t>
  </si>
  <si>
    <t>66,00</t>
  </si>
  <si>
    <t>Открытая (12.02.1997)/26</t>
  </si>
  <si>
    <t>72,10</t>
  </si>
  <si>
    <t>70,00</t>
  </si>
  <si>
    <t>80,00</t>
  </si>
  <si>
    <t>76,50</t>
  </si>
  <si>
    <t>82,00</t>
  </si>
  <si>
    <t>Мастера 60+ (07.09.1963)/60</t>
  </si>
  <si>
    <t>Открытая (05.04.2000)/23</t>
  </si>
  <si>
    <t>87,30</t>
  </si>
  <si>
    <t>99,90</t>
  </si>
  <si>
    <t>Земляков Максим</t>
  </si>
  <si>
    <t>Политов Максим</t>
  </si>
  <si>
    <t>Гимаев Шамиль</t>
  </si>
  <si>
    <t>Беляков Олег</t>
  </si>
  <si>
    <t>Попов Максим</t>
  </si>
  <si>
    <t>Стецко Игорь</t>
  </si>
  <si>
    <t>Дубинин Артемий</t>
  </si>
  <si>
    <t>Семенов Андрей</t>
  </si>
  <si>
    <t>Ефимовский Кирилл</t>
  </si>
  <si>
    <t>Хомяков Семён</t>
  </si>
  <si>
    <t>62,70</t>
  </si>
  <si>
    <t>72,5</t>
  </si>
  <si>
    <t>53,40</t>
  </si>
  <si>
    <t>30,0</t>
  </si>
  <si>
    <t>32,5</t>
  </si>
  <si>
    <t>66,30</t>
  </si>
  <si>
    <t>68,20</t>
  </si>
  <si>
    <t>Открытая (02.04.1986)/37</t>
  </si>
  <si>
    <t>112,40</t>
  </si>
  <si>
    <t>Щекочихин Дмитрий</t>
  </si>
  <si>
    <t>Травкин Георгий</t>
  </si>
  <si>
    <t>Соловьёв Владислав</t>
  </si>
  <si>
    <t>Ахмеров Ильнас</t>
  </si>
  <si>
    <t>Стецко Юрий</t>
  </si>
  <si>
    <t>135,0</t>
  </si>
  <si>
    <t>Открытая (20.03.1991)/32</t>
  </si>
  <si>
    <t>96,80</t>
  </si>
  <si>
    <t>220,0</t>
  </si>
  <si>
    <t>240,0</t>
  </si>
  <si>
    <t>Луцук Виталий</t>
  </si>
  <si>
    <t>Открытая (19.07.1998)/25</t>
  </si>
  <si>
    <t>84,10</t>
  </si>
  <si>
    <t>Комисаров Александр</t>
  </si>
  <si>
    <t>ВЕСОВАЯ КАТЕГОРИЯ   130</t>
  </si>
  <si>
    <t>ВЕСОВАЯ КАТЕГОРИЯ   80</t>
  </si>
  <si>
    <t>Открытая (14.05.1985)/38</t>
  </si>
  <si>
    <t>76,30</t>
  </si>
  <si>
    <t>Черняев Дмитрий</t>
  </si>
  <si>
    <t>ВЕСОВАЯ КАТЕГОРИЯ   70</t>
  </si>
  <si>
    <t>Мастера 50-54 (17.07.1970)/53</t>
  </si>
  <si>
    <t>Мастера 60-64 (07.09.1963)/60</t>
  </si>
  <si>
    <t>Мастера 40-49 (14.04.1980)/43</t>
  </si>
  <si>
    <t>Юноши 13-19 (08.11.2003)/19</t>
  </si>
  <si>
    <t>Юноши 13-19 (04.07.2008)/15</t>
  </si>
  <si>
    <t>Юноши 13-19 (01.04.2009)/14</t>
  </si>
  <si>
    <t>Юноши 13-19 (03.09.2009)/14</t>
  </si>
  <si>
    <t>Юноши 13-19 (03.07.2008)/15</t>
  </si>
  <si>
    <t>Юноши 13-19 (19.05.2009)/14</t>
  </si>
  <si>
    <t>Юноши 13-19 (22.07.2009)/14</t>
  </si>
  <si>
    <t>Мастера 50-59 (17.07.1970)/53</t>
  </si>
  <si>
    <t>Юноши 13-19 (08.10.2006)/16</t>
  </si>
  <si>
    <t>Юноши 13-19 (24.08.2006)/17</t>
  </si>
  <si>
    <t>Юноши 13-19 (17.12.2003)/19</t>
  </si>
  <si>
    <t>Мастера 50-59 (06.02.1966)/57</t>
  </si>
  <si>
    <t>Юноши 13-19 (02.02.2008)/15</t>
  </si>
  <si>
    <t>Юниоры 20-23 (18.07.2001)/22</t>
  </si>
  <si>
    <t>Мастера 40-49 (13.08.1982)/41</t>
  </si>
  <si>
    <t>Мастера 45-49 (14.03.1975)/48</t>
  </si>
  <si>
    <t>Мастера 55-59 (07.02.1968)/55</t>
  </si>
  <si>
    <t>Мастера 55-59 (01.11.1965)/57</t>
  </si>
  <si>
    <t>Юниоры 20-23 (05.04.2000)/23</t>
  </si>
  <si>
    <t>Мастера 45-49 (08.05.1976)/47</t>
  </si>
  <si>
    <t>Мастера 55-59 (06.02.1966)/57</t>
  </si>
  <si>
    <t>Мастера 40-44 (14.04.1980)/43</t>
  </si>
  <si>
    <t>Мастера 45-49 (22.03.1974)/49</t>
  </si>
  <si>
    <t>Мастера 40-44 (02.07.1981)/42</t>
  </si>
  <si>
    <t>Мастера 40-44 (13.08.1982)/41</t>
  </si>
  <si>
    <t>Юниоры 20-23 (01.11.2001)/21</t>
  </si>
  <si>
    <t>Мастера 50-54 (06.01.1971)/52</t>
  </si>
  <si>
    <t>Всероссийский турнир
WRPF Военный жим лежа с ДК
Самара/Самарская область, 07 октября 2023 года</t>
  </si>
  <si>
    <t>Всероссийский турнир
WRPF Военный жим лежа
Самара/Самарская область, 07 октября 2023 года</t>
  </si>
  <si>
    <t>Всероссийский турнир
WRPF Строгий подъем штанги на бицепс ДК
Самара/Самарская область, 07 октября 2023 года</t>
  </si>
  <si>
    <t>Всероссийский турнир
WRPF Строгий подъем штанги на бицепс
Самара/Самарская область, 07 октября 2023 года</t>
  </si>
  <si>
    <t>Открытый Кубок Европы
IPL Пауэрлифтинг без экипировки ДК
Самарара/Самарская область, 07 октября 2023 года</t>
  </si>
  <si>
    <t>Открытый Кубок Европы
IPL Пауэрлифтинг без экипировки
Самарара/Самарская область, 07 октября 2023 года</t>
  </si>
  <si>
    <t>Открытый Кубок Европы
IPL Силовое двоеборье без экипировки ДК
Самарара/Самарская область, 07 октября 2023 года</t>
  </si>
  <si>
    <t>Открытый Кубок Европы
IPL Силовое двоеборье без экипировки
Самарара/Самарская область, 07 октября 2023 года</t>
  </si>
  <si>
    <t>Открытый Кубок Европы
IPL Присед без экипировки ДК
Самарара/Самарская область, 07 октября 2023 года</t>
  </si>
  <si>
    <t>Открытый Кубок Европы
IPL Присед без экипировки
Самарара/Самарская область, 07 октября 2023 года</t>
  </si>
  <si>
    <t>Открытый Кубок Европы
IPL Жим лежа без экипировки ДК
Самарара/Самарская область, 07 октября 2023 года</t>
  </si>
  <si>
    <t>Открытый Кубок Европы
IPL Жим лежа без экипировки
Самарара/Самарская область, 07 октября 2023 года</t>
  </si>
  <si>
    <t>Открытый Кубок Европы
IPL Жим лежа в однослойной экипировке
Самарара/Самарская область, 07 октября 2023 года</t>
  </si>
  <si>
    <t>Открытый Кубок Европы
СПР Жим лежа в однопетельной софт экипировке
Самара/Самарская область, 07 октября 2023 года</t>
  </si>
  <si>
    <t>Открытый Кубок Европы
СПР Жим лежа среди спортсменов с физическими особенностями
Самара/Самарская область, 07 октября 2023 года</t>
  </si>
  <si>
    <t>Открытый Кубок Европы
IPL Становая тяга без экипировки ДК
Самарара/Самарская область, 07 октября 2023 года</t>
  </si>
  <si>
    <t>Открытый Кубок Европы
IPL Становая тяга без экипировки
Самарара/Самарская область, 07 октября 2023 года</t>
  </si>
  <si>
    <t>Открытый Кубок Европы
ФЖД Армейский жим двоеборье ДК
Самара/Самарская область, 07 октября 2023 года</t>
  </si>
  <si>
    <t>Открытый Кубок Европы
ФЖД Армейский жим на максимум ДК
Самара/Самарская область, 07 октября 2023 года</t>
  </si>
  <si>
    <t>Открытый Кубок Европы
ФЖД Армейский жим на максимум
Самара/Самарская область, 07 октября 2023 года</t>
  </si>
  <si>
    <t>Кучин Игорь</t>
  </si>
  <si>
    <t>Казахстан, Уральск</t>
  </si>
  <si>
    <t>Всероссийский турнир
СПР Пауэрспорт ДК
Самара/Самарская область, 07 октября 2023 года</t>
  </si>
  <si>
    <t>Всероссийский турнир
СПР Пауэрспорт
Самара/Самарская область, 07 октября 2023 года</t>
  </si>
  <si>
    <t>Всероссийский турнир
СПР Жим штанги стоя
Самара/Самарская область, 07 октября 2023 года</t>
  </si>
  <si>
    <t>Всероссийский турнир
СПР Строгий подъем штанги на бицепс ДК
Самара/Самарская область, 07 октября 2023 года</t>
  </si>
  <si>
    <t>Многоповторный жим</t>
  </si>
  <si>
    <t>Самарская область, Самара</t>
  </si>
  <si>
    <t>Самарская область, Кинель</t>
  </si>
  <si>
    <t>Оренбургская область, Тоцкое</t>
  </si>
  <si>
    <t xml:space="preserve">Ульяновская область, Радищево </t>
  </si>
  <si>
    <t>Самарская область, Сызрань</t>
  </si>
  <si>
    <t>Оренбургская область, Оренбруг</t>
  </si>
  <si>
    <t>Оренбургская область, Бузулук</t>
  </si>
  <si>
    <t>Самарская область, Чапаевск</t>
  </si>
  <si>
    <t>Саратовская область, Саратов</t>
  </si>
  <si>
    <t>Республика Тататрстан, Альметьевск</t>
  </si>
  <si>
    <t>Ставропольский край, Кочубеевское</t>
  </si>
  <si>
    <t xml:space="preserve"> </t>
  </si>
  <si>
    <t>Самарская область, Новокуйбышевск</t>
  </si>
  <si>
    <t>№</t>
  </si>
  <si>
    <t xml:space="preserve">
Дата рождения/Возраст</t>
  </si>
  <si>
    <t>Возрастная группа</t>
  </si>
  <si>
    <t>O</t>
  </si>
  <si>
    <t>T</t>
  </si>
  <si>
    <t>J</t>
  </si>
  <si>
    <t>M3</t>
  </si>
  <si>
    <t>M2</t>
  </si>
  <si>
    <t>M4</t>
  </si>
  <si>
    <t>M1</t>
  </si>
  <si>
    <t>M5</t>
  </si>
  <si>
    <t>Жим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</si>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</sst>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U14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5" style="5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12" bestFit="1" customWidth="1"/>
    <col min="20" max="20" width="8.5" style="7" bestFit="1" customWidth="1"/>
    <col min="21" max="21" width="18.33203125" style="5" bestFit="1" customWidth="1"/>
    <col min="22" max="16384" width="9.1640625" style="3"/>
  </cols>
  <sheetData>
    <row r="1" spans="1:21" s="2" customFormat="1" ht="29" customHeight="1">
      <c r="A1" s="43" t="s">
        <v>272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10</v>
      </c>
      <c r="H3" s="57"/>
      <c r="I3" s="57"/>
      <c r="J3" s="57"/>
      <c r="K3" s="57" t="s">
        <v>11</v>
      </c>
      <c r="L3" s="57"/>
      <c r="M3" s="57"/>
      <c r="N3" s="57"/>
      <c r="O3" s="57" t="s">
        <v>12</v>
      </c>
      <c r="P3" s="57"/>
      <c r="Q3" s="57"/>
      <c r="R3" s="57"/>
      <c r="S3" s="62" t="s">
        <v>1</v>
      </c>
      <c r="T3" s="55" t="s">
        <v>3</v>
      </c>
      <c r="U3" s="39" t="s">
        <v>2</v>
      </c>
    </row>
    <row r="4" spans="1:21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3"/>
      <c r="T4" s="56"/>
      <c r="U4" s="40"/>
    </row>
    <row r="5" spans="1:21" ht="16">
      <c r="A5" s="41" t="s">
        <v>13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15" t="s">
        <v>24</v>
      </c>
      <c r="B6" s="9" t="s">
        <v>54</v>
      </c>
      <c r="C6" s="9" t="s">
        <v>26</v>
      </c>
      <c r="D6" s="9" t="s">
        <v>27</v>
      </c>
      <c r="E6" s="10" t="s">
        <v>311</v>
      </c>
      <c r="F6" s="9" t="s">
        <v>295</v>
      </c>
      <c r="G6" s="13" t="s">
        <v>16</v>
      </c>
      <c r="H6" s="13" t="s">
        <v>17</v>
      </c>
      <c r="I6" s="13" t="s">
        <v>18</v>
      </c>
      <c r="J6" s="15"/>
      <c r="K6" s="14" t="s">
        <v>28</v>
      </c>
      <c r="L6" s="13" t="s">
        <v>28</v>
      </c>
      <c r="M6" s="13" t="s">
        <v>19</v>
      </c>
      <c r="N6" s="15"/>
      <c r="O6" s="13" t="s">
        <v>29</v>
      </c>
      <c r="P6" s="13" t="s">
        <v>30</v>
      </c>
      <c r="Q6" s="13" t="s">
        <v>31</v>
      </c>
      <c r="R6" s="15"/>
      <c r="S6" s="34" t="str">
        <f>"370,0"</f>
        <v>370,0</v>
      </c>
      <c r="T6" s="11" t="str">
        <f>"288,7480"</f>
        <v>288,7480</v>
      </c>
      <c r="U6" s="9" t="s">
        <v>14</v>
      </c>
    </row>
    <row r="8" spans="1:21" ht="16">
      <c r="A8" s="58" t="s">
        <v>32</v>
      </c>
      <c r="B8" s="58"/>
      <c r="C8" s="58"/>
      <c r="D8" s="58"/>
      <c r="E8" s="59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1">
      <c r="A9" s="15" t="s">
        <v>24</v>
      </c>
      <c r="B9" s="9" t="s">
        <v>55</v>
      </c>
      <c r="C9" s="9" t="s">
        <v>33</v>
      </c>
      <c r="D9" s="9" t="s">
        <v>34</v>
      </c>
      <c r="E9" s="10" t="s">
        <v>311</v>
      </c>
      <c r="F9" s="9" t="s">
        <v>295</v>
      </c>
      <c r="G9" s="13" t="s">
        <v>35</v>
      </c>
      <c r="H9" s="14" t="s">
        <v>36</v>
      </c>
      <c r="I9" s="13" t="s">
        <v>36</v>
      </c>
      <c r="J9" s="15"/>
      <c r="K9" s="13" t="s">
        <v>17</v>
      </c>
      <c r="L9" s="13" t="s">
        <v>18</v>
      </c>
      <c r="M9" s="13" t="s">
        <v>21</v>
      </c>
      <c r="N9" s="15"/>
      <c r="O9" s="13" t="s">
        <v>37</v>
      </c>
      <c r="P9" s="13" t="s">
        <v>38</v>
      </c>
      <c r="Q9" s="14" t="s">
        <v>39</v>
      </c>
      <c r="R9" s="15"/>
      <c r="S9" s="34" t="str">
        <f>"535,0"</f>
        <v>535,0</v>
      </c>
      <c r="T9" s="11" t="str">
        <f>"359,1990"</f>
        <v>359,1990</v>
      </c>
      <c r="U9" s="9" t="s">
        <v>14</v>
      </c>
    </row>
    <row r="11" spans="1:21" ht="16">
      <c r="A11" s="58" t="s">
        <v>40</v>
      </c>
      <c r="B11" s="58"/>
      <c r="C11" s="58"/>
      <c r="D11" s="58"/>
      <c r="E11" s="59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1">
      <c r="A12" s="26" t="s">
        <v>56</v>
      </c>
      <c r="B12" s="16" t="s">
        <v>57</v>
      </c>
      <c r="C12" s="16" t="s">
        <v>41</v>
      </c>
      <c r="D12" s="16" t="s">
        <v>42</v>
      </c>
      <c r="E12" s="17" t="s">
        <v>312</v>
      </c>
      <c r="F12" s="16" t="s">
        <v>295</v>
      </c>
      <c r="G12" s="25" t="s">
        <v>43</v>
      </c>
      <c r="H12" s="25" t="s">
        <v>43</v>
      </c>
      <c r="I12" s="25" t="s">
        <v>43</v>
      </c>
      <c r="J12" s="26"/>
      <c r="K12" s="25"/>
      <c r="L12" s="26"/>
      <c r="M12" s="26"/>
      <c r="N12" s="26"/>
      <c r="O12" s="25"/>
      <c r="P12" s="26"/>
      <c r="Q12" s="26"/>
      <c r="R12" s="26"/>
      <c r="S12" s="35">
        <v>0</v>
      </c>
      <c r="T12" s="18" t="str">
        <f>"0,0000"</f>
        <v>0,0000</v>
      </c>
      <c r="U12" s="16" t="s">
        <v>46</v>
      </c>
    </row>
    <row r="13" spans="1:21">
      <c r="A13" s="29" t="s">
        <v>24</v>
      </c>
      <c r="B13" s="19" t="s">
        <v>58</v>
      </c>
      <c r="C13" s="19" t="s">
        <v>266</v>
      </c>
      <c r="D13" s="19" t="s">
        <v>47</v>
      </c>
      <c r="E13" s="20" t="s">
        <v>313</v>
      </c>
      <c r="F13" s="19" t="s">
        <v>295</v>
      </c>
      <c r="G13" s="27" t="s">
        <v>31</v>
      </c>
      <c r="H13" s="28" t="s">
        <v>48</v>
      </c>
      <c r="I13" s="29"/>
      <c r="J13" s="29"/>
      <c r="K13" s="27" t="s">
        <v>45</v>
      </c>
      <c r="L13" s="27" t="s">
        <v>16</v>
      </c>
      <c r="M13" s="28" t="s">
        <v>17</v>
      </c>
      <c r="N13" s="29"/>
      <c r="O13" s="27" t="s">
        <v>38</v>
      </c>
      <c r="P13" s="27" t="s">
        <v>36</v>
      </c>
      <c r="Q13" s="29"/>
      <c r="R13" s="29"/>
      <c r="S13" s="36" t="str">
        <f>"480,0"</f>
        <v>480,0</v>
      </c>
      <c r="T13" s="21" t="str">
        <f>"307,4880"</f>
        <v>307,4880</v>
      </c>
      <c r="U13" s="19" t="s">
        <v>49</v>
      </c>
    </row>
    <row r="14" spans="1:21">
      <c r="A14" s="32" t="s">
        <v>24</v>
      </c>
      <c r="B14" s="22" t="s">
        <v>59</v>
      </c>
      <c r="C14" s="22" t="s">
        <v>267</v>
      </c>
      <c r="D14" s="22" t="s">
        <v>51</v>
      </c>
      <c r="E14" s="23" t="s">
        <v>314</v>
      </c>
      <c r="F14" s="22" t="s">
        <v>296</v>
      </c>
      <c r="G14" s="30" t="s">
        <v>38</v>
      </c>
      <c r="H14" s="30" t="s">
        <v>38</v>
      </c>
      <c r="I14" s="31" t="s">
        <v>38</v>
      </c>
      <c r="J14" s="32"/>
      <c r="K14" s="31" t="s">
        <v>21</v>
      </c>
      <c r="L14" s="30" t="s">
        <v>29</v>
      </c>
      <c r="M14" s="31" t="s">
        <v>29</v>
      </c>
      <c r="N14" s="32"/>
      <c r="O14" s="31" t="s">
        <v>52</v>
      </c>
      <c r="P14" s="30" t="s">
        <v>53</v>
      </c>
      <c r="Q14" s="31" t="s">
        <v>53</v>
      </c>
      <c r="R14" s="32"/>
      <c r="S14" s="37" t="str">
        <f>"590,0"</f>
        <v>590,0</v>
      </c>
      <c r="T14" s="24" t="str">
        <f>"447,0907"</f>
        <v>447,0907</v>
      </c>
      <c r="U14" s="22" t="s">
        <v>306</v>
      </c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9" width="5.6640625" style="8" bestFit="1" customWidth="1"/>
    <col min="10" max="10" width="4.33203125" style="8" bestFit="1" customWidth="1"/>
    <col min="11" max="11" width="10.5" style="7" bestFit="1" customWidth="1"/>
    <col min="12" max="12" width="8.6640625" style="7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3" t="s">
        <v>281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11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60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87</v>
      </c>
      <c r="C6" s="9" t="s">
        <v>240</v>
      </c>
      <c r="D6" s="9" t="s">
        <v>62</v>
      </c>
      <c r="E6" s="10" t="s">
        <v>317</v>
      </c>
      <c r="F6" s="9" t="s">
        <v>295</v>
      </c>
      <c r="G6" s="13" t="s">
        <v>21</v>
      </c>
      <c r="H6" s="13" t="s">
        <v>223</v>
      </c>
      <c r="I6" s="13" t="s">
        <v>29</v>
      </c>
      <c r="J6" s="15"/>
      <c r="K6" s="11" t="str">
        <f>"140,0"</f>
        <v>140,0</v>
      </c>
      <c r="L6" s="11" t="str">
        <f>"125,1428"</f>
        <v>125,1428</v>
      </c>
      <c r="M6" s="9" t="s">
        <v>64</v>
      </c>
    </row>
    <row r="8" spans="1:13" ht="16">
      <c r="A8" s="58" t="s">
        <v>72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15" t="s">
        <v>24</v>
      </c>
      <c r="B9" s="9" t="s">
        <v>228</v>
      </c>
      <c r="C9" s="9" t="s">
        <v>224</v>
      </c>
      <c r="D9" s="9" t="s">
        <v>225</v>
      </c>
      <c r="E9" s="10" t="s">
        <v>311</v>
      </c>
      <c r="F9" s="9" t="s">
        <v>295</v>
      </c>
      <c r="G9" s="13" t="s">
        <v>146</v>
      </c>
      <c r="H9" s="13" t="s">
        <v>226</v>
      </c>
      <c r="I9" s="14" t="s">
        <v>227</v>
      </c>
      <c r="J9" s="15"/>
      <c r="K9" s="11" t="str">
        <f>"220,0"</f>
        <v>220,0</v>
      </c>
      <c r="L9" s="11" t="str">
        <f>"129,7230"</f>
        <v>129,7230</v>
      </c>
      <c r="M9" s="9" t="s">
        <v>306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3.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7.6640625" style="7" bestFit="1" customWidth="1"/>
    <col min="13" max="13" width="19" style="5" customWidth="1"/>
    <col min="14" max="16384" width="9.1640625" style="3"/>
  </cols>
  <sheetData>
    <row r="1" spans="1:13" s="2" customFormat="1" ht="29" customHeight="1">
      <c r="A1" s="43" t="s">
        <v>268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11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60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171</v>
      </c>
      <c r="C6" s="9" t="s">
        <v>167</v>
      </c>
      <c r="D6" s="9" t="s">
        <v>168</v>
      </c>
      <c r="E6" s="10" t="s">
        <v>311</v>
      </c>
      <c r="F6" s="9" t="s">
        <v>289</v>
      </c>
      <c r="G6" s="13" t="s">
        <v>169</v>
      </c>
      <c r="H6" s="13" t="s">
        <v>170</v>
      </c>
      <c r="I6" s="13" t="s">
        <v>45</v>
      </c>
      <c r="J6" s="15"/>
      <c r="K6" s="11" t="str">
        <f>"110,0"</f>
        <v>110,0</v>
      </c>
      <c r="L6" s="11" t="str">
        <f>"80,3000"</f>
        <v>80,3000</v>
      </c>
      <c r="M6" s="9" t="s">
        <v>306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4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6640625" style="7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3" t="s">
        <v>269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11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40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89</v>
      </c>
      <c r="C6" s="9" t="s">
        <v>69</v>
      </c>
      <c r="D6" s="9" t="s">
        <v>70</v>
      </c>
      <c r="E6" s="10" t="s">
        <v>311</v>
      </c>
      <c r="F6" s="9" t="s">
        <v>289</v>
      </c>
      <c r="G6" s="13" t="s">
        <v>165</v>
      </c>
      <c r="H6" s="13" t="s">
        <v>166</v>
      </c>
      <c r="I6" s="14" t="s">
        <v>48</v>
      </c>
      <c r="J6" s="15"/>
      <c r="K6" s="11" t="str">
        <f>"162,5"</f>
        <v>162,5</v>
      </c>
      <c r="L6" s="11" t="str">
        <f>"105,6088"</f>
        <v>105,6088</v>
      </c>
      <c r="M6" s="9" t="s">
        <v>306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9" width="4.6640625" style="8" bestFit="1" customWidth="1"/>
    <col min="10" max="10" width="4.33203125" style="8" bestFit="1" customWidth="1"/>
    <col min="11" max="11" width="10.5" style="7" bestFit="1" customWidth="1"/>
    <col min="12" max="12" width="7.6640625" style="7" bestFit="1" customWidth="1"/>
    <col min="13" max="13" width="16.33203125" style="5" bestFit="1" customWidth="1"/>
    <col min="14" max="16384" width="9.1640625" style="3"/>
  </cols>
  <sheetData>
    <row r="1" spans="1:13" s="2" customFormat="1" ht="29" customHeight="1">
      <c r="A1" s="43" t="s">
        <v>282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11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40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231</v>
      </c>
      <c r="C6" s="9" t="s">
        <v>229</v>
      </c>
      <c r="D6" s="9" t="s">
        <v>230</v>
      </c>
      <c r="E6" s="10" t="s">
        <v>311</v>
      </c>
      <c r="F6" s="9" t="s">
        <v>295</v>
      </c>
      <c r="G6" s="13" t="s">
        <v>44</v>
      </c>
      <c r="H6" s="13" t="s">
        <v>28</v>
      </c>
      <c r="I6" s="13" t="s">
        <v>19</v>
      </c>
      <c r="J6" s="15"/>
      <c r="K6" s="11" t="str">
        <f>"85,0"</f>
        <v>85,0</v>
      </c>
      <c r="L6" s="11" t="str">
        <f>"54,1280"</f>
        <v>54,1280</v>
      </c>
      <c r="M6" s="9" t="s">
        <v>46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21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4.83203125" style="5" customWidth="1"/>
    <col min="7" max="9" width="5.5" style="8" customWidth="1"/>
    <col min="10" max="10" width="4.83203125" style="8" customWidth="1"/>
    <col min="11" max="11" width="10.5" style="12" bestFit="1" customWidth="1"/>
    <col min="12" max="12" width="11.33203125" style="7" customWidth="1"/>
    <col min="13" max="13" width="19.5" style="5" customWidth="1"/>
    <col min="14" max="16384" width="9.1640625" style="3"/>
  </cols>
  <sheetData>
    <row r="1" spans="1:13" s="2" customFormat="1" ht="29" customHeight="1">
      <c r="A1" s="43" t="s">
        <v>283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12</v>
      </c>
      <c r="H3" s="57"/>
      <c r="I3" s="57"/>
      <c r="J3" s="57"/>
      <c r="K3" s="62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63"/>
      <c r="L4" s="56"/>
      <c r="M4" s="40"/>
    </row>
    <row r="5" spans="1:13" ht="16">
      <c r="A5" s="41" t="s">
        <v>13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147</v>
      </c>
      <c r="C6" s="9" t="s">
        <v>134</v>
      </c>
      <c r="D6" s="9" t="s">
        <v>135</v>
      </c>
      <c r="E6" s="10" t="s">
        <v>311</v>
      </c>
      <c r="F6" s="9" t="s">
        <v>295</v>
      </c>
      <c r="G6" s="14" t="s">
        <v>63</v>
      </c>
      <c r="H6" s="13" t="s">
        <v>43</v>
      </c>
      <c r="I6" s="13" t="s">
        <v>45</v>
      </c>
      <c r="J6" s="15"/>
      <c r="K6" s="34" t="str">
        <f>"110,0"</f>
        <v>110,0</v>
      </c>
      <c r="L6" s="11" t="str">
        <f>"114,3670"</f>
        <v>114,3670</v>
      </c>
      <c r="M6" s="9" t="s">
        <v>14</v>
      </c>
    </row>
    <row r="8" spans="1:13" ht="16">
      <c r="A8" s="58" t="s">
        <v>60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15" t="s">
        <v>24</v>
      </c>
      <c r="B9" s="9" t="s">
        <v>148</v>
      </c>
      <c r="C9" s="9" t="s">
        <v>257</v>
      </c>
      <c r="D9" s="9" t="s">
        <v>136</v>
      </c>
      <c r="E9" s="10" t="s">
        <v>316</v>
      </c>
      <c r="F9" s="9" t="s">
        <v>295</v>
      </c>
      <c r="G9" s="13" t="s">
        <v>63</v>
      </c>
      <c r="H9" s="13" t="s">
        <v>43</v>
      </c>
      <c r="I9" s="14" t="s">
        <v>45</v>
      </c>
      <c r="J9" s="15"/>
      <c r="K9" s="34" t="str">
        <f>"100,0"</f>
        <v>100,0</v>
      </c>
      <c r="L9" s="11" t="str">
        <f>"119,8375"</f>
        <v>119,8375</v>
      </c>
      <c r="M9" s="9" t="s">
        <v>14</v>
      </c>
    </row>
    <row r="11" spans="1:13" ht="16">
      <c r="A11" s="58" t="s">
        <v>137</v>
      </c>
      <c r="B11" s="58"/>
      <c r="C11" s="58"/>
      <c r="D11" s="58"/>
      <c r="E11" s="59"/>
      <c r="F11" s="58"/>
      <c r="G11" s="58"/>
      <c r="H11" s="58"/>
      <c r="I11" s="58"/>
      <c r="J11" s="58"/>
    </row>
    <row r="12" spans="1:13">
      <c r="A12" s="15" t="s">
        <v>24</v>
      </c>
      <c r="B12" s="9" t="s">
        <v>149</v>
      </c>
      <c r="C12" s="9" t="s">
        <v>138</v>
      </c>
      <c r="D12" s="9" t="s">
        <v>139</v>
      </c>
      <c r="E12" s="10" t="s">
        <v>312</v>
      </c>
      <c r="F12" s="9" t="s">
        <v>295</v>
      </c>
      <c r="G12" s="13" t="s">
        <v>29</v>
      </c>
      <c r="H12" s="13" t="s">
        <v>110</v>
      </c>
      <c r="I12" s="14" t="s">
        <v>112</v>
      </c>
      <c r="J12" s="15"/>
      <c r="K12" s="34" t="str">
        <f>"152,5"</f>
        <v>152,5</v>
      </c>
      <c r="L12" s="11" t="str">
        <f>"130,6620"</f>
        <v>130,6620</v>
      </c>
      <c r="M12" s="9" t="s">
        <v>50</v>
      </c>
    </row>
    <row r="14" spans="1:13" ht="16">
      <c r="A14" s="58" t="s">
        <v>60</v>
      </c>
      <c r="B14" s="58"/>
      <c r="C14" s="58"/>
      <c r="D14" s="58"/>
      <c r="E14" s="59"/>
      <c r="F14" s="58"/>
      <c r="G14" s="58"/>
      <c r="H14" s="58"/>
      <c r="I14" s="58"/>
      <c r="J14" s="58"/>
    </row>
    <row r="15" spans="1:13">
      <c r="A15" s="15" t="s">
        <v>56</v>
      </c>
      <c r="B15" s="9" t="s">
        <v>150</v>
      </c>
      <c r="C15" s="9" t="s">
        <v>140</v>
      </c>
      <c r="D15" s="9" t="s">
        <v>141</v>
      </c>
      <c r="E15" s="10" t="s">
        <v>311</v>
      </c>
      <c r="F15" s="9" t="s">
        <v>295</v>
      </c>
      <c r="G15" s="14" t="s">
        <v>29</v>
      </c>
      <c r="H15" s="14" t="s">
        <v>29</v>
      </c>
      <c r="I15" s="14" t="s">
        <v>71</v>
      </c>
      <c r="J15" s="15"/>
      <c r="K15" s="34">
        <v>0</v>
      </c>
      <c r="L15" s="11" t="str">
        <f>"0,0000"</f>
        <v>0,0000</v>
      </c>
      <c r="M15" s="9" t="s">
        <v>306</v>
      </c>
    </row>
    <row r="17" spans="1:13" ht="16">
      <c r="A17" s="58" t="s">
        <v>32</v>
      </c>
      <c r="B17" s="58"/>
      <c r="C17" s="58"/>
      <c r="D17" s="58"/>
      <c r="E17" s="59"/>
      <c r="F17" s="58"/>
      <c r="G17" s="58"/>
      <c r="H17" s="58"/>
      <c r="I17" s="58"/>
      <c r="J17" s="58"/>
    </row>
    <row r="18" spans="1:13">
      <c r="A18" s="15" t="s">
        <v>24</v>
      </c>
      <c r="B18" s="9" t="s">
        <v>151</v>
      </c>
      <c r="C18" s="9" t="s">
        <v>142</v>
      </c>
      <c r="D18" s="9" t="s">
        <v>143</v>
      </c>
      <c r="E18" s="10" t="s">
        <v>312</v>
      </c>
      <c r="F18" s="9" t="s">
        <v>295</v>
      </c>
      <c r="G18" s="13" t="s">
        <v>71</v>
      </c>
      <c r="H18" s="13" t="s">
        <v>79</v>
      </c>
      <c r="I18" s="13" t="s">
        <v>35</v>
      </c>
      <c r="J18" s="15"/>
      <c r="K18" s="34" t="str">
        <f>"190,0"</f>
        <v>190,0</v>
      </c>
      <c r="L18" s="11" t="str">
        <f>"128,9150"</f>
        <v>128,9150</v>
      </c>
      <c r="M18" s="9" t="s">
        <v>50</v>
      </c>
    </row>
    <row r="20" spans="1:13" ht="16">
      <c r="A20" s="58" t="s">
        <v>40</v>
      </c>
      <c r="B20" s="58"/>
      <c r="C20" s="58"/>
      <c r="D20" s="58"/>
      <c r="E20" s="59"/>
      <c r="F20" s="58"/>
      <c r="G20" s="58"/>
      <c r="H20" s="58"/>
      <c r="I20" s="58"/>
      <c r="J20" s="58"/>
    </row>
    <row r="21" spans="1:13">
      <c r="A21" s="15" t="s">
        <v>24</v>
      </c>
      <c r="B21" s="9" t="s">
        <v>152</v>
      </c>
      <c r="C21" s="9" t="s">
        <v>144</v>
      </c>
      <c r="D21" s="9" t="s">
        <v>145</v>
      </c>
      <c r="E21" s="10" t="s">
        <v>312</v>
      </c>
      <c r="F21" s="9" t="s">
        <v>295</v>
      </c>
      <c r="G21" s="14" t="s">
        <v>35</v>
      </c>
      <c r="H21" s="13" t="s">
        <v>131</v>
      </c>
      <c r="I21" s="14" t="s">
        <v>146</v>
      </c>
      <c r="J21" s="15"/>
      <c r="K21" s="34" t="str">
        <f>"202,5"</f>
        <v>202,5</v>
      </c>
      <c r="L21" s="11" t="str">
        <f>"130,3290"</f>
        <v>130,3290</v>
      </c>
      <c r="M21" s="9" t="s">
        <v>50</v>
      </c>
    </row>
  </sheetData>
  <mergeCells count="17">
    <mergeCell ref="A20:J20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3.16406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9.83203125" style="7" customWidth="1"/>
    <col min="13" max="13" width="20" style="5" bestFit="1" customWidth="1"/>
    <col min="14" max="16384" width="9.1640625" style="3"/>
  </cols>
  <sheetData>
    <row r="1" spans="1:13" s="2" customFormat="1" ht="29" customHeight="1">
      <c r="A1" s="43" t="s">
        <v>284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12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13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25</v>
      </c>
      <c r="C6" s="9" t="s">
        <v>256</v>
      </c>
      <c r="D6" s="9" t="s">
        <v>15</v>
      </c>
      <c r="E6" s="10" t="s">
        <v>315</v>
      </c>
      <c r="F6" s="9" t="s">
        <v>295</v>
      </c>
      <c r="G6" s="13" t="s">
        <v>21</v>
      </c>
      <c r="H6" s="14" t="s">
        <v>22</v>
      </c>
      <c r="I6" s="14" t="s">
        <v>22</v>
      </c>
      <c r="J6" s="15"/>
      <c r="K6" s="11" t="str">
        <f>"130,0"</f>
        <v>130,0</v>
      </c>
      <c r="L6" s="11" t="str">
        <f>"149,5701"</f>
        <v>149,5701</v>
      </c>
      <c r="M6" s="9" t="s">
        <v>23</v>
      </c>
    </row>
    <row r="8" spans="1:13" ht="16">
      <c r="A8" s="58" t="s">
        <v>80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26" t="s">
        <v>24</v>
      </c>
      <c r="B9" s="16" t="s">
        <v>132</v>
      </c>
      <c r="C9" s="16" t="s">
        <v>125</v>
      </c>
      <c r="D9" s="16" t="s">
        <v>126</v>
      </c>
      <c r="E9" s="17" t="s">
        <v>311</v>
      </c>
      <c r="F9" s="16" t="s">
        <v>302</v>
      </c>
      <c r="G9" s="33" t="s">
        <v>127</v>
      </c>
      <c r="H9" s="33" t="s">
        <v>128</v>
      </c>
      <c r="I9" s="33" t="s">
        <v>129</v>
      </c>
      <c r="J9" s="26"/>
      <c r="K9" s="18" t="str">
        <f>"290,0"</f>
        <v>290,0</v>
      </c>
      <c r="L9" s="18" t="str">
        <f>"170,6650"</f>
        <v>170,6650</v>
      </c>
      <c r="M9" s="16" t="s">
        <v>306</v>
      </c>
    </row>
    <row r="10" spans="1:13">
      <c r="A10" s="32" t="s">
        <v>24</v>
      </c>
      <c r="B10" s="22" t="s">
        <v>133</v>
      </c>
      <c r="C10" s="22" t="s">
        <v>258</v>
      </c>
      <c r="D10" s="22" t="s">
        <v>130</v>
      </c>
      <c r="E10" s="23" t="s">
        <v>316</v>
      </c>
      <c r="F10" s="22" t="s">
        <v>295</v>
      </c>
      <c r="G10" s="31" t="s">
        <v>131</v>
      </c>
      <c r="H10" s="31" t="s">
        <v>39</v>
      </c>
      <c r="I10" s="32"/>
      <c r="J10" s="32"/>
      <c r="K10" s="24" t="str">
        <f>"207,5"</f>
        <v>207,5</v>
      </c>
      <c r="L10" s="24" t="str">
        <f>"159,8886"</f>
        <v>159,8886</v>
      </c>
      <c r="M10" s="22" t="s">
        <v>83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6"/>
  <sheetViews>
    <sheetView workbookViewId="0">
      <selection activeCell="G3" sqref="G3:N3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4" style="5" customWidth="1"/>
    <col min="7" max="9" width="4.5" style="8" customWidth="1"/>
    <col min="10" max="10" width="4.83203125" style="8" customWidth="1"/>
    <col min="11" max="13" width="4.5" style="8" customWidth="1"/>
    <col min="14" max="14" width="4.83203125" style="8" customWidth="1"/>
    <col min="15" max="15" width="7.83203125" style="7" bestFit="1" customWidth="1"/>
    <col min="16" max="16" width="7.5" style="7" bestFit="1" customWidth="1"/>
    <col min="17" max="17" width="18" style="5" customWidth="1"/>
    <col min="18" max="16384" width="9.1640625" style="3"/>
  </cols>
  <sheetData>
    <row r="1" spans="1:17" s="2" customFormat="1" ht="29" customHeight="1">
      <c r="A1" s="43" t="s">
        <v>290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319</v>
      </c>
      <c r="H3" s="57"/>
      <c r="I3" s="57"/>
      <c r="J3" s="57"/>
      <c r="K3" s="57" t="s">
        <v>320</v>
      </c>
      <c r="L3" s="57"/>
      <c r="M3" s="57"/>
      <c r="N3" s="57"/>
      <c r="O3" s="55" t="s">
        <v>1</v>
      </c>
      <c r="P3" s="55" t="s">
        <v>3</v>
      </c>
      <c r="Q3" s="39" t="s">
        <v>2</v>
      </c>
    </row>
    <row r="4" spans="1:17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40"/>
    </row>
    <row r="5" spans="1:17" ht="16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15" t="s">
        <v>24</v>
      </c>
      <c r="B6" s="9" t="s">
        <v>203</v>
      </c>
      <c r="C6" s="9" t="s">
        <v>241</v>
      </c>
      <c r="D6" s="9" t="s">
        <v>192</v>
      </c>
      <c r="E6" s="10" t="s">
        <v>312</v>
      </c>
      <c r="F6" s="9" t="s">
        <v>303</v>
      </c>
      <c r="G6" s="13" t="s">
        <v>161</v>
      </c>
      <c r="H6" s="13" t="s">
        <v>175</v>
      </c>
      <c r="I6" s="13" t="s">
        <v>210</v>
      </c>
      <c r="J6" s="15"/>
      <c r="K6" s="13" t="s">
        <v>161</v>
      </c>
      <c r="L6" s="14" t="s">
        <v>162</v>
      </c>
      <c r="M6" s="14" t="s">
        <v>162</v>
      </c>
      <c r="N6" s="15"/>
      <c r="O6" s="11" t="str">
        <f>"132,5"</f>
        <v>132,5</v>
      </c>
      <c r="P6" s="11" t="str">
        <f>"87,1585"</f>
        <v>87,1585</v>
      </c>
      <c r="Q6" s="9" t="s">
        <v>306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6"/>
  <sheetViews>
    <sheetView tabSelected="1" workbookViewId="0">
      <selection activeCell="G3" sqref="G3:N3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4.6640625" style="5" bestFit="1" customWidth="1"/>
    <col min="7" max="9" width="5.5" style="8" customWidth="1"/>
    <col min="10" max="10" width="4.83203125" style="8" customWidth="1"/>
    <col min="11" max="13" width="4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43" t="s">
        <v>291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319</v>
      </c>
      <c r="H3" s="57"/>
      <c r="I3" s="57"/>
      <c r="J3" s="57"/>
      <c r="K3" s="57" t="s">
        <v>320</v>
      </c>
      <c r="L3" s="57"/>
      <c r="M3" s="57"/>
      <c r="N3" s="57"/>
      <c r="O3" s="55" t="s">
        <v>1</v>
      </c>
      <c r="P3" s="55" t="s">
        <v>3</v>
      </c>
      <c r="Q3" s="39" t="s">
        <v>2</v>
      </c>
    </row>
    <row r="4" spans="1:17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40"/>
    </row>
    <row r="5" spans="1:17" ht="16">
      <c r="A5" s="41" t="s">
        <v>172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15" t="s">
        <v>24</v>
      </c>
      <c r="B6" s="9" t="s">
        <v>218</v>
      </c>
      <c r="C6" s="9" t="s">
        <v>242</v>
      </c>
      <c r="D6" s="9" t="s">
        <v>211</v>
      </c>
      <c r="E6" s="10" t="s">
        <v>312</v>
      </c>
      <c r="F6" s="9" t="s">
        <v>297</v>
      </c>
      <c r="G6" s="13" t="s">
        <v>212</v>
      </c>
      <c r="H6" s="14" t="s">
        <v>213</v>
      </c>
      <c r="I6" s="13" t="s">
        <v>213</v>
      </c>
      <c r="J6" s="15"/>
      <c r="K6" s="14" t="s">
        <v>212</v>
      </c>
      <c r="L6" s="13" t="s">
        <v>212</v>
      </c>
      <c r="M6" s="13" t="s">
        <v>174</v>
      </c>
      <c r="N6" s="15"/>
      <c r="O6" s="11" t="str">
        <f>"67,5"</f>
        <v>67,5</v>
      </c>
      <c r="P6" s="11" t="str">
        <f>"63,3623"</f>
        <v>63,3623</v>
      </c>
      <c r="Q6" s="9" t="s">
        <v>158</v>
      </c>
    </row>
    <row r="8" spans="1:17" ht="16">
      <c r="A8" s="58" t="s">
        <v>13</v>
      </c>
      <c r="B8" s="58"/>
      <c r="C8" s="58"/>
      <c r="D8" s="58"/>
      <c r="E8" s="59"/>
      <c r="F8" s="58"/>
      <c r="G8" s="58"/>
      <c r="H8" s="58"/>
      <c r="I8" s="58"/>
      <c r="J8" s="58"/>
      <c r="K8" s="58"/>
      <c r="L8" s="58"/>
      <c r="M8" s="58"/>
      <c r="N8" s="58"/>
    </row>
    <row r="9" spans="1:17">
      <c r="A9" s="26" t="s">
        <v>24</v>
      </c>
      <c r="B9" s="16" t="s">
        <v>219</v>
      </c>
      <c r="C9" s="16" t="s">
        <v>243</v>
      </c>
      <c r="D9" s="16" t="s">
        <v>214</v>
      </c>
      <c r="E9" s="17" t="s">
        <v>312</v>
      </c>
      <c r="F9" s="16" t="s">
        <v>297</v>
      </c>
      <c r="G9" s="33" t="s">
        <v>174</v>
      </c>
      <c r="H9" s="25" t="s">
        <v>155</v>
      </c>
      <c r="I9" s="33" t="s">
        <v>156</v>
      </c>
      <c r="J9" s="26"/>
      <c r="K9" s="33" t="s">
        <v>155</v>
      </c>
      <c r="L9" s="33" t="s">
        <v>156</v>
      </c>
      <c r="M9" s="25" t="s">
        <v>157</v>
      </c>
      <c r="N9" s="26"/>
      <c r="O9" s="18" t="str">
        <f>"90,0"</f>
        <v>90,0</v>
      </c>
      <c r="P9" s="18" t="str">
        <f>"68,4000"</f>
        <v>68,4000</v>
      </c>
      <c r="Q9" s="16" t="s">
        <v>158</v>
      </c>
    </row>
    <row r="10" spans="1:17">
      <c r="A10" s="32" t="s">
        <v>93</v>
      </c>
      <c r="B10" s="22" t="s">
        <v>220</v>
      </c>
      <c r="C10" s="22" t="s">
        <v>244</v>
      </c>
      <c r="D10" s="22" t="s">
        <v>209</v>
      </c>
      <c r="E10" s="23" t="s">
        <v>312</v>
      </c>
      <c r="F10" s="22" t="s">
        <v>297</v>
      </c>
      <c r="G10" s="31" t="s">
        <v>174</v>
      </c>
      <c r="H10" s="30" t="s">
        <v>155</v>
      </c>
      <c r="I10" s="31" t="s">
        <v>155</v>
      </c>
      <c r="J10" s="32"/>
      <c r="K10" s="31" t="s">
        <v>212</v>
      </c>
      <c r="L10" s="31" t="s">
        <v>174</v>
      </c>
      <c r="M10" s="31" t="s">
        <v>155</v>
      </c>
      <c r="N10" s="32"/>
      <c r="O10" s="24" t="str">
        <f>"80,0"</f>
        <v>80,0</v>
      </c>
      <c r="P10" s="24" t="str">
        <f>"63,9080"</f>
        <v>63,9080</v>
      </c>
      <c r="Q10" s="22" t="s">
        <v>158</v>
      </c>
    </row>
    <row r="12" spans="1:17" ht="16">
      <c r="A12" s="58" t="s">
        <v>60</v>
      </c>
      <c r="B12" s="58"/>
      <c r="C12" s="58"/>
      <c r="D12" s="58"/>
      <c r="E12" s="59"/>
      <c r="F12" s="58"/>
      <c r="G12" s="58"/>
      <c r="H12" s="58"/>
      <c r="I12" s="58"/>
      <c r="J12" s="58"/>
      <c r="K12" s="58"/>
      <c r="L12" s="58"/>
      <c r="M12" s="58"/>
      <c r="N12" s="58"/>
    </row>
    <row r="13" spans="1:17">
      <c r="A13" s="15" t="s">
        <v>24</v>
      </c>
      <c r="B13" s="9" t="s">
        <v>221</v>
      </c>
      <c r="C13" s="9" t="s">
        <v>245</v>
      </c>
      <c r="D13" s="9" t="s">
        <v>215</v>
      </c>
      <c r="E13" s="10" t="s">
        <v>312</v>
      </c>
      <c r="F13" s="9" t="s">
        <v>297</v>
      </c>
      <c r="G13" s="13" t="s">
        <v>99</v>
      </c>
      <c r="H13" s="14" t="s">
        <v>176</v>
      </c>
      <c r="I13" s="13" t="s">
        <v>176</v>
      </c>
      <c r="J13" s="15"/>
      <c r="K13" s="13" t="s">
        <v>155</v>
      </c>
      <c r="L13" s="13" t="s">
        <v>156</v>
      </c>
      <c r="M13" s="13" t="s">
        <v>157</v>
      </c>
      <c r="N13" s="15"/>
      <c r="O13" s="11" t="str">
        <f>"107,5"</f>
        <v>107,5</v>
      </c>
      <c r="P13" s="11" t="str">
        <f>"79,7596"</f>
        <v>79,7596</v>
      </c>
      <c r="Q13" s="9" t="s">
        <v>158</v>
      </c>
    </row>
    <row r="15" spans="1:17" ht="16">
      <c r="A15" s="58" t="s">
        <v>178</v>
      </c>
      <c r="B15" s="58"/>
      <c r="C15" s="58"/>
      <c r="D15" s="58"/>
      <c r="E15" s="59"/>
      <c r="F15" s="58"/>
      <c r="G15" s="58"/>
      <c r="H15" s="58"/>
      <c r="I15" s="58"/>
      <c r="J15" s="58"/>
      <c r="K15" s="58"/>
      <c r="L15" s="58"/>
      <c r="M15" s="58"/>
      <c r="N15" s="58"/>
    </row>
    <row r="16" spans="1:17">
      <c r="A16" s="15" t="s">
        <v>24</v>
      </c>
      <c r="B16" s="9" t="s">
        <v>222</v>
      </c>
      <c r="C16" s="9" t="s">
        <v>216</v>
      </c>
      <c r="D16" s="9" t="s">
        <v>217</v>
      </c>
      <c r="E16" s="10" t="s">
        <v>311</v>
      </c>
      <c r="F16" s="9" t="s">
        <v>297</v>
      </c>
      <c r="G16" s="13" t="s">
        <v>21</v>
      </c>
      <c r="H16" s="13" t="s">
        <v>29</v>
      </c>
      <c r="I16" s="14" t="s">
        <v>86</v>
      </c>
      <c r="J16" s="15"/>
      <c r="K16" s="13" t="s">
        <v>124</v>
      </c>
      <c r="L16" s="13" t="s">
        <v>28</v>
      </c>
      <c r="M16" s="13" t="s">
        <v>20</v>
      </c>
      <c r="N16" s="15"/>
      <c r="O16" s="11" t="str">
        <f>"230,0"</f>
        <v>230,0</v>
      </c>
      <c r="P16" s="11" t="str">
        <f>"128,6275"</f>
        <v>128,6275</v>
      </c>
      <c r="Q16" s="9" t="s">
        <v>306</v>
      </c>
    </row>
  </sheetData>
  <mergeCells count="16">
    <mergeCell ref="A8:N8"/>
    <mergeCell ref="A12:N12"/>
    <mergeCell ref="A15:N15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"/>
  <sheetViews>
    <sheetView workbookViewId="0">
      <selection activeCell="G3" sqref="G3:J3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9" width="4.6640625" style="8" bestFit="1" customWidth="1"/>
    <col min="10" max="10" width="4.33203125" style="8" bestFit="1" customWidth="1"/>
    <col min="11" max="11" width="10.5" style="7" bestFit="1" customWidth="1"/>
    <col min="12" max="12" width="7.6640625" style="7" bestFit="1" customWidth="1"/>
    <col min="13" max="13" width="17.83203125" style="5" customWidth="1"/>
    <col min="14" max="16384" width="9.1640625" style="3"/>
  </cols>
  <sheetData>
    <row r="1" spans="1:13" s="2" customFormat="1" ht="29" customHeight="1">
      <c r="A1" s="43" t="s">
        <v>292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319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40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164</v>
      </c>
      <c r="C6" s="9" t="s">
        <v>247</v>
      </c>
      <c r="D6" s="9" t="s">
        <v>160</v>
      </c>
      <c r="E6" s="10" t="s">
        <v>312</v>
      </c>
      <c r="F6" s="9" t="s">
        <v>295</v>
      </c>
      <c r="G6" s="13" t="s">
        <v>157</v>
      </c>
      <c r="H6" s="13" t="s">
        <v>99</v>
      </c>
      <c r="I6" s="14" t="s">
        <v>161</v>
      </c>
      <c r="J6" s="15"/>
      <c r="K6" s="11" t="str">
        <f>"55,0"</f>
        <v>55,0</v>
      </c>
      <c r="L6" s="11" t="str">
        <f>"34,7930"</f>
        <v>34,7930</v>
      </c>
      <c r="M6" s="9" t="s">
        <v>64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9"/>
  <sheetViews>
    <sheetView workbookViewId="0">
      <selection activeCell="G3" sqref="G3:J3"/>
    </sheetView>
  </sheetViews>
  <sheetFormatPr baseColWidth="10" defaultColWidth="9.1640625" defaultRowHeight="13"/>
  <cols>
    <col min="1" max="1" width="7.5" style="5" bestFit="1" customWidth="1"/>
    <col min="2" max="2" width="16.66406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3.33203125" style="5" customWidth="1"/>
    <col min="7" max="9" width="4.5" style="8" customWidth="1"/>
    <col min="10" max="10" width="4.83203125" style="8" customWidth="1"/>
    <col min="11" max="11" width="7.83203125" style="7" bestFit="1" customWidth="1"/>
    <col min="12" max="12" width="7.5" style="7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3" t="s">
        <v>293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319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13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199</v>
      </c>
      <c r="C6" s="9" t="s">
        <v>246</v>
      </c>
      <c r="D6" s="9" t="s">
        <v>186</v>
      </c>
      <c r="E6" s="10" t="s">
        <v>312</v>
      </c>
      <c r="F6" s="9" t="s">
        <v>295</v>
      </c>
      <c r="G6" s="13" t="s">
        <v>155</v>
      </c>
      <c r="H6" s="14" t="s">
        <v>156</v>
      </c>
      <c r="I6" s="13" t="s">
        <v>98</v>
      </c>
      <c r="J6" s="15"/>
      <c r="K6" s="11" t="str">
        <f>"52,5"</f>
        <v>52,5</v>
      </c>
      <c r="L6" s="11" t="str">
        <f>"40,8187"</f>
        <v>40,8187</v>
      </c>
      <c r="M6" s="9" t="s">
        <v>306</v>
      </c>
    </row>
    <row r="8" spans="1:13" ht="16">
      <c r="A8" s="58" t="s">
        <v>32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15" t="s">
        <v>24</v>
      </c>
      <c r="B9" s="9" t="s">
        <v>203</v>
      </c>
      <c r="C9" s="9" t="s">
        <v>241</v>
      </c>
      <c r="D9" s="9" t="s">
        <v>192</v>
      </c>
      <c r="E9" s="10" t="s">
        <v>312</v>
      </c>
      <c r="F9" s="9" t="s">
        <v>303</v>
      </c>
      <c r="G9" s="13" t="s">
        <v>161</v>
      </c>
      <c r="H9" s="14" t="s">
        <v>162</v>
      </c>
      <c r="I9" s="14" t="s">
        <v>162</v>
      </c>
      <c r="J9" s="15"/>
      <c r="K9" s="11" t="str">
        <f>"60,0"</f>
        <v>60,0</v>
      </c>
      <c r="L9" s="11" t="str">
        <f>"39,4680"</f>
        <v>39,4680</v>
      </c>
      <c r="M9" s="9" t="s">
        <v>306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9" width="5.5" style="8" customWidth="1"/>
    <col min="10" max="10" width="4.83203125" style="8" customWidth="1"/>
    <col min="11" max="13" width="4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7" bestFit="1" customWidth="1"/>
    <col min="20" max="20" width="8.5" style="7" bestFit="1" customWidth="1"/>
    <col min="21" max="21" width="19.5" style="5" customWidth="1"/>
    <col min="22" max="16384" width="9.1640625" style="3"/>
  </cols>
  <sheetData>
    <row r="1" spans="1:21" s="2" customFormat="1" ht="29" customHeight="1">
      <c r="A1" s="43" t="s">
        <v>273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10</v>
      </c>
      <c r="H3" s="57"/>
      <c r="I3" s="57"/>
      <c r="J3" s="57"/>
      <c r="K3" s="57" t="s">
        <v>11</v>
      </c>
      <c r="L3" s="57"/>
      <c r="M3" s="57"/>
      <c r="N3" s="57"/>
      <c r="O3" s="57" t="s">
        <v>12</v>
      </c>
      <c r="P3" s="57"/>
      <c r="Q3" s="57"/>
      <c r="R3" s="57"/>
      <c r="S3" s="55" t="s">
        <v>1</v>
      </c>
      <c r="T3" s="55" t="s">
        <v>3</v>
      </c>
      <c r="U3" s="39" t="s">
        <v>2</v>
      </c>
    </row>
    <row r="4" spans="1:21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6"/>
      <c r="T4" s="56"/>
      <c r="U4" s="40"/>
    </row>
    <row r="5" spans="1:21" ht="16">
      <c r="A5" s="41" t="s">
        <v>13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15" t="s">
        <v>24</v>
      </c>
      <c r="B6" s="9" t="s">
        <v>25</v>
      </c>
      <c r="C6" s="9" t="s">
        <v>256</v>
      </c>
      <c r="D6" s="9" t="s">
        <v>15</v>
      </c>
      <c r="E6" s="10" t="s">
        <v>315</v>
      </c>
      <c r="F6" s="9" t="s">
        <v>295</v>
      </c>
      <c r="G6" s="13" t="s">
        <v>16</v>
      </c>
      <c r="H6" s="13" t="s">
        <v>17</v>
      </c>
      <c r="I6" s="14" t="s">
        <v>18</v>
      </c>
      <c r="J6" s="15"/>
      <c r="K6" s="14" t="s">
        <v>19</v>
      </c>
      <c r="L6" s="14" t="s">
        <v>19</v>
      </c>
      <c r="M6" s="13" t="s">
        <v>19</v>
      </c>
      <c r="N6" s="13" t="s">
        <v>20</v>
      </c>
      <c r="O6" s="13" t="s">
        <v>21</v>
      </c>
      <c r="P6" s="14" t="s">
        <v>22</v>
      </c>
      <c r="Q6" s="14" t="s">
        <v>22</v>
      </c>
      <c r="R6" s="15"/>
      <c r="S6" s="11" t="str">
        <f>"335,0"</f>
        <v>335,0</v>
      </c>
      <c r="T6" s="11" t="str">
        <f>"385,4306"</f>
        <v>385,4306</v>
      </c>
      <c r="U6" s="9" t="s">
        <v>23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2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83203125" style="5" bestFit="1" customWidth="1"/>
    <col min="3" max="3" width="32.1640625" style="5" customWidth="1"/>
    <col min="4" max="4" width="21.5" style="5" bestFit="1" customWidth="1"/>
    <col min="5" max="5" width="10.5" style="6" bestFit="1" customWidth="1"/>
    <col min="6" max="6" width="39" style="5" customWidth="1"/>
    <col min="7" max="9" width="4.5" style="8" customWidth="1"/>
    <col min="10" max="10" width="4.83203125" style="8" customWidth="1"/>
    <col min="11" max="11" width="10.5" style="7" bestFit="1" customWidth="1"/>
    <col min="12" max="12" width="7.5" style="7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43" t="s">
        <v>270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319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13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26" t="s">
        <v>24</v>
      </c>
      <c r="B6" s="16" t="s">
        <v>199</v>
      </c>
      <c r="C6" s="16" t="s">
        <v>246</v>
      </c>
      <c r="D6" s="16" t="s">
        <v>186</v>
      </c>
      <c r="E6" s="17" t="s">
        <v>312</v>
      </c>
      <c r="F6" s="16" t="s">
        <v>295</v>
      </c>
      <c r="G6" s="33" t="s">
        <v>157</v>
      </c>
      <c r="H6" s="33" t="s">
        <v>98</v>
      </c>
      <c r="I6" s="25" t="s">
        <v>99</v>
      </c>
      <c r="J6" s="26"/>
      <c r="K6" s="18" t="str">
        <f>"52,5"</f>
        <v>52,5</v>
      </c>
      <c r="L6" s="18" t="str">
        <f>"40,8187"</f>
        <v>40,8187</v>
      </c>
      <c r="M6" s="16" t="s">
        <v>306</v>
      </c>
    </row>
    <row r="7" spans="1:13">
      <c r="A7" s="32" t="s">
        <v>24</v>
      </c>
      <c r="B7" s="22" t="s">
        <v>200</v>
      </c>
      <c r="C7" s="22" t="s">
        <v>187</v>
      </c>
      <c r="D7" s="22" t="s">
        <v>188</v>
      </c>
      <c r="E7" s="23" t="s">
        <v>311</v>
      </c>
      <c r="F7" s="22" t="s">
        <v>295</v>
      </c>
      <c r="G7" s="31" t="s">
        <v>67</v>
      </c>
      <c r="H7" s="31" t="s">
        <v>156</v>
      </c>
      <c r="I7" s="30" t="s">
        <v>157</v>
      </c>
      <c r="J7" s="32"/>
      <c r="K7" s="24" t="str">
        <f>"45,0"</f>
        <v>45,0</v>
      </c>
      <c r="L7" s="24" t="str">
        <f>"34,3350"</f>
        <v>34,3350</v>
      </c>
      <c r="M7" s="22" t="s">
        <v>46</v>
      </c>
    </row>
    <row r="9" spans="1:13" ht="16">
      <c r="A9" s="58" t="s">
        <v>60</v>
      </c>
      <c r="B9" s="58"/>
      <c r="C9" s="58"/>
      <c r="D9" s="58"/>
      <c r="E9" s="59"/>
      <c r="F9" s="58"/>
      <c r="G9" s="58"/>
      <c r="H9" s="58"/>
      <c r="I9" s="58"/>
      <c r="J9" s="58"/>
    </row>
    <row r="10" spans="1:13">
      <c r="A10" s="26" t="s">
        <v>24</v>
      </c>
      <c r="B10" s="16" t="s">
        <v>201</v>
      </c>
      <c r="C10" s="16" t="s">
        <v>189</v>
      </c>
      <c r="D10" s="16" t="s">
        <v>190</v>
      </c>
      <c r="E10" s="17" t="s">
        <v>311</v>
      </c>
      <c r="F10" s="16" t="s">
        <v>304</v>
      </c>
      <c r="G10" s="33" t="s">
        <v>161</v>
      </c>
      <c r="H10" s="25" t="s">
        <v>175</v>
      </c>
      <c r="I10" s="25" t="s">
        <v>175</v>
      </c>
      <c r="J10" s="26"/>
      <c r="K10" s="18" t="str">
        <f>"60,0"</f>
        <v>60,0</v>
      </c>
      <c r="L10" s="18" t="str">
        <f>"42,5670"</f>
        <v>42,5670</v>
      </c>
      <c r="M10" s="16" t="s">
        <v>306</v>
      </c>
    </row>
    <row r="11" spans="1:13">
      <c r="A11" s="32" t="s">
        <v>24</v>
      </c>
      <c r="B11" s="22" t="s">
        <v>202</v>
      </c>
      <c r="C11" s="22" t="s">
        <v>248</v>
      </c>
      <c r="D11" s="22" t="s">
        <v>191</v>
      </c>
      <c r="E11" s="23" t="s">
        <v>315</v>
      </c>
      <c r="F11" s="22" t="s">
        <v>295</v>
      </c>
      <c r="G11" s="31" t="s">
        <v>67</v>
      </c>
      <c r="H11" s="31" t="s">
        <v>68</v>
      </c>
      <c r="I11" s="32"/>
      <c r="J11" s="32"/>
      <c r="K11" s="24" t="str">
        <f>"47,5"</f>
        <v>47,5</v>
      </c>
      <c r="L11" s="24" t="str">
        <f>"40,8443"</f>
        <v>40,8443</v>
      </c>
      <c r="M11" s="22" t="s">
        <v>77</v>
      </c>
    </row>
    <row r="13" spans="1:13" ht="16">
      <c r="A13" s="58" t="s">
        <v>32</v>
      </c>
      <c r="B13" s="58"/>
      <c r="C13" s="58"/>
      <c r="D13" s="58"/>
      <c r="E13" s="59"/>
      <c r="F13" s="58"/>
      <c r="G13" s="58"/>
      <c r="H13" s="58"/>
      <c r="I13" s="58"/>
      <c r="J13" s="58"/>
    </row>
    <row r="14" spans="1:13">
      <c r="A14" s="26" t="s">
        <v>24</v>
      </c>
      <c r="B14" s="16" t="s">
        <v>203</v>
      </c>
      <c r="C14" s="16" t="s">
        <v>241</v>
      </c>
      <c r="D14" s="16" t="s">
        <v>192</v>
      </c>
      <c r="E14" s="17" t="s">
        <v>312</v>
      </c>
      <c r="F14" s="16" t="s">
        <v>303</v>
      </c>
      <c r="G14" s="33" t="s">
        <v>99</v>
      </c>
      <c r="H14" s="33" t="s">
        <v>177</v>
      </c>
      <c r="I14" s="33" t="s">
        <v>162</v>
      </c>
      <c r="J14" s="26"/>
      <c r="K14" s="18" t="str">
        <f>"65,0"</f>
        <v>65,0</v>
      </c>
      <c r="L14" s="18" t="str">
        <f>"42,7570"</f>
        <v>42,7570</v>
      </c>
      <c r="M14" s="16" t="s">
        <v>306</v>
      </c>
    </row>
    <row r="15" spans="1:13">
      <c r="A15" s="29" t="s">
        <v>93</v>
      </c>
      <c r="B15" s="19" t="s">
        <v>204</v>
      </c>
      <c r="C15" s="19" t="s">
        <v>249</v>
      </c>
      <c r="D15" s="19" t="s">
        <v>193</v>
      </c>
      <c r="E15" s="20" t="s">
        <v>312</v>
      </c>
      <c r="F15" s="19" t="s">
        <v>297</v>
      </c>
      <c r="G15" s="27" t="s">
        <v>99</v>
      </c>
      <c r="H15" s="27" t="s">
        <v>176</v>
      </c>
      <c r="I15" s="28" t="s">
        <v>161</v>
      </c>
      <c r="J15" s="29"/>
      <c r="K15" s="21" t="str">
        <f>"57,5"</f>
        <v>57,5</v>
      </c>
      <c r="L15" s="21" t="str">
        <f>"39,0195"</f>
        <v>39,0195</v>
      </c>
      <c r="M15" s="19" t="s">
        <v>158</v>
      </c>
    </row>
    <row r="16" spans="1:13">
      <c r="A16" s="29" t="s">
        <v>118</v>
      </c>
      <c r="B16" s="19" t="s">
        <v>205</v>
      </c>
      <c r="C16" s="19" t="s">
        <v>250</v>
      </c>
      <c r="D16" s="19" t="s">
        <v>194</v>
      </c>
      <c r="E16" s="20" t="s">
        <v>312</v>
      </c>
      <c r="F16" s="19" t="s">
        <v>295</v>
      </c>
      <c r="G16" s="27" t="s">
        <v>156</v>
      </c>
      <c r="H16" s="27" t="s">
        <v>99</v>
      </c>
      <c r="I16" s="28" t="s">
        <v>177</v>
      </c>
      <c r="J16" s="29"/>
      <c r="K16" s="21" t="str">
        <f>"55,0"</f>
        <v>55,0</v>
      </c>
      <c r="L16" s="21" t="str">
        <f>"35,5932"</f>
        <v>35,5932</v>
      </c>
      <c r="M16" s="19" t="s">
        <v>50</v>
      </c>
    </row>
    <row r="17" spans="1:13">
      <c r="A17" s="32" t="s">
        <v>24</v>
      </c>
      <c r="B17" s="22" t="s">
        <v>206</v>
      </c>
      <c r="C17" s="22" t="s">
        <v>195</v>
      </c>
      <c r="D17" s="22" t="s">
        <v>192</v>
      </c>
      <c r="E17" s="23" t="s">
        <v>314</v>
      </c>
      <c r="F17" s="22" t="s">
        <v>295</v>
      </c>
      <c r="G17" s="31" t="s">
        <v>156</v>
      </c>
      <c r="H17" s="31" t="s">
        <v>157</v>
      </c>
      <c r="I17" s="31" t="s">
        <v>176</v>
      </c>
      <c r="J17" s="31" t="s">
        <v>161</v>
      </c>
      <c r="K17" s="24" t="str">
        <f>"57,5"</f>
        <v>57,5</v>
      </c>
      <c r="L17" s="24" t="str">
        <f>"50,6835"</f>
        <v>50,6835</v>
      </c>
      <c r="M17" s="22" t="s">
        <v>77</v>
      </c>
    </row>
    <row r="19" spans="1:13" ht="16">
      <c r="A19" s="58" t="s">
        <v>40</v>
      </c>
      <c r="B19" s="58"/>
      <c r="C19" s="58"/>
      <c r="D19" s="58"/>
      <c r="E19" s="59"/>
      <c r="F19" s="58"/>
      <c r="G19" s="58"/>
      <c r="H19" s="58"/>
      <c r="I19" s="58"/>
      <c r="J19" s="58"/>
    </row>
    <row r="20" spans="1:13">
      <c r="A20" s="26" t="s">
        <v>24</v>
      </c>
      <c r="B20" s="16" t="s">
        <v>207</v>
      </c>
      <c r="C20" s="16" t="s">
        <v>196</v>
      </c>
      <c r="D20" s="16" t="s">
        <v>197</v>
      </c>
      <c r="E20" s="17" t="s">
        <v>311</v>
      </c>
      <c r="F20" s="16" t="s">
        <v>295</v>
      </c>
      <c r="G20" s="33" t="s">
        <v>177</v>
      </c>
      <c r="H20" s="33" t="s">
        <v>175</v>
      </c>
      <c r="I20" s="33" t="s">
        <v>124</v>
      </c>
      <c r="J20" s="26"/>
      <c r="K20" s="18" t="str">
        <f>"70,0"</f>
        <v>70,0</v>
      </c>
      <c r="L20" s="18" t="str">
        <f>"43,5820"</f>
        <v>43,5820</v>
      </c>
      <c r="M20" s="16" t="s">
        <v>306</v>
      </c>
    </row>
    <row r="21" spans="1:13">
      <c r="A21" s="32" t="s">
        <v>93</v>
      </c>
      <c r="B21" s="22" t="s">
        <v>117</v>
      </c>
      <c r="C21" s="22" t="s">
        <v>107</v>
      </c>
      <c r="D21" s="22" t="s">
        <v>108</v>
      </c>
      <c r="E21" s="23" t="s">
        <v>311</v>
      </c>
      <c r="F21" s="22" t="s">
        <v>295</v>
      </c>
      <c r="G21" s="31" t="s">
        <v>157</v>
      </c>
      <c r="H21" s="30" t="s">
        <v>176</v>
      </c>
      <c r="I21" s="31" t="s">
        <v>176</v>
      </c>
      <c r="J21" s="32"/>
      <c r="K21" s="24" t="str">
        <f>"57,5"</f>
        <v>57,5</v>
      </c>
      <c r="L21" s="24" t="str">
        <f>"35,3366"</f>
        <v>35,3366</v>
      </c>
      <c r="M21" s="22" t="s">
        <v>46</v>
      </c>
    </row>
    <row r="23" spans="1:13" ht="16">
      <c r="A23" s="58" t="s">
        <v>72</v>
      </c>
      <c r="B23" s="58"/>
      <c r="C23" s="58"/>
      <c r="D23" s="58"/>
      <c r="E23" s="59"/>
      <c r="F23" s="58"/>
      <c r="G23" s="58"/>
      <c r="H23" s="58"/>
      <c r="I23" s="58"/>
      <c r="J23" s="58"/>
    </row>
    <row r="24" spans="1:13">
      <c r="A24" s="26" t="s">
        <v>24</v>
      </c>
      <c r="B24" s="16" t="s">
        <v>208</v>
      </c>
      <c r="C24" s="16" t="s">
        <v>251</v>
      </c>
      <c r="D24" s="16" t="s">
        <v>198</v>
      </c>
      <c r="E24" s="17" t="s">
        <v>312</v>
      </c>
      <c r="F24" s="16" t="s">
        <v>295</v>
      </c>
      <c r="G24" s="33" t="s">
        <v>161</v>
      </c>
      <c r="H24" s="33" t="s">
        <v>162</v>
      </c>
      <c r="I24" s="33" t="s">
        <v>124</v>
      </c>
      <c r="J24" s="26"/>
      <c r="K24" s="18" t="str">
        <f>"70,0"</f>
        <v>70,0</v>
      </c>
      <c r="L24" s="18" t="str">
        <f>"40,7085"</f>
        <v>40,7085</v>
      </c>
      <c r="M24" s="16" t="s">
        <v>46</v>
      </c>
    </row>
    <row r="25" spans="1:13">
      <c r="A25" s="32" t="s">
        <v>24</v>
      </c>
      <c r="B25" s="22" t="s">
        <v>120</v>
      </c>
      <c r="C25" s="22" t="s">
        <v>252</v>
      </c>
      <c r="D25" s="22" t="s">
        <v>111</v>
      </c>
      <c r="E25" s="23" t="s">
        <v>315</v>
      </c>
      <c r="F25" s="22" t="s">
        <v>300</v>
      </c>
      <c r="G25" s="31" t="s">
        <v>161</v>
      </c>
      <c r="H25" s="31" t="s">
        <v>162</v>
      </c>
      <c r="I25" s="31" t="s">
        <v>124</v>
      </c>
      <c r="J25" s="32"/>
      <c r="K25" s="24" t="str">
        <f>"70,0"</f>
        <v>70,0</v>
      </c>
      <c r="L25" s="24" t="str">
        <f>"52,6480"</f>
        <v>52,6480</v>
      </c>
      <c r="M25" s="22" t="s">
        <v>306</v>
      </c>
    </row>
  </sheetData>
  <mergeCells count="16">
    <mergeCell ref="A9:J9"/>
    <mergeCell ref="A13:J13"/>
    <mergeCell ref="A19:J19"/>
    <mergeCell ref="A23:J2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5"/>
  <sheetViews>
    <sheetView workbookViewId="0">
      <selection activeCell="G3" sqref="G3:J3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7.83203125" style="5" customWidth="1"/>
    <col min="7" max="9" width="4.5" style="8" customWidth="1"/>
    <col min="10" max="10" width="4.83203125" style="8" customWidth="1"/>
    <col min="11" max="11" width="10.5" style="7" bestFit="1" customWidth="1"/>
    <col min="12" max="12" width="7.5" style="7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3" t="s">
        <v>271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319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172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183</v>
      </c>
      <c r="C6" s="9" t="s">
        <v>253</v>
      </c>
      <c r="D6" s="9" t="s">
        <v>173</v>
      </c>
      <c r="E6" s="10" t="s">
        <v>312</v>
      </c>
      <c r="F6" s="9" t="s">
        <v>297</v>
      </c>
      <c r="G6" s="13" t="s">
        <v>174</v>
      </c>
      <c r="H6" s="14" t="s">
        <v>155</v>
      </c>
      <c r="I6" s="14" t="s">
        <v>155</v>
      </c>
      <c r="J6" s="15"/>
      <c r="K6" s="11" t="str">
        <f>"35,0"</f>
        <v>35,0</v>
      </c>
      <c r="L6" s="11" t="str">
        <f>"32,0810"</f>
        <v>32,0810</v>
      </c>
      <c r="M6" s="9" t="s">
        <v>158</v>
      </c>
    </row>
    <row r="8" spans="1:13" ht="16">
      <c r="A8" s="58" t="s">
        <v>40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15" t="s">
        <v>24</v>
      </c>
      <c r="B9" s="9" t="s">
        <v>184</v>
      </c>
      <c r="C9" s="9" t="s">
        <v>254</v>
      </c>
      <c r="D9" s="9" t="s">
        <v>42</v>
      </c>
      <c r="E9" s="10" t="s">
        <v>313</v>
      </c>
      <c r="F9" s="9" t="s">
        <v>305</v>
      </c>
      <c r="G9" s="13" t="s">
        <v>175</v>
      </c>
      <c r="H9" s="14" t="s">
        <v>44</v>
      </c>
      <c r="I9" s="14" t="s">
        <v>44</v>
      </c>
      <c r="J9" s="15"/>
      <c r="K9" s="11" t="str">
        <f>"67,5"</f>
        <v>67,5</v>
      </c>
      <c r="L9" s="11" t="str">
        <f>"42,3124"</f>
        <v>42,3124</v>
      </c>
      <c r="M9" s="9" t="s">
        <v>306</v>
      </c>
    </row>
    <row r="11" spans="1:13" ht="16">
      <c r="A11" s="58" t="s">
        <v>80</v>
      </c>
      <c r="B11" s="58"/>
      <c r="C11" s="58"/>
      <c r="D11" s="58"/>
      <c r="E11" s="59"/>
      <c r="F11" s="58"/>
      <c r="G11" s="58"/>
      <c r="H11" s="58"/>
      <c r="I11" s="58"/>
      <c r="J11" s="58"/>
    </row>
    <row r="12" spans="1:13">
      <c r="A12" s="15" t="s">
        <v>24</v>
      </c>
      <c r="B12" s="9" t="s">
        <v>94</v>
      </c>
      <c r="C12" s="9" t="s">
        <v>255</v>
      </c>
      <c r="D12" s="9" t="s">
        <v>84</v>
      </c>
      <c r="E12" s="10" t="s">
        <v>317</v>
      </c>
      <c r="F12" s="9" t="s">
        <v>295</v>
      </c>
      <c r="G12" s="13" t="s">
        <v>176</v>
      </c>
      <c r="H12" s="13" t="s">
        <v>177</v>
      </c>
      <c r="I12" s="14" t="s">
        <v>175</v>
      </c>
      <c r="J12" s="15"/>
      <c r="K12" s="11" t="str">
        <f>"62,5"</f>
        <v>62,5</v>
      </c>
      <c r="L12" s="11" t="str">
        <f>"36,0002"</f>
        <v>36,0002</v>
      </c>
      <c r="M12" s="9" t="s">
        <v>94</v>
      </c>
    </row>
    <row r="14" spans="1:13" ht="16">
      <c r="A14" s="58" t="s">
        <v>178</v>
      </c>
      <c r="B14" s="58"/>
      <c r="C14" s="58"/>
      <c r="D14" s="58"/>
      <c r="E14" s="59"/>
      <c r="F14" s="58"/>
      <c r="G14" s="58"/>
      <c r="H14" s="58"/>
      <c r="I14" s="58"/>
      <c r="J14" s="58"/>
    </row>
    <row r="15" spans="1:13">
      <c r="A15" s="15" t="s">
        <v>24</v>
      </c>
      <c r="B15" s="9" t="s">
        <v>185</v>
      </c>
      <c r="C15" s="9" t="s">
        <v>179</v>
      </c>
      <c r="D15" s="9" t="s">
        <v>180</v>
      </c>
      <c r="E15" s="10" t="s">
        <v>311</v>
      </c>
      <c r="F15" s="9" t="s">
        <v>295</v>
      </c>
      <c r="G15" s="13" t="s">
        <v>124</v>
      </c>
      <c r="H15" s="13" t="s">
        <v>181</v>
      </c>
      <c r="I15" s="14" t="s">
        <v>182</v>
      </c>
      <c r="J15" s="15"/>
      <c r="K15" s="11" t="str">
        <f>"77,5"</f>
        <v>77,5</v>
      </c>
      <c r="L15" s="11" t="str">
        <f>"42,6754"</f>
        <v>42,6754</v>
      </c>
      <c r="M15" s="9" t="s">
        <v>64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"/>
  <sheetViews>
    <sheetView workbookViewId="0">
      <selection activeCell="G3" sqref="G3:J3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3" width="26.33203125" style="5" bestFit="1" customWidth="1"/>
    <col min="4" max="4" width="21.5" style="5" bestFit="1" customWidth="1"/>
    <col min="5" max="5" width="15.1640625" style="6" bestFit="1" customWidth="1"/>
    <col min="6" max="6" width="38.1640625" style="5" customWidth="1"/>
    <col min="7" max="9" width="4.6640625" style="8" bestFit="1" customWidth="1"/>
    <col min="10" max="10" width="4.83203125" style="8" customWidth="1"/>
    <col min="11" max="11" width="11.33203125" style="8" customWidth="1"/>
    <col min="12" max="12" width="10.5" style="8" customWidth="1"/>
    <col min="13" max="13" width="7.83203125" style="7" bestFit="1" customWidth="1"/>
    <col min="14" max="14" width="9.5" style="7" bestFit="1" customWidth="1"/>
    <col min="15" max="15" width="15.5" style="5" bestFit="1" customWidth="1"/>
    <col min="16" max="16384" width="9.1640625" style="3"/>
  </cols>
  <sheetData>
    <row r="1" spans="1:15" s="2" customFormat="1" ht="29" customHeight="1">
      <c r="A1" s="43" t="s">
        <v>285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319</v>
      </c>
      <c r="H3" s="57"/>
      <c r="I3" s="57"/>
      <c r="J3" s="57"/>
      <c r="K3" s="57" t="s">
        <v>294</v>
      </c>
      <c r="L3" s="57"/>
      <c r="M3" s="55" t="s">
        <v>1</v>
      </c>
      <c r="N3" s="55" t="s">
        <v>3</v>
      </c>
      <c r="O3" s="39" t="s">
        <v>2</v>
      </c>
    </row>
    <row r="4" spans="1:15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56"/>
      <c r="N4" s="56"/>
      <c r="O4" s="40"/>
    </row>
    <row r="5" spans="1:15" ht="16">
      <c r="A5" s="41" t="s">
        <v>233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>
      <c r="A6" s="15" t="s">
        <v>24</v>
      </c>
      <c r="B6" s="9" t="s">
        <v>236</v>
      </c>
      <c r="C6" s="9" t="s">
        <v>234</v>
      </c>
      <c r="D6" s="9" t="s">
        <v>235</v>
      </c>
      <c r="E6" s="10" t="s">
        <v>311</v>
      </c>
      <c r="F6" s="9" t="s">
        <v>307</v>
      </c>
      <c r="G6" s="13" t="s">
        <v>28</v>
      </c>
      <c r="H6" s="13" t="s">
        <v>182</v>
      </c>
      <c r="I6" s="13" t="s">
        <v>19</v>
      </c>
      <c r="J6" s="15"/>
      <c r="K6" s="15" t="s">
        <v>155</v>
      </c>
      <c r="L6" s="38">
        <v>35</v>
      </c>
      <c r="M6" s="11" t="str">
        <f>"120,0"</f>
        <v>120,0</v>
      </c>
      <c r="N6" s="11" t="str">
        <f>"4077,3182"</f>
        <v>4077,3182</v>
      </c>
      <c r="O6" s="9" t="s">
        <v>306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"/>
  <sheetViews>
    <sheetView workbookViewId="0">
      <selection activeCell="G3" sqref="G3:J3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9" width="4.5" style="8" customWidth="1"/>
    <col min="10" max="10" width="4.83203125" style="8" customWidth="1"/>
    <col min="11" max="11" width="10.5" style="7" bestFit="1" customWidth="1"/>
    <col min="12" max="12" width="7.5" style="7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43" t="s">
        <v>286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319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237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202</v>
      </c>
      <c r="C6" s="9" t="s">
        <v>238</v>
      </c>
      <c r="D6" s="9" t="s">
        <v>191</v>
      </c>
      <c r="E6" s="10" t="s">
        <v>314</v>
      </c>
      <c r="F6" s="9" t="s">
        <v>295</v>
      </c>
      <c r="G6" s="13" t="s">
        <v>98</v>
      </c>
      <c r="H6" s="14" t="s">
        <v>161</v>
      </c>
      <c r="I6" s="14" t="s">
        <v>161</v>
      </c>
      <c r="J6" s="15"/>
      <c r="K6" s="11" t="str">
        <f>"52,5"</f>
        <v>52,5</v>
      </c>
      <c r="L6" s="11" t="str">
        <f>"47,4876"</f>
        <v>47,4876</v>
      </c>
      <c r="M6" s="9" t="s">
        <v>77</v>
      </c>
    </row>
    <row r="8" spans="1:13" ht="16">
      <c r="A8" s="58" t="s">
        <v>233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15" t="s">
        <v>24</v>
      </c>
      <c r="B9" s="9" t="s">
        <v>206</v>
      </c>
      <c r="C9" s="9" t="s">
        <v>239</v>
      </c>
      <c r="D9" s="9" t="s">
        <v>192</v>
      </c>
      <c r="E9" s="10" t="s">
        <v>318</v>
      </c>
      <c r="F9" s="9" t="s">
        <v>295</v>
      </c>
      <c r="G9" s="14" t="s">
        <v>44</v>
      </c>
      <c r="H9" s="14" t="s">
        <v>44</v>
      </c>
      <c r="I9" s="13" t="s">
        <v>44</v>
      </c>
      <c r="J9" s="15"/>
      <c r="K9" s="11" t="str">
        <f>"75,0"</f>
        <v>75,0</v>
      </c>
      <c r="L9" s="11" t="str">
        <f>"70,6594"</f>
        <v>70,6594</v>
      </c>
      <c r="M9" s="9" t="s">
        <v>77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"/>
  <sheetViews>
    <sheetView workbookViewId="0">
      <selection activeCell="G3" sqref="G3:J3"/>
    </sheetView>
  </sheetViews>
  <sheetFormatPr baseColWidth="10" defaultColWidth="9.1640625" defaultRowHeight="13"/>
  <cols>
    <col min="1" max="1" width="7.5" style="5" bestFit="1" customWidth="1"/>
    <col min="2" max="2" width="18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1.3320312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83203125" style="7" customWidth="1"/>
    <col min="13" max="13" width="19.33203125" style="5" customWidth="1"/>
    <col min="14" max="16384" width="9.1640625" style="3"/>
  </cols>
  <sheetData>
    <row r="1" spans="1:13" s="2" customFormat="1" ht="29" customHeight="1">
      <c r="A1" s="43" t="s">
        <v>287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319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232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185</v>
      </c>
      <c r="C6" s="9" t="s">
        <v>179</v>
      </c>
      <c r="D6" s="9" t="s">
        <v>180</v>
      </c>
      <c r="E6" s="10" t="s">
        <v>311</v>
      </c>
      <c r="F6" s="9" t="s">
        <v>295</v>
      </c>
      <c r="G6" s="13" t="s">
        <v>45</v>
      </c>
      <c r="H6" s="13" t="s">
        <v>17</v>
      </c>
      <c r="I6" s="14" t="s">
        <v>85</v>
      </c>
      <c r="J6" s="15"/>
      <c r="K6" s="11" t="str">
        <f>"120,0"</f>
        <v>120,0</v>
      </c>
      <c r="L6" s="11" t="str">
        <f>"68,9520"</f>
        <v>68,9520</v>
      </c>
      <c r="M6" s="9" t="s">
        <v>64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9" width="4.5" style="8" customWidth="1"/>
    <col min="10" max="10" width="4.83203125" style="8" customWidth="1"/>
    <col min="11" max="13" width="5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16.33203125" style="5" bestFit="1" customWidth="1"/>
    <col min="18" max="16384" width="9.1640625" style="3"/>
  </cols>
  <sheetData>
    <row r="1" spans="1:17" s="2" customFormat="1" ht="29" customHeight="1">
      <c r="A1" s="43" t="s">
        <v>274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11</v>
      </c>
      <c r="H3" s="57"/>
      <c r="I3" s="57"/>
      <c r="J3" s="57"/>
      <c r="K3" s="57" t="s">
        <v>12</v>
      </c>
      <c r="L3" s="57"/>
      <c r="M3" s="57"/>
      <c r="N3" s="57"/>
      <c r="O3" s="55" t="s">
        <v>1</v>
      </c>
      <c r="P3" s="55" t="s">
        <v>3</v>
      </c>
      <c r="Q3" s="39" t="s">
        <v>2</v>
      </c>
    </row>
    <row r="4" spans="1:17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40"/>
    </row>
    <row r="5" spans="1:17" ht="16">
      <c r="A5" s="41" t="s">
        <v>40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15" t="s">
        <v>24</v>
      </c>
      <c r="B6" s="9" t="s">
        <v>57</v>
      </c>
      <c r="C6" s="9" t="s">
        <v>41</v>
      </c>
      <c r="D6" s="9" t="s">
        <v>42</v>
      </c>
      <c r="E6" s="10" t="s">
        <v>312</v>
      </c>
      <c r="F6" s="9" t="s">
        <v>295</v>
      </c>
      <c r="G6" s="13" t="s">
        <v>124</v>
      </c>
      <c r="H6" s="13" t="s">
        <v>44</v>
      </c>
      <c r="I6" s="13" t="s">
        <v>28</v>
      </c>
      <c r="J6" s="15"/>
      <c r="K6" s="14" t="s">
        <v>45</v>
      </c>
      <c r="L6" s="13" t="s">
        <v>45</v>
      </c>
      <c r="M6" s="13" t="s">
        <v>18</v>
      </c>
      <c r="N6" s="15"/>
      <c r="O6" s="11" t="str">
        <f>"205,0"</f>
        <v>205,0</v>
      </c>
      <c r="P6" s="11" t="str">
        <f>"133,8240"</f>
        <v>133,8240</v>
      </c>
      <c r="Q6" s="9" t="s">
        <v>46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10" width="4.6640625" style="8" bestFit="1" customWidth="1"/>
    <col min="11" max="13" width="5.6640625" style="8" bestFit="1" customWidth="1"/>
    <col min="14" max="14" width="4.33203125" style="8" bestFit="1" customWidth="1"/>
    <col min="15" max="15" width="7.1640625" style="7" bestFit="1" customWidth="1"/>
    <col min="16" max="16" width="8.6640625" style="7" bestFit="1" customWidth="1"/>
    <col min="17" max="17" width="16.33203125" style="5" bestFit="1" customWidth="1"/>
    <col min="18" max="16384" width="9.1640625" style="3"/>
  </cols>
  <sheetData>
    <row r="1" spans="1:17" s="2" customFormat="1" ht="29" customHeight="1">
      <c r="A1" s="43" t="s">
        <v>275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11</v>
      </c>
      <c r="H3" s="57"/>
      <c r="I3" s="57"/>
      <c r="J3" s="57"/>
      <c r="K3" s="57" t="s">
        <v>12</v>
      </c>
      <c r="L3" s="57"/>
      <c r="M3" s="57"/>
      <c r="N3" s="57"/>
      <c r="O3" s="55" t="s">
        <v>1</v>
      </c>
      <c r="P3" s="55" t="s">
        <v>3</v>
      </c>
      <c r="Q3" s="39" t="s">
        <v>2</v>
      </c>
    </row>
    <row r="4" spans="1:17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40"/>
    </row>
    <row r="5" spans="1:17" ht="16">
      <c r="A5" s="41" t="s">
        <v>13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15" t="s">
        <v>24</v>
      </c>
      <c r="B6" s="9" t="s">
        <v>25</v>
      </c>
      <c r="C6" s="9" t="s">
        <v>256</v>
      </c>
      <c r="D6" s="9" t="s">
        <v>15</v>
      </c>
      <c r="E6" s="10" t="s">
        <v>315</v>
      </c>
      <c r="F6" s="9" t="s">
        <v>295</v>
      </c>
      <c r="G6" s="14" t="s">
        <v>19</v>
      </c>
      <c r="H6" s="14" t="s">
        <v>19</v>
      </c>
      <c r="I6" s="13" t="s">
        <v>19</v>
      </c>
      <c r="J6" s="13" t="s">
        <v>20</v>
      </c>
      <c r="K6" s="13" t="s">
        <v>21</v>
      </c>
      <c r="L6" s="14" t="s">
        <v>22</v>
      </c>
      <c r="M6" s="14" t="s">
        <v>22</v>
      </c>
      <c r="N6" s="15"/>
      <c r="O6" s="11" t="str">
        <f>"215,0"</f>
        <v>215,0</v>
      </c>
      <c r="P6" s="11" t="str">
        <f>"247,3659"</f>
        <v>247,3659</v>
      </c>
      <c r="Q6" s="9" t="s">
        <v>23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9" width="5.6640625" style="8" bestFit="1" customWidth="1"/>
    <col min="10" max="10" width="4.33203125" style="8" bestFit="1" customWidth="1"/>
    <col min="11" max="11" width="10.5" style="7" bestFit="1" customWidth="1"/>
    <col min="12" max="12" width="8.6640625" style="7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43" t="s">
        <v>276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10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55</v>
      </c>
      <c r="C6" s="9" t="s">
        <v>33</v>
      </c>
      <c r="D6" s="9" t="s">
        <v>34</v>
      </c>
      <c r="E6" s="10" t="s">
        <v>311</v>
      </c>
      <c r="F6" s="9" t="s">
        <v>295</v>
      </c>
      <c r="G6" s="13" t="s">
        <v>35</v>
      </c>
      <c r="H6" s="14" t="s">
        <v>36</v>
      </c>
      <c r="I6" s="13" t="s">
        <v>36</v>
      </c>
      <c r="J6" s="15"/>
      <c r="K6" s="11" t="str">
        <f>"205,0"</f>
        <v>205,0</v>
      </c>
      <c r="L6" s="11" t="str">
        <f>"137,6370"</f>
        <v>137,6370</v>
      </c>
      <c r="M6" s="9" t="s">
        <v>14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4.6640625" style="5" bestFit="1" customWidth="1"/>
    <col min="7" max="9" width="4.6640625" style="8" bestFit="1" customWidth="1"/>
    <col min="10" max="10" width="4.33203125" style="8" bestFit="1" customWidth="1"/>
    <col min="11" max="11" width="10.5" style="7" bestFit="1" customWidth="1"/>
    <col min="12" max="12" width="7.6640625" style="7" bestFit="1" customWidth="1"/>
    <col min="13" max="13" width="14.5" style="5" bestFit="1" customWidth="1"/>
    <col min="14" max="16384" width="9.1640625" style="3"/>
  </cols>
  <sheetData>
    <row r="1" spans="1:13" s="2" customFormat="1" ht="29" customHeight="1">
      <c r="A1" s="43" t="s">
        <v>277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10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13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163</v>
      </c>
      <c r="C6" s="9" t="s">
        <v>153</v>
      </c>
      <c r="D6" s="9" t="s">
        <v>154</v>
      </c>
      <c r="E6" s="10" t="s">
        <v>312</v>
      </c>
      <c r="F6" s="9" t="s">
        <v>297</v>
      </c>
      <c r="G6" s="13" t="s">
        <v>155</v>
      </c>
      <c r="H6" s="13" t="s">
        <v>156</v>
      </c>
      <c r="I6" s="13" t="s">
        <v>157</v>
      </c>
      <c r="J6" s="15"/>
      <c r="K6" s="11" t="str">
        <f>"50,0"</f>
        <v>50,0</v>
      </c>
      <c r="L6" s="11" t="str">
        <f>"41,2900"</f>
        <v>41,2900</v>
      </c>
      <c r="M6" s="9" t="s">
        <v>158</v>
      </c>
    </row>
    <row r="8" spans="1:13" ht="16">
      <c r="A8" s="58" t="s">
        <v>40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15" t="s">
        <v>24</v>
      </c>
      <c r="B9" s="9" t="s">
        <v>164</v>
      </c>
      <c r="C9" s="9" t="s">
        <v>159</v>
      </c>
      <c r="D9" s="9" t="s">
        <v>160</v>
      </c>
      <c r="E9" s="10" t="s">
        <v>312</v>
      </c>
      <c r="F9" s="9" t="s">
        <v>295</v>
      </c>
      <c r="G9" s="13" t="s">
        <v>161</v>
      </c>
      <c r="H9" s="13" t="s">
        <v>162</v>
      </c>
      <c r="I9" s="13" t="s">
        <v>124</v>
      </c>
      <c r="J9" s="15"/>
      <c r="K9" s="11" t="str">
        <f>"70,0"</f>
        <v>70,0</v>
      </c>
      <c r="L9" s="11" t="str">
        <f>"46,0810"</f>
        <v>46,0810</v>
      </c>
      <c r="M9" s="9" t="s">
        <v>64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21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1.8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5.5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6640625" style="7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3" t="s">
        <v>278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11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95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113</v>
      </c>
      <c r="C6" s="9" t="s">
        <v>96</v>
      </c>
      <c r="D6" s="9" t="s">
        <v>97</v>
      </c>
      <c r="E6" s="10" t="s">
        <v>311</v>
      </c>
      <c r="F6" s="9" t="s">
        <v>295</v>
      </c>
      <c r="G6" s="13" t="s">
        <v>98</v>
      </c>
      <c r="H6" s="14" t="s">
        <v>99</v>
      </c>
      <c r="I6" s="13" t="s">
        <v>99</v>
      </c>
      <c r="J6" s="15"/>
      <c r="K6" s="11" t="str">
        <f>"55,0"</f>
        <v>55,0</v>
      </c>
      <c r="L6" s="11" t="str">
        <f>"71,7365"</f>
        <v>71,7365</v>
      </c>
      <c r="M6" s="9" t="s">
        <v>306</v>
      </c>
    </row>
    <row r="8" spans="1:13" ht="16">
      <c r="A8" s="58" t="s">
        <v>60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15" t="s">
        <v>24</v>
      </c>
      <c r="B9" s="9" t="s">
        <v>114</v>
      </c>
      <c r="C9" s="9" t="s">
        <v>259</v>
      </c>
      <c r="D9" s="9" t="s">
        <v>100</v>
      </c>
      <c r="E9" s="10" t="s">
        <v>313</v>
      </c>
      <c r="F9" s="9" t="s">
        <v>298</v>
      </c>
      <c r="G9" s="13" t="s">
        <v>45</v>
      </c>
      <c r="H9" s="13" t="s">
        <v>101</v>
      </c>
      <c r="I9" s="13" t="s">
        <v>17</v>
      </c>
      <c r="J9" s="15"/>
      <c r="K9" s="11" t="str">
        <f>"120,0"</f>
        <v>120,0</v>
      </c>
      <c r="L9" s="11" t="str">
        <f>"88,7760"</f>
        <v>88,7760</v>
      </c>
      <c r="M9" s="9" t="s">
        <v>306</v>
      </c>
    </row>
    <row r="11" spans="1:13" ht="16">
      <c r="A11" s="58" t="s">
        <v>32</v>
      </c>
      <c r="B11" s="58"/>
      <c r="C11" s="58"/>
      <c r="D11" s="58"/>
      <c r="E11" s="59"/>
      <c r="F11" s="58"/>
      <c r="G11" s="58"/>
      <c r="H11" s="58"/>
      <c r="I11" s="58"/>
      <c r="J11" s="58"/>
    </row>
    <row r="12" spans="1:13">
      <c r="A12" s="15" t="s">
        <v>24</v>
      </c>
      <c r="B12" s="9" t="s">
        <v>115</v>
      </c>
      <c r="C12" s="9" t="s">
        <v>102</v>
      </c>
      <c r="D12" s="9" t="s">
        <v>103</v>
      </c>
      <c r="E12" s="10" t="s">
        <v>311</v>
      </c>
      <c r="F12" s="9" t="s">
        <v>295</v>
      </c>
      <c r="G12" s="13" t="s">
        <v>16</v>
      </c>
      <c r="H12" s="14" t="s">
        <v>17</v>
      </c>
      <c r="I12" s="14" t="s">
        <v>17</v>
      </c>
      <c r="J12" s="15"/>
      <c r="K12" s="11" t="str">
        <f>"115,0"</f>
        <v>115,0</v>
      </c>
      <c r="L12" s="11" t="str">
        <f>"77,0960"</f>
        <v>77,0960</v>
      </c>
      <c r="M12" s="9" t="s">
        <v>306</v>
      </c>
    </row>
    <row r="14" spans="1:13" ht="16">
      <c r="A14" s="58" t="s">
        <v>40</v>
      </c>
      <c r="B14" s="58"/>
      <c r="C14" s="58"/>
      <c r="D14" s="58"/>
      <c r="E14" s="59"/>
      <c r="F14" s="58"/>
      <c r="G14" s="58"/>
      <c r="H14" s="58"/>
      <c r="I14" s="58"/>
      <c r="J14" s="58"/>
    </row>
    <row r="15" spans="1:13">
      <c r="A15" s="26" t="s">
        <v>24</v>
      </c>
      <c r="B15" s="16" t="s">
        <v>116</v>
      </c>
      <c r="C15" s="16" t="s">
        <v>104</v>
      </c>
      <c r="D15" s="16" t="s">
        <v>105</v>
      </c>
      <c r="E15" s="17" t="s">
        <v>311</v>
      </c>
      <c r="F15" s="16" t="s">
        <v>299</v>
      </c>
      <c r="G15" s="33" t="s">
        <v>48</v>
      </c>
      <c r="H15" s="33" t="s">
        <v>71</v>
      </c>
      <c r="I15" s="25" t="s">
        <v>106</v>
      </c>
      <c r="J15" s="26"/>
      <c r="K15" s="18" t="str">
        <f>"170,0"</f>
        <v>170,0</v>
      </c>
      <c r="L15" s="18" t="str">
        <f>"109,8030"</f>
        <v>109,8030</v>
      </c>
      <c r="M15" s="16" t="s">
        <v>288</v>
      </c>
    </row>
    <row r="16" spans="1:13">
      <c r="A16" s="29" t="s">
        <v>93</v>
      </c>
      <c r="B16" s="19" t="s">
        <v>117</v>
      </c>
      <c r="C16" s="19" t="s">
        <v>107</v>
      </c>
      <c r="D16" s="19" t="s">
        <v>108</v>
      </c>
      <c r="E16" s="20" t="s">
        <v>311</v>
      </c>
      <c r="F16" s="19" t="s">
        <v>295</v>
      </c>
      <c r="G16" s="28" t="s">
        <v>31</v>
      </c>
      <c r="H16" s="28" t="s">
        <v>31</v>
      </c>
      <c r="I16" s="27" t="s">
        <v>31</v>
      </c>
      <c r="J16" s="29"/>
      <c r="K16" s="21" t="str">
        <f>"160,0"</f>
        <v>160,0</v>
      </c>
      <c r="L16" s="21" t="str">
        <f>"102,5600"</f>
        <v>102,5600</v>
      </c>
      <c r="M16" s="19" t="s">
        <v>46</v>
      </c>
    </row>
    <row r="17" spans="1:13">
      <c r="A17" s="29" t="s">
        <v>118</v>
      </c>
      <c r="B17" s="19" t="s">
        <v>119</v>
      </c>
      <c r="C17" s="19" t="s">
        <v>109</v>
      </c>
      <c r="D17" s="19" t="s">
        <v>51</v>
      </c>
      <c r="E17" s="20" t="s">
        <v>311</v>
      </c>
      <c r="F17" s="19" t="s">
        <v>295</v>
      </c>
      <c r="G17" s="28" t="s">
        <v>86</v>
      </c>
      <c r="H17" s="28" t="s">
        <v>110</v>
      </c>
      <c r="I17" s="27" t="s">
        <v>110</v>
      </c>
      <c r="J17" s="29"/>
      <c r="K17" s="21" t="str">
        <f>"152,5"</f>
        <v>152,5</v>
      </c>
      <c r="L17" s="21" t="str">
        <f>"97,3560"</f>
        <v>97,3560</v>
      </c>
      <c r="M17" s="19" t="s">
        <v>306</v>
      </c>
    </row>
    <row r="18" spans="1:13">
      <c r="A18" s="32" t="s">
        <v>24</v>
      </c>
      <c r="B18" s="22" t="s">
        <v>116</v>
      </c>
      <c r="C18" s="22" t="s">
        <v>260</v>
      </c>
      <c r="D18" s="22" t="s">
        <v>105</v>
      </c>
      <c r="E18" s="23" t="s">
        <v>315</v>
      </c>
      <c r="F18" s="22" t="s">
        <v>299</v>
      </c>
      <c r="G18" s="31" t="s">
        <v>48</v>
      </c>
      <c r="H18" s="31" t="s">
        <v>71</v>
      </c>
      <c r="I18" s="30" t="s">
        <v>106</v>
      </c>
      <c r="J18" s="32"/>
      <c r="K18" s="24" t="str">
        <f>"170,0"</f>
        <v>170,0</v>
      </c>
      <c r="L18" s="24" t="str">
        <f>"120,3441"</f>
        <v>120,3441</v>
      </c>
      <c r="M18" s="22" t="s">
        <v>288</v>
      </c>
    </row>
    <row r="20" spans="1:13" ht="16">
      <c r="A20" s="58" t="s">
        <v>72</v>
      </c>
      <c r="B20" s="58"/>
      <c r="C20" s="58"/>
      <c r="D20" s="58"/>
      <c r="E20" s="59"/>
      <c r="F20" s="58"/>
      <c r="G20" s="58"/>
      <c r="H20" s="58"/>
      <c r="I20" s="58"/>
      <c r="J20" s="58"/>
    </row>
    <row r="21" spans="1:13">
      <c r="A21" s="15" t="s">
        <v>24</v>
      </c>
      <c r="B21" s="9" t="s">
        <v>120</v>
      </c>
      <c r="C21" s="9" t="s">
        <v>261</v>
      </c>
      <c r="D21" s="9" t="s">
        <v>111</v>
      </c>
      <c r="E21" s="10" t="s">
        <v>316</v>
      </c>
      <c r="F21" s="9" t="s">
        <v>300</v>
      </c>
      <c r="G21" s="13" t="s">
        <v>30</v>
      </c>
      <c r="H21" s="13" t="s">
        <v>110</v>
      </c>
      <c r="I21" s="13" t="s">
        <v>112</v>
      </c>
      <c r="J21" s="15"/>
      <c r="K21" s="11" t="str">
        <f>"155,0"</f>
        <v>155,0</v>
      </c>
      <c r="L21" s="11" t="str">
        <f>"124,7020"</f>
        <v>124,7020</v>
      </c>
      <c r="M21" s="9" t="s">
        <v>306</v>
      </c>
    </row>
  </sheetData>
  <mergeCells count="16">
    <mergeCell ref="A8:J8"/>
    <mergeCell ref="A11:J11"/>
    <mergeCell ref="A14:J14"/>
    <mergeCell ref="A20:J2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24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4" style="5" customWidth="1"/>
    <col min="7" max="9" width="5.5" style="8" customWidth="1"/>
    <col min="10" max="10" width="4.83203125" style="8" customWidth="1"/>
    <col min="11" max="11" width="10.5" style="7" bestFit="1" customWidth="1"/>
    <col min="12" max="12" width="8.6640625" style="7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43" t="s">
        <v>279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11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13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25</v>
      </c>
      <c r="C6" s="9" t="s">
        <v>256</v>
      </c>
      <c r="D6" s="9" t="s">
        <v>15</v>
      </c>
      <c r="E6" s="10" t="s">
        <v>315</v>
      </c>
      <c r="F6" s="9" t="s">
        <v>295</v>
      </c>
      <c r="G6" s="14" t="s">
        <v>19</v>
      </c>
      <c r="H6" s="14" t="s">
        <v>19</v>
      </c>
      <c r="I6" s="13" t="s">
        <v>19</v>
      </c>
      <c r="J6" s="13" t="s">
        <v>20</v>
      </c>
      <c r="K6" s="11" t="str">
        <f>"85,0"</f>
        <v>85,0</v>
      </c>
      <c r="L6" s="11" t="str">
        <f>"97,7958"</f>
        <v>97,7958</v>
      </c>
      <c r="M6" s="9" t="s">
        <v>23</v>
      </c>
    </row>
    <row r="8" spans="1:13" ht="16">
      <c r="A8" s="58" t="s">
        <v>60</v>
      </c>
      <c r="B8" s="58"/>
      <c r="C8" s="58"/>
      <c r="D8" s="58"/>
      <c r="E8" s="59"/>
      <c r="F8" s="58"/>
      <c r="G8" s="58"/>
      <c r="H8" s="58"/>
      <c r="I8" s="58"/>
      <c r="J8" s="58"/>
    </row>
    <row r="9" spans="1:13">
      <c r="A9" s="26" t="s">
        <v>24</v>
      </c>
      <c r="B9" s="16" t="s">
        <v>87</v>
      </c>
      <c r="C9" s="16" t="s">
        <v>61</v>
      </c>
      <c r="D9" s="16" t="s">
        <v>62</v>
      </c>
      <c r="E9" s="17" t="s">
        <v>311</v>
      </c>
      <c r="F9" s="16" t="s">
        <v>295</v>
      </c>
      <c r="G9" s="33" t="s">
        <v>20</v>
      </c>
      <c r="H9" s="33" t="s">
        <v>63</v>
      </c>
      <c r="I9" s="25" t="s">
        <v>43</v>
      </c>
      <c r="J9" s="26"/>
      <c r="K9" s="18" t="str">
        <f>"95,0"</f>
        <v>95,0</v>
      </c>
      <c r="L9" s="18" t="str">
        <f>"93,5085"</f>
        <v>93,5085</v>
      </c>
      <c r="M9" s="16" t="s">
        <v>64</v>
      </c>
    </row>
    <row r="10" spans="1:13">
      <c r="A10" s="32" t="s">
        <v>24</v>
      </c>
      <c r="B10" s="22" t="s">
        <v>87</v>
      </c>
      <c r="C10" s="22" t="s">
        <v>262</v>
      </c>
      <c r="D10" s="22" t="s">
        <v>62</v>
      </c>
      <c r="E10" s="23" t="s">
        <v>317</v>
      </c>
      <c r="F10" s="22" t="s">
        <v>295</v>
      </c>
      <c r="G10" s="31" t="s">
        <v>20</v>
      </c>
      <c r="H10" s="31" t="s">
        <v>63</v>
      </c>
      <c r="I10" s="30" t="s">
        <v>43</v>
      </c>
      <c r="J10" s="32"/>
      <c r="K10" s="24" t="str">
        <f>"95,0"</f>
        <v>95,0</v>
      </c>
      <c r="L10" s="24" t="str">
        <f>"96,1267"</f>
        <v>96,1267</v>
      </c>
      <c r="M10" s="22" t="s">
        <v>64</v>
      </c>
    </row>
    <row r="12" spans="1:13" ht="16">
      <c r="A12" s="58" t="s">
        <v>60</v>
      </c>
      <c r="B12" s="58"/>
      <c r="C12" s="58"/>
      <c r="D12" s="58"/>
      <c r="E12" s="59"/>
      <c r="F12" s="58"/>
      <c r="G12" s="58"/>
      <c r="H12" s="58"/>
      <c r="I12" s="58"/>
      <c r="J12" s="58"/>
    </row>
    <row r="13" spans="1:13">
      <c r="A13" s="15" t="s">
        <v>24</v>
      </c>
      <c r="B13" s="9" t="s">
        <v>88</v>
      </c>
      <c r="C13" s="9" t="s">
        <v>65</v>
      </c>
      <c r="D13" s="9" t="s">
        <v>66</v>
      </c>
      <c r="E13" s="10" t="s">
        <v>312</v>
      </c>
      <c r="F13" s="9" t="s">
        <v>297</v>
      </c>
      <c r="G13" s="13" t="s">
        <v>67</v>
      </c>
      <c r="H13" s="14" t="s">
        <v>68</v>
      </c>
      <c r="I13" s="14" t="s">
        <v>68</v>
      </c>
      <c r="J13" s="15"/>
      <c r="K13" s="11" t="str">
        <f>"42,5"</f>
        <v>42,5</v>
      </c>
      <c r="L13" s="11" t="str">
        <f>"30,6595"</f>
        <v>30,6595</v>
      </c>
      <c r="M13" s="9" t="s">
        <v>306</v>
      </c>
    </row>
    <row r="15" spans="1:13" ht="16">
      <c r="A15" s="58" t="s">
        <v>40</v>
      </c>
      <c r="B15" s="58"/>
      <c r="C15" s="58"/>
      <c r="D15" s="58"/>
      <c r="E15" s="59"/>
      <c r="F15" s="58"/>
      <c r="G15" s="58"/>
      <c r="H15" s="58"/>
      <c r="I15" s="58"/>
      <c r="J15" s="58"/>
    </row>
    <row r="16" spans="1:13">
      <c r="A16" s="15" t="s">
        <v>24</v>
      </c>
      <c r="B16" s="9" t="s">
        <v>89</v>
      </c>
      <c r="C16" s="9" t="s">
        <v>69</v>
      </c>
      <c r="D16" s="9" t="s">
        <v>70</v>
      </c>
      <c r="E16" s="10" t="s">
        <v>311</v>
      </c>
      <c r="F16" s="9" t="s">
        <v>289</v>
      </c>
      <c r="G16" s="14" t="s">
        <v>31</v>
      </c>
      <c r="H16" s="13" t="s">
        <v>31</v>
      </c>
      <c r="I16" s="13" t="s">
        <v>71</v>
      </c>
      <c r="J16" s="15"/>
      <c r="K16" s="11" t="str">
        <f>"170,0"</f>
        <v>170,0</v>
      </c>
      <c r="L16" s="11" t="str">
        <f>"110,4830"</f>
        <v>110,4830</v>
      </c>
      <c r="M16" s="9" t="s">
        <v>306</v>
      </c>
    </row>
    <row r="18" spans="1:13" ht="16">
      <c r="A18" s="58" t="s">
        <v>72</v>
      </c>
      <c r="B18" s="58"/>
      <c r="C18" s="58"/>
      <c r="D18" s="58"/>
      <c r="E18" s="59"/>
      <c r="F18" s="58"/>
      <c r="G18" s="58"/>
      <c r="H18" s="58"/>
      <c r="I18" s="58"/>
      <c r="J18" s="58"/>
    </row>
    <row r="19" spans="1:13">
      <c r="A19" s="26" t="s">
        <v>24</v>
      </c>
      <c r="B19" s="16" t="s">
        <v>90</v>
      </c>
      <c r="C19" s="16" t="s">
        <v>73</v>
      </c>
      <c r="D19" s="16" t="s">
        <v>74</v>
      </c>
      <c r="E19" s="17" t="s">
        <v>311</v>
      </c>
      <c r="F19" s="16" t="s">
        <v>295</v>
      </c>
      <c r="G19" s="33" t="s">
        <v>71</v>
      </c>
      <c r="H19" s="33" t="s">
        <v>75</v>
      </c>
      <c r="I19" s="33" t="s">
        <v>76</v>
      </c>
      <c r="J19" s="26"/>
      <c r="K19" s="18" t="str">
        <f>"182,5"</f>
        <v>182,5</v>
      </c>
      <c r="L19" s="18" t="str">
        <f>"111,9820"</f>
        <v>111,9820</v>
      </c>
      <c r="M19" s="16" t="s">
        <v>77</v>
      </c>
    </row>
    <row r="20" spans="1:13">
      <c r="A20" s="32" t="s">
        <v>24</v>
      </c>
      <c r="B20" s="22" t="s">
        <v>91</v>
      </c>
      <c r="C20" s="22" t="s">
        <v>263</v>
      </c>
      <c r="D20" s="22" t="s">
        <v>78</v>
      </c>
      <c r="E20" s="23" t="s">
        <v>315</v>
      </c>
      <c r="F20" s="22" t="s">
        <v>296</v>
      </c>
      <c r="G20" s="31" t="s">
        <v>48</v>
      </c>
      <c r="H20" s="31" t="s">
        <v>71</v>
      </c>
      <c r="I20" s="30" t="s">
        <v>79</v>
      </c>
      <c r="J20" s="32"/>
      <c r="K20" s="24" t="str">
        <f>"170,0"</f>
        <v>170,0</v>
      </c>
      <c r="L20" s="24" t="str">
        <f>"117,6963"</f>
        <v>117,6963</v>
      </c>
      <c r="M20" s="22" t="s">
        <v>306</v>
      </c>
    </row>
    <row r="22" spans="1:13" ht="16">
      <c r="A22" s="58" t="s">
        <v>80</v>
      </c>
      <c r="B22" s="58"/>
      <c r="C22" s="58"/>
      <c r="D22" s="58"/>
      <c r="E22" s="59"/>
      <c r="F22" s="58"/>
      <c r="G22" s="58"/>
      <c r="H22" s="58"/>
      <c r="I22" s="58"/>
      <c r="J22" s="58"/>
    </row>
    <row r="23" spans="1:13">
      <c r="A23" s="26" t="s">
        <v>24</v>
      </c>
      <c r="B23" s="16" t="s">
        <v>92</v>
      </c>
      <c r="C23" s="16" t="s">
        <v>264</v>
      </c>
      <c r="D23" s="16" t="s">
        <v>81</v>
      </c>
      <c r="E23" s="17" t="s">
        <v>317</v>
      </c>
      <c r="F23" s="16" t="s">
        <v>301</v>
      </c>
      <c r="G23" s="33" t="s">
        <v>29</v>
      </c>
      <c r="H23" s="33" t="s">
        <v>30</v>
      </c>
      <c r="I23" s="33" t="s">
        <v>31</v>
      </c>
      <c r="J23" s="26"/>
      <c r="K23" s="18" t="str">
        <f>"160,0"</f>
        <v>160,0</v>
      </c>
      <c r="L23" s="18" t="str">
        <f>"97,3764"</f>
        <v>97,3764</v>
      </c>
      <c r="M23" s="16" t="s">
        <v>82</v>
      </c>
    </row>
    <row r="24" spans="1:13">
      <c r="A24" s="32" t="s">
        <v>93</v>
      </c>
      <c r="B24" s="22" t="s">
        <v>94</v>
      </c>
      <c r="C24" s="22" t="s">
        <v>265</v>
      </c>
      <c r="D24" s="22" t="s">
        <v>84</v>
      </c>
      <c r="E24" s="23" t="s">
        <v>317</v>
      </c>
      <c r="F24" s="22" t="s">
        <v>295</v>
      </c>
      <c r="G24" s="31" t="s">
        <v>85</v>
      </c>
      <c r="H24" s="31" t="s">
        <v>86</v>
      </c>
      <c r="I24" s="31" t="s">
        <v>30</v>
      </c>
      <c r="J24" s="32"/>
      <c r="K24" s="24" t="str">
        <f>"150,0"</f>
        <v>150,0</v>
      </c>
      <c r="L24" s="24" t="str">
        <f>"90,0279"</f>
        <v>90,0279</v>
      </c>
      <c r="M24" s="22" t="s">
        <v>94</v>
      </c>
    </row>
  </sheetData>
  <mergeCells count="17">
    <mergeCell ref="A22:J22"/>
    <mergeCell ref="A5:J5"/>
    <mergeCell ref="A8:J8"/>
    <mergeCell ref="A12:J12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4.3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33203125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7" bestFit="1" customWidth="1"/>
    <col min="13" max="13" width="16.33203125" style="5" bestFit="1" customWidth="1"/>
    <col min="14" max="16384" width="9.1640625" style="3"/>
  </cols>
  <sheetData>
    <row r="1" spans="1:13" s="2" customFormat="1" ht="29" customHeight="1">
      <c r="A1" s="43" t="s">
        <v>280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308</v>
      </c>
      <c r="B3" s="60" t="s">
        <v>0</v>
      </c>
      <c r="C3" s="53" t="s">
        <v>309</v>
      </c>
      <c r="D3" s="53" t="s">
        <v>8</v>
      </c>
      <c r="E3" s="55" t="s">
        <v>310</v>
      </c>
      <c r="F3" s="57" t="s">
        <v>5</v>
      </c>
      <c r="G3" s="57" t="s">
        <v>11</v>
      </c>
      <c r="H3" s="57"/>
      <c r="I3" s="57"/>
      <c r="J3" s="57"/>
      <c r="K3" s="55" t="s">
        <v>9</v>
      </c>
      <c r="L3" s="55" t="s">
        <v>3</v>
      </c>
      <c r="M3" s="39" t="s">
        <v>2</v>
      </c>
    </row>
    <row r="4" spans="1:13" s="1" customFormat="1" ht="21" customHeight="1" thickBot="1">
      <c r="A4" s="52"/>
      <c r="B4" s="61"/>
      <c r="C4" s="54"/>
      <c r="D4" s="54"/>
      <c r="E4" s="56"/>
      <c r="F4" s="54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40"/>
    </row>
    <row r="5" spans="1:13" ht="16">
      <c r="A5" s="41" t="s">
        <v>40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15" t="s">
        <v>24</v>
      </c>
      <c r="B6" s="9" t="s">
        <v>123</v>
      </c>
      <c r="C6" s="9" t="s">
        <v>121</v>
      </c>
      <c r="D6" s="9" t="s">
        <v>122</v>
      </c>
      <c r="E6" s="10" t="s">
        <v>311</v>
      </c>
      <c r="F6" s="9" t="s">
        <v>295</v>
      </c>
      <c r="G6" s="13" t="s">
        <v>31</v>
      </c>
      <c r="H6" s="13" t="s">
        <v>71</v>
      </c>
      <c r="I6" s="13" t="s">
        <v>79</v>
      </c>
      <c r="J6" s="15"/>
      <c r="K6" s="11" t="str">
        <f>"180,0"</f>
        <v>180,0</v>
      </c>
      <c r="L6" s="11" t="str">
        <f>"117,6480"</f>
        <v>117,6480</v>
      </c>
      <c r="M6" s="9" t="s">
        <v>77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IPL ПЛ без экипировки ДК</vt:lpstr>
      <vt:lpstr>IPL ПЛ без экипировки</vt:lpstr>
      <vt:lpstr>IPL Двоеборье без экип ДК</vt:lpstr>
      <vt:lpstr>IPL Двоеборье без экип</vt:lpstr>
      <vt:lpstr>IPL Присед без экипировки ДК</vt:lpstr>
      <vt:lpstr>IPL Присед без экипировки</vt:lpstr>
      <vt:lpstr>IPL Жим без экипировки ДК</vt:lpstr>
      <vt:lpstr>IPL Жим без экипировки</vt:lpstr>
      <vt:lpstr>IPL Жим однослой</vt:lpstr>
      <vt:lpstr>СПР Жим софт однопетельная</vt:lpstr>
      <vt:lpstr>WRPF Военный жим ДК</vt:lpstr>
      <vt:lpstr>WRPF Военный жим</vt:lpstr>
      <vt:lpstr>СПР Жим СФО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Жим стоя</vt:lpstr>
      <vt:lpstr>СПР Подъем на бицепс ДК</vt:lpstr>
      <vt:lpstr>WRPF Подъем на бицепс ДК</vt:lpstr>
      <vt:lpstr>WRPF Подъем на бицепс</vt:lpstr>
      <vt:lpstr>ФЖД Армейский жим двоеборье ДК</vt:lpstr>
      <vt:lpstr>ФЖД Армейский жим макс.ДК</vt:lpstr>
      <vt:lpstr>ФЖД Армейский жим макс.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2023-10-08T10:48:07Z</dcterms:modified>
</cp:coreProperties>
</file>