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Декабрь/"/>
    </mc:Choice>
  </mc:AlternateContent>
  <xr:revisionPtr revIDLastSave="0" documentId="13_ncr:1_{48C997C0-DC84-F04B-B959-1E254835C356}" xr6:coauthVersionLast="45" xr6:coauthVersionMax="45" xr10:uidLastSave="{00000000-0000-0000-0000-000000000000}"/>
  <bookViews>
    <workbookView xWindow="480" yWindow="460" windowWidth="28260" windowHeight="15920" firstSheet="12" activeTab="17" xr2:uid="{00000000-000D-0000-FFFF-FFFF00000000}"/>
  </bookViews>
  <sheets>
    <sheet name="IPL ПЛ без экипировки ДК" sheetId="10" r:id="rId1"/>
    <sheet name="IPL ПЛ без экипировки" sheetId="9" r:id="rId2"/>
    <sheet name="IPL ПЛ в бинтах ДК" sheetId="12" r:id="rId3"/>
    <sheet name="IPL ПЛ в бинтах" sheetId="11" r:id="rId4"/>
    <sheet name="IPL Двоеборье без экип ДК" sheetId="34" r:id="rId5"/>
    <sheet name="IPL Двоеборье без экип" sheetId="33" r:id="rId6"/>
    <sheet name="IPL Присед без экипировки ДК" sheetId="30" r:id="rId7"/>
    <sheet name="IPL Присед без экипировки" sheetId="29" r:id="rId8"/>
    <sheet name="IPL Присед в бинтах ДК" sheetId="32" r:id="rId9"/>
    <sheet name="IPL Жим без экипировки ДК" sheetId="14" r:id="rId10"/>
    <sheet name="IPL Жим без экипировки" sheetId="13" r:id="rId11"/>
    <sheet name="СПР Жим софт однопетельная ДК" sheetId="38" r:id="rId12"/>
    <sheet name="СПР Жим софт однопетельная" sheetId="37" r:id="rId13"/>
    <sheet name="IPL Тяга без экипировки ДК" sheetId="20" r:id="rId14"/>
    <sheet name="IPL Тяга без экипировки" sheetId="19" r:id="rId15"/>
    <sheet name="СПР Пауэрспорт ДК" sheetId="46" r:id="rId16"/>
    <sheet name="СПР Подъем на бицепс ДК" sheetId="44" r:id="rId17"/>
    <sheet name="СПР Подъем на бицепс" sheetId="43" r:id="rId18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1" i="14" l="1"/>
  <c r="P6" i="46" l="1"/>
  <c r="O6" i="46"/>
  <c r="L33" i="44"/>
  <c r="K33" i="44"/>
  <c r="L30" i="44"/>
  <c r="K30" i="44"/>
  <c r="L29" i="44"/>
  <c r="K29" i="44"/>
  <c r="L28" i="44"/>
  <c r="K28" i="44"/>
  <c r="L27" i="44"/>
  <c r="K27" i="44"/>
  <c r="L24" i="44"/>
  <c r="K24" i="44"/>
  <c r="L23" i="44"/>
  <c r="K23" i="44"/>
  <c r="L22" i="44"/>
  <c r="K22" i="44"/>
  <c r="L21" i="44"/>
  <c r="K21" i="44"/>
  <c r="L20" i="44"/>
  <c r="K20" i="44"/>
  <c r="L17" i="44"/>
  <c r="L16" i="44"/>
  <c r="K16" i="44"/>
  <c r="L15" i="44"/>
  <c r="K15" i="44"/>
  <c r="L12" i="44"/>
  <c r="K12" i="44"/>
  <c r="L9" i="44"/>
  <c r="K9" i="44"/>
  <c r="L6" i="44"/>
  <c r="K6" i="44"/>
  <c r="L14" i="43"/>
  <c r="K14" i="43"/>
  <c r="L11" i="43"/>
  <c r="K11" i="43"/>
  <c r="L8" i="43"/>
  <c r="K8" i="43"/>
  <c r="L7" i="43"/>
  <c r="K7" i="43"/>
  <c r="L6" i="43"/>
  <c r="K6" i="43"/>
  <c r="L21" i="38"/>
  <c r="K21" i="38"/>
  <c r="L18" i="38"/>
  <c r="K18" i="38"/>
  <c r="L17" i="38"/>
  <c r="K17" i="38"/>
  <c r="L14" i="38"/>
  <c r="K14" i="38"/>
  <c r="L13" i="38"/>
  <c r="K13" i="38"/>
  <c r="L10" i="38"/>
  <c r="K10" i="38"/>
  <c r="L7" i="38"/>
  <c r="K7" i="38"/>
  <c r="L6" i="38"/>
  <c r="K6" i="38"/>
  <c r="L18" i="37"/>
  <c r="K18" i="37"/>
  <c r="L17" i="37"/>
  <c r="K17" i="37"/>
  <c r="L14" i="37"/>
  <c r="K14" i="37"/>
  <c r="L11" i="37"/>
  <c r="K11" i="37"/>
  <c r="L10" i="37"/>
  <c r="K10" i="37"/>
  <c r="L7" i="37"/>
  <c r="K7" i="37"/>
  <c r="L6" i="37"/>
  <c r="K6" i="37"/>
  <c r="P16" i="34"/>
  <c r="O16" i="34"/>
  <c r="P13" i="34"/>
  <c r="O13" i="34"/>
  <c r="P12" i="34"/>
  <c r="O12" i="34"/>
  <c r="P9" i="34"/>
  <c r="O9" i="34"/>
  <c r="P6" i="34"/>
  <c r="O6" i="34"/>
  <c r="P6" i="33"/>
  <c r="O6" i="33"/>
  <c r="L6" i="32"/>
  <c r="K6" i="32"/>
  <c r="L10" i="30"/>
  <c r="K10" i="30"/>
  <c r="L7" i="30"/>
  <c r="K7" i="30"/>
  <c r="L6" i="30"/>
  <c r="K6" i="30"/>
  <c r="L6" i="29"/>
  <c r="L29" i="20"/>
  <c r="K29" i="20"/>
  <c r="L26" i="20"/>
  <c r="K26" i="20"/>
  <c r="L23" i="20"/>
  <c r="K23" i="20"/>
  <c r="L22" i="20"/>
  <c r="K22" i="20"/>
  <c r="L21" i="20"/>
  <c r="K21" i="20"/>
  <c r="L20" i="20"/>
  <c r="K20" i="20"/>
  <c r="L19" i="20"/>
  <c r="K19" i="20"/>
  <c r="L16" i="20"/>
  <c r="K16" i="20"/>
  <c r="L13" i="20"/>
  <c r="K13" i="20"/>
  <c r="L12" i="20"/>
  <c r="K12" i="20"/>
  <c r="L9" i="20"/>
  <c r="K9" i="20"/>
  <c r="L6" i="20"/>
  <c r="K6" i="20"/>
  <c r="L13" i="19"/>
  <c r="L10" i="19"/>
  <c r="K10" i="19"/>
  <c r="L9" i="19"/>
  <c r="K9" i="19"/>
  <c r="L6" i="19"/>
  <c r="K6" i="19"/>
  <c r="L82" i="14"/>
  <c r="K82" i="14"/>
  <c r="L81" i="14"/>
  <c r="K81" i="14"/>
  <c r="L78" i="14"/>
  <c r="K78" i="14"/>
  <c r="L77" i="14"/>
  <c r="K77" i="14"/>
  <c r="L76" i="14"/>
  <c r="K76" i="14"/>
  <c r="L73" i="14"/>
  <c r="K73" i="14"/>
  <c r="L72" i="14"/>
  <c r="L71" i="14"/>
  <c r="K71" i="14"/>
  <c r="L70" i="14"/>
  <c r="L69" i="14"/>
  <c r="K69" i="14"/>
  <c r="L68" i="14"/>
  <c r="K68" i="14"/>
  <c r="L67" i="14"/>
  <c r="K67" i="14"/>
  <c r="L66" i="14"/>
  <c r="K66" i="14"/>
  <c r="L65" i="14"/>
  <c r="K65" i="14"/>
  <c r="L62" i="14"/>
  <c r="K62" i="14"/>
  <c r="L61" i="14"/>
  <c r="L60" i="14"/>
  <c r="L59" i="14"/>
  <c r="L58" i="14"/>
  <c r="K58" i="14"/>
  <c r="L57" i="14"/>
  <c r="K57" i="14"/>
  <c r="L56" i="14"/>
  <c r="K56" i="14"/>
  <c r="L55" i="14"/>
  <c r="K55" i="14"/>
  <c r="L54" i="14"/>
  <c r="K54" i="14"/>
  <c r="L53" i="14"/>
  <c r="K53" i="14"/>
  <c r="L50" i="14"/>
  <c r="K50" i="14"/>
  <c r="L49" i="14"/>
  <c r="L48" i="14"/>
  <c r="K48" i="14"/>
  <c r="L47" i="14"/>
  <c r="K47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6" i="14"/>
  <c r="K36" i="14"/>
  <c r="L35" i="14"/>
  <c r="K35" i="14"/>
  <c r="L34" i="14"/>
  <c r="K34" i="14"/>
  <c r="L33" i="14"/>
  <c r="K33" i="14"/>
  <c r="L32" i="14"/>
  <c r="K32" i="14"/>
  <c r="L29" i="14"/>
  <c r="K29" i="14"/>
  <c r="L26" i="14"/>
  <c r="K26" i="14"/>
  <c r="L23" i="14"/>
  <c r="K23" i="14"/>
  <c r="L20" i="14"/>
  <c r="K20" i="14"/>
  <c r="L19" i="14"/>
  <c r="K19" i="14"/>
  <c r="L18" i="14"/>
  <c r="K18" i="14"/>
  <c r="L15" i="14"/>
  <c r="K15" i="14"/>
  <c r="L14" i="14"/>
  <c r="K14" i="14"/>
  <c r="L13" i="14"/>
  <c r="K13" i="14"/>
  <c r="L10" i="14"/>
  <c r="K10" i="14"/>
  <c r="L9" i="14"/>
  <c r="K9" i="14"/>
  <c r="L6" i="14"/>
  <c r="K6" i="14"/>
  <c r="L40" i="13"/>
  <c r="K40" i="13"/>
  <c r="L39" i="13"/>
  <c r="K39" i="13"/>
  <c r="L38" i="13"/>
  <c r="K38" i="13"/>
  <c r="L35" i="13"/>
  <c r="K35" i="13"/>
  <c r="L34" i="13"/>
  <c r="K34" i="13"/>
  <c r="L33" i="13"/>
  <c r="K33" i="13"/>
  <c r="L32" i="13"/>
  <c r="K32" i="13"/>
  <c r="L31" i="13"/>
  <c r="K31" i="13"/>
  <c r="L28" i="13"/>
  <c r="K28" i="13"/>
  <c r="L27" i="13"/>
  <c r="K27" i="13"/>
  <c r="L24" i="13"/>
  <c r="K24" i="13"/>
  <c r="L23" i="13"/>
  <c r="K23" i="13"/>
  <c r="L22" i="13"/>
  <c r="K22" i="13"/>
  <c r="L21" i="13"/>
  <c r="K21" i="13"/>
  <c r="L20" i="13"/>
  <c r="K20" i="13"/>
  <c r="L17" i="13"/>
  <c r="K17" i="13"/>
  <c r="L16" i="13"/>
  <c r="K16" i="13"/>
  <c r="L13" i="13"/>
  <c r="K13" i="13"/>
  <c r="L12" i="13"/>
  <c r="K12" i="13"/>
  <c r="L9" i="13"/>
  <c r="K9" i="13"/>
  <c r="L6" i="13"/>
  <c r="K6" i="13"/>
  <c r="T9" i="12"/>
  <c r="S9" i="12"/>
  <c r="T6" i="12"/>
  <c r="S6" i="12"/>
  <c r="T6" i="11"/>
  <c r="S6" i="11"/>
  <c r="T66" i="10"/>
  <c r="S66" i="10"/>
  <c r="T63" i="10"/>
  <c r="T62" i="10"/>
  <c r="S62" i="10"/>
  <c r="T61" i="10"/>
  <c r="S61" i="10"/>
  <c r="T60" i="10"/>
  <c r="S60" i="10"/>
  <c r="T59" i="10"/>
  <c r="S59" i="10"/>
  <c r="T56" i="10"/>
  <c r="S56" i="10"/>
  <c r="T55" i="10"/>
  <c r="S55" i="10"/>
  <c r="T52" i="10"/>
  <c r="S52" i="10"/>
  <c r="T51" i="10"/>
  <c r="S51" i="10"/>
  <c r="T50" i="10"/>
  <c r="T49" i="10"/>
  <c r="S49" i="10"/>
  <c r="T48" i="10"/>
  <c r="S48" i="10"/>
  <c r="T47" i="10"/>
  <c r="S47" i="10"/>
  <c r="T46" i="10"/>
  <c r="S46" i="10"/>
  <c r="T45" i="10"/>
  <c r="S45" i="10"/>
  <c r="T44" i="10"/>
  <c r="S44" i="10"/>
  <c r="T43" i="10"/>
  <c r="S43" i="10"/>
  <c r="T40" i="10"/>
  <c r="S40" i="10"/>
  <c r="T39" i="10"/>
  <c r="S39" i="10"/>
  <c r="T38" i="10"/>
  <c r="S38" i="10"/>
  <c r="T35" i="10"/>
  <c r="T34" i="10"/>
  <c r="S34" i="10"/>
  <c r="T33" i="10"/>
  <c r="S33" i="10"/>
  <c r="T32" i="10"/>
  <c r="S32" i="10"/>
  <c r="T31" i="10"/>
  <c r="S31" i="10"/>
  <c r="T30" i="10"/>
  <c r="S30" i="10"/>
  <c r="T27" i="10"/>
  <c r="S27" i="10"/>
  <c r="T26" i="10"/>
  <c r="S26" i="10"/>
  <c r="T23" i="10"/>
  <c r="S23" i="10"/>
  <c r="T22" i="10"/>
  <c r="S22" i="10"/>
  <c r="T19" i="10"/>
  <c r="T18" i="10"/>
  <c r="S18" i="10"/>
  <c r="T17" i="10"/>
  <c r="S17" i="10"/>
  <c r="T16" i="10"/>
  <c r="S16" i="10"/>
  <c r="T13" i="10"/>
  <c r="S13" i="10"/>
  <c r="T10" i="10"/>
  <c r="S10" i="10"/>
  <c r="T7" i="10"/>
  <c r="S7" i="10"/>
  <c r="T6" i="10"/>
  <c r="S6" i="10"/>
  <c r="T35" i="9"/>
  <c r="S35" i="9"/>
  <c r="T32" i="9"/>
  <c r="S32" i="9"/>
  <c r="T29" i="9"/>
  <c r="S29" i="9"/>
  <c r="T26" i="9"/>
  <c r="S26" i="9"/>
  <c r="T25" i="9"/>
  <c r="S25" i="9"/>
  <c r="T24" i="9"/>
  <c r="S24" i="9"/>
  <c r="T23" i="9"/>
  <c r="S23" i="9"/>
  <c r="T22" i="9"/>
  <c r="S22" i="9"/>
  <c r="T21" i="9"/>
  <c r="S21" i="9"/>
  <c r="T18" i="9"/>
  <c r="S18" i="9"/>
  <c r="T15" i="9"/>
  <c r="S15" i="9"/>
  <c r="T12" i="9"/>
  <c r="S12" i="9"/>
  <c r="T9" i="9"/>
  <c r="S9" i="9"/>
  <c r="T6" i="9"/>
  <c r="S6" i="9"/>
</calcChain>
</file>

<file path=xl/sharedStrings.xml><?xml version="1.0" encoding="utf-8"?>
<sst xmlns="http://schemas.openxmlformats.org/spreadsheetml/2006/main" count="2506" uniqueCount="626">
  <si>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</si>
  <si>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</si>
  <si>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</si>
  <si>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</si>
  <si>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</si>
  <si>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</si>
  <si>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</si>
  <si>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</si>
  <si>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>Приседание</t>
  </si>
  <si>
    <t>Жим лёжа</t>
  </si>
  <si>
    <t>Становая тяга</t>
  </si>
  <si>
    <t>ВЕСОВАЯ КАТЕГОРИЯ   67.5</t>
  </si>
  <si>
    <t>65,90</t>
  </si>
  <si>
    <t>100,0</t>
  </si>
  <si>
    <t>107,5</t>
  </si>
  <si>
    <t>110,0</t>
  </si>
  <si>
    <t>50,0</t>
  </si>
  <si>
    <t>55,0</t>
  </si>
  <si>
    <t>60,0</t>
  </si>
  <si>
    <t>105,0</t>
  </si>
  <si>
    <t>ВЕСОВАЯ КАТЕГОРИЯ   75</t>
  </si>
  <si>
    <t>73,40</t>
  </si>
  <si>
    <t>90,0</t>
  </si>
  <si>
    <t>97,5</t>
  </si>
  <si>
    <t>102,5</t>
  </si>
  <si>
    <t>65,0</t>
  </si>
  <si>
    <t>87,5</t>
  </si>
  <si>
    <t>95,0</t>
  </si>
  <si>
    <t>ВЕСОВАЯ КАТЕГОРИЯ   90+</t>
  </si>
  <si>
    <t>Открытая (03.01.1989)/34</t>
  </si>
  <si>
    <t>107,40</t>
  </si>
  <si>
    <t>130,0</t>
  </si>
  <si>
    <t>140,0</t>
  </si>
  <si>
    <t>150,0</t>
  </si>
  <si>
    <t>70,0</t>
  </si>
  <si>
    <t>75,0</t>
  </si>
  <si>
    <t>155,0</t>
  </si>
  <si>
    <t>Открытая (27.08.1984)/39</t>
  </si>
  <si>
    <t>70,00</t>
  </si>
  <si>
    <t>125,0</t>
  </si>
  <si>
    <t>135,0</t>
  </si>
  <si>
    <t>112,5</t>
  </si>
  <si>
    <t>180,0</t>
  </si>
  <si>
    <t>190,0</t>
  </si>
  <si>
    <t>195,0</t>
  </si>
  <si>
    <t>ВЕСОВАЯ КАТЕГОРИЯ   82.5</t>
  </si>
  <si>
    <t>Открытая (08.10.1993)/30</t>
  </si>
  <si>
    <t>81,10</t>
  </si>
  <si>
    <t>200,0</t>
  </si>
  <si>
    <t>212,5</t>
  </si>
  <si>
    <t>225,0</t>
  </si>
  <si>
    <t>162,5</t>
  </si>
  <si>
    <t>170,0</t>
  </si>
  <si>
    <t>205,0</t>
  </si>
  <si>
    <t>210,0</t>
  </si>
  <si>
    <t>ВЕСОВАЯ КАТЕГОРИЯ   90</t>
  </si>
  <si>
    <t xml:space="preserve">Кривоносов Владислав </t>
  </si>
  <si>
    <t>Открытая (24.10.1987)/36</t>
  </si>
  <si>
    <t>89,40</t>
  </si>
  <si>
    <t>240,0</t>
  </si>
  <si>
    <t>250,0</t>
  </si>
  <si>
    <t>260,0</t>
  </si>
  <si>
    <t>160,0</t>
  </si>
  <si>
    <t>167,5</t>
  </si>
  <si>
    <t>285,0</t>
  </si>
  <si>
    <t>300,0</t>
  </si>
  <si>
    <t>310,0</t>
  </si>
  <si>
    <t xml:space="preserve">Шаманский Константин </t>
  </si>
  <si>
    <t>Открытая (08.02.1996)/27</t>
  </si>
  <si>
    <t>88,50</t>
  </si>
  <si>
    <t>265,0</t>
  </si>
  <si>
    <t>175,0</t>
  </si>
  <si>
    <t>187,5</t>
  </si>
  <si>
    <t>290,0</t>
  </si>
  <si>
    <t>Открытая (05.10.1981)/42</t>
  </si>
  <si>
    <t>87,50</t>
  </si>
  <si>
    <t>215,0</t>
  </si>
  <si>
    <t>230,0</t>
  </si>
  <si>
    <t>272,5</t>
  </si>
  <si>
    <t>280,0</t>
  </si>
  <si>
    <t>Открытая (09.07.1991)/32</t>
  </si>
  <si>
    <t>87,30</t>
  </si>
  <si>
    <t>217,5</t>
  </si>
  <si>
    <t>165,0</t>
  </si>
  <si>
    <t>182,5</t>
  </si>
  <si>
    <t>270,0</t>
  </si>
  <si>
    <t>87,70</t>
  </si>
  <si>
    <t>ВЕСОВАЯ КАТЕГОРИЯ   100</t>
  </si>
  <si>
    <t xml:space="preserve">Сосновский Никита </t>
  </si>
  <si>
    <t>Открытая (15.12.1987)/35</t>
  </si>
  <si>
    <t>99,90</t>
  </si>
  <si>
    <t>277,5</t>
  </si>
  <si>
    <t>185,0</t>
  </si>
  <si>
    <t>275,0</t>
  </si>
  <si>
    <t>ВЕСОВАЯ КАТЕГОРИЯ   110</t>
  </si>
  <si>
    <t>Открытая (19.03.1989)/34</t>
  </si>
  <si>
    <t>103,80</t>
  </si>
  <si>
    <t>255,0</t>
  </si>
  <si>
    <t>ВЕСОВАЯ КАТЕГОРИЯ   140</t>
  </si>
  <si>
    <t xml:space="preserve">Рябиков Илья </t>
  </si>
  <si>
    <t>Открытая (17.01.2000)/23</t>
  </si>
  <si>
    <t>131,40</t>
  </si>
  <si>
    <t>305,0</t>
  </si>
  <si>
    <t>315,0</t>
  </si>
  <si>
    <t>322,5</t>
  </si>
  <si>
    <t>220,0</t>
  </si>
  <si>
    <t xml:space="preserve">Женщины </t>
  </si>
  <si>
    <t xml:space="preserve">ФИО </t>
  </si>
  <si>
    <t xml:space="preserve">Возрастная группа </t>
  </si>
  <si>
    <t xml:space="preserve">Сумма </t>
  </si>
  <si>
    <t xml:space="preserve">Wilks </t>
  </si>
  <si>
    <t>67.5</t>
  </si>
  <si>
    <t>75</t>
  </si>
  <si>
    <t xml:space="preserve">Открытая </t>
  </si>
  <si>
    <t xml:space="preserve">Мужчины </t>
  </si>
  <si>
    <t>90</t>
  </si>
  <si>
    <t>140</t>
  </si>
  <si>
    <t>1</t>
  </si>
  <si>
    <t>Клименко Алина</t>
  </si>
  <si>
    <t>Тетерина Ирина</t>
  </si>
  <si>
    <t>Вотто Ульяна</t>
  </si>
  <si>
    <t>Прядко Николай</t>
  </si>
  <si>
    <t>Гинтов Дмитрий</t>
  </si>
  <si>
    <t>Кривоносов Владислав</t>
  </si>
  <si>
    <t>2</t>
  </si>
  <si>
    <t>Шаманский Константин</t>
  </si>
  <si>
    <t>3</t>
  </si>
  <si>
    <t>Блинов Алексей</t>
  </si>
  <si>
    <t>4</t>
  </si>
  <si>
    <t>Пшеничников Семен</t>
  </si>
  <si>
    <t>Мазаник Василий</t>
  </si>
  <si>
    <t>Сосновский Никита</t>
  </si>
  <si>
    <t>Ташланов Егор</t>
  </si>
  <si>
    <t>Рябиков Илья</t>
  </si>
  <si>
    <t>ВЕСОВАЯ КАТЕГОРИЯ   48</t>
  </si>
  <si>
    <t xml:space="preserve">Закарюкина Екатерина </t>
  </si>
  <si>
    <t>Открытая (19.08.1989)/34</t>
  </si>
  <si>
    <t>45,80</t>
  </si>
  <si>
    <t>Открытая (15.05.1988)/35</t>
  </si>
  <si>
    <t>48,00</t>
  </si>
  <si>
    <t>37,5</t>
  </si>
  <si>
    <t>42,5</t>
  </si>
  <si>
    <t>80,0</t>
  </si>
  <si>
    <t>85,0</t>
  </si>
  <si>
    <t>ВЕСОВАЯ КАТЕГОРИЯ   52</t>
  </si>
  <si>
    <t>Открытая (10.04.1988)/35</t>
  </si>
  <si>
    <t>51,30</t>
  </si>
  <si>
    <t>82,5</t>
  </si>
  <si>
    <t>45,0</t>
  </si>
  <si>
    <t>47,5</t>
  </si>
  <si>
    <t>ВЕСОВАЯ КАТЕГОРИЯ   56</t>
  </si>
  <si>
    <t>Открытая (11.02.1995)/28</t>
  </si>
  <si>
    <t>56,00</t>
  </si>
  <si>
    <t>35,0</t>
  </si>
  <si>
    <t>40,0</t>
  </si>
  <si>
    <t>120,0</t>
  </si>
  <si>
    <t>ВЕСОВАЯ КАТЕГОРИЯ   60</t>
  </si>
  <si>
    <t>58,40</t>
  </si>
  <si>
    <t>52,5</t>
  </si>
  <si>
    <t xml:space="preserve">Сапожникова Александра </t>
  </si>
  <si>
    <t>Открытая (24.08.1991)/32</t>
  </si>
  <si>
    <t>60,00</t>
  </si>
  <si>
    <t>115,0</t>
  </si>
  <si>
    <t>57,5</t>
  </si>
  <si>
    <t>62,5</t>
  </si>
  <si>
    <t>122,5</t>
  </si>
  <si>
    <t>Открытая (30.03.1986)/37</t>
  </si>
  <si>
    <t>58,20</t>
  </si>
  <si>
    <t>Открытая (06.04.1992)/31</t>
  </si>
  <si>
    <t>59,00</t>
  </si>
  <si>
    <t>61,50</t>
  </si>
  <si>
    <t xml:space="preserve">Куликова Ирина </t>
  </si>
  <si>
    <t>Открытая (28.02.1992)/31</t>
  </si>
  <si>
    <t>65,10</t>
  </si>
  <si>
    <t>145,0</t>
  </si>
  <si>
    <t>92,5</t>
  </si>
  <si>
    <t>Открытая (01.02.1982)/41</t>
  </si>
  <si>
    <t>73,80</t>
  </si>
  <si>
    <t>67,5</t>
  </si>
  <si>
    <t>137,5</t>
  </si>
  <si>
    <t>142,5</t>
  </si>
  <si>
    <t>Открытая (13.09.1985)/38</t>
  </si>
  <si>
    <t>72,60</t>
  </si>
  <si>
    <t xml:space="preserve">Дроздов Егор </t>
  </si>
  <si>
    <t>Юноши 15-19 (09.09.2007)/16</t>
  </si>
  <si>
    <t>Юноши 15-19 (14.12.2006)/16</t>
  </si>
  <si>
    <t>69,10</t>
  </si>
  <si>
    <t>147,5</t>
  </si>
  <si>
    <t>Юноши 15-19 (02.07.2007)/16</t>
  </si>
  <si>
    <t>72,30</t>
  </si>
  <si>
    <t>Открытая (28.07.2001)/22</t>
  </si>
  <si>
    <t>70,80</t>
  </si>
  <si>
    <t>152,5</t>
  </si>
  <si>
    <t>207,5</t>
  </si>
  <si>
    <t>Открытая (30.06.1994)/29</t>
  </si>
  <si>
    <t>70,40</t>
  </si>
  <si>
    <t>157,5</t>
  </si>
  <si>
    <t>Открытая (08.08.1992)/31</t>
  </si>
  <si>
    <t>73,70</t>
  </si>
  <si>
    <t>117,5</t>
  </si>
  <si>
    <t xml:space="preserve">Лаптев Андрей </t>
  </si>
  <si>
    <t>Юноши 15-19 (08.10.2006)/17</t>
  </si>
  <si>
    <t>78,00</t>
  </si>
  <si>
    <t>Открытая (20.01.1985)/38</t>
  </si>
  <si>
    <t>82,30</t>
  </si>
  <si>
    <t>127,5</t>
  </si>
  <si>
    <t>Открытая (23.02.1985)/38</t>
  </si>
  <si>
    <t>81,40</t>
  </si>
  <si>
    <t>Юноши 15-19 (10.03.2004)/19</t>
  </si>
  <si>
    <t>86,00</t>
  </si>
  <si>
    <t>85,20</t>
  </si>
  <si>
    <t>89,90</t>
  </si>
  <si>
    <t>232,5</t>
  </si>
  <si>
    <t>Открытая (15.12.1999)/23</t>
  </si>
  <si>
    <t>88,00</t>
  </si>
  <si>
    <t>235,0</t>
  </si>
  <si>
    <t>Открытая (24.03.1994)/29</t>
  </si>
  <si>
    <t>89,30</t>
  </si>
  <si>
    <t>Открытая (07.11.1999)/24</t>
  </si>
  <si>
    <t>86,30</t>
  </si>
  <si>
    <t>87,60</t>
  </si>
  <si>
    <t>Юноши 15-19 (27.04.2004)/19</t>
  </si>
  <si>
    <t>98,10</t>
  </si>
  <si>
    <t>Юноши 15-19 (30.01.2007)/16</t>
  </si>
  <si>
    <t>107,00</t>
  </si>
  <si>
    <t>247,5</t>
  </si>
  <si>
    <t>Юноши 15-19 (29.07.2005)/18</t>
  </si>
  <si>
    <t>108,00</t>
  </si>
  <si>
    <t>227,5</t>
  </si>
  <si>
    <t>Открытая (04.02.1998)/25</t>
  </si>
  <si>
    <t>109,40</t>
  </si>
  <si>
    <t>Открытая (30.01.2007)/16</t>
  </si>
  <si>
    <t>Открытая (21.12.1995)/27</t>
  </si>
  <si>
    <t>ВЕСОВАЯ КАТЕГОРИЯ   125</t>
  </si>
  <si>
    <t>Юноши 15-19 (17.08.2006)/17</t>
  </si>
  <si>
    <t>118,40</t>
  </si>
  <si>
    <t>60</t>
  </si>
  <si>
    <t>48</t>
  </si>
  <si>
    <t xml:space="preserve">Юноши </t>
  </si>
  <si>
    <t>110</t>
  </si>
  <si>
    <t>100</t>
  </si>
  <si>
    <t>Закарюкина Екатерина</t>
  </si>
  <si>
    <t>Батырова Арюна</t>
  </si>
  <si>
    <t>Юрьева Евгения</t>
  </si>
  <si>
    <t>Данильчук Екатерина</t>
  </si>
  <si>
    <t>Москвитина Диана</t>
  </si>
  <si>
    <t>Сапожникова Александра</t>
  </si>
  <si>
    <t>Добрынских Анна</t>
  </si>
  <si>
    <t>-</t>
  </si>
  <si>
    <t>Кузьмина Кристина</t>
  </si>
  <si>
    <t>Цыганок Юлиана</t>
  </si>
  <si>
    <t>Куликова Ирина</t>
  </si>
  <si>
    <t>Бодина Анна</t>
  </si>
  <si>
    <t>Метляева Наталья</t>
  </si>
  <si>
    <t>Дроздов Егор</t>
  </si>
  <si>
    <t>Шевчук Демид</t>
  </si>
  <si>
    <t>Лаптев Павел</t>
  </si>
  <si>
    <t>Шиманович Константин</t>
  </si>
  <si>
    <t>Сорока Иван</t>
  </si>
  <si>
    <t>Субботин Виталий</t>
  </si>
  <si>
    <t>Лаптев Андрей</t>
  </si>
  <si>
    <t>Бронников Григорий</t>
  </si>
  <si>
    <t>Исаченко Евгений</t>
  </si>
  <si>
    <t>Викулов Андрей</t>
  </si>
  <si>
    <t>Бурдинский Александр</t>
  </si>
  <si>
    <t>Искаков Руслан</t>
  </si>
  <si>
    <t>Мошкин Иван</t>
  </si>
  <si>
    <t>Горяшин Сергей</t>
  </si>
  <si>
    <t>Власевский Алексей</t>
  </si>
  <si>
    <t>Сапожников Дмитрий</t>
  </si>
  <si>
    <t>Хрущев Андрей</t>
  </si>
  <si>
    <t>Иванов Даниил</t>
  </si>
  <si>
    <t>Ленский Тимур</t>
  </si>
  <si>
    <t>Никаноров Олег</t>
  </si>
  <si>
    <t>Зайцев Евгений</t>
  </si>
  <si>
    <t>Жемухов Артур</t>
  </si>
  <si>
    <t>Ставский Лавр</t>
  </si>
  <si>
    <t>Открытая (05.02.1987)/36</t>
  </si>
  <si>
    <t>74,40</t>
  </si>
  <si>
    <t>Васильев Виталий</t>
  </si>
  <si>
    <t>Открытая (27.11.1995)/28</t>
  </si>
  <si>
    <t>87,80</t>
  </si>
  <si>
    <t>95,20</t>
  </si>
  <si>
    <t>132,5</t>
  </si>
  <si>
    <t>Зуев Иван</t>
  </si>
  <si>
    <t>Серебряков Влад</t>
  </si>
  <si>
    <t>Открытая (15.03.1997)/26</t>
  </si>
  <si>
    <t>59,30</t>
  </si>
  <si>
    <t>77,5</t>
  </si>
  <si>
    <t>Юноши 15-19 (24.06.2006)/17</t>
  </si>
  <si>
    <t>63,80</t>
  </si>
  <si>
    <t>Открытая (20.03.1985)/38</t>
  </si>
  <si>
    <t>75,00</t>
  </si>
  <si>
    <t>Открытая (23.07.1993)/30</t>
  </si>
  <si>
    <t>81,30</t>
  </si>
  <si>
    <t>Открытая (13.07.1989)/34</t>
  </si>
  <si>
    <t>86,90</t>
  </si>
  <si>
    <t>Открытая (25.08.1994)/29</t>
  </si>
  <si>
    <t>86,40</t>
  </si>
  <si>
    <t>Открытая (25.01.1997)/26</t>
  </si>
  <si>
    <t>86,50</t>
  </si>
  <si>
    <t>Открытая (19.08.1996)/27</t>
  </si>
  <si>
    <t>86,60</t>
  </si>
  <si>
    <t>88,80</t>
  </si>
  <si>
    <t>Открытая (25.07.1999)/24</t>
  </si>
  <si>
    <t>99,50</t>
  </si>
  <si>
    <t>97,50</t>
  </si>
  <si>
    <t xml:space="preserve">Ниязиев Энвер </t>
  </si>
  <si>
    <t>Открытая (22.07.1989)/34</t>
  </si>
  <si>
    <t>105,80</t>
  </si>
  <si>
    <t xml:space="preserve">Гладких Захар </t>
  </si>
  <si>
    <t>Открытая (25.11.1998)/25</t>
  </si>
  <si>
    <t>102,00</t>
  </si>
  <si>
    <t>Открытая (13.06.1977)/46</t>
  </si>
  <si>
    <t>108,20</t>
  </si>
  <si>
    <t>192,5</t>
  </si>
  <si>
    <t>108,80</t>
  </si>
  <si>
    <t>109,60</t>
  </si>
  <si>
    <t xml:space="preserve">Кудрявцев Александр </t>
  </si>
  <si>
    <t>Открытая (18.04.1993)/30</t>
  </si>
  <si>
    <t>119,50</t>
  </si>
  <si>
    <t>Открытая (02.12.1993)/30</t>
  </si>
  <si>
    <t>123,00</t>
  </si>
  <si>
    <t>113,00</t>
  </si>
  <si>
    <t xml:space="preserve">Результат </t>
  </si>
  <si>
    <t>125</t>
  </si>
  <si>
    <t>Результат</t>
  </si>
  <si>
    <t>Мантур Любовь</t>
  </si>
  <si>
    <t>Шевелев Артемий</t>
  </si>
  <si>
    <t>Руднев Сергей</t>
  </si>
  <si>
    <t>Малофеев Виктор</t>
  </si>
  <si>
    <t>Пятилокотов Кирилл</t>
  </si>
  <si>
    <t>Журавлев Вадим</t>
  </si>
  <si>
    <t>Кривороткин Павел</t>
  </si>
  <si>
    <t>Иващенко Олег</t>
  </si>
  <si>
    <t>Семенов Александр</t>
  </si>
  <si>
    <t>Занин Даниил</t>
  </si>
  <si>
    <t>Столяров Константин</t>
  </si>
  <si>
    <t>Ниязиев Энвер</t>
  </si>
  <si>
    <t>Гладких Захар</t>
  </si>
  <si>
    <t>Четвертных Александр</t>
  </si>
  <si>
    <t>Куркутов Руслан</t>
  </si>
  <si>
    <t>Касьянов Борис</t>
  </si>
  <si>
    <t>Кудрявцев Александр</t>
  </si>
  <si>
    <t>Загоскин Антон</t>
  </si>
  <si>
    <t>Матвеев Андрей</t>
  </si>
  <si>
    <t xml:space="preserve">Юдина Мария </t>
  </si>
  <si>
    <t>Открытая (12.06.1987)/36</t>
  </si>
  <si>
    <t>54,20</t>
  </si>
  <si>
    <t xml:space="preserve">Сегедюк Дарья </t>
  </si>
  <si>
    <t>Открытая (13.01.1999)/24</t>
  </si>
  <si>
    <t>58,00</t>
  </si>
  <si>
    <t>64,50</t>
  </si>
  <si>
    <t>Открытая (04.04.1995)/28</t>
  </si>
  <si>
    <t>65,30</t>
  </si>
  <si>
    <t>63,20</t>
  </si>
  <si>
    <t xml:space="preserve">Гусева Наталья </t>
  </si>
  <si>
    <t>Открытая (20.11.1975)/48</t>
  </si>
  <si>
    <t>71,70</t>
  </si>
  <si>
    <t>Юноши 15-19 (25.03.2013)/10</t>
  </si>
  <si>
    <t>43,70</t>
  </si>
  <si>
    <t>25,0</t>
  </si>
  <si>
    <t>27,5</t>
  </si>
  <si>
    <t>30,0</t>
  </si>
  <si>
    <t>Юноши 15-19 (23.04.2008)/15</t>
  </si>
  <si>
    <t>55,80</t>
  </si>
  <si>
    <t>Открытая (08.08.1987)/36</t>
  </si>
  <si>
    <t>66,00</t>
  </si>
  <si>
    <t>Юноши 15-19 (06.07.2005)/18</t>
  </si>
  <si>
    <t>Юноши 15-19 (05.11.2007)/16</t>
  </si>
  <si>
    <t>71,40</t>
  </si>
  <si>
    <t>Юноши 15-19 (20.04.2008)/15</t>
  </si>
  <si>
    <t>Открытая (12.08.1992)/31</t>
  </si>
  <si>
    <t>73,20</t>
  </si>
  <si>
    <t>77,50</t>
  </si>
  <si>
    <t>79,20</t>
  </si>
  <si>
    <t>Открытая (14.12.1976)/46</t>
  </si>
  <si>
    <t>80,50</t>
  </si>
  <si>
    <t>Открытая (08.08.1991)/32</t>
  </si>
  <si>
    <t>81,90</t>
  </si>
  <si>
    <t>Открытая (27.12.1989)/33</t>
  </si>
  <si>
    <t>80,00</t>
  </si>
  <si>
    <t>Открытая (30.06.1985)/38</t>
  </si>
  <si>
    <t>Открытая (11.01.1994)/29</t>
  </si>
  <si>
    <t>Открытая (10.03.1987)/36</t>
  </si>
  <si>
    <t xml:space="preserve">Трофимов Александр </t>
  </si>
  <si>
    <t>Открытая (22.10.1992)/31</t>
  </si>
  <si>
    <t>89,20</t>
  </si>
  <si>
    <t>211,0</t>
  </si>
  <si>
    <t>Открытая (26.06.1989)/34</t>
  </si>
  <si>
    <t>Открытая (08.04.1988)/35</t>
  </si>
  <si>
    <t>88,40</t>
  </si>
  <si>
    <t>88,60</t>
  </si>
  <si>
    <t>Открытая (12.03.1995)/28</t>
  </si>
  <si>
    <t>95,30</t>
  </si>
  <si>
    <t>Открытая (07.05.1989)/34</t>
  </si>
  <si>
    <t>95,70</t>
  </si>
  <si>
    <t>Открытая (11.12.1991)/31</t>
  </si>
  <si>
    <t>99,60</t>
  </si>
  <si>
    <t>Открытая (05.10.1985)/38</t>
  </si>
  <si>
    <t>94,30</t>
  </si>
  <si>
    <t>95,00</t>
  </si>
  <si>
    <t>92,60</t>
  </si>
  <si>
    <t>94,80</t>
  </si>
  <si>
    <t>107,70</t>
  </si>
  <si>
    <t>Открытая (10.10.1993)/30</t>
  </si>
  <si>
    <t>123,70</t>
  </si>
  <si>
    <t>177,5</t>
  </si>
  <si>
    <t>122,50</t>
  </si>
  <si>
    <t>56</t>
  </si>
  <si>
    <t>82.5</t>
  </si>
  <si>
    <t>Юдина Мария</t>
  </si>
  <si>
    <t>Сегедюк Дарья</t>
  </si>
  <si>
    <t>Шафоростова Екатерина</t>
  </si>
  <si>
    <t>Демова Ольга</t>
  </si>
  <si>
    <t>Уварова Юлия</t>
  </si>
  <si>
    <t>Гусева Наталья</t>
  </si>
  <si>
    <t>Котова Валерия</t>
  </si>
  <si>
    <t>Калинин Матвей</t>
  </si>
  <si>
    <t>Карпов Данил</t>
  </si>
  <si>
    <t>Козлов Дмитрий</t>
  </si>
  <si>
    <t>Хилинский Богдан</t>
  </si>
  <si>
    <t>Редькин Алексей</t>
  </si>
  <si>
    <t>Жерещин Степан</t>
  </si>
  <si>
    <t>Егоров Дмитрий</t>
  </si>
  <si>
    <t>Заикин Пётр</t>
  </si>
  <si>
    <t>Слесь Данил</t>
  </si>
  <si>
    <t>Когут Артем</t>
  </si>
  <si>
    <t>Бруев Олег</t>
  </si>
  <si>
    <t>Процук Сергей</t>
  </si>
  <si>
    <t>Гильдебрант Леонид</t>
  </si>
  <si>
    <t>Козырьков Максим</t>
  </si>
  <si>
    <t>5</t>
  </si>
  <si>
    <t>Альтман Александр</t>
  </si>
  <si>
    <t>6</t>
  </si>
  <si>
    <t>7</t>
  </si>
  <si>
    <t>Марков Павел</t>
  </si>
  <si>
    <t>Костенков Руслан</t>
  </si>
  <si>
    <t>Номоконов Азамат</t>
  </si>
  <si>
    <t>Трофимов Александр</t>
  </si>
  <si>
    <t>Вилков Денис</t>
  </si>
  <si>
    <t>Кур Олзей</t>
  </si>
  <si>
    <t>Завадский Евгений</t>
  </si>
  <si>
    <t>Тарасенко Василий</t>
  </si>
  <si>
    <t>Ботов Александр</t>
  </si>
  <si>
    <t>Колодин Роман</t>
  </si>
  <si>
    <t>Юркевич Евгений</t>
  </si>
  <si>
    <t>Кукс Павел</t>
  </si>
  <si>
    <t>Войкин Александр</t>
  </si>
  <si>
    <t>Шиханов Александр</t>
  </si>
  <si>
    <t>Серов Евгений</t>
  </si>
  <si>
    <t>Тузовский Вячеслав</t>
  </si>
  <si>
    <t>Тихомиров Петр</t>
  </si>
  <si>
    <t>Глебов Иван</t>
  </si>
  <si>
    <t>Воронцов Владислав</t>
  </si>
  <si>
    <t>Открытая (05.04.1991)/32</t>
  </si>
  <si>
    <t>90,00</t>
  </si>
  <si>
    <t>Открытая (05.03.1990)/33</t>
  </si>
  <si>
    <t>131,70</t>
  </si>
  <si>
    <t>Шураев Павел</t>
  </si>
  <si>
    <t>Доманских Максим</t>
  </si>
  <si>
    <t>Тарасов Константин</t>
  </si>
  <si>
    <t>Открытая (31.03.1978)/45</t>
  </si>
  <si>
    <t>51,00</t>
  </si>
  <si>
    <t>Открытая (25.07.1991)/32</t>
  </si>
  <si>
    <t>74,80</t>
  </si>
  <si>
    <t>245,0</t>
  </si>
  <si>
    <t>Открытая (19.05.1988)/35</t>
  </si>
  <si>
    <t>82,40</t>
  </si>
  <si>
    <t>Открытая (15.03.1990)/33</t>
  </si>
  <si>
    <t>Гусева Алена</t>
  </si>
  <si>
    <t>Старцев Юрий</t>
  </si>
  <si>
    <t>Боборыко Максим</t>
  </si>
  <si>
    <t>Антагаров Ширип</t>
  </si>
  <si>
    <t>104,20</t>
  </si>
  <si>
    <t>Мепаришвили Мераби</t>
  </si>
  <si>
    <t>Открытая (28.07.1987)/36</t>
  </si>
  <si>
    <t>85,70</t>
  </si>
  <si>
    <t>Заголовец Игорь</t>
  </si>
  <si>
    <t>Открытая (09.10.1994)/29</t>
  </si>
  <si>
    <t>85,00</t>
  </si>
  <si>
    <t>242,5</t>
  </si>
  <si>
    <t>Открытая (01.12.1980)/43</t>
  </si>
  <si>
    <t>96,80</t>
  </si>
  <si>
    <t>Открытая (17.07.1994)/29</t>
  </si>
  <si>
    <t>105,00</t>
  </si>
  <si>
    <t>Открытая (15.06.1982)/41</t>
  </si>
  <si>
    <t>Открытая (09.02.1984)/39</t>
  </si>
  <si>
    <t>116,80</t>
  </si>
  <si>
    <t xml:space="preserve">Gloss </t>
  </si>
  <si>
    <t>Тешабоев Адхамжон</t>
  </si>
  <si>
    <t>Фаткулов Артём</t>
  </si>
  <si>
    <t>Анцупов Максим</t>
  </si>
  <si>
    <t>Сультимов Баир</t>
  </si>
  <si>
    <t>Спыну Игорь</t>
  </si>
  <si>
    <t>Открытая (27.09.1985)/38</t>
  </si>
  <si>
    <t>109,30</t>
  </si>
  <si>
    <t>Открытая (18.03.1990)/33</t>
  </si>
  <si>
    <t>121,70</t>
  </si>
  <si>
    <t>Серебренников Вадим</t>
  </si>
  <si>
    <t>Назарук Дмитрий</t>
  </si>
  <si>
    <t>Шергин Дмитрий</t>
  </si>
  <si>
    <t>69,70</t>
  </si>
  <si>
    <t>Открытая (13.02.1985)/38</t>
  </si>
  <si>
    <t>100,00</t>
  </si>
  <si>
    <t>Сумец Сергей</t>
  </si>
  <si>
    <t>Соколов Александр</t>
  </si>
  <si>
    <t>Открытая (28.02.1989)/34</t>
  </si>
  <si>
    <t>32,5</t>
  </si>
  <si>
    <t xml:space="preserve">Медведев Матвей </t>
  </si>
  <si>
    <t>66,50</t>
  </si>
  <si>
    <t>66,80</t>
  </si>
  <si>
    <t>72,40</t>
  </si>
  <si>
    <t>70,10</t>
  </si>
  <si>
    <t>75,50</t>
  </si>
  <si>
    <t>Открытая (26.10.1990)/33</t>
  </si>
  <si>
    <t>81,50</t>
  </si>
  <si>
    <t>Костромина Татьяна</t>
  </si>
  <si>
    <t>Медведев Матвей</t>
  </si>
  <si>
    <t>Петров Данил</t>
  </si>
  <si>
    <t>Батагаев Дмитрий</t>
  </si>
  <si>
    <t>Шевцов Антон</t>
  </si>
  <si>
    <t>Тимошенко Алексей</t>
  </si>
  <si>
    <t>Кабаков Антон</t>
  </si>
  <si>
    <t>Слепцов Антон</t>
  </si>
  <si>
    <t>Маншеев Александр</t>
  </si>
  <si>
    <t>Ипатов Дмитрий</t>
  </si>
  <si>
    <t>Открытая (28.01.1992)/31</t>
  </si>
  <si>
    <t>136,40</t>
  </si>
  <si>
    <t>Криволуцкий Антон</t>
  </si>
  <si>
    <t>Абсолютный зачет</t>
  </si>
  <si>
    <t>Весовая категория</t>
  </si>
  <si>
    <t>Юниорки 20-23 (28.09.2002)/21</t>
  </si>
  <si>
    <t>Юниорки 20-23 (17.03.2002)/21</t>
  </si>
  <si>
    <t>Юниоры 20-23 (23.10.2002)/21</t>
  </si>
  <si>
    <t>Юниоры 20-23 (24.08.2000)/23</t>
  </si>
  <si>
    <t>Мастера 40-44 (24.09.1982)/41</t>
  </si>
  <si>
    <t>Мастера 55-59 (11.11.1968)/55</t>
  </si>
  <si>
    <t>Юниорки 20-23 (08.03.2002)/21</t>
  </si>
  <si>
    <t>Юниорки 20-23 (10.01.2001)/22</t>
  </si>
  <si>
    <t>Мастера 40-44 (05.10.1981)/42</t>
  </si>
  <si>
    <t>Мастера 45-49 (02.01.1978)/45</t>
  </si>
  <si>
    <t>Юниоры 20-23 (06.06.2001)/22</t>
  </si>
  <si>
    <t>Мастера 45-49 (30.09.1975)/48</t>
  </si>
  <si>
    <t>Юниорки 20-23 (22.10.2000)/23</t>
  </si>
  <si>
    <t>Мастера 45-49 (03.10.1977)/46</t>
  </si>
  <si>
    <t>Мастера 45-49 (20.11.1975)/48</t>
  </si>
  <si>
    <t>Мастера 55-59 (29.09.1964)/59</t>
  </si>
  <si>
    <t>Мастера 40-44 (12.01.1983)/40</t>
  </si>
  <si>
    <t>Юниоры 20-23 (09.07.2001)/22</t>
  </si>
  <si>
    <t>Юниоры 20-23 (31.05.2000)/23</t>
  </si>
  <si>
    <t>Юниоры 20-23 (31.07.2002)/21</t>
  </si>
  <si>
    <t>Мастера 45-49 (14.12.1976)/46</t>
  </si>
  <si>
    <t>Юниоры 20-23 (15.04.2002)/21</t>
  </si>
  <si>
    <t>Мастера 40-44 (19.01.1979)/44</t>
  </si>
  <si>
    <t>Мастера 45-49 (10.10.1976)/47</t>
  </si>
  <si>
    <t>Мастера 40-44 (08.09.1983)/40</t>
  </si>
  <si>
    <t>Мастера 40-44 (28.05.1982)/41</t>
  </si>
  <si>
    <t>Мастера 45-49 (12.02.1974)/49</t>
  </si>
  <si>
    <t>Мастера 40-44 (05.07.1982)/41</t>
  </si>
  <si>
    <t>Мастера 40-44 (23.11.1980)/43</t>
  </si>
  <si>
    <t>Мастера 50-54 (23.07.1970)/53</t>
  </si>
  <si>
    <t>Мастера 40-44 (15.03.1980)/43</t>
  </si>
  <si>
    <t>Мастера 40-44 (02.02.1983)/40</t>
  </si>
  <si>
    <t>Мастера 40-44 (04.08.1982)/41</t>
  </si>
  <si>
    <t>Мастера 45-49 (24.04.1975)/48</t>
  </si>
  <si>
    <t>Мастера 40-44 (15.06.1982)/41</t>
  </si>
  <si>
    <t>Мастера 50-59 (01.06.1964)/59</t>
  </si>
  <si>
    <t>Мастера 40-49 (01.12.1980)/43</t>
  </si>
  <si>
    <t>Мастера 40-49 (17.07.1978)/45</t>
  </si>
  <si>
    <t>Мастера 40-49 (03.10.1977)/46</t>
  </si>
  <si>
    <t>Мастера 40-44 (22.01.1983)/40</t>
  </si>
  <si>
    <t>Юноши 13-19 (11.01.2008)/15</t>
  </si>
  <si>
    <t>Юноши 13-19 (16.07.2006)/17</t>
  </si>
  <si>
    <t>Юноши 13-19 (23.05.2007)/16</t>
  </si>
  <si>
    <t>Юноши 13-19 (05.04.2006)/17</t>
  </si>
  <si>
    <t>Юноши 13-19 (09.09.2007)/16</t>
  </si>
  <si>
    <t>Юниоры 20-23 (19.09.2001)/22</t>
  </si>
  <si>
    <t>Мастера 40-49 (01.12.1982)/41</t>
  </si>
  <si>
    <t>Мастера 40-49 (15.01.1982)/41</t>
  </si>
  <si>
    <t>Юноши 13-19 (08.10.2006)/17</t>
  </si>
  <si>
    <t>Юноши 13-19 (07.02.2006)/17</t>
  </si>
  <si>
    <t xml:space="preserve">Юноши 13-19 </t>
  </si>
  <si>
    <t>Юниоры 20-23 (18.07.2000)/23</t>
  </si>
  <si>
    <t>№</t>
  </si>
  <si>
    <t>Республика Бурятия, Улан-Удэ</t>
  </si>
  <si>
    <t>Красноярский край, Норильск</t>
  </si>
  <si>
    <t>Всероссийский турнир «Кубок Байкала»
IPL Пауэрлифтинг без экипировки ДК
Иркутск/08-10 декабря 2023 года</t>
  </si>
  <si>
    <t>Усть-Илимск</t>
  </si>
  <si>
    <t>Иркутск</t>
  </si>
  <si>
    <t>Зима</t>
  </si>
  <si>
    <t>Киренск</t>
  </si>
  <si>
    <t>Саянск</t>
  </si>
  <si>
    <t>Ангарск</t>
  </si>
  <si>
    <t>Усолье-Сибирское</t>
  </si>
  <si>
    <t>Всероссийский турнир «Кубок Байкала»
IPL Пауэрлифтинг без экипировки
Иркутск/08-10 декабря 2023 года</t>
  </si>
  <si>
    <t>Братск</t>
  </si>
  <si>
    <t>Всероссийский турнир «Кубок Байкала»
IPL Пауэрлифтинг в бинтах ДК
Иркутск/08-10 декабря 2023 года</t>
  </si>
  <si>
    <t>Всероссийский турнир «Кубок Байкала»
IPL Пауэрлифтинг в бинтах
Иркутск/08-10 декабря 2023 года</t>
  </si>
  <si>
    <t>Всероссийский турнир «Кубок Байкала»
IPL Силовое двоеборье без экипировки ДК
Иркутск/08-10 декабря 2023 года</t>
  </si>
  <si>
    <t>Всероссийский турнир «Кубок Байкала»
IPL Силовое двоеборье без экипировки
Иркутск/08-10 декабря 2023 года</t>
  </si>
  <si>
    <t>Всероссийский турнир «Кубок Байкала»
IPL Присед без экипировки ДК
Иркутск/08-10 декабря 2023 года</t>
  </si>
  <si>
    <t>Всероссийский турнир «Кубок Байкала»
IPL Присед без экипировки
Иркутск/08-10 декабря 2023 года</t>
  </si>
  <si>
    <t>Всероссийский турнир «Кубок Байкала»
IPL Присед в бинтах ДК
Иркутск/08-10 декабря 2023 года</t>
  </si>
  <si>
    <t>Всероссийский турнир «Кубок Байкала»
IPL Жим лежа без экипировки ДК
Иркутск/08-10 декабря 2023 года</t>
  </si>
  <si>
    <t>Шелехов</t>
  </si>
  <si>
    <t>Тайшет</t>
  </si>
  <si>
    <t>Всероссийский турнир «Кубок Байкала»
IPL Жим лежа без экипировки
Иркутск/08-10 декабря 2023 года</t>
  </si>
  <si>
    <t>Всероссийский турнир «Кубок Байкала»
СПР Жим лежа в однопетельной софт экипировке ДК
Иркутск/08-10 декабря 2023 года</t>
  </si>
  <si>
    <t>Всероссийский турнир «Кубок Байкала»
СПР Жим лежа в однопетельной софт экипировке
Иркутск/08-10 декабря 2023 года</t>
  </si>
  <si>
    <t>Всероссийский турнир «Кубок Байкала»
IPL Становая тяга без экипировки ДК
Иркутск/08-10 декабря 2023 года</t>
  </si>
  <si>
    <t>Всероссийский турнир «Кубок Байкала»
IPL Становая тяга без экипировки
Иркутск/08-10 декабря 2023 года</t>
  </si>
  <si>
    <t>Всероссийский турнир «Кубок Байкала»
СПР Пауэрспорт ДК
Иркутск/08-10 декабря 2023 года</t>
  </si>
  <si>
    <t>Всероссийский турнир «Кубок Байкала»
СПР Строгий подъем штанги на бицепс ДК
Иркутск/08-10 декабря 2023 года</t>
  </si>
  <si>
    <t>Всероссийский турнир «Кубок Байкала»
СПР Строгий подъем штанги на бицепс
Иркутск/08-10 декабря 2023 года</t>
  </si>
  <si>
    <t>жим</t>
  </si>
  <si>
    <t>тяга</t>
  </si>
  <si>
    <t xml:space="preserve">
Дата рождения/Возраст</t>
  </si>
  <si>
    <t>Возрастная группа</t>
  </si>
  <si>
    <t>O</t>
  </si>
  <si>
    <t>J</t>
  </si>
  <si>
    <t>T</t>
  </si>
  <si>
    <t>M1</t>
  </si>
  <si>
    <t>M4</t>
  </si>
  <si>
    <t>M2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</si>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</sst>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86"/>
  <sheetViews>
    <sheetView topLeftCell="A30" workbookViewId="0">
      <selection activeCell="E67" sqref="E67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9" style="5" bestFit="1" customWidth="1"/>
    <col min="4" max="4" width="21.5" style="5" bestFit="1" customWidth="1"/>
    <col min="5" max="5" width="10.5" style="6" bestFit="1" customWidth="1"/>
    <col min="6" max="6" width="34.8320312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29" bestFit="1" customWidth="1"/>
    <col min="20" max="20" width="8.5" style="7" bestFit="1" customWidth="1"/>
    <col min="21" max="21" width="21.33203125" style="5" customWidth="1"/>
    <col min="22" max="16384" width="9.1640625" style="3"/>
  </cols>
  <sheetData>
    <row r="1" spans="1:21" s="2" customFormat="1" ht="29" customHeight="1">
      <c r="A1" s="47" t="s">
        <v>587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8</v>
      </c>
      <c r="H3" s="61"/>
      <c r="I3" s="61"/>
      <c r="J3" s="61"/>
      <c r="K3" s="61" t="s">
        <v>9</v>
      </c>
      <c r="L3" s="61"/>
      <c r="M3" s="61"/>
      <c r="N3" s="61"/>
      <c r="O3" s="61" t="s">
        <v>10</v>
      </c>
      <c r="P3" s="61"/>
      <c r="Q3" s="61"/>
      <c r="R3" s="61"/>
      <c r="S3" s="64" t="s">
        <v>1</v>
      </c>
      <c r="T3" s="59" t="s">
        <v>3</v>
      </c>
      <c r="U3" s="66" t="s">
        <v>2</v>
      </c>
    </row>
    <row r="4" spans="1:21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5"/>
      <c r="T4" s="60"/>
      <c r="U4" s="67"/>
    </row>
    <row r="5" spans="1:21" ht="16">
      <c r="A5" s="68" t="s">
        <v>134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21">
      <c r="A6" s="34" t="s">
        <v>117</v>
      </c>
      <c r="B6" s="14" t="s">
        <v>241</v>
      </c>
      <c r="C6" s="14" t="s">
        <v>136</v>
      </c>
      <c r="D6" s="14" t="s">
        <v>137</v>
      </c>
      <c r="E6" s="15" t="s">
        <v>619</v>
      </c>
      <c r="F6" s="14" t="s">
        <v>588</v>
      </c>
      <c r="G6" s="33" t="s">
        <v>22</v>
      </c>
      <c r="H6" s="33" t="s">
        <v>27</v>
      </c>
      <c r="I6" s="35" t="s">
        <v>13</v>
      </c>
      <c r="J6" s="34"/>
      <c r="K6" s="33" t="s">
        <v>17</v>
      </c>
      <c r="L6" s="35" t="s">
        <v>18</v>
      </c>
      <c r="M6" s="35" t="s">
        <v>18</v>
      </c>
      <c r="N6" s="34"/>
      <c r="O6" s="33" t="s">
        <v>27</v>
      </c>
      <c r="P6" s="33" t="s">
        <v>13</v>
      </c>
      <c r="Q6" s="35" t="s">
        <v>15</v>
      </c>
      <c r="R6" s="34"/>
      <c r="S6" s="43" t="str">
        <f>"250,0"</f>
        <v>250,0</v>
      </c>
      <c r="T6" s="16" t="str">
        <f>"342,4750"</f>
        <v>342,4750</v>
      </c>
      <c r="U6" s="14"/>
    </row>
    <row r="7" spans="1:21">
      <c r="A7" s="41" t="s">
        <v>124</v>
      </c>
      <c r="B7" s="20" t="s">
        <v>242</v>
      </c>
      <c r="C7" s="20" t="s">
        <v>138</v>
      </c>
      <c r="D7" s="20" t="s">
        <v>139</v>
      </c>
      <c r="E7" s="21" t="s">
        <v>619</v>
      </c>
      <c r="F7" s="20" t="s">
        <v>585</v>
      </c>
      <c r="G7" s="39" t="s">
        <v>16</v>
      </c>
      <c r="H7" s="39" t="s">
        <v>17</v>
      </c>
      <c r="I7" s="39" t="s">
        <v>18</v>
      </c>
      <c r="J7" s="41"/>
      <c r="K7" s="39" t="s">
        <v>140</v>
      </c>
      <c r="L7" s="39" t="s">
        <v>141</v>
      </c>
      <c r="M7" s="41"/>
      <c r="N7" s="41"/>
      <c r="O7" s="39" t="s">
        <v>142</v>
      </c>
      <c r="P7" s="39" t="s">
        <v>143</v>
      </c>
      <c r="Q7" s="39" t="s">
        <v>22</v>
      </c>
      <c r="R7" s="41"/>
      <c r="S7" s="44" t="str">
        <f>"192,5"</f>
        <v>192,5</v>
      </c>
      <c r="T7" s="22" t="str">
        <f>"254,9470"</f>
        <v>254,9470</v>
      </c>
      <c r="U7" s="20"/>
    </row>
    <row r="9" spans="1:21" ht="16">
      <c r="A9" s="62" t="s">
        <v>144</v>
      </c>
      <c r="B9" s="62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1:21">
      <c r="A10" s="32" t="s">
        <v>117</v>
      </c>
      <c r="B10" s="11" t="s">
        <v>243</v>
      </c>
      <c r="C10" s="11" t="s">
        <v>145</v>
      </c>
      <c r="D10" s="11" t="s">
        <v>146</v>
      </c>
      <c r="E10" s="12" t="s">
        <v>619</v>
      </c>
      <c r="F10" s="11" t="s">
        <v>588</v>
      </c>
      <c r="G10" s="30" t="s">
        <v>34</v>
      </c>
      <c r="H10" s="30" t="s">
        <v>142</v>
      </c>
      <c r="I10" s="30" t="s">
        <v>147</v>
      </c>
      <c r="J10" s="32"/>
      <c r="K10" s="31" t="s">
        <v>148</v>
      </c>
      <c r="L10" s="30" t="s">
        <v>149</v>
      </c>
      <c r="M10" s="31" t="s">
        <v>16</v>
      </c>
      <c r="N10" s="32"/>
      <c r="O10" s="30" t="s">
        <v>142</v>
      </c>
      <c r="P10" s="30" t="s">
        <v>22</v>
      </c>
      <c r="Q10" s="30" t="s">
        <v>27</v>
      </c>
      <c r="R10" s="32"/>
      <c r="S10" s="45" t="str">
        <f>"225,0"</f>
        <v>225,0</v>
      </c>
      <c r="T10" s="13" t="str">
        <f>"283,4325"</f>
        <v>283,4325</v>
      </c>
      <c r="U10" s="11"/>
    </row>
    <row r="12" spans="1:21" ht="16">
      <c r="A12" s="62" t="s">
        <v>150</v>
      </c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1:21">
      <c r="A13" s="32" t="s">
        <v>117</v>
      </c>
      <c r="B13" s="11" t="s">
        <v>244</v>
      </c>
      <c r="C13" s="11" t="s">
        <v>151</v>
      </c>
      <c r="D13" s="11" t="s">
        <v>152</v>
      </c>
      <c r="E13" s="12" t="s">
        <v>619</v>
      </c>
      <c r="F13" s="11" t="s">
        <v>589</v>
      </c>
      <c r="G13" s="31" t="s">
        <v>35</v>
      </c>
      <c r="H13" s="30" t="s">
        <v>35</v>
      </c>
      <c r="I13" s="32"/>
      <c r="J13" s="32"/>
      <c r="K13" s="30" t="s">
        <v>153</v>
      </c>
      <c r="L13" s="30" t="s">
        <v>154</v>
      </c>
      <c r="M13" s="31" t="s">
        <v>148</v>
      </c>
      <c r="N13" s="32"/>
      <c r="O13" s="30" t="s">
        <v>19</v>
      </c>
      <c r="P13" s="30" t="s">
        <v>41</v>
      </c>
      <c r="Q13" s="31" t="s">
        <v>155</v>
      </c>
      <c r="R13" s="32"/>
      <c r="S13" s="45" t="str">
        <f>"227,5"</f>
        <v>227,5</v>
      </c>
      <c r="T13" s="13" t="str">
        <f>"267,6765"</f>
        <v>267,6765</v>
      </c>
      <c r="U13" s="11"/>
    </row>
    <row r="15" spans="1:21" ht="16">
      <c r="A15" s="62" t="s">
        <v>156</v>
      </c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spans="1:21">
      <c r="A16" s="34" t="s">
        <v>117</v>
      </c>
      <c r="B16" s="14" t="s">
        <v>245</v>
      </c>
      <c r="C16" s="14" t="s">
        <v>532</v>
      </c>
      <c r="D16" s="14" t="s">
        <v>157</v>
      </c>
      <c r="E16" s="15" t="s">
        <v>620</v>
      </c>
      <c r="F16" s="14" t="s">
        <v>589</v>
      </c>
      <c r="G16" s="33" t="s">
        <v>24</v>
      </c>
      <c r="H16" s="35" t="s">
        <v>19</v>
      </c>
      <c r="I16" s="35" t="s">
        <v>19</v>
      </c>
      <c r="J16" s="34"/>
      <c r="K16" s="33" t="s">
        <v>16</v>
      </c>
      <c r="L16" s="35" t="s">
        <v>158</v>
      </c>
      <c r="M16" s="34"/>
      <c r="N16" s="34"/>
      <c r="O16" s="33" t="s">
        <v>19</v>
      </c>
      <c r="P16" s="35" t="s">
        <v>15</v>
      </c>
      <c r="Q16" s="34"/>
      <c r="R16" s="34"/>
      <c r="S16" s="43" t="str">
        <f>"257,5"</f>
        <v>257,5</v>
      </c>
      <c r="T16" s="16" t="str">
        <f>"293,1895"</f>
        <v>293,1895</v>
      </c>
      <c r="U16" s="14"/>
    </row>
    <row r="17" spans="1:21">
      <c r="A17" s="38" t="s">
        <v>117</v>
      </c>
      <c r="B17" s="17" t="s">
        <v>246</v>
      </c>
      <c r="C17" s="17" t="s">
        <v>160</v>
      </c>
      <c r="D17" s="17" t="s">
        <v>161</v>
      </c>
      <c r="E17" s="18" t="s">
        <v>619</v>
      </c>
      <c r="F17" s="17" t="s">
        <v>589</v>
      </c>
      <c r="G17" s="36" t="s">
        <v>27</v>
      </c>
      <c r="H17" s="36" t="s">
        <v>162</v>
      </c>
      <c r="I17" s="37" t="s">
        <v>155</v>
      </c>
      <c r="J17" s="38"/>
      <c r="K17" s="36" t="s">
        <v>16</v>
      </c>
      <c r="L17" s="36" t="s">
        <v>163</v>
      </c>
      <c r="M17" s="37" t="s">
        <v>164</v>
      </c>
      <c r="N17" s="38"/>
      <c r="O17" s="36" t="s">
        <v>13</v>
      </c>
      <c r="P17" s="36" t="s">
        <v>162</v>
      </c>
      <c r="Q17" s="36" t="s">
        <v>165</v>
      </c>
      <c r="R17" s="38"/>
      <c r="S17" s="46" t="str">
        <f>"295,0"</f>
        <v>295,0</v>
      </c>
      <c r="T17" s="19" t="str">
        <f>"328,8955"</f>
        <v>328,8955</v>
      </c>
      <c r="U17" s="17"/>
    </row>
    <row r="18" spans="1:21">
      <c r="A18" s="38" t="s">
        <v>124</v>
      </c>
      <c r="B18" s="17" t="s">
        <v>247</v>
      </c>
      <c r="C18" s="17" t="s">
        <v>166</v>
      </c>
      <c r="D18" s="17" t="s">
        <v>167</v>
      </c>
      <c r="E18" s="18" t="s">
        <v>619</v>
      </c>
      <c r="F18" s="17" t="s">
        <v>589</v>
      </c>
      <c r="G18" s="36" t="s">
        <v>34</v>
      </c>
      <c r="H18" s="36" t="s">
        <v>142</v>
      </c>
      <c r="I18" s="37" t="s">
        <v>143</v>
      </c>
      <c r="J18" s="38"/>
      <c r="K18" s="36" t="s">
        <v>154</v>
      </c>
      <c r="L18" s="36" t="s">
        <v>141</v>
      </c>
      <c r="M18" s="37" t="s">
        <v>148</v>
      </c>
      <c r="N18" s="38"/>
      <c r="O18" s="36" t="s">
        <v>22</v>
      </c>
      <c r="P18" s="36" t="s">
        <v>13</v>
      </c>
      <c r="Q18" s="36" t="s">
        <v>19</v>
      </c>
      <c r="R18" s="38"/>
      <c r="S18" s="46" t="str">
        <f>"227,5"</f>
        <v>227,5</v>
      </c>
      <c r="T18" s="19" t="str">
        <f>"259,7140"</f>
        <v>259,7140</v>
      </c>
      <c r="U18" s="17"/>
    </row>
    <row r="19" spans="1:21">
      <c r="A19" s="41" t="s">
        <v>248</v>
      </c>
      <c r="B19" s="20" t="s">
        <v>249</v>
      </c>
      <c r="C19" s="20" t="s">
        <v>168</v>
      </c>
      <c r="D19" s="20" t="s">
        <v>169</v>
      </c>
      <c r="E19" s="21" t="s">
        <v>619</v>
      </c>
      <c r="F19" s="20" t="s">
        <v>589</v>
      </c>
      <c r="G19" s="40" t="s">
        <v>27</v>
      </c>
      <c r="H19" s="40" t="s">
        <v>23</v>
      </c>
      <c r="I19" s="40" t="s">
        <v>23</v>
      </c>
      <c r="J19" s="41"/>
      <c r="K19" s="41"/>
      <c r="L19" s="41"/>
      <c r="M19" s="41"/>
      <c r="N19" s="41"/>
      <c r="O19" s="40"/>
      <c r="P19" s="41"/>
      <c r="Q19" s="41"/>
      <c r="R19" s="41"/>
      <c r="S19" s="44">
        <v>0</v>
      </c>
      <c r="T19" s="22" t="str">
        <f>"0,0000"</f>
        <v>0,0000</v>
      </c>
      <c r="U19" s="20"/>
    </row>
    <row r="21" spans="1:21" ht="16">
      <c r="A21" s="62" t="s">
        <v>11</v>
      </c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21">
      <c r="A22" s="34" t="s">
        <v>117</v>
      </c>
      <c r="B22" s="14" t="s">
        <v>250</v>
      </c>
      <c r="C22" s="14" t="s">
        <v>533</v>
      </c>
      <c r="D22" s="14" t="s">
        <v>170</v>
      </c>
      <c r="E22" s="15" t="s">
        <v>620</v>
      </c>
      <c r="F22" s="14" t="s">
        <v>589</v>
      </c>
      <c r="G22" s="33" t="s">
        <v>142</v>
      </c>
      <c r="H22" s="33" t="s">
        <v>22</v>
      </c>
      <c r="I22" s="35" t="s">
        <v>27</v>
      </c>
      <c r="J22" s="34"/>
      <c r="K22" s="33" t="s">
        <v>158</v>
      </c>
      <c r="L22" s="33" t="s">
        <v>163</v>
      </c>
      <c r="M22" s="33" t="s">
        <v>18</v>
      </c>
      <c r="N22" s="34"/>
      <c r="O22" s="33" t="s">
        <v>22</v>
      </c>
      <c r="P22" s="33" t="s">
        <v>27</v>
      </c>
      <c r="Q22" s="33" t="s">
        <v>13</v>
      </c>
      <c r="R22" s="34"/>
      <c r="S22" s="43" t="str">
        <f>"250,0"</f>
        <v>250,0</v>
      </c>
      <c r="T22" s="16" t="str">
        <f>"273,4750"</f>
        <v>273,4750</v>
      </c>
      <c r="U22" s="14"/>
    </row>
    <row r="23" spans="1:21">
      <c r="A23" s="41" t="s">
        <v>117</v>
      </c>
      <c r="B23" s="20" t="s">
        <v>251</v>
      </c>
      <c r="C23" s="20" t="s">
        <v>172</v>
      </c>
      <c r="D23" s="20" t="s">
        <v>173</v>
      </c>
      <c r="E23" s="21" t="s">
        <v>619</v>
      </c>
      <c r="F23" s="20" t="s">
        <v>590</v>
      </c>
      <c r="G23" s="39" t="s">
        <v>31</v>
      </c>
      <c r="H23" s="39" t="s">
        <v>32</v>
      </c>
      <c r="I23" s="39" t="s">
        <v>174</v>
      </c>
      <c r="J23" s="41"/>
      <c r="K23" s="39" t="s">
        <v>143</v>
      </c>
      <c r="L23" s="39" t="s">
        <v>175</v>
      </c>
      <c r="M23" s="40" t="s">
        <v>23</v>
      </c>
      <c r="N23" s="41"/>
      <c r="O23" s="39" t="s">
        <v>31</v>
      </c>
      <c r="P23" s="39" t="s">
        <v>32</v>
      </c>
      <c r="Q23" s="39" t="s">
        <v>33</v>
      </c>
      <c r="R23" s="41"/>
      <c r="S23" s="44" t="str">
        <f>"387,5"</f>
        <v>387,5</v>
      </c>
      <c r="T23" s="22" t="str">
        <f>"406,0612"</f>
        <v>406,0612</v>
      </c>
      <c r="U23" s="20"/>
    </row>
    <row r="25" spans="1:21" ht="16">
      <c r="A25" s="62" t="s">
        <v>20</v>
      </c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</row>
    <row r="26" spans="1:21">
      <c r="A26" s="34" t="s">
        <v>117</v>
      </c>
      <c r="B26" s="14" t="s">
        <v>252</v>
      </c>
      <c r="C26" s="14" t="s">
        <v>176</v>
      </c>
      <c r="D26" s="14" t="s">
        <v>177</v>
      </c>
      <c r="E26" s="15" t="s">
        <v>619</v>
      </c>
      <c r="F26" s="14" t="s">
        <v>589</v>
      </c>
      <c r="G26" s="33" t="s">
        <v>15</v>
      </c>
      <c r="H26" s="35" t="s">
        <v>155</v>
      </c>
      <c r="I26" s="35" t="s">
        <v>155</v>
      </c>
      <c r="J26" s="34"/>
      <c r="K26" s="33" t="s">
        <v>163</v>
      </c>
      <c r="L26" s="33" t="s">
        <v>164</v>
      </c>
      <c r="M26" s="33" t="s">
        <v>178</v>
      </c>
      <c r="N26" s="34"/>
      <c r="O26" s="33" t="s">
        <v>31</v>
      </c>
      <c r="P26" s="33" t="s">
        <v>179</v>
      </c>
      <c r="Q26" s="35" t="s">
        <v>180</v>
      </c>
      <c r="R26" s="34"/>
      <c r="S26" s="43" t="str">
        <f>"315,0"</f>
        <v>315,0</v>
      </c>
      <c r="T26" s="16" t="str">
        <f>"302,5260"</f>
        <v>302,5260</v>
      </c>
      <c r="U26" s="14"/>
    </row>
    <row r="27" spans="1:21">
      <c r="A27" s="41" t="s">
        <v>124</v>
      </c>
      <c r="B27" s="20" t="s">
        <v>253</v>
      </c>
      <c r="C27" s="20" t="s">
        <v>181</v>
      </c>
      <c r="D27" s="20" t="s">
        <v>182</v>
      </c>
      <c r="E27" s="21" t="s">
        <v>619</v>
      </c>
      <c r="F27" s="20" t="s">
        <v>589</v>
      </c>
      <c r="G27" s="39" t="s">
        <v>22</v>
      </c>
      <c r="H27" s="39" t="s">
        <v>13</v>
      </c>
      <c r="I27" s="40" t="s">
        <v>19</v>
      </c>
      <c r="J27" s="41"/>
      <c r="K27" s="39" t="s">
        <v>17</v>
      </c>
      <c r="L27" s="40" t="s">
        <v>164</v>
      </c>
      <c r="M27" s="40" t="s">
        <v>164</v>
      </c>
      <c r="N27" s="41"/>
      <c r="O27" s="39" t="s">
        <v>22</v>
      </c>
      <c r="P27" s="39" t="s">
        <v>13</v>
      </c>
      <c r="Q27" s="40" t="s">
        <v>19</v>
      </c>
      <c r="R27" s="41"/>
      <c r="S27" s="44" t="str">
        <f>"255,0"</f>
        <v>255,0</v>
      </c>
      <c r="T27" s="22" t="str">
        <f>"247,5285"</f>
        <v>247,5285</v>
      </c>
      <c r="U27" s="20"/>
    </row>
    <row r="29" spans="1:21" ht="16">
      <c r="A29" s="62" t="s">
        <v>20</v>
      </c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</row>
    <row r="30" spans="1:21">
      <c r="A30" s="34" t="s">
        <v>117</v>
      </c>
      <c r="B30" s="14" t="s">
        <v>254</v>
      </c>
      <c r="C30" s="14" t="s">
        <v>184</v>
      </c>
      <c r="D30" s="14" t="s">
        <v>38</v>
      </c>
      <c r="E30" s="15" t="s">
        <v>621</v>
      </c>
      <c r="F30" s="14" t="s">
        <v>591</v>
      </c>
      <c r="G30" s="35" t="s">
        <v>31</v>
      </c>
      <c r="H30" s="33" t="s">
        <v>31</v>
      </c>
      <c r="I30" s="33" t="s">
        <v>32</v>
      </c>
      <c r="J30" s="34"/>
      <c r="K30" s="33" t="s">
        <v>13</v>
      </c>
      <c r="L30" s="33" t="s">
        <v>19</v>
      </c>
      <c r="M30" s="33" t="s">
        <v>14</v>
      </c>
      <c r="N30" s="34"/>
      <c r="O30" s="33" t="s">
        <v>33</v>
      </c>
      <c r="P30" s="33" t="s">
        <v>62</v>
      </c>
      <c r="Q30" s="33" t="s">
        <v>63</v>
      </c>
      <c r="R30" s="34"/>
      <c r="S30" s="43" t="str">
        <f>"415,0"</f>
        <v>415,0</v>
      </c>
      <c r="T30" s="16" t="str">
        <f>"311,0010"</f>
        <v>311,0010</v>
      </c>
      <c r="U30" s="14"/>
    </row>
    <row r="31" spans="1:21">
      <c r="A31" s="38" t="s">
        <v>124</v>
      </c>
      <c r="B31" s="17" t="s">
        <v>255</v>
      </c>
      <c r="C31" s="17" t="s">
        <v>185</v>
      </c>
      <c r="D31" s="17" t="s">
        <v>186</v>
      </c>
      <c r="E31" s="18" t="s">
        <v>621</v>
      </c>
      <c r="F31" s="17" t="s">
        <v>589</v>
      </c>
      <c r="G31" s="36" t="s">
        <v>31</v>
      </c>
      <c r="H31" s="36" t="s">
        <v>179</v>
      </c>
      <c r="I31" s="37" t="s">
        <v>180</v>
      </c>
      <c r="J31" s="38"/>
      <c r="K31" s="36" t="s">
        <v>35</v>
      </c>
      <c r="L31" s="37" t="s">
        <v>142</v>
      </c>
      <c r="M31" s="36" t="s">
        <v>143</v>
      </c>
      <c r="N31" s="38"/>
      <c r="O31" s="36" t="s">
        <v>31</v>
      </c>
      <c r="P31" s="36" t="s">
        <v>32</v>
      </c>
      <c r="Q31" s="36" t="s">
        <v>187</v>
      </c>
      <c r="R31" s="38"/>
      <c r="S31" s="46" t="str">
        <f>"370,0"</f>
        <v>370,0</v>
      </c>
      <c r="T31" s="19" t="str">
        <f>"280,0530"</f>
        <v>280,0530</v>
      </c>
      <c r="U31" s="17"/>
    </row>
    <row r="32" spans="1:21">
      <c r="A32" s="38" t="s">
        <v>126</v>
      </c>
      <c r="B32" s="17" t="s">
        <v>256</v>
      </c>
      <c r="C32" s="17" t="s">
        <v>188</v>
      </c>
      <c r="D32" s="17" t="s">
        <v>189</v>
      </c>
      <c r="E32" s="18" t="s">
        <v>621</v>
      </c>
      <c r="F32" s="17" t="s">
        <v>589</v>
      </c>
      <c r="G32" s="36" t="s">
        <v>15</v>
      </c>
      <c r="H32" s="36" t="s">
        <v>162</v>
      </c>
      <c r="I32" s="37" t="s">
        <v>155</v>
      </c>
      <c r="J32" s="38"/>
      <c r="K32" s="36" t="s">
        <v>25</v>
      </c>
      <c r="L32" s="36" t="s">
        <v>34</v>
      </c>
      <c r="M32" s="36" t="s">
        <v>35</v>
      </c>
      <c r="N32" s="38"/>
      <c r="O32" s="36" t="s">
        <v>162</v>
      </c>
      <c r="P32" s="36" t="s">
        <v>155</v>
      </c>
      <c r="Q32" s="36" t="s">
        <v>165</v>
      </c>
      <c r="R32" s="38"/>
      <c r="S32" s="46" t="str">
        <f>"312,5"</f>
        <v>312,5</v>
      </c>
      <c r="T32" s="19" t="str">
        <f>"228,5938"</f>
        <v>228,5938</v>
      </c>
      <c r="U32" s="17"/>
    </row>
    <row r="33" spans="1:21">
      <c r="A33" s="38" t="s">
        <v>117</v>
      </c>
      <c r="B33" s="17" t="s">
        <v>257</v>
      </c>
      <c r="C33" s="17" t="s">
        <v>190</v>
      </c>
      <c r="D33" s="17" t="s">
        <v>191</v>
      </c>
      <c r="E33" s="18" t="s">
        <v>619</v>
      </c>
      <c r="F33" s="17" t="s">
        <v>589</v>
      </c>
      <c r="G33" s="37" t="s">
        <v>32</v>
      </c>
      <c r="H33" s="36" t="s">
        <v>174</v>
      </c>
      <c r="I33" s="36" t="s">
        <v>192</v>
      </c>
      <c r="J33" s="38"/>
      <c r="K33" s="36" t="s">
        <v>22</v>
      </c>
      <c r="L33" s="36" t="s">
        <v>27</v>
      </c>
      <c r="M33" s="37" t="s">
        <v>13</v>
      </c>
      <c r="N33" s="38"/>
      <c r="O33" s="37" t="s">
        <v>48</v>
      </c>
      <c r="P33" s="36" t="s">
        <v>48</v>
      </c>
      <c r="Q33" s="37" t="s">
        <v>193</v>
      </c>
      <c r="R33" s="38"/>
      <c r="S33" s="46" t="str">
        <f>"447,5"</f>
        <v>447,5</v>
      </c>
      <c r="T33" s="19" t="str">
        <f>"332,4925"</f>
        <v>332,4925</v>
      </c>
      <c r="U33" s="17"/>
    </row>
    <row r="34" spans="1:21">
      <c r="A34" s="38" t="s">
        <v>124</v>
      </c>
      <c r="B34" s="17" t="s">
        <v>258</v>
      </c>
      <c r="C34" s="17" t="s">
        <v>194</v>
      </c>
      <c r="D34" s="17" t="s">
        <v>195</v>
      </c>
      <c r="E34" s="18" t="s">
        <v>619</v>
      </c>
      <c r="F34" s="17" t="s">
        <v>589</v>
      </c>
      <c r="G34" s="36" t="s">
        <v>40</v>
      </c>
      <c r="H34" s="36" t="s">
        <v>180</v>
      </c>
      <c r="I34" s="36" t="s">
        <v>33</v>
      </c>
      <c r="J34" s="38"/>
      <c r="K34" s="36" t="s">
        <v>27</v>
      </c>
      <c r="L34" s="37" t="s">
        <v>24</v>
      </c>
      <c r="M34" s="36" t="s">
        <v>24</v>
      </c>
      <c r="N34" s="38"/>
      <c r="O34" s="36" t="s">
        <v>32</v>
      </c>
      <c r="P34" s="36" t="s">
        <v>33</v>
      </c>
      <c r="Q34" s="36" t="s">
        <v>196</v>
      </c>
      <c r="R34" s="38"/>
      <c r="S34" s="46" t="str">
        <f>"410,0"</f>
        <v>410,0</v>
      </c>
      <c r="T34" s="19" t="str">
        <f>"305,9010"</f>
        <v>305,9010</v>
      </c>
      <c r="U34" s="17"/>
    </row>
    <row r="35" spans="1:21">
      <c r="A35" s="41" t="s">
        <v>248</v>
      </c>
      <c r="B35" s="20" t="s">
        <v>259</v>
      </c>
      <c r="C35" s="20" t="s">
        <v>197</v>
      </c>
      <c r="D35" s="20" t="s">
        <v>198</v>
      </c>
      <c r="E35" s="21" t="s">
        <v>619</v>
      </c>
      <c r="F35" s="20" t="s">
        <v>592</v>
      </c>
      <c r="G35" s="39" t="s">
        <v>92</v>
      </c>
      <c r="H35" s="39" t="s">
        <v>44</v>
      </c>
      <c r="I35" s="40" t="s">
        <v>48</v>
      </c>
      <c r="J35" s="41"/>
      <c r="K35" s="39" t="s">
        <v>199</v>
      </c>
      <c r="L35" s="40" t="s">
        <v>39</v>
      </c>
      <c r="M35" s="40" t="s">
        <v>39</v>
      </c>
      <c r="N35" s="41"/>
      <c r="O35" s="40" t="s">
        <v>54</v>
      </c>
      <c r="P35" s="40" t="s">
        <v>54</v>
      </c>
      <c r="Q35" s="41"/>
      <c r="R35" s="41"/>
      <c r="S35" s="44">
        <v>0</v>
      </c>
      <c r="T35" s="22" t="str">
        <f>"0,0000"</f>
        <v>0,0000</v>
      </c>
      <c r="U35" s="20"/>
    </row>
    <row r="37" spans="1:21" ht="16">
      <c r="A37" s="62" t="s">
        <v>45</v>
      </c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</row>
    <row r="38" spans="1:21">
      <c r="A38" s="34" t="s">
        <v>117</v>
      </c>
      <c r="B38" s="14" t="s">
        <v>260</v>
      </c>
      <c r="C38" s="14" t="s">
        <v>201</v>
      </c>
      <c r="D38" s="14" t="s">
        <v>202</v>
      </c>
      <c r="E38" s="15" t="s">
        <v>621</v>
      </c>
      <c r="F38" s="14" t="s">
        <v>589</v>
      </c>
      <c r="G38" s="33" t="s">
        <v>15</v>
      </c>
      <c r="H38" s="33" t="s">
        <v>155</v>
      </c>
      <c r="I38" s="33" t="s">
        <v>31</v>
      </c>
      <c r="J38" s="34"/>
      <c r="K38" s="33" t="s">
        <v>22</v>
      </c>
      <c r="L38" s="33" t="s">
        <v>13</v>
      </c>
      <c r="M38" s="33" t="s">
        <v>19</v>
      </c>
      <c r="N38" s="34"/>
      <c r="O38" s="33" t="s">
        <v>155</v>
      </c>
      <c r="P38" s="33" t="s">
        <v>31</v>
      </c>
      <c r="Q38" s="35" t="s">
        <v>32</v>
      </c>
      <c r="R38" s="34"/>
      <c r="S38" s="43" t="str">
        <f>"365,0"</f>
        <v>365,0</v>
      </c>
      <c r="T38" s="16" t="str">
        <f>"253,2735"</f>
        <v>253,2735</v>
      </c>
      <c r="U38" s="14"/>
    </row>
    <row r="39" spans="1:21">
      <c r="A39" s="38" t="s">
        <v>117</v>
      </c>
      <c r="B39" s="17" t="s">
        <v>261</v>
      </c>
      <c r="C39" s="17" t="s">
        <v>203</v>
      </c>
      <c r="D39" s="17" t="s">
        <v>204</v>
      </c>
      <c r="E39" s="18" t="s">
        <v>619</v>
      </c>
      <c r="F39" s="17" t="s">
        <v>593</v>
      </c>
      <c r="G39" s="37" t="s">
        <v>174</v>
      </c>
      <c r="H39" s="36" t="s">
        <v>36</v>
      </c>
      <c r="I39" s="36" t="s">
        <v>52</v>
      </c>
      <c r="J39" s="38"/>
      <c r="K39" s="36" t="s">
        <v>15</v>
      </c>
      <c r="L39" s="36" t="s">
        <v>155</v>
      </c>
      <c r="M39" s="36" t="s">
        <v>205</v>
      </c>
      <c r="N39" s="38"/>
      <c r="O39" s="36" t="s">
        <v>62</v>
      </c>
      <c r="P39" s="36" t="s">
        <v>71</v>
      </c>
      <c r="Q39" s="36" t="s">
        <v>43</v>
      </c>
      <c r="R39" s="38"/>
      <c r="S39" s="46" t="str">
        <f>"487,5"</f>
        <v>487,5</v>
      </c>
      <c r="T39" s="19" t="str">
        <f>"327,0637"</f>
        <v>327,0637</v>
      </c>
      <c r="U39" s="17"/>
    </row>
    <row r="40" spans="1:21">
      <c r="A40" s="41" t="s">
        <v>124</v>
      </c>
      <c r="B40" s="20" t="s">
        <v>262</v>
      </c>
      <c r="C40" s="20" t="s">
        <v>206</v>
      </c>
      <c r="D40" s="20" t="s">
        <v>207</v>
      </c>
      <c r="E40" s="21" t="s">
        <v>619</v>
      </c>
      <c r="F40" s="20" t="s">
        <v>593</v>
      </c>
      <c r="G40" s="40" t="s">
        <v>31</v>
      </c>
      <c r="H40" s="39" t="s">
        <v>31</v>
      </c>
      <c r="I40" s="39" t="s">
        <v>32</v>
      </c>
      <c r="J40" s="41"/>
      <c r="K40" s="40" t="s">
        <v>15</v>
      </c>
      <c r="L40" s="40" t="s">
        <v>155</v>
      </c>
      <c r="M40" s="39" t="s">
        <v>155</v>
      </c>
      <c r="N40" s="41"/>
      <c r="O40" s="39" t="s">
        <v>52</v>
      </c>
      <c r="P40" s="39" t="s">
        <v>42</v>
      </c>
      <c r="Q40" s="39" t="s">
        <v>43</v>
      </c>
      <c r="R40" s="41"/>
      <c r="S40" s="44" t="str">
        <f>"450,0"</f>
        <v>450,0</v>
      </c>
      <c r="T40" s="22" t="str">
        <f>"303,9300"</f>
        <v>303,9300</v>
      </c>
      <c r="U40" s="20"/>
    </row>
    <row r="42" spans="1:21" ht="16">
      <c r="A42" s="62" t="s">
        <v>55</v>
      </c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</row>
    <row r="43" spans="1:21">
      <c r="A43" s="34" t="s">
        <v>117</v>
      </c>
      <c r="B43" s="14" t="s">
        <v>263</v>
      </c>
      <c r="C43" s="14" t="s">
        <v>208</v>
      </c>
      <c r="D43" s="14" t="s">
        <v>209</v>
      </c>
      <c r="E43" s="15" t="s">
        <v>621</v>
      </c>
      <c r="F43" s="14" t="s">
        <v>589</v>
      </c>
      <c r="G43" s="33" t="s">
        <v>19</v>
      </c>
      <c r="H43" s="33" t="s">
        <v>41</v>
      </c>
      <c r="I43" s="33" t="s">
        <v>155</v>
      </c>
      <c r="J43" s="34"/>
      <c r="K43" s="33" t="s">
        <v>143</v>
      </c>
      <c r="L43" s="33" t="s">
        <v>175</v>
      </c>
      <c r="M43" s="35" t="s">
        <v>23</v>
      </c>
      <c r="N43" s="34"/>
      <c r="O43" s="33" t="s">
        <v>39</v>
      </c>
      <c r="P43" s="33" t="s">
        <v>40</v>
      </c>
      <c r="Q43" s="33" t="s">
        <v>32</v>
      </c>
      <c r="R43" s="34"/>
      <c r="S43" s="43" t="str">
        <f>"352,5"</f>
        <v>352,5</v>
      </c>
      <c r="T43" s="16" t="str">
        <f>"230,5350"</f>
        <v>230,5350</v>
      </c>
      <c r="U43" s="14"/>
    </row>
    <row r="44" spans="1:21">
      <c r="A44" s="38" t="s">
        <v>117</v>
      </c>
      <c r="B44" s="17" t="s">
        <v>264</v>
      </c>
      <c r="C44" s="17" t="s">
        <v>534</v>
      </c>
      <c r="D44" s="17" t="s">
        <v>210</v>
      </c>
      <c r="E44" s="18" t="s">
        <v>620</v>
      </c>
      <c r="F44" s="17" t="s">
        <v>588</v>
      </c>
      <c r="G44" s="36" t="s">
        <v>43</v>
      </c>
      <c r="H44" s="37" t="s">
        <v>48</v>
      </c>
      <c r="I44" s="36" t="s">
        <v>48</v>
      </c>
      <c r="J44" s="38"/>
      <c r="K44" s="36" t="s">
        <v>155</v>
      </c>
      <c r="L44" s="36" t="s">
        <v>31</v>
      </c>
      <c r="M44" s="37" t="s">
        <v>179</v>
      </c>
      <c r="N44" s="38"/>
      <c r="O44" s="36" t="s">
        <v>54</v>
      </c>
      <c r="P44" s="36" t="s">
        <v>105</v>
      </c>
      <c r="Q44" s="36" t="s">
        <v>77</v>
      </c>
      <c r="R44" s="38"/>
      <c r="S44" s="46" t="str">
        <f>"560,0"</f>
        <v>560,0</v>
      </c>
      <c r="T44" s="19" t="str">
        <f>"368,2000"</f>
        <v>368,2000</v>
      </c>
      <c r="U44" s="17"/>
    </row>
    <row r="45" spans="1:21">
      <c r="A45" s="38" t="s">
        <v>124</v>
      </c>
      <c r="B45" s="17" t="s">
        <v>265</v>
      </c>
      <c r="C45" s="17" t="s">
        <v>535</v>
      </c>
      <c r="D45" s="17" t="s">
        <v>211</v>
      </c>
      <c r="E45" s="18" t="s">
        <v>620</v>
      </c>
      <c r="F45" s="17" t="s">
        <v>594</v>
      </c>
      <c r="G45" s="36" t="s">
        <v>42</v>
      </c>
      <c r="H45" s="37" t="s">
        <v>43</v>
      </c>
      <c r="I45" s="36" t="s">
        <v>43</v>
      </c>
      <c r="J45" s="38"/>
      <c r="K45" s="36" t="s">
        <v>162</v>
      </c>
      <c r="L45" s="37" t="s">
        <v>155</v>
      </c>
      <c r="M45" s="37" t="s">
        <v>155</v>
      </c>
      <c r="N45" s="38"/>
      <c r="O45" s="36" t="s">
        <v>54</v>
      </c>
      <c r="P45" s="36" t="s">
        <v>105</v>
      </c>
      <c r="Q45" s="37" t="s">
        <v>212</v>
      </c>
      <c r="R45" s="38"/>
      <c r="S45" s="46" t="str">
        <f>"525,0"</f>
        <v>525,0</v>
      </c>
      <c r="T45" s="19" t="str">
        <f>"335,3700"</f>
        <v>335,3700</v>
      </c>
      <c r="U45" s="17"/>
    </row>
    <row r="46" spans="1:21">
      <c r="A46" s="38" t="s">
        <v>117</v>
      </c>
      <c r="B46" s="17" t="s">
        <v>123</v>
      </c>
      <c r="C46" s="17" t="s">
        <v>57</v>
      </c>
      <c r="D46" s="17" t="s">
        <v>58</v>
      </c>
      <c r="E46" s="18" t="s">
        <v>619</v>
      </c>
      <c r="F46" s="17" t="s">
        <v>589</v>
      </c>
      <c r="G46" s="36" t="s">
        <v>59</v>
      </c>
      <c r="H46" s="36" t="s">
        <v>60</v>
      </c>
      <c r="I46" s="36" t="s">
        <v>61</v>
      </c>
      <c r="J46" s="38"/>
      <c r="K46" s="36" t="s">
        <v>62</v>
      </c>
      <c r="L46" s="36" t="s">
        <v>63</v>
      </c>
      <c r="M46" s="37" t="s">
        <v>52</v>
      </c>
      <c r="N46" s="38"/>
      <c r="O46" s="36" t="s">
        <v>64</v>
      </c>
      <c r="P46" s="36" t="s">
        <v>65</v>
      </c>
      <c r="Q46" s="36" t="s">
        <v>66</v>
      </c>
      <c r="R46" s="38"/>
      <c r="S46" s="46" t="str">
        <f>"737,5"</f>
        <v>737,5</v>
      </c>
      <c r="T46" s="19" t="str">
        <f>"472,4425"</f>
        <v>472,4425</v>
      </c>
      <c r="U46" s="17"/>
    </row>
    <row r="47" spans="1:21">
      <c r="A47" s="38" t="s">
        <v>124</v>
      </c>
      <c r="B47" s="17" t="s">
        <v>125</v>
      </c>
      <c r="C47" s="17" t="s">
        <v>68</v>
      </c>
      <c r="D47" s="17" t="s">
        <v>69</v>
      </c>
      <c r="E47" s="18" t="s">
        <v>619</v>
      </c>
      <c r="F47" s="17" t="s">
        <v>588</v>
      </c>
      <c r="G47" s="36" t="s">
        <v>60</v>
      </c>
      <c r="H47" s="37" t="s">
        <v>70</v>
      </c>
      <c r="I47" s="36" t="s">
        <v>70</v>
      </c>
      <c r="J47" s="38"/>
      <c r="K47" s="36" t="s">
        <v>62</v>
      </c>
      <c r="L47" s="36" t="s">
        <v>71</v>
      </c>
      <c r="M47" s="37" t="s">
        <v>72</v>
      </c>
      <c r="N47" s="38"/>
      <c r="O47" s="36" t="s">
        <v>73</v>
      </c>
      <c r="P47" s="37" t="s">
        <v>65</v>
      </c>
      <c r="Q47" s="38"/>
      <c r="R47" s="38"/>
      <c r="S47" s="46" t="str">
        <f>"730,0"</f>
        <v>730,0</v>
      </c>
      <c r="T47" s="19" t="str">
        <f>"470,1200"</f>
        <v>470,1200</v>
      </c>
      <c r="U47" s="17"/>
    </row>
    <row r="48" spans="1:21">
      <c r="A48" s="38" t="s">
        <v>126</v>
      </c>
      <c r="B48" s="17" t="s">
        <v>266</v>
      </c>
      <c r="C48" s="17" t="s">
        <v>213</v>
      </c>
      <c r="D48" s="17" t="s">
        <v>214</v>
      </c>
      <c r="E48" s="18" t="s">
        <v>619</v>
      </c>
      <c r="F48" s="17" t="s">
        <v>589</v>
      </c>
      <c r="G48" s="36" t="s">
        <v>62</v>
      </c>
      <c r="H48" s="36" t="s">
        <v>71</v>
      </c>
      <c r="I48" s="36" t="s">
        <v>42</v>
      </c>
      <c r="J48" s="38"/>
      <c r="K48" s="36" t="s">
        <v>39</v>
      </c>
      <c r="L48" s="37" t="s">
        <v>40</v>
      </c>
      <c r="M48" s="37" t="s">
        <v>40</v>
      </c>
      <c r="N48" s="38"/>
      <c r="O48" s="36" t="s">
        <v>54</v>
      </c>
      <c r="P48" s="36" t="s">
        <v>50</v>
      </c>
      <c r="Q48" s="36" t="s">
        <v>215</v>
      </c>
      <c r="R48" s="38"/>
      <c r="S48" s="46" t="str">
        <f>"540,0"</f>
        <v>540,0</v>
      </c>
      <c r="T48" s="19" t="str">
        <f>"348,7860"</f>
        <v>348,7860</v>
      </c>
      <c r="U48" s="17"/>
    </row>
    <row r="49" spans="1:21">
      <c r="A49" s="38" t="s">
        <v>128</v>
      </c>
      <c r="B49" s="17" t="s">
        <v>267</v>
      </c>
      <c r="C49" s="17" t="s">
        <v>216</v>
      </c>
      <c r="D49" s="17" t="s">
        <v>217</v>
      </c>
      <c r="E49" s="18" t="s">
        <v>619</v>
      </c>
      <c r="F49" s="17" t="s">
        <v>589</v>
      </c>
      <c r="G49" s="36" t="s">
        <v>52</v>
      </c>
      <c r="H49" s="36" t="s">
        <v>71</v>
      </c>
      <c r="I49" s="37" t="s">
        <v>42</v>
      </c>
      <c r="J49" s="38"/>
      <c r="K49" s="37" t="s">
        <v>174</v>
      </c>
      <c r="L49" s="36" t="s">
        <v>174</v>
      </c>
      <c r="M49" s="37" t="s">
        <v>187</v>
      </c>
      <c r="N49" s="38"/>
      <c r="O49" s="36" t="s">
        <v>71</v>
      </c>
      <c r="P49" s="36" t="s">
        <v>84</v>
      </c>
      <c r="Q49" s="37" t="s">
        <v>43</v>
      </c>
      <c r="R49" s="38"/>
      <c r="S49" s="46" t="str">
        <f>"502,5"</f>
        <v>502,5</v>
      </c>
      <c r="T49" s="19" t="str">
        <f>"322,1025"</f>
        <v>322,1025</v>
      </c>
      <c r="U49" s="17"/>
    </row>
    <row r="50" spans="1:21">
      <c r="A50" s="38" t="s">
        <v>248</v>
      </c>
      <c r="B50" s="17" t="s">
        <v>268</v>
      </c>
      <c r="C50" s="17" t="s">
        <v>218</v>
      </c>
      <c r="D50" s="17" t="s">
        <v>219</v>
      </c>
      <c r="E50" s="18" t="s">
        <v>619</v>
      </c>
      <c r="F50" s="17" t="s">
        <v>589</v>
      </c>
      <c r="G50" s="37" t="s">
        <v>43</v>
      </c>
      <c r="H50" s="36" t="s">
        <v>43</v>
      </c>
      <c r="I50" s="37" t="s">
        <v>44</v>
      </c>
      <c r="J50" s="38"/>
      <c r="K50" s="37" t="s">
        <v>192</v>
      </c>
      <c r="L50" s="37" t="s">
        <v>192</v>
      </c>
      <c r="M50" s="37" t="s">
        <v>192</v>
      </c>
      <c r="N50" s="38"/>
      <c r="O50" s="37"/>
      <c r="P50" s="38"/>
      <c r="Q50" s="38"/>
      <c r="R50" s="38"/>
      <c r="S50" s="46">
        <v>0</v>
      </c>
      <c r="T50" s="19" t="str">
        <f>"0,0000"</f>
        <v>0,0000</v>
      </c>
      <c r="U50" s="17"/>
    </row>
    <row r="51" spans="1:21">
      <c r="A51" s="38" t="s">
        <v>117</v>
      </c>
      <c r="B51" s="17" t="s">
        <v>269</v>
      </c>
      <c r="C51" s="17" t="s">
        <v>536</v>
      </c>
      <c r="D51" s="17" t="s">
        <v>217</v>
      </c>
      <c r="E51" s="18" t="s">
        <v>622</v>
      </c>
      <c r="F51" s="17" t="s">
        <v>589</v>
      </c>
      <c r="G51" s="36" t="s">
        <v>71</v>
      </c>
      <c r="H51" s="36" t="s">
        <v>92</v>
      </c>
      <c r="I51" s="36" t="s">
        <v>43</v>
      </c>
      <c r="J51" s="38"/>
      <c r="K51" s="36" t="s">
        <v>31</v>
      </c>
      <c r="L51" s="36" t="s">
        <v>179</v>
      </c>
      <c r="M51" s="37" t="s">
        <v>180</v>
      </c>
      <c r="N51" s="38"/>
      <c r="O51" s="36" t="s">
        <v>48</v>
      </c>
      <c r="P51" s="36" t="s">
        <v>54</v>
      </c>
      <c r="Q51" s="36" t="s">
        <v>105</v>
      </c>
      <c r="R51" s="38"/>
      <c r="S51" s="46" t="str">
        <f>"547,5"</f>
        <v>547,5</v>
      </c>
      <c r="T51" s="19" t="str">
        <f>"352,7022"</f>
        <v>352,7022</v>
      </c>
      <c r="U51" s="17"/>
    </row>
    <row r="52" spans="1:21">
      <c r="A52" s="41" t="s">
        <v>117</v>
      </c>
      <c r="B52" s="20" t="s">
        <v>270</v>
      </c>
      <c r="C52" s="20" t="s">
        <v>537</v>
      </c>
      <c r="D52" s="20" t="s">
        <v>220</v>
      </c>
      <c r="E52" s="21" t="s">
        <v>623</v>
      </c>
      <c r="F52" s="20" t="s">
        <v>592</v>
      </c>
      <c r="G52" s="40" t="s">
        <v>83</v>
      </c>
      <c r="H52" s="39" t="s">
        <v>52</v>
      </c>
      <c r="I52" s="39" t="s">
        <v>71</v>
      </c>
      <c r="J52" s="41"/>
      <c r="K52" s="39" t="s">
        <v>27</v>
      </c>
      <c r="L52" s="39" t="s">
        <v>24</v>
      </c>
      <c r="M52" s="39" t="s">
        <v>14</v>
      </c>
      <c r="N52" s="41"/>
      <c r="O52" s="39" t="s">
        <v>83</v>
      </c>
      <c r="P52" s="39" t="s">
        <v>71</v>
      </c>
      <c r="Q52" s="39" t="s">
        <v>42</v>
      </c>
      <c r="R52" s="41"/>
      <c r="S52" s="44" t="str">
        <f>"462,5"</f>
        <v>462,5</v>
      </c>
      <c r="T52" s="22" t="str">
        <f>"374,3359"</f>
        <v>374,3359</v>
      </c>
      <c r="U52" s="20"/>
    </row>
    <row r="54" spans="1:21" ht="16">
      <c r="A54" s="62" t="s">
        <v>87</v>
      </c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</row>
    <row r="55" spans="1:21">
      <c r="A55" s="34" t="s">
        <v>117</v>
      </c>
      <c r="B55" s="14" t="s">
        <v>271</v>
      </c>
      <c r="C55" s="14" t="s">
        <v>221</v>
      </c>
      <c r="D55" s="14" t="s">
        <v>222</v>
      </c>
      <c r="E55" s="15" t="s">
        <v>621</v>
      </c>
      <c r="F55" s="14" t="s">
        <v>589</v>
      </c>
      <c r="G55" s="33" t="s">
        <v>31</v>
      </c>
      <c r="H55" s="33" t="s">
        <v>174</v>
      </c>
      <c r="I55" s="33" t="s">
        <v>36</v>
      </c>
      <c r="J55" s="34"/>
      <c r="K55" s="33" t="s">
        <v>162</v>
      </c>
      <c r="L55" s="33" t="s">
        <v>165</v>
      </c>
      <c r="M55" s="33" t="s">
        <v>31</v>
      </c>
      <c r="N55" s="34"/>
      <c r="O55" s="33" t="s">
        <v>52</v>
      </c>
      <c r="P55" s="33" t="s">
        <v>43</v>
      </c>
      <c r="Q55" s="33" t="s">
        <v>48</v>
      </c>
      <c r="R55" s="34"/>
      <c r="S55" s="43" t="str">
        <f>"485,0"</f>
        <v>485,0</v>
      </c>
      <c r="T55" s="16" t="str">
        <f>"297,4990"</f>
        <v>297,4990</v>
      </c>
      <c r="U55" s="14"/>
    </row>
    <row r="56" spans="1:21">
      <c r="A56" s="41" t="s">
        <v>117</v>
      </c>
      <c r="B56" s="20" t="s">
        <v>131</v>
      </c>
      <c r="C56" s="20" t="s">
        <v>89</v>
      </c>
      <c r="D56" s="20" t="s">
        <v>90</v>
      </c>
      <c r="E56" s="21" t="s">
        <v>619</v>
      </c>
      <c r="F56" s="20" t="s">
        <v>589</v>
      </c>
      <c r="G56" s="39" t="s">
        <v>61</v>
      </c>
      <c r="H56" s="39" t="s">
        <v>78</v>
      </c>
      <c r="I56" s="39" t="s">
        <v>91</v>
      </c>
      <c r="J56" s="41"/>
      <c r="K56" s="39" t="s">
        <v>52</v>
      </c>
      <c r="L56" s="39" t="s">
        <v>42</v>
      </c>
      <c r="M56" s="40" t="s">
        <v>92</v>
      </c>
      <c r="N56" s="41"/>
      <c r="O56" s="39" t="s">
        <v>93</v>
      </c>
      <c r="P56" s="39" t="s">
        <v>73</v>
      </c>
      <c r="Q56" s="39" t="s">
        <v>65</v>
      </c>
      <c r="R56" s="41"/>
      <c r="S56" s="44" t="str">
        <f>"757,5"</f>
        <v>757,5</v>
      </c>
      <c r="T56" s="22" t="str">
        <f>"461,1660"</f>
        <v>461,1660</v>
      </c>
      <c r="U56" s="20"/>
    </row>
    <row r="58" spans="1:21" ht="16">
      <c r="A58" s="62" t="s">
        <v>94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</row>
    <row r="59" spans="1:21">
      <c r="A59" s="34" t="s">
        <v>117</v>
      </c>
      <c r="B59" s="14" t="s">
        <v>272</v>
      </c>
      <c r="C59" s="14" t="s">
        <v>223</v>
      </c>
      <c r="D59" s="14" t="s">
        <v>224</v>
      </c>
      <c r="E59" s="15" t="s">
        <v>621</v>
      </c>
      <c r="F59" s="14" t="s">
        <v>589</v>
      </c>
      <c r="G59" s="33" t="s">
        <v>54</v>
      </c>
      <c r="H59" s="33" t="s">
        <v>105</v>
      </c>
      <c r="I59" s="35" t="s">
        <v>77</v>
      </c>
      <c r="J59" s="34"/>
      <c r="K59" s="33" t="s">
        <v>39</v>
      </c>
      <c r="L59" s="33" t="s">
        <v>31</v>
      </c>
      <c r="M59" s="33" t="s">
        <v>40</v>
      </c>
      <c r="N59" s="34"/>
      <c r="O59" s="33" t="s">
        <v>76</v>
      </c>
      <c r="P59" s="33" t="s">
        <v>59</v>
      </c>
      <c r="Q59" s="35" t="s">
        <v>225</v>
      </c>
      <c r="R59" s="34"/>
      <c r="S59" s="43" t="str">
        <f>"595,0"</f>
        <v>595,0</v>
      </c>
      <c r="T59" s="16" t="str">
        <f>"353,2515"</f>
        <v>353,2515</v>
      </c>
      <c r="U59" s="14"/>
    </row>
    <row r="60" spans="1:21">
      <c r="A60" s="38" t="s">
        <v>124</v>
      </c>
      <c r="B60" s="17" t="s">
        <v>273</v>
      </c>
      <c r="C60" s="17" t="s">
        <v>226</v>
      </c>
      <c r="D60" s="17" t="s">
        <v>227</v>
      </c>
      <c r="E60" s="18" t="s">
        <v>621</v>
      </c>
      <c r="F60" s="17" t="s">
        <v>589</v>
      </c>
      <c r="G60" s="36" t="s">
        <v>48</v>
      </c>
      <c r="H60" s="36" t="s">
        <v>193</v>
      </c>
      <c r="I60" s="36" t="s">
        <v>76</v>
      </c>
      <c r="J60" s="38"/>
      <c r="K60" s="36" t="s">
        <v>155</v>
      </c>
      <c r="L60" s="37" t="s">
        <v>205</v>
      </c>
      <c r="M60" s="37" t="s">
        <v>205</v>
      </c>
      <c r="N60" s="38"/>
      <c r="O60" s="36" t="s">
        <v>76</v>
      </c>
      <c r="P60" s="36" t="s">
        <v>228</v>
      </c>
      <c r="Q60" s="36" t="s">
        <v>59</v>
      </c>
      <c r="R60" s="38"/>
      <c r="S60" s="46" t="str">
        <f>"575,0"</f>
        <v>575,0</v>
      </c>
      <c r="T60" s="19" t="str">
        <f>"340,3425"</f>
        <v>340,3425</v>
      </c>
      <c r="U60" s="17"/>
    </row>
    <row r="61" spans="1:21">
      <c r="A61" s="38" t="s">
        <v>117</v>
      </c>
      <c r="B61" s="17" t="s">
        <v>274</v>
      </c>
      <c r="C61" s="17" t="s">
        <v>229</v>
      </c>
      <c r="D61" s="17" t="s">
        <v>230</v>
      </c>
      <c r="E61" s="18" t="s">
        <v>619</v>
      </c>
      <c r="F61" s="17" t="s">
        <v>589</v>
      </c>
      <c r="G61" s="36" t="s">
        <v>54</v>
      </c>
      <c r="H61" s="36" t="s">
        <v>105</v>
      </c>
      <c r="I61" s="36" t="s">
        <v>77</v>
      </c>
      <c r="J61" s="38"/>
      <c r="K61" s="36" t="s">
        <v>40</v>
      </c>
      <c r="L61" s="36" t="s">
        <v>174</v>
      </c>
      <c r="M61" s="36" t="s">
        <v>36</v>
      </c>
      <c r="N61" s="38"/>
      <c r="O61" s="36" t="s">
        <v>54</v>
      </c>
      <c r="P61" s="36" t="s">
        <v>105</v>
      </c>
      <c r="Q61" s="36" t="s">
        <v>77</v>
      </c>
      <c r="R61" s="38"/>
      <c r="S61" s="46" t="str">
        <f>"615,0"</f>
        <v>615,0</v>
      </c>
      <c r="T61" s="19" t="str">
        <f>"362,5425"</f>
        <v>362,5425</v>
      </c>
      <c r="U61" s="17"/>
    </row>
    <row r="62" spans="1:21">
      <c r="A62" s="38" t="s">
        <v>124</v>
      </c>
      <c r="B62" s="17" t="s">
        <v>272</v>
      </c>
      <c r="C62" s="17" t="s">
        <v>231</v>
      </c>
      <c r="D62" s="17" t="s">
        <v>224</v>
      </c>
      <c r="E62" s="18" t="s">
        <v>619</v>
      </c>
      <c r="F62" s="17" t="s">
        <v>589</v>
      </c>
      <c r="G62" s="36" t="s">
        <v>54</v>
      </c>
      <c r="H62" s="36" t="s">
        <v>105</v>
      </c>
      <c r="I62" s="37" t="s">
        <v>77</v>
      </c>
      <c r="J62" s="38"/>
      <c r="K62" s="36" t="s">
        <v>39</v>
      </c>
      <c r="L62" s="36" t="s">
        <v>31</v>
      </c>
      <c r="M62" s="36" t="s">
        <v>40</v>
      </c>
      <c r="N62" s="38"/>
      <c r="O62" s="36" t="s">
        <v>76</v>
      </c>
      <c r="P62" s="36" t="s">
        <v>59</v>
      </c>
      <c r="Q62" s="37" t="s">
        <v>225</v>
      </c>
      <c r="R62" s="38"/>
      <c r="S62" s="46" t="str">
        <f>"595,0"</f>
        <v>595,0</v>
      </c>
      <c r="T62" s="19" t="str">
        <f>"353,2515"</f>
        <v>353,2515</v>
      </c>
      <c r="U62" s="17"/>
    </row>
    <row r="63" spans="1:21">
      <c r="A63" s="41" t="s">
        <v>248</v>
      </c>
      <c r="B63" s="20" t="s">
        <v>275</v>
      </c>
      <c r="C63" s="20" t="s">
        <v>232</v>
      </c>
      <c r="D63" s="20" t="s">
        <v>227</v>
      </c>
      <c r="E63" s="21" t="s">
        <v>619</v>
      </c>
      <c r="F63" s="20" t="s">
        <v>589</v>
      </c>
      <c r="G63" s="40" t="s">
        <v>54</v>
      </c>
      <c r="H63" s="40" t="s">
        <v>54</v>
      </c>
      <c r="I63" s="41"/>
      <c r="J63" s="41"/>
      <c r="K63" s="40"/>
      <c r="L63" s="41"/>
      <c r="M63" s="41"/>
      <c r="N63" s="41"/>
      <c r="O63" s="40"/>
      <c r="P63" s="41"/>
      <c r="Q63" s="41"/>
      <c r="R63" s="41"/>
      <c r="S63" s="44">
        <v>0</v>
      </c>
      <c r="T63" s="22" t="str">
        <f>"0,0000"</f>
        <v>0,0000</v>
      </c>
      <c r="U63" s="20"/>
    </row>
    <row r="65" spans="1:21" ht="16">
      <c r="A65" s="62" t="s">
        <v>233</v>
      </c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</row>
    <row r="66" spans="1:21">
      <c r="A66" s="32" t="s">
        <v>117</v>
      </c>
      <c r="B66" s="11" t="s">
        <v>276</v>
      </c>
      <c r="C66" s="11" t="s">
        <v>234</v>
      </c>
      <c r="D66" s="11" t="s">
        <v>235</v>
      </c>
      <c r="E66" s="12" t="s">
        <v>621</v>
      </c>
      <c r="F66" s="11" t="s">
        <v>588</v>
      </c>
      <c r="G66" s="30" t="s">
        <v>52</v>
      </c>
      <c r="H66" s="30" t="s">
        <v>42</v>
      </c>
      <c r="I66" s="30" t="s">
        <v>43</v>
      </c>
      <c r="J66" s="32"/>
      <c r="K66" s="30" t="s">
        <v>15</v>
      </c>
      <c r="L66" s="31" t="s">
        <v>162</v>
      </c>
      <c r="M66" s="31" t="s">
        <v>162</v>
      </c>
      <c r="N66" s="32"/>
      <c r="O66" s="30" t="s">
        <v>42</v>
      </c>
      <c r="P66" s="30" t="s">
        <v>43</v>
      </c>
      <c r="Q66" s="30" t="s">
        <v>48</v>
      </c>
      <c r="R66" s="32"/>
      <c r="S66" s="45" t="str">
        <f>"500,0"</f>
        <v>500,0</v>
      </c>
      <c r="T66" s="13" t="str">
        <f>"288,4000"</f>
        <v>288,4000</v>
      </c>
      <c r="U66" s="11"/>
    </row>
    <row r="68" spans="1:21" ht="16">
      <c r="F68" s="8"/>
      <c r="G68" s="5"/>
    </row>
    <row r="69" spans="1:21">
      <c r="G69" s="5"/>
    </row>
    <row r="70" spans="1:21" ht="18">
      <c r="B70" s="9" t="s">
        <v>7</v>
      </c>
      <c r="C70" s="9"/>
      <c r="G70" s="3"/>
    </row>
    <row r="71" spans="1:21" ht="16">
      <c r="B71" s="23" t="s">
        <v>106</v>
      </c>
      <c r="C71" s="23"/>
      <c r="G71" s="3"/>
    </row>
    <row r="72" spans="1:21" ht="14">
      <c r="B72" s="24"/>
      <c r="C72" s="25" t="s">
        <v>113</v>
      </c>
      <c r="G72" s="3"/>
    </row>
    <row r="73" spans="1:21" ht="14">
      <c r="B73" s="26" t="s">
        <v>107</v>
      </c>
      <c r="C73" s="26" t="s">
        <v>108</v>
      </c>
      <c r="D73" s="26" t="s">
        <v>531</v>
      </c>
      <c r="E73" s="27" t="s">
        <v>109</v>
      </c>
      <c r="F73" s="26" t="s">
        <v>110</v>
      </c>
      <c r="G73" s="3"/>
    </row>
    <row r="74" spans="1:21">
      <c r="B74" s="5" t="s">
        <v>171</v>
      </c>
      <c r="C74" s="5" t="s">
        <v>113</v>
      </c>
      <c r="D74" s="10" t="s">
        <v>111</v>
      </c>
      <c r="E74" s="29">
        <v>387.5</v>
      </c>
      <c r="F74" s="28">
        <v>406.06123507022897</v>
      </c>
      <c r="G74" s="3"/>
    </row>
    <row r="75" spans="1:21">
      <c r="B75" s="5" t="s">
        <v>135</v>
      </c>
      <c r="C75" s="5" t="s">
        <v>113</v>
      </c>
      <c r="D75" s="10" t="s">
        <v>237</v>
      </c>
      <c r="E75" s="29">
        <v>250</v>
      </c>
      <c r="F75" s="28">
        <v>342.47499704361002</v>
      </c>
      <c r="G75" s="3"/>
    </row>
    <row r="76" spans="1:21">
      <c r="B76" s="5" t="s">
        <v>159</v>
      </c>
      <c r="C76" s="5" t="s">
        <v>113</v>
      </c>
      <c r="D76" s="10" t="s">
        <v>236</v>
      </c>
      <c r="E76" s="29">
        <v>295</v>
      </c>
      <c r="F76" s="28">
        <v>328.89549791812902</v>
      </c>
      <c r="G76" s="3"/>
    </row>
    <row r="77" spans="1:21">
      <c r="G77" s="3"/>
    </row>
    <row r="78" spans="1:21">
      <c r="G78" s="3"/>
    </row>
    <row r="79" spans="1:21" ht="16">
      <c r="B79" s="23" t="s">
        <v>114</v>
      </c>
      <c r="C79" s="23"/>
      <c r="G79" s="3"/>
    </row>
    <row r="80" spans="1:21" ht="14">
      <c r="B80" s="24"/>
      <c r="C80" s="25" t="s">
        <v>113</v>
      </c>
      <c r="G80" s="3"/>
    </row>
    <row r="81" spans="2:7" ht="14">
      <c r="B81" s="26" t="s">
        <v>107</v>
      </c>
      <c r="C81" s="26" t="s">
        <v>108</v>
      </c>
      <c r="D81" s="26" t="s">
        <v>531</v>
      </c>
      <c r="E81" s="27" t="s">
        <v>109</v>
      </c>
      <c r="F81" s="26" t="s">
        <v>110</v>
      </c>
      <c r="G81" s="3"/>
    </row>
    <row r="82" spans="2:7">
      <c r="B82" s="5" t="s">
        <v>56</v>
      </c>
      <c r="C82" s="5" t="s">
        <v>113</v>
      </c>
      <c r="D82" s="10" t="s">
        <v>115</v>
      </c>
      <c r="E82" s="29">
        <v>737.5</v>
      </c>
      <c r="F82" s="28">
        <v>472.442518919706</v>
      </c>
      <c r="G82" s="3"/>
    </row>
    <row r="83" spans="2:7">
      <c r="B83" s="5" t="s">
        <v>67</v>
      </c>
      <c r="C83" s="5" t="s">
        <v>113</v>
      </c>
      <c r="D83" s="10" t="s">
        <v>115</v>
      </c>
      <c r="E83" s="29">
        <v>730</v>
      </c>
      <c r="F83" s="28">
        <v>470.11999547481503</v>
      </c>
      <c r="G83" s="3"/>
    </row>
    <row r="84" spans="2:7">
      <c r="B84" s="5" t="s">
        <v>88</v>
      </c>
      <c r="C84" s="5" t="s">
        <v>113</v>
      </c>
      <c r="D84" s="10" t="s">
        <v>240</v>
      </c>
      <c r="E84" s="29">
        <v>757.5</v>
      </c>
      <c r="F84" s="28">
        <v>461.16599544882803</v>
      </c>
      <c r="G84" s="3"/>
    </row>
    <row r="85" spans="2:7">
      <c r="E85" s="5"/>
      <c r="F85" s="6"/>
      <c r="G85" s="5"/>
    </row>
    <row r="86" spans="2:7">
      <c r="E86" s="5"/>
      <c r="F86" s="6"/>
      <c r="G86" s="5"/>
    </row>
  </sheetData>
  <mergeCells count="25">
    <mergeCell ref="A37:R37"/>
    <mergeCell ref="A42:R42"/>
    <mergeCell ref="A54:R54"/>
    <mergeCell ref="A58:R58"/>
    <mergeCell ref="A65:R65"/>
    <mergeCell ref="A25:R25"/>
    <mergeCell ref="A29:R29"/>
    <mergeCell ref="S3:S4"/>
    <mergeCell ref="T3:T4"/>
    <mergeCell ref="U3:U4"/>
    <mergeCell ref="A5:R5"/>
    <mergeCell ref="B3:B4"/>
    <mergeCell ref="A9:R9"/>
    <mergeCell ref="A12:R12"/>
    <mergeCell ref="A15:R15"/>
    <mergeCell ref="A21:R21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01"/>
  <sheetViews>
    <sheetView topLeftCell="A62" workbookViewId="0">
      <selection activeCell="E83" sqref="E83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9" style="5" bestFit="1" customWidth="1"/>
    <col min="4" max="4" width="21.5" style="5" bestFit="1" customWidth="1"/>
    <col min="5" max="5" width="10.5" style="6" bestFit="1" customWidth="1"/>
    <col min="6" max="6" width="35.33203125" style="5" customWidth="1"/>
    <col min="7" max="9" width="5.5" style="10" customWidth="1"/>
    <col min="10" max="10" width="4.83203125" style="10" customWidth="1"/>
    <col min="11" max="11" width="10.5" style="29" bestFit="1" customWidth="1"/>
    <col min="12" max="12" width="8.6640625" style="7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47" t="s">
        <v>604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9</v>
      </c>
      <c r="H3" s="61"/>
      <c r="I3" s="61"/>
      <c r="J3" s="61"/>
      <c r="K3" s="64" t="s">
        <v>326</v>
      </c>
      <c r="L3" s="59" t="s">
        <v>3</v>
      </c>
      <c r="M3" s="66" t="s">
        <v>2</v>
      </c>
    </row>
    <row r="4" spans="1:13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5"/>
      <c r="L4" s="60"/>
      <c r="M4" s="67"/>
    </row>
    <row r="5" spans="1:13" ht="16">
      <c r="A5" s="68" t="s">
        <v>150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32" t="s">
        <v>117</v>
      </c>
      <c r="B6" s="11" t="s">
        <v>411</v>
      </c>
      <c r="C6" s="11" t="s">
        <v>347</v>
      </c>
      <c r="D6" s="11" t="s">
        <v>348</v>
      </c>
      <c r="E6" s="12" t="s">
        <v>619</v>
      </c>
      <c r="F6" s="11" t="s">
        <v>589</v>
      </c>
      <c r="G6" s="30" t="s">
        <v>34</v>
      </c>
      <c r="H6" s="31" t="s">
        <v>35</v>
      </c>
      <c r="I6" s="31" t="s">
        <v>35</v>
      </c>
      <c r="J6" s="32"/>
      <c r="K6" s="45" t="str">
        <f>"70,0"</f>
        <v>70,0</v>
      </c>
      <c r="L6" s="13" t="str">
        <f>"84,4970"</f>
        <v>84,4970</v>
      </c>
      <c r="M6" s="11"/>
    </row>
    <row r="8" spans="1:13" ht="16">
      <c r="A8" s="62" t="s">
        <v>156</v>
      </c>
      <c r="B8" s="62"/>
      <c r="C8" s="63"/>
      <c r="D8" s="63"/>
      <c r="E8" s="63"/>
      <c r="F8" s="63"/>
      <c r="G8" s="63"/>
      <c r="H8" s="63"/>
      <c r="I8" s="63"/>
      <c r="J8" s="63"/>
    </row>
    <row r="9" spans="1:13">
      <c r="A9" s="34" t="s">
        <v>117</v>
      </c>
      <c r="B9" s="14" t="s">
        <v>412</v>
      </c>
      <c r="C9" s="14" t="s">
        <v>350</v>
      </c>
      <c r="D9" s="14" t="s">
        <v>351</v>
      </c>
      <c r="E9" s="15" t="s">
        <v>619</v>
      </c>
      <c r="F9" s="14" t="s">
        <v>589</v>
      </c>
      <c r="G9" s="33" t="s">
        <v>158</v>
      </c>
      <c r="H9" s="35" t="s">
        <v>163</v>
      </c>
      <c r="I9" s="33" t="s">
        <v>163</v>
      </c>
      <c r="J9" s="34"/>
      <c r="K9" s="43" t="str">
        <f>"57,5"</f>
        <v>57,5</v>
      </c>
      <c r="L9" s="16" t="str">
        <f>"65,8203"</f>
        <v>65,8203</v>
      </c>
      <c r="M9" s="14"/>
    </row>
    <row r="10" spans="1:13">
      <c r="A10" s="41" t="s">
        <v>124</v>
      </c>
      <c r="B10" s="20" t="s">
        <v>249</v>
      </c>
      <c r="C10" s="20" t="s">
        <v>168</v>
      </c>
      <c r="D10" s="20" t="s">
        <v>161</v>
      </c>
      <c r="E10" s="21" t="s">
        <v>619</v>
      </c>
      <c r="F10" s="20" t="s">
        <v>589</v>
      </c>
      <c r="G10" s="39" t="s">
        <v>141</v>
      </c>
      <c r="H10" s="39" t="s">
        <v>148</v>
      </c>
      <c r="I10" s="40" t="s">
        <v>16</v>
      </c>
      <c r="J10" s="41"/>
      <c r="K10" s="44" t="str">
        <f>"45,0"</f>
        <v>45,0</v>
      </c>
      <c r="L10" s="22" t="str">
        <f>"50,1705"</f>
        <v>50,1705</v>
      </c>
      <c r="M10" s="20"/>
    </row>
    <row r="12" spans="1:13" ht="16">
      <c r="A12" s="62" t="s">
        <v>11</v>
      </c>
      <c r="B12" s="62"/>
      <c r="C12" s="63"/>
      <c r="D12" s="63"/>
      <c r="E12" s="63"/>
      <c r="F12" s="63"/>
      <c r="G12" s="63"/>
      <c r="H12" s="63"/>
      <c r="I12" s="63"/>
      <c r="J12" s="63"/>
    </row>
    <row r="13" spans="1:13">
      <c r="A13" s="34" t="s">
        <v>117</v>
      </c>
      <c r="B13" s="14" t="s">
        <v>413</v>
      </c>
      <c r="C13" s="14" t="s">
        <v>544</v>
      </c>
      <c r="D13" s="14" t="s">
        <v>352</v>
      </c>
      <c r="E13" s="15" t="s">
        <v>620</v>
      </c>
      <c r="F13" s="14" t="s">
        <v>605</v>
      </c>
      <c r="G13" s="35" t="s">
        <v>16</v>
      </c>
      <c r="H13" s="33" t="s">
        <v>16</v>
      </c>
      <c r="I13" s="33" t="s">
        <v>158</v>
      </c>
      <c r="J13" s="34"/>
      <c r="K13" s="43" t="str">
        <f>"52,5"</f>
        <v>52,5</v>
      </c>
      <c r="L13" s="16" t="str">
        <f>"55,3927"</f>
        <v>55,3927</v>
      </c>
      <c r="M13" s="14"/>
    </row>
    <row r="14" spans="1:13">
      <c r="A14" s="38" t="s">
        <v>117</v>
      </c>
      <c r="B14" s="17" t="s">
        <v>414</v>
      </c>
      <c r="C14" s="17" t="s">
        <v>353</v>
      </c>
      <c r="D14" s="17" t="s">
        <v>354</v>
      </c>
      <c r="E14" s="18" t="s">
        <v>619</v>
      </c>
      <c r="F14" s="17" t="s">
        <v>589</v>
      </c>
      <c r="G14" s="36" t="s">
        <v>16</v>
      </c>
      <c r="H14" s="36" t="s">
        <v>17</v>
      </c>
      <c r="I14" s="37" t="s">
        <v>18</v>
      </c>
      <c r="J14" s="38"/>
      <c r="K14" s="46" t="str">
        <f>"55,0"</f>
        <v>55,0</v>
      </c>
      <c r="L14" s="19" t="str">
        <f>"57,5025"</f>
        <v>57,5025</v>
      </c>
      <c r="M14" s="17"/>
    </row>
    <row r="15" spans="1:13">
      <c r="A15" s="41" t="s">
        <v>117</v>
      </c>
      <c r="B15" s="20" t="s">
        <v>415</v>
      </c>
      <c r="C15" s="20" t="s">
        <v>545</v>
      </c>
      <c r="D15" s="20" t="s">
        <v>355</v>
      </c>
      <c r="E15" s="21" t="s">
        <v>624</v>
      </c>
      <c r="F15" s="20" t="s">
        <v>589</v>
      </c>
      <c r="G15" s="40" t="s">
        <v>34</v>
      </c>
      <c r="H15" s="39" t="s">
        <v>34</v>
      </c>
      <c r="I15" s="40" t="s">
        <v>35</v>
      </c>
      <c r="J15" s="41"/>
      <c r="K15" s="44" t="str">
        <f>"70,0"</f>
        <v>70,0</v>
      </c>
      <c r="L15" s="22" t="str">
        <f>"80,8478"</f>
        <v>80,8478</v>
      </c>
      <c r="M15" s="20"/>
    </row>
    <row r="17" spans="1:13" ht="16">
      <c r="A17" s="62" t="s">
        <v>20</v>
      </c>
      <c r="B17" s="62"/>
      <c r="C17" s="63"/>
      <c r="D17" s="63"/>
      <c r="E17" s="63"/>
      <c r="F17" s="63"/>
      <c r="G17" s="63"/>
      <c r="H17" s="63"/>
      <c r="I17" s="63"/>
      <c r="J17" s="63"/>
    </row>
    <row r="18" spans="1:13">
      <c r="A18" s="34" t="s">
        <v>117</v>
      </c>
      <c r="B18" s="14" t="s">
        <v>416</v>
      </c>
      <c r="C18" s="14" t="s">
        <v>357</v>
      </c>
      <c r="D18" s="14" t="s">
        <v>278</v>
      </c>
      <c r="E18" s="15" t="s">
        <v>619</v>
      </c>
      <c r="F18" s="14" t="s">
        <v>589</v>
      </c>
      <c r="G18" s="33" t="s">
        <v>18</v>
      </c>
      <c r="H18" s="33" t="s">
        <v>25</v>
      </c>
      <c r="I18" s="33" t="s">
        <v>178</v>
      </c>
      <c r="J18" s="34"/>
      <c r="K18" s="43" t="str">
        <f>"67,5"</f>
        <v>67,5</v>
      </c>
      <c r="L18" s="16" t="str">
        <f>"64,4963"</f>
        <v>64,4963</v>
      </c>
      <c r="M18" s="14"/>
    </row>
    <row r="19" spans="1:13">
      <c r="A19" s="38" t="s">
        <v>117</v>
      </c>
      <c r="B19" s="17" t="s">
        <v>416</v>
      </c>
      <c r="C19" s="17" t="s">
        <v>546</v>
      </c>
      <c r="D19" s="17" t="s">
        <v>278</v>
      </c>
      <c r="E19" s="18" t="s">
        <v>624</v>
      </c>
      <c r="F19" s="17" t="s">
        <v>589</v>
      </c>
      <c r="G19" s="36" t="s">
        <v>18</v>
      </c>
      <c r="H19" s="36" t="s">
        <v>25</v>
      </c>
      <c r="I19" s="36" t="s">
        <v>178</v>
      </c>
      <c r="J19" s="38"/>
      <c r="K19" s="46" t="str">
        <f>"67,5"</f>
        <v>67,5</v>
      </c>
      <c r="L19" s="19" t="str">
        <f>"71,8488"</f>
        <v>71,8488</v>
      </c>
      <c r="M19" s="17"/>
    </row>
    <row r="20" spans="1:13">
      <c r="A20" s="41" t="s">
        <v>117</v>
      </c>
      <c r="B20" s="20" t="s">
        <v>417</v>
      </c>
      <c r="C20" s="20" t="s">
        <v>547</v>
      </c>
      <c r="D20" s="20" t="s">
        <v>358</v>
      </c>
      <c r="E20" s="21" t="s">
        <v>623</v>
      </c>
      <c r="F20" s="20" t="s">
        <v>589</v>
      </c>
      <c r="G20" s="39" t="s">
        <v>16</v>
      </c>
      <c r="H20" s="39" t="s">
        <v>17</v>
      </c>
      <c r="I20" s="39" t="s">
        <v>163</v>
      </c>
      <c r="J20" s="41"/>
      <c r="K20" s="44" t="str">
        <f>"57,5"</f>
        <v>57,5</v>
      </c>
      <c r="L20" s="22" t="str">
        <f>"75,9793"</f>
        <v>75,9793</v>
      </c>
      <c r="M20" s="20"/>
    </row>
    <row r="22" spans="1:13" ht="16">
      <c r="A22" s="62" t="s">
        <v>144</v>
      </c>
      <c r="B22" s="62"/>
      <c r="C22" s="63"/>
      <c r="D22" s="63"/>
      <c r="E22" s="63"/>
      <c r="F22" s="63"/>
      <c r="G22" s="63"/>
      <c r="H22" s="63"/>
      <c r="I22" s="63"/>
      <c r="J22" s="63"/>
    </row>
    <row r="23" spans="1:13">
      <c r="A23" s="32" t="s">
        <v>117</v>
      </c>
      <c r="B23" s="11" t="s">
        <v>418</v>
      </c>
      <c r="C23" s="11" t="s">
        <v>359</v>
      </c>
      <c r="D23" s="11" t="s">
        <v>360</v>
      </c>
      <c r="E23" s="12" t="s">
        <v>621</v>
      </c>
      <c r="F23" s="11" t="s">
        <v>589</v>
      </c>
      <c r="G23" s="30" t="s">
        <v>361</v>
      </c>
      <c r="H23" s="30" t="s">
        <v>362</v>
      </c>
      <c r="I23" s="30" t="s">
        <v>363</v>
      </c>
      <c r="J23" s="32"/>
      <c r="K23" s="45" t="str">
        <f>"30,0"</f>
        <v>30,0</v>
      </c>
      <c r="L23" s="13" t="str">
        <f>"35,8320"</f>
        <v>35,8320</v>
      </c>
      <c r="M23" s="11"/>
    </row>
    <row r="25" spans="1:13" ht="16">
      <c r="A25" s="62" t="s">
        <v>150</v>
      </c>
      <c r="B25" s="62"/>
      <c r="C25" s="63"/>
      <c r="D25" s="63"/>
      <c r="E25" s="63"/>
      <c r="F25" s="63"/>
      <c r="G25" s="63"/>
      <c r="H25" s="63"/>
      <c r="I25" s="63"/>
      <c r="J25" s="63"/>
    </row>
    <row r="26" spans="1:13">
      <c r="A26" s="32" t="s">
        <v>117</v>
      </c>
      <c r="B26" s="11" t="s">
        <v>419</v>
      </c>
      <c r="C26" s="11" t="s">
        <v>364</v>
      </c>
      <c r="D26" s="11" t="s">
        <v>365</v>
      </c>
      <c r="E26" s="12" t="s">
        <v>621</v>
      </c>
      <c r="F26" s="11" t="s">
        <v>589</v>
      </c>
      <c r="G26" s="30" t="s">
        <v>34</v>
      </c>
      <c r="H26" s="31" t="s">
        <v>142</v>
      </c>
      <c r="I26" s="31" t="s">
        <v>142</v>
      </c>
      <c r="J26" s="32"/>
      <c r="K26" s="45" t="str">
        <f>"70,0"</f>
        <v>70,0</v>
      </c>
      <c r="L26" s="13" t="str">
        <f>"63,9450"</f>
        <v>63,9450</v>
      </c>
      <c r="M26" s="11"/>
    </row>
    <row r="28" spans="1:13" ht="16">
      <c r="A28" s="62" t="s">
        <v>11</v>
      </c>
      <c r="B28" s="62"/>
      <c r="C28" s="63"/>
      <c r="D28" s="63"/>
      <c r="E28" s="63"/>
      <c r="F28" s="63"/>
      <c r="G28" s="63"/>
      <c r="H28" s="63"/>
      <c r="I28" s="63"/>
      <c r="J28" s="63"/>
    </row>
    <row r="29" spans="1:13">
      <c r="A29" s="32" t="s">
        <v>117</v>
      </c>
      <c r="B29" s="11" t="s">
        <v>420</v>
      </c>
      <c r="C29" s="11" t="s">
        <v>366</v>
      </c>
      <c r="D29" s="11" t="s">
        <v>367</v>
      </c>
      <c r="E29" s="12" t="s">
        <v>619</v>
      </c>
      <c r="F29" s="11" t="s">
        <v>606</v>
      </c>
      <c r="G29" s="30" t="s">
        <v>15</v>
      </c>
      <c r="H29" s="31" t="s">
        <v>162</v>
      </c>
      <c r="I29" s="30" t="s">
        <v>199</v>
      </c>
      <c r="J29" s="32"/>
      <c r="K29" s="45" t="str">
        <f>"117,5"</f>
        <v>117,5</v>
      </c>
      <c r="L29" s="13" t="str">
        <f>"92,2610"</f>
        <v>92,2610</v>
      </c>
      <c r="M29" s="11"/>
    </row>
    <row r="31" spans="1:13" ht="16">
      <c r="A31" s="62" t="s">
        <v>20</v>
      </c>
      <c r="B31" s="62"/>
      <c r="C31" s="63"/>
      <c r="D31" s="63"/>
      <c r="E31" s="63"/>
      <c r="F31" s="63"/>
      <c r="G31" s="63"/>
      <c r="H31" s="63"/>
      <c r="I31" s="63"/>
      <c r="J31" s="63"/>
    </row>
    <row r="32" spans="1:13">
      <c r="A32" s="34" t="s">
        <v>117</v>
      </c>
      <c r="B32" s="14" t="s">
        <v>421</v>
      </c>
      <c r="C32" s="14" t="s">
        <v>368</v>
      </c>
      <c r="D32" s="14" t="s">
        <v>198</v>
      </c>
      <c r="E32" s="15" t="s">
        <v>621</v>
      </c>
      <c r="F32" s="14" t="s">
        <v>589</v>
      </c>
      <c r="G32" s="35" t="s">
        <v>41</v>
      </c>
      <c r="H32" s="33" t="s">
        <v>199</v>
      </c>
      <c r="I32" s="35" t="s">
        <v>155</v>
      </c>
      <c r="J32" s="34"/>
      <c r="K32" s="43" t="str">
        <f>"117,5"</f>
        <v>117,5</v>
      </c>
      <c r="L32" s="16" t="str">
        <f>"84,7645"</f>
        <v>84,7645</v>
      </c>
      <c r="M32" s="14"/>
    </row>
    <row r="33" spans="1:13">
      <c r="A33" s="38" t="s">
        <v>124</v>
      </c>
      <c r="B33" s="17" t="s">
        <v>422</v>
      </c>
      <c r="C33" s="17" t="s">
        <v>369</v>
      </c>
      <c r="D33" s="17" t="s">
        <v>370</v>
      </c>
      <c r="E33" s="18" t="s">
        <v>621</v>
      </c>
      <c r="F33" s="17" t="s">
        <v>589</v>
      </c>
      <c r="G33" s="37" t="s">
        <v>22</v>
      </c>
      <c r="H33" s="36" t="s">
        <v>22</v>
      </c>
      <c r="I33" s="36" t="s">
        <v>23</v>
      </c>
      <c r="J33" s="38"/>
      <c r="K33" s="46" t="str">
        <f>"97,5"</f>
        <v>97,5</v>
      </c>
      <c r="L33" s="19" t="str">
        <f>"71,9843"</f>
        <v>71,9843</v>
      </c>
      <c r="M33" s="17"/>
    </row>
    <row r="34" spans="1:13">
      <c r="A34" s="38" t="s">
        <v>126</v>
      </c>
      <c r="B34" s="17" t="s">
        <v>423</v>
      </c>
      <c r="C34" s="17" t="s">
        <v>371</v>
      </c>
      <c r="D34" s="17" t="s">
        <v>38</v>
      </c>
      <c r="E34" s="18" t="s">
        <v>621</v>
      </c>
      <c r="F34" s="17" t="s">
        <v>589</v>
      </c>
      <c r="G34" s="36" t="s">
        <v>34</v>
      </c>
      <c r="H34" s="37" t="s">
        <v>288</v>
      </c>
      <c r="I34" s="37" t="s">
        <v>142</v>
      </c>
      <c r="J34" s="38"/>
      <c r="K34" s="46" t="str">
        <f>"70,0"</f>
        <v>70,0</v>
      </c>
      <c r="L34" s="19" t="str">
        <f>"52,4580"</f>
        <v>52,4580</v>
      </c>
      <c r="M34" s="17"/>
    </row>
    <row r="35" spans="1:13">
      <c r="A35" s="38" t="s">
        <v>117</v>
      </c>
      <c r="B35" s="17" t="s">
        <v>424</v>
      </c>
      <c r="C35" s="17" t="s">
        <v>372</v>
      </c>
      <c r="D35" s="17" t="s">
        <v>373</v>
      </c>
      <c r="E35" s="18" t="s">
        <v>619</v>
      </c>
      <c r="F35" s="17" t="s">
        <v>589</v>
      </c>
      <c r="G35" s="36" t="s">
        <v>199</v>
      </c>
      <c r="H35" s="36" t="s">
        <v>165</v>
      </c>
      <c r="I35" s="36" t="s">
        <v>205</v>
      </c>
      <c r="J35" s="38"/>
      <c r="K35" s="46" t="str">
        <f>"127,5"</f>
        <v>127,5</v>
      </c>
      <c r="L35" s="19" t="str">
        <f>"92,4248"</f>
        <v>92,4248</v>
      </c>
      <c r="M35" s="17"/>
    </row>
    <row r="36" spans="1:13">
      <c r="A36" s="41" t="s">
        <v>117</v>
      </c>
      <c r="B36" s="20" t="s">
        <v>425</v>
      </c>
      <c r="C36" s="20" t="s">
        <v>548</v>
      </c>
      <c r="D36" s="20" t="s">
        <v>292</v>
      </c>
      <c r="E36" s="21" t="s">
        <v>622</v>
      </c>
      <c r="F36" s="20" t="s">
        <v>589</v>
      </c>
      <c r="G36" s="40" t="s">
        <v>155</v>
      </c>
      <c r="H36" s="39" t="s">
        <v>155</v>
      </c>
      <c r="I36" s="40" t="s">
        <v>39</v>
      </c>
      <c r="J36" s="41"/>
      <c r="K36" s="44" t="str">
        <f>"120,0"</f>
        <v>120,0</v>
      </c>
      <c r="L36" s="22" t="str">
        <f>"85,5120"</f>
        <v>85,5120</v>
      </c>
      <c r="M36" s="20"/>
    </row>
    <row r="38" spans="1:13" ht="16">
      <c r="A38" s="62" t="s">
        <v>45</v>
      </c>
      <c r="B38" s="62"/>
      <c r="C38" s="63"/>
      <c r="D38" s="63"/>
      <c r="E38" s="63"/>
      <c r="F38" s="63"/>
      <c r="G38" s="63"/>
      <c r="H38" s="63"/>
      <c r="I38" s="63"/>
      <c r="J38" s="63"/>
    </row>
    <row r="39" spans="1:13">
      <c r="A39" s="34" t="s">
        <v>117</v>
      </c>
      <c r="B39" s="14" t="s">
        <v>426</v>
      </c>
      <c r="C39" s="14" t="s">
        <v>549</v>
      </c>
      <c r="D39" s="14" t="s">
        <v>294</v>
      </c>
      <c r="E39" s="15" t="s">
        <v>620</v>
      </c>
      <c r="F39" s="14" t="s">
        <v>589</v>
      </c>
      <c r="G39" s="33" t="s">
        <v>155</v>
      </c>
      <c r="H39" s="35" t="s">
        <v>39</v>
      </c>
      <c r="I39" s="35" t="s">
        <v>39</v>
      </c>
      <c r="J39" s="34"/>
      <c r="K39" s="43" t="str">
        <f>"120,0"</f>
        <v>120,0</v>
      </c>
      <c r="L39" s="16" t="str">
        <f>"81,1080"</f>
        <v>81,1080</v>
      </c>
      <c r="M39" s="14"/>
    </row>
    <row r="40" spans="1:13">
      <c r="A40" s="38" t="s">
        <v>124</v>
      </c>
      <c r="B40" s="17" t="s">
        <v>427</v>
      </c>
      <c r="C40" s="17" t="s">
        <v>550</v>
      </c>
      <c r="D40" s="17" t="s">
        <v>374</v>
      </c>
      <c r="E40" s="18" t="s">
        <v>620</v>
      </c>
      <c r="F40" s="17" t="s">
        <v>589</v>
      </c>
      <c r="G40" s="36" t="s">
        <v>13</v>
      </c>
      <c r="H40" s="36" t="s">
        <v>19</v>
      </c>
      <c r="I40" s="36" t="s">
        <v>15</v>
      </c>
      <c r="J40" s="38"/>
      <c r="K40" s="46" t="str">
        <f>"110,0"</f>
        <v>110,0</v>
      </c>
      <c r="L40" s="19" t="str">
        <f>"76,6590"</f>
        <v>76,6590</v>
      </c>
      <c r="M40" s="17"/>
    </row>
    <row r="41" spans="1:13">
      <c r="A41" s="38" t="s">
        <v>126</v>
      </c>
      <c r="B41" s="17" t="s">
        <v>428</v>
      </c>
      <c r="C41" s="17" t="s">
        <v>551</v>
      </c>
      <c r="D41" s="17" t="s">
        <v>375</v>
      </c>
      <c r="E41" s="18" t="s">
        <v>620</v>
      </c>
      <c r="F41" s="17" t="s">
        <v>589</v>
      </c>
      <c r="G41" s="36" t="s">
        <v>13</v>
      </c>
      <c r="H41" s="36" t="s">
        <v>14</v>
      </c>
      <c r="I41" s="37" t="s">
        <v>41</v>
      </c>
      <c r="J41" s="38"/>
      <c r="K41" s="46" t="str">
        <f>"107,5"</f>
        <v>107,5</v>
      </c>
      <c r="L41" s="19" t="str">
        <f>"73,8632"</f>
        <v>73,8632</v>
      </c>
      <c r="M41" s="17"/>
    </row>
    <row r="42" spans="1:13">
      <c r="A42" s="38" t="s">
        <v>117</v>
      </c>
      <c r="B42" s="17" t="s">
        <v>429</v>
      </c>
      <c r="C42" s="17" t="s">
        <v>376</v>
      </c>
      <c r="D42" s="17" t="s">
        <v>377</v>
      </c>
      <c r="E42" s="18" t="s">
        <v>619</v>
      </c>
      <c r="F42" s="17" t="s">
        <v>589</v>
      </c>
      <c r="G42" s="36" t="s">
        <v>33</v>
      </c>
      <c r="H42" s="37" t="s">
        <v>36</v>
      </c>
      <c r="I42" s="36" t="s">
        <v>36</v>
      </c>
      <c r="J42" s="38"/>
      <c r="K42" s="46" t="str">
        <f>"155,0"</f>
        <v>155,0</v>
      </c>
      <c r="L42" s="19" t="str">
        <f>"105,4000"</f>
        <v>105,4000</v>
      </c>
      <c r="M42" s="17"/>
    </row>
    <row r="43" spans="1:13">
      <c r="A43" s="38" t="s">
        <v>124</v>
      </c>
      <c r="B43" s="17" t="s">
        <v>430</v>
      </c>
      <c r="C43" s="17" t="s">
        <v>378</v>
      </c>
      <c r="D43" s="17" t="s">
        <v>379</v>
      </c>
      <c r="E43" s="18" t="s">
        <v>619</v>
      </c>
      <c r="F43" s="17" t="s">
        <v>593</v>
      </c>
      <c r="G43" s="36" t="s">
        <v>199</v>
      </c>
      <c r="H43" s="36" t="s">
        <v>39</v>
      </c>
      <c r="I43" s="36" t="s">
        <v>31</v>
      </c>
      <c r="J43" s="38"/>
      <c r="K43" s="46" t="str">
        <f>"130,0"</f>
        <v>130,0</v>
      </c>
      <c r="L43" s="19" t="str">
        <f>"87,4770"</f>
        <v>87,4770</v>
      </c>
      <c r="M43" s="17"/>
    </row>
    <row r="44" spans="1:13">
      <c r="A44" s="38" t="s">
        <v>126</v>
      </c>
      <c r="B44" s="17" t="s">
        <v>261</v>
      </c>
      <c r="C44" s="17" t="s">
        <v>203</v>
      </c>
      <c r="D44" s="17" t="s">
        <v>204</v>
      </c>
      <c r="E44" s="18" t="s">
        <v>619</v>
      </c>
      <c r="F44" s="17" t="s">
        <v>593</v>
      </c>
      <c r="G44" s="36" t="s">
        <v>15</v>
      </c>
      <c r="H44" s="36" t="s">
        <v>155</v>
      </c>
      <c r="I44" s="36" t="s">
        <v>205</v>
      </c>
      <c r="J44" s="38"/>
      <c r="K44" s="46" t="str">
        <f>"127,5"</f>
        <v>127,5</v>
      </c>
      <c r="L44" s="19" t="str">
        <f>"85,5397"</f>
        <v>85,5397</v>
      </c>
      <c r="M44" s="17"/>
    </row>
    <row r="45" spans="1:13">
      <c r="A45" s="38" t="s">
        <v>128</v>
      </c>
      <c r="B45" s="17" t="s">
        <v>431</v>
      </c>
      <c r="C45" s="17" t="s">
        <v>380</v>
      </c>
      <c r="D45" s="17" t="s">
        <v>381</v>
      </c>
      <c r="E45" s="18" t="s">
        <v>619</v>
      </c>
      <c r="F45" s="17" t="s">
        <v>589</v>
      </c>
      <c r="G45" s="36" t="s">
        <v>162</v>
      </c>
      <c r="H45" s="36" t="s">
        <v>165</v>
      </c>
      <c r="I45" s="37" t="s">
        <v>39</v>
      </c>
      <c r="J45" s="38"/>
      <c r="K45" s="46" t="str">
        <f>"122,5"</f>
        <v>122,5</v>
      </c>
      <c r="L45" s="19" t="str">
        <f>"83,6307"</f>
        <v>83,6307</v>
      </c>
      <c r="M45" s="17"/>
    </row>
    <row r="46" spans="1:13">
      <c r="A46" s="38" t="s">
        <v>432</v>
      </c>
      <c r="B46" s="17" t="s">
        <v>433</v>
      </c>
      <c r="C46" s="17" t="s">
        <v>382</v>
      </c>
      <c r="D46" s="17" t="s">
        <v>294</v>
      </c>
      <c r="E46" s="18" t="s">
        <v>619</v>
      </c>
      <c r="F46" s="17" t="s">
        <v>589</v>
      </c>
      <c r="G46" s="36" t="s">
        <v>15</v>
      </c>
      <c r="H46" s="36" t="s">
        <v>155</v>
      </c>
      <c r="I46" s="37" t="s">
        <v>165</v>
      </c>
      <c r="J46" s="38"/>
      <c r="K46" s="46" t="str">
        <f>"120,0"</f>
        <v>120,0</v>
      </c>
      <c r="L46" s="19" t="str">
        <f>"81,1080"</f>
        <v>81,1080</v>
      </c>
      <c r="M46" s="17"/>
    </row>
    <row r="47" spans="1:13">
      <c r="A47" s="38" t="s">
        <v>434</v>
      </c>
      <c r="B47" s="17" t="s">
        <v>262</v>
      </c>
      <c r="C47" s="17" t="s">
        <v>206</v>
      </c>
      <c r="D47" s="17" t="s">
        <v>207</v>
      </c>
      <c r="E47" s="18" t="s">
        <v>619</v>
      </c>
      <c r="F47" s="17" t="s">
        <v>593</v>
      </c>
      <c r="G47" s="37" t="s">
        <v>15</v>
      </c>
      <c r="H47" s="37" t="s">
        <v>155</v>
      </c>
      <c r="I47" s="36" t="s">
        <v>155</v>
      </c>
      <c r="J47" s="38"/>
      <c r="K47" s="46" t="str">
        <f>"120,0"</f>
        <v>120,0</v>
      </c>
      <c r="L47" s="19" t="str">
        <f>"81,0480"</f>
        <v>81,0480</v>
      </c>
      <c r="M47" s="17"/>
    </row>
    <row r="48" spans="1:13">
      <c r="A48" s="38" t="s">
        <v>435</v>
      </c>
      <c r="B48" s="17" t="s">
        <v>436</v>
      </c>
      <c r="C48" s="17" t="s">
        <v>383</v>
      </c>
      <c r="D48" s="17" t="s">
        <v>202</v>
      </c>
      <c r="E48" s="18" t="s">
        <v>619</v>
      </c>
      <c r="F48" s="17" t="s">
        <v>589</v>
      </c>
      <c r="G48" s="36" t="s">
        <v>143</v>
      </c>
      <c r="H48" s="36" t="s">
        <v>22</v>
      </c>
      <c r="I48" s="36" t="s">
        <v>23</v>
      </c>
      <c r="J48" s="38"/>
      <c r="K48" s="46" t="str">
        <f>"97,5"</f>
        <v>97,5</v>
      </c>
      <c r="L48" s="19" t="str">
        <f>"67,6552"</f>
        <v>67,6552</v>
      </c>
      <c r="M48" s="17"/>
    </row>
    <row r="49" spans="1:13">
      <c r="A49" s="38" t="s">
        <v>248</v>
      </c>
      <c r="B49" s="17" t="s">
        <v>437</v>
      </c>
      <c r="C49" s="17" t="s">
        <v>384</v>
      </c>
      <c r="D49" s="17" t="s">
        <v>207</v>
      </c>
      <c r="E49" s="18" t="s">
        <v>619</v>
      </c>
      <c r="F49" s="17" t="s">
        <v>589</v>
      </c>
      <c r="G49" s="37" t="s">
        <v>162</v>
      </c>
      <c r="H49" s="37" t="s">
        <v>162</v>
      </c>
      <c r="I49" s="37" t="s">
        <v>162</v>
      </c>
      <c r="J49" s="38"/>
      <c r="K49" s="46">
        <v>0</v>
      </c>
      <c r="L49" s="19" t="str">
        <f>"0,0000"</f>
        <v>0,0000</v>
      </c>
      <c r="M49" s="17"/>
    </row>
    <row r="50" spans="1:13">
      <c r="A50" s="41" t="s">
        <v>117</v>
      </c>
      <c r="B50" s="20" t="s">
        <v>429</v>
      </c>
      <c r="C50" s="20" t="s">
        <v>552</v>
      </c>
      <c r="D50" s="20" t="s">
        <v>377</v>
      </c>
      <c r="E50" s="21" t="s">
        <v>624</v>
      </c>
      <c r="F50" s="20" t="s">
        <v>589</v>
      </c>
      <c r="G50" s="39" t="s">
        <v>33</v>
      </c>
      <c r="H50" s="40" t="s">
        <v>36</v>
      </c>
      <c r="I50" s="39" t="s">
        <v>36</v>
      </c>
      <c r="J50" s="41"/>
      <c r="K50" s="44" t="str">
        <f>"155,0"</f>
        <v>155,0</v>
      </c>
      <c r="L50" s="22" t="str">
        <f>"113,6212"</f>
        <v>113,6212</v>
      </c>
      <c r="M50" s="20"/>
    </row>
    <row r="52" spans="1:13" ht="16">
      <c r="A52" s="62" t="s">
        <v>55</v>
      </c>
      <c r="B52" s="62"/>
      <c r="C52" s="63"/>
      <c r="D52" s="63"/>
      <c r="E52" s="63"/>
      <c r="F52" s="63"/>
      <c r="G52" s="63"/>
      <c r="H52" s="63"/>
      <c r="I52" s="63"/>
      <c r="J52" s="63"/>
    </row>
    <row r="53" spans="1:13">
      <c r="A53" s="34" t="s">
        <v>117</v>
      </c>
      <c r="B53" s="14" t="s">
        <v>438</v>
      </c>
      <c r="C53" s="14" t="s">
        <v>553</v>
      </c>
      <c r="D53" s="14" t="s">
        <v>303</v>
      </c>
      <c r="E53" s="15" t="s">
        <v>620</v>
      </c>
      <c r="F53" s="14" t="s">
        <v>589</v>
      </c>
      <c r="G53" s="33" t="s">
        <v>39</v>
      </c>
      <c r="H53" s="33" t="s">
        <v>31</v>
      </c>
      <c r="I53" s="33" t="s">
        <v>40</v>
      </c>
      <c r="J53" s="34"/>
      <c r="K53" s="43" t="str">
        <f>"135,0"</f>
        <v>135,0</v>
      </c>
      <c r="L53" s="16" t="str">
        <f>"86,7780"</f>
        <v>86,7780</v>
      </c>
      <c r="M53" s="14"/>
    </row>
    <row r="54" spans="1:13">
      <c r="A54" s="38" t="s">
        <v>117</v>
      </c>
      <c r="B54" s="17" t="s">
        <v>439</v>
      </c>
      <c r="C54" s="17" t="s">
        <v>386</v>
      </c>
      <c r="D54" s="17" t="s">
        <v>387</v>
      </c>
      <c r="E54" s="18" t="s">
        <v>619</v>
      </c>
      <c r="F54" s="17" t="s">
        <v>589</v>
      </c>
      <c r="G54" s="36" t="s">
        <v>193</v>
      </c>
      <c r="H54" s="36" t="s">
        <v>388</v>
      </c>
      <c r="I54" s="36" t="s">
        <v>49</v>
      </c>
      <c r="J54" s="38"/>
      <c r="K54" s="46" t="str">
        <f>"212,5"</f>
        <v>212,5</v>
      </c>
      <c r="L54" s="19" t="str">
        <f>"136,2763"</f>
        <v>136,2763</v>
      </c>
      <c r="M54" s="17"/>
    </row>
    <row r="55" spans="1:13">
      <c r="A55" s="38" t="s">
        <v>124</v>
      </c>
      <c r="B55" s="17" t="s">
        <v>123</v>
      </c>
      <c r="C55" s="17" t="s">
        <v>57</v>
      </c>
      <c r="D55" s="17" t="s">
        <v>58</v>
      </c>
      <c r="E55" s="18" t="s">
        <v>619</v>
      </c>
      <c r="F55" s="17" t="s">
        <v>589</v>
      </c>
      <c r="G55" s="36" t="s">
        <v>62</v>
      </c>
      <c r="H55" s="36" t="s">
        <v>63</v>
      </c>
      <c r="I55" s="37" t="s">
        <v>52</v>
      </c>
      <c r="J55" s="38"/>
      <c r="K55" s="46" t="str">
        <f>"167,5"</f>
        <v>167,5</v>
      </c>
      <c r="L55" s="19" t="str">
        <f>"107,3005"</f>
        <v>107,3005</v>
      </c>
      <c r="M55" s="17"/>
    </row>
    <row r="56" spans="1:13">
      <c r="A56" s="38" t="s">
        <v>126</v>
      </c>
      <c r="B56" s="17" t="s">
        <v>284</v>
      </c>
      <c r="C56" s="17" t="s">
        <v>280</v>
      </c>
      <c r="D56" s="17" t="s">
        <v>281</v>
      </c>
      <c r="E56" s="18" t="s">
        <v>619</v>
      </c>
      <c r="F56" s="17" t="s">
        <v>589</v>
      </c>
      <c r="G56" s="36" t="s">
        <v>40</v>
      </c>
      <c r="H56" s="36" t="s">
        <v>174</v>
      </c>
      <c r="I56" s="36" t="s">
        <v>192</v>
      </c>
      <c r="J56" s="38"/>
      <c r="K56" s="46" t="str">
        <f>"152,5"</f>
        <v>152,5</v>
      </c>
      <c r="L56" s="19" t="str">
        <f>"98,6218"</f>
        <v>98,6218</v>
      </c>
      <c r="M56" s="17"/>
    </row>
    <row r="57" spans="1:13">
      <c r="A57" s="38" t="s">
        <v>128</v>
      </c>
      <c r="B57" s="17" t="s">
        <v>267</v>
      </c>
      <c r="C57" s="17" t="s">
        <v>216</v>
      </c>
      <c r="D57" s="17" t="s">
        <v>217</v>
      </c>
      <c r="E57" s="18" t="s">
        <v>619</v>
      </c>
      <c r="F57" s="17" t="s">
        <v>589</v>
      </c>
      <c r="G57" s="37" t="s">
        <v>174</v>
      </c>
      <c r="H57" s="36" t="s">
        <v>174</v>
      </c>
      <c r="I57" s="37" t="s">
        <v>187</v>
      </c>
      <c r="J57" s="38"/>
      <c r="K57" s="46" t="str">
        <f>"145,0"</f>
        <v>145,0</v>
      </c>
      <c r="L57" s="19" t="str">
        <f>"92,9450"</f>
        <v>92,9450</v>
      </c>
      <c r="M57" s="17"/>
    </row>
    <row r="58" spans="1:13">
      <c r="A58" s="38" t="s">
        <v>432</v>
      </c>
      <c r="B58" s="17" t="s">
        <v>440</v>
      </c>
      <c r="C58" s="17" t="s">
        <v>389</v>
      </c>
      <c r="D58" s="17" t="s">
        <v>58</v>
      </c>
      <c r="E58" s="18" t="s">
        <v>619</v>
      </c>
      <c r="F58" s="17" t="s">
        <v>589</v>
      </c>
      <c r="G58" s="36" t="s">
        <v>39</v>
      </c>
      <c r="H58" s="36" t="s">
        <v>283</v>
      </c>
      <c r="I58" s="37" t="s">
        <v>40</v>
      </c>
      <c r="J58" s="38"/>
      <c r="K58" s="46" t="str">
        <f>"132,5"</f>
        <v>132,5</v>
      </c>
      <c r="L58" s="19" t="str">
        <f>"84,8795"</f>
        <v>84,8795</v>
      </c>
      <c r="M58" s="17"/>
    </row>
    <row r="59" spans="1:13">
      <c r="A59" s="38" t="s">
        <v>248</v>
      </c>
      <c r="B59" s="17" t="s">
        <v>268</v>
      </c>
      <c r="C59" s="17" t="s">
        <v>218</v>
      </c>
      <c r="D59" s="17" t="s">
        <v>219</v>
      </c>
      <c r="E59" s="18" t="s">
        <v>619</v>
      </c>
      <c r="F59" s="17" t="s">
        <v>589</v>
      </c>
      <c r="G59" s="37" t="s">
        <v>192</v>
      </c>
      <c r="H59" s="37" t="s">
        <v>192</v>
      </c>
      <c r="I59" s="37" t="s">
        <v>192</v>
      </c>
      <c r="J59" s="38"/>
      <c r="K59" s="46">
        <v>0</v>
      </c>
      <c r="L59" s="19" t="str">
        <f>"0,0000"</f>
        <v>0,0000</v>
      </c>
      <c r="M59" s="17"/>
    </row>
    <row r="60" spans="1:13">
      <c r="A60" s="38" t="s">
        <v>248</v>
      </c>
      <c r="B60" s="17" t="s">
        <v>441</v>
      </c>
      <c r="C60" s="17" t="s">
        <v>390</v>
      </c>
      <c r="D60" s="17" t="s">
        <v>391</v>
      </c>
      <c r="E60" s="18" t="s">
        <v>619</v>
      </c>
      <c r="F60" s="17" t="s">
        <v>589</v>
      </c>
      <c r="G60" s="37" t="s">
        <v>205</v>
      </c>
      <c r="H60" s="37" t="s">
        <v>205</v>
      </c>
      <c r="I60" s="37" t="s">
        <v>205</v>
      </c>
      <c r="J60" s="38"/>
      <c r="K60" s="46">
        <v>0</v>
      </c>
      <c r="L60" s="19" t="str">
        <f>"0,0000"</f>
        <v>0,0000</v>
      </c>
      <c r="M60" s="17"/>
    </row>
    <row r="61" spans="1:13">
      <c r="A61" s="38" t="s">
        <v>117</v>
      </c>
      <c r="B61" s="17" t="s">
        <v>442</v>
      </c>
      <c r="C61" s="17" t="s">
        <v>554</v>
      </c>
      <c r="D61" s="17" t="s">
        <v>303</v>
      </c>
      <c r="E61" s="18" t="s">
        <v>622</v>
      </c>
      <c r="F61" s="17" t="s">
        <v>592</v>
      </c>
      <c r="G61" s="36" t="s">
        <v>40</v>
      </c>
      <c r="H61" s="36" t="s">
        <v>174</v>
      </c>
      <c r="I61" s="37" t="s">
        <v>192</v>
      </c>
      <c r="J61" s="38"/>
      <c r="K61" s="46" t="str">
        <f>"145,0"</f>
        <v>145,0</v>
      </c>
      <c r="L61" s="19" t="str">
        <f>"97,3071"</f>
        <v>97,3071</v>
      </c>
      <c r="M61" s="17"/>
    </row>
    <row r="62" spans="1:13">
      <c r="A62" s="41" t="s">
        <v>117</v>
      </c>
      <c r="B62" s="20" t="s">
        <v>443</v>
      </c>
      <c r="C62" s="20" t="s">
        <v>555</v>
      </c>
      <c r="D62" s="20" t="s">
        <v>392</v>
      </c>
      <c r="E62" s="21" t="s">
        <v>624</v>
      </c>
      <c r="F62" s="20" t="s">
        <v>589</v>
      </c>
      <c r="G62" s="39" t="s">
        <v>36</v>
      </c>
      <c r="H62" s="40" t="s">
        <v>62</v>
      </c>
      <c r="I62" s="40" t="s">
        <v>62</v>
      </c>
      <c r="J62" s="41"/>
      <c r="K62" s="44" t="str">
        <f>"155,0"</f>
        <v>155,0</v>
      </c>
      <c r="L62" s="22" t="str">
        <f>"109,3348"</f>
        <v>109,3348</v>
      </c>
      <c r="M62" s="20"/>
    </row>
    <row r="64" spans="1:13" ht="16">
      <c r="A64" s="62" t="s">
        <v>87</v>
      </c>
      <c r="B64" s="62"/>
      <c r="C64" s="63"/>
      <c r="D64" s="63"/>
      <c r="E64" s="63"/>
      <c r="F64" s="63"/>
      <c r="G64" s="63"/>
      <c r="H64" s="63"/>
      <c r="I64" s="63"/>
      <c r="J64" s="63"/>
    </row>
    <row r="65" spans="1:13">
      <c r="A65" s="34" t="s">
        <v>117</v>
      </c>
      <c r="B65" s="14" t="s">
        <v>285</v>
      </c>
      <c r="C65" s="14" t="s">
        <v>542</v>
      </c>
      <c r="D65" s="14" t="s">
        <v>282</v>
      </c>
      <c r="E65" s="15" t="s">
        <v>620</v>
      </c>
      <c r="F65" s="14" t="s">
        <v>589</v>
      </c>
      <c r="G65" s="33" t="s">
        <v>19</v>
      </c>
      <c r="H65" s="33" t="s">
        <v>162</v>
      </c>
      <c r="I65" s="33" t="s">
        <v>155</v>
      </c>
      <c r="J65" s="34"/>
      <c r="K65" s="43" t="str">
        <f>"120,0"</f>
        <v>120,0</v>
      </c>
      <c r="L65" s="16" t="str">
        <f>"74,5680"</f>
        <v>74,5680</v>
      </c>
      <c r="M65" s="14"/>
    </row>
    <row r="66" spans="1:13">
      <c r="A66" s="38" t="s">
        <v>117</v>
      </c>
      <c r="B66" s="17" t="s">
        <v>131</v>
      </c>
      <c r="C66" s="17" t="s">
        <v>89</v>
      </c>
      <c r="D66" s="17" t="s">
        <v>90</v>
      </c>
      <c r="E66" s="18" t="s">
        <v>619</v>
      </c>
      <c r="F66" s="17" t="s">
        <v>589</v>
      </c>
      <c r="G66" s="36" t="s">
        <v>52</v>
      </c>
      <c r="H66" s="36" t="s">
        <v>42</v>
      </c>
      <c r="I66" s="37" t="s">
        <v>92</v>
      </c>
      <c r="J66" s="38"/>
      <c r="K66" s="46" t="str">
        <f>"180,0"</f>
        <v>180,0</v>
      </c>
      <c r="L66" s="19" t="str">
        <f>"109,5840"</f>
        <v>109,5840</v>
      </c>
      <c r="M66" s="17"/>
    </row>
    <row r="67" spans="1:13">
      <c r="A67" s="38" t="s">
        <v>124</v>
      </c>
      <c r="B67" s="17" t="s">
        <v>444</v>
      </c>
      <c r="C67" s="17" t="s">
        <v>393</v>
      </c>
      <c r="D67" s="17" t="s">
        <v>394</v>
      </c>
      <c r="E67" s="18" t="s">
        <v>619</v>
      </c>
      <c r="F67" s="17" t="s">
        <v>589</v>
      </c>
      <c r="G67" s="36" t="s">
        <v>192</v>
      </c>
      <c r="H67" s="36" t="s">
        <v>196</v>
      </c>
      <c r="I67" s="36" t="s">
        <v>51</v>
      </c>
      <c r="J67" s="38"/>
      <c r="K67" s="46" t="str">
        <f>"162,5"</f>
        <v>162,5</v>
      </c>
      <c r="L67" s="19" t="str">
        <f>"100,9288"</f>
        <v>100,9288</v>
      </c>
      <c r="M67" s="17"/>
    </row>
    <row r="68" spans="1:13">
      <c r="A68" s="38" t="s">
        <v>126</v>
      </c>
      <c r="B68" s="17" t="s">
        <v>445</v>
      </c>
      <c r="C68" s="17" t="s">
        <v>395</v>
      </c>
      <c r="D68" s="17" t="s">
        <v>396</v>
      </c>
      <c r="E68" s="18" t="s">
        <v>619</v>
      </c>
      <c r="F68" s="17" t="s">
        <v>589</v>
      </c>
      <c r="G68" s="36" t="s">
        <v>155</v>
      </c>
      <c r="H68" s="36" t="s">
        <v>205</v>
      </c>
      <c r="I68" s="37" t="s">
        <v>283</v>
      </c>
      <c r="J68" s="38"/>
      <c r="K68" s="46" t="str">
        <f>"127,5"</f>
        <v>127,5</v>
      </c>
      <c r="L68" s="19" t="str">
        <f>"79,0500"</f>
        <v>79,0500</v>
      </c>
      <c r="M68" s="17"/>
    </row>
    <row r="69" spans="1:13">
      <c r="A69" s="38" t="s">
        <v>128</v>
      </c>
      <c r="B69" s="17" t="s">
        <v>446</v>
      </c>
      <c r="C69" s="17" t="s">
        <v>397</v>
      </c>
      <c r="D69" s="17" t="s">
        <v>398</v>
      </c>
      <c r="E69" s="18" t="s">
        <v>619</v>
      </c>
      <c r="F69" s="17" t="s">
        <v>592</v>
      </c>
      <c r="G69" s="36" t="s">
        <v>19</v>
      </c>
      <c r="H69" s="36" t="s">
        <v>162</v>
      </c>
      <c r="I69" s="36" t="s">
        <v>155</v>
      </c>
      <c r="J69" s="38"/>
      <c r="K69" s="46" t="str">
        <f>"120,0"</f>
        <v>120,0</v>
      </c>
      <c r="L69" s="19" t="str">
        <f>"73,1520"</f>
        <v>73,1520</v>
      </c>
      <c r="M69" s="17"/>
    </row>
    <row r="70" spans="1:13">
      <c r="A70" s="38" t="s">
        <v>248</v>
      </c>
      <c r="B70" s="17" t="s">
        <v>447</v>
      </c>
      <c r="C70" s="17" t="s">
        <v>399</v>
      </c>
      <c r="D70" s="17" t="s">
        <v>400</v>
      </c>
      <c r="E70" s="18" t="s">
        <v>619</v>
      </c>
      <c r="F70" s="17" t="s">
        <v>589</v>
      </c>
      <c r="G70" s="37" t="s">
        <v>83</v>
      </c>
      <c r="H70" s="37" t="s">
        <v>71</v>
      </c>
      <c r="I70" s="37" t="s">
        <v>71</v>
      </c>
      <c r="J70" s="38"/>
      <c r="K70" s="46">
        <v>0</v>
      </c>
      <c r="L70" s="19" t="str">
        <f>"0,0000"</f>
        <v>0,0000</v>
      </c>
      <c r="M70" s="17"/>
    </row>
    <row r="71" spans="1:13">
      <c r="A71" s="38" t="s">
        <v>117</v>
      </c>
      <c r="B71" s="17" t="s">
        <v>448</v>
      </c>
      <c r="C71" s="17" t="s">
        <v>556</v>
      </c>
      <c r="D71" s="17" t="s">
        <v>401</v>
      </c>
      <c r="E71" s="18" t="s">
        <v>622</v>
      </c>
      <c r="F71" s="17" t="s">
        <v>593</v>
      </c>
      <c r="G71" s="36" t="s">
        <v>92</v>
      </c>
      <c r="H71" s="36" t="s">
        <v>43</v>
      </c>
      <c r="I71" s="36" t="s">
        <v>44</v>
      </c>
      <c r="J71" s="38"/>
      <c r="K71" s="46" t="str">
        <f>"195,0"</f>
        <v>195,0</v>
      </c>
      <c r="L71" s="19" t="str">
        <f>"121,2900"</f>
        <v>121,2900</v>
      </c>
      <c r="M71" s="17"/>
    </row>
    <row r="72" spans="1:13">
      <c r="A72" s="38" t="s">
        <v>248</v>
      </c>
      <c r="B72" s="17" t="s">
        <v>449</v>
      </c>
      <c r="C72" s="17" t="s">
        <v>557</v>
      </c>
      <c r="D72" s="17" t="s">
        <v>402</v>
      </c>
      <c r="E72" s="18" t="s">
        <v>622</v>
      </c>
      <c r="F72" s="17" t="s">
        <v>589</v>
      </c>
      <c r="G72" s="37" t="s">
        <v>32</v>
      </c>
      <c r="H72" s="37" t="s">
        <v>32</v>
      </c>
      <c r="I72" s="38"/>
      <c r="J72" s="38"/>
      <c r="K72" s="46">
        <v>0</v>
      </c>
      <c r="L72" s="19" t="str">
        <f>"0,0000"</f>
        <v>0,0000</v>
      </c>
      <c r="M72" s="17"/>
    </row>
    <row r="73" spans="1:13">
      <c r="A73" s="41" t="s">
        <v>117</v>
      </c>
      <c r="B73" s="20" t="s">
        <v>450</v>
      </c>
      <c r="C73" s="20" t="s">
        <v>558</v>
      </c>
      <c r="D73" s="20" t="s">
        <v>403</v>
      </c>
      <c r="E73" s="21" t="s">
        <v>624</v>
      </c>
      <c r="F73" s="20" t="s">
        <v>589</v>
      </c>
      <c r="G73" s="40" t="s">
        <v>32</v>
      </c>
      <c r="H73" s="40" t="s">
        <v>32</v>
      </c>
      <c r="I73" s="39" t="s">
        <v>180</v>
      </c>
      <c r="J73" s="41"/>
      <c r="K73" s="44" t="str">
        <f>"142,5"</f>
        <v>142,5</v>
      </c>
      <c r="L73" s="22" t="str">
        <f>"100,4316"</f>
        <v>100,4316</v>
      </c>
      <c r="M73" s="20"/>
    </row>
    <row r="75" spans="1:13" ht="16">
      <c r="A75" s="62" t="s">
        <v>94</v>
      </c>
      <c r="B75" s="62"/>
      <c r="C75" s="63"/>
      <c r="D75" s="63"/>
      <c r="E75" s="63"/>
      <c r="F75" s="63"/>
      <c r="G75" s="63"/>
      <c r="H75" s="63"/>
      <c r="I75" s="63"/>
      <c r="J75" s="63"/>
    </row>
    <row r="76" spans="1:13">
      <c r="A76" s="34" t="s">
        <v>117</v>
      </c>
      <c r="B76" s="14" t="s">
        <v>338</v>
      </c>
      <c r="C76" s="14" t="s">
        <v>308</v>
      </c>
      <c r="D76" s="14" t="s">
        <v>309</v>
      </c>
      <c r="E76" s="15" t="s">
        <v>619</v>
      </c>
      <c r="F76" s="14" t="s">
        <v>585</v>
      </c>
      <c r="G76" s="33" t="s">
        <v>105</v>
      </c>
      <c r="H76" s="33" t="s">
        <v>77</v>
      </c>
      <c r="I76" s="33" t="s">
        <v>59</v>
      </c>
      <c r="J76" s="34"/>
      <c r="K76" s="43" t="str">
        <f>"240,0"</f>
        <v>240,0</v>
      </c>
      <c r="L76" s="16" t="str">
        <f>"143,0400"</f>
        <v>143,0400</v>
      </c>
      <c r="M76" s="14"/>
    </row>
    <row r="77" spans="1:13">
      <c r="A77" s="38" t="s">
        <v>117</v>
      </c>
      <c r="B77" s="17" t="s">
        <v>451</v>
      </c>
      <c r="C77" s="17" t="s">
        <v>559</v>
      </c>
      <c r="D77" s="17" t="s">
        <v>227</v>
      </c>
      <c r="E77" s="18" t="s">
        <v>622</v>
      </c>
      <c r="F77" s="17" t="s">
        <v>593</v>
      </c>
      <c r="G77" s="36" t="s">
        <v>196</v>
      </c>
      <c r="H77" s="36" t="s">
        <v>83</v>
      </c>
      <c r="I77" s="36" t="s">
        <v>52</v>
      </c>
      <c r="J77" s="38"/>
      <c r="K77" s="46" t="str">
        <f>"170,0"</f>
        <v>170,0</v>
      </c>
      <c r="L77" s="19" t="str">
        <f>"101,1261"</f>
        <v>101,1261</v>
      </c>
      <c r="M77" s="17"/>
    </row>
    <row r="78" spans="1:13">
      <c r="A78" s="41" t="s">
        <v>124</v>
      </c>
      <c r="B78" s="20" t="s">
        <v>452</v>
      </c>
      <c r="C78" s="20" t="s">
        <v>560</v>
      </c>
      <c r="D78" s="20" t="s">
        <v>404</v>
      </c>
      <c r="E78" s="21" t="s">
        <v>622</v>
      </c>
      <c r="F78" s="20" t="s">
        <v>589</v>
      </c>
      <c r="G78" s="39" t="s">
        <v>174</v>
      </c>
      <c r="H78" s="39" t="s">
        <v>33</v>
      </c>
      <c r="I78" s="39" t="s">
        <v>36</v>
      </c>
      <c r="J78" s="41"/>
      <c r="K78" s="44" t="str">
        <f>"155,0"</f>
        <v>155,0</v>
      </c>
      <c r="L78" s="22" t="str">
        <f>"94,3930"</f>
        <v>94,3930</v>
      </c>
      <c r="M78" s="20"/>
    </row>
    <row r="80" spans="1:13" ht="16">
      <c r="A80" s="62" t="s">
        <v>233</v>
      </c>
      <c r="B80" s="62"/>
      <c r="C80" s="63"/>
      <c r="D80" s="63"/>
      <c r="E80" s="63"/>
      <c r="F80" s="63"/>
      <c r="G80" s="63"/>
      <c r="H80" s="63"/>
      <c r="I80" s="63"/>
      <c r="J80" s="63"/>
    </row>
    <row r="81" spans="1:13">
      <c r="A81" s="34" t="s">
        <v>117</v>
      </c>
      <c r="B81" s="14" t="s">
        <v>453</v>
      </c>
      <c r="C81" s="14" t="s">
        <v>405</v>
      </c>
      <c r="D81" s="14" t="s">
        <v>406</v>
      </c>
      <c r="E81" s="15" t="s">
        <v>619</v>
      </c>
      <c r="F81" s="14" t="s">
        <v>589</v>
      </c>
      <c r="G81" s="35" t="s">
        <v>51</v>
      </c>
      <c r="H81" s="33" t="s">
        <v>63</v>
      </c>
      <c r="I81" s="35" t="s">
        <v>407</v>
      </c>
      <c r="J81" s="34"/>
      <c r="K81" s="43" t="str">
        <f>"167,5"</f>
        <v>167,5</v>
      </c>
      <c r="L81" s="16" t="str">
        <f>"95,6592"</f>
        <v>95,6592</v>
      </c>
      <c r="M81" s="14"/>
    </row>
    <row r="82" spans="1:13">
      <c r="A82" s="41" t="s">
        <v>117</v>
      </c>
      <c r="B82" s="20" t="s">
        <v>454</v>
      </c>
      <c r="C82" s="20" t="s">
        <v>561</v>
      </c>
      <c r="D82" s="20" t="s">
        <v>408</v>
      </c>
      <c r="E82" s="21" t="s">
        <v>625</v>
      </c>
      <c r="F82" s="20" t="s">
        <v>589</v>
      </c>
      <c r="G82" s="39" t="s">
        <v>51</v>
      </c>
      <c r="H82" s="39" t="s">
        <v>52</v>
      </c>
      <c r="I82" s="40" t="s">
        <v>407</v>
      </c>
      <c r="J82" s="41"/>
      <c r="K82" s="44" t="str">
        <f>"170,0"</f>
        <v>170,0</v>
      </c>
      <c r="L82" s="22" t="str">
        <f>"117,4302"</f>
        <v>117,4302</v>
      </c>
      <c r="M82" s="20"/>
    </row>
    <row r="84" spans="1:13" ht="16">
      <c r="F84" s="8"/>
      <c r="G84" s="5"/>
      <c r="M84" s="7"/>
    </row>
    <row r="85" spans="1:13">
      <c r="G85" s="5"/>
      <c r="M85" s="7"/>
    </row>
    <row r="86" spans="1:13" ht="18">
      <c r="B86" s="9" t="s">
        <v>7</v>
      </c>
      <c r="C86" s="9"/>
      <c r="G86" s="3"/>
      <c r="M86" s="7"/>
    </row>
    <row r="87" spans="1:13" ht="16">
      <c r="B87" s="23" t="s">
        <v>106</v>
      </c>
      <c r="C87" s="23"/>
      <c r="G87" s="3"/>
      <c r="M87" s="7"/>
    </row>
    <row r="88" spans="1:13" ht="14">
      <c r="B88" s="24"/>
      <c r="C88" s="25" t="s">
        <v>113</v>
      </c>
      <c r="G88" s="3"/>
      <c r="M88" s="7"/>
    </row>
    <row r="89" spans="1:13" ht="14">
      <c r="B89" s="26" t="s">
        <v>107</v>
      </c>
      <c r="C89" s="26" t="s">
        <v>108</v>
      </c>
      <c r="D89" s="26" t="s">
        <v>531</v>
      </c>
      <c r="E89" s="27" t="s">
        <v>324</v>
      </c>
      <c r="F89" s="26" t="s">
        <v>110</v>
      </c>
      <c r="G89" s="3"/>
      <c r="M89" s="7"/>
    </row>
    <row r="90" spans="1:13">
      <c r="B90" s="5" t="s">
        <v>346</v>
      </c>
      <c r="C90" s="5" t="s">
        <v>113</v>
      </c>
      <c r="D90" s="10" t="s">
        <v>409</v>
      </c>
      <c r="E90" s="29">
        <v>70</v>
      </c>
      <c r="F90" s="28">
        <v>84.497002363204999</v>
      </c>
      <c r="G90" s="3"/>
      <c r="M90" s="7"/>
    </row>
    <row r="91" spans="1:13">
      <c r="B91" s="5" t="s">
        <v>349</v>
      </c>
      <c r="C91" s="5" t="s">
        <v>113</v>
      </c>
      <c r="D91" s="10" t="s">
        <v>236</v>
      </c>
      <c r="E91" s="29">
        <v>57.5</v>
      </c>
      <c r="F91" s="28">
        <v>65.820252895355196</v>
      </c>
      <c r="G91" s="3"/>
      <c r="M91" s="7"/>
    </row>
    <row r="92" spans="1:13">
      <c r="B92" s="5" t="s">
        <v>356</v>
      </c>
      <c r="C92" s="5" t="s">
        <v>113</v>
      </c>
      <c r="D92" s="10" t="s">
        <v>112</v>
      </c>
      <c r="E92" s="29">
        <v>67.5</v>
      </c>
      <c r="F92" s="28">
        <v>64.4962504506111</v>
      </c>
      <c r="G92" s="3"/>
      <c r="M92" s="7"/>
    </row>
    <row r="93" spans="1:13">
      <c r="D93" s="10"/>
      <c r="E93" s="29"/>
      <c r="F93" s="28"/>
      <c r="G93" s="3"/>
      <c r="M93" s="7"/>
    </row>
    <row r="94" spans="1:13" ht="16">
      <c r="B94" s="23" t="s">
        <v>114</v>
      </c>
      <c r="C94" s="23"/>
      <c r="G94" s="3"/>
      <c r="M94" s="7"/>
    </row>
    <row r="95" spans="1:13" ht="14">
      <c r="B95" s="24"/>
      <c r="C95" s="25" t="s">
        <v>113</v>
      </c>
      <c r="G95" s="3"/>
      <c r="M95" s="7"/>
    </row>
    <row r="96" spans="1:13" ht="14">
      <c r="B96" s="26" t="s">
        <v>107</v>
      </c>
      <c r="C96" s="26" t="s">
        <v>108</v>
      </c>
      <c r="D96" s="26" t="s">
        <v>531</v>
      </c>
      <c r="E96" s="27" t="s">
        <v>324</v>
      </c>
      <c r="F96" s="26" t="s">
        <v>110</v>
      </c>
      <c r="G96" s="3"/>
      <c r="M96" s="7"/>
    </row>
    <row r="97" spans="2:13">
      <c r="B97" s="5" t="s">
        <v>307</v>
      </c>
      <c r="C97" s="5" t="s">
        <v>113</v>
      </c>
      <c r="D97" s="10" t="s">
        <v>239</v>
      </c>
      <c r="E97" s="29">
        <v>240</v>
      </c>
      <c r="F97" s="28">
        <v>143.04000377655001</v>
      </c>
      <c r="G97" s="3"/>
      <c r="M97" s="7"/>
    </row>
    <row r="98" spans="2:13">
      <c r="B98" s="5" t="s">
        <v>385</v>
      </c>
      <c r="C98" s="5" t="s">
        <v>113</v>
      </c>
      <c r="D98" s="10" t="s">
        <v>115</v>
      </c>
      <c r="E98" s="29">
        <v>212.5</v>
      </c>
      <c r="F98" s="28">
        <v>136.27625480294199</v>
      </c>
      <c r="G98" s="3"/>
      <c r="M98" s="7"/>
    </row>
    <row r="99" spans="2:13">
      <c r="B99" s="5" t="s">
        <v>88</v>
      </c>
      <c r="C99" s="5" t="s">
        <v>113</v>
      </c>
      <c r="D99" s="10" t="s">
        <v>240</v>
      </c>
      <c r="E99" s="29">
        <v>180</v>
      </c>
      <c r="F99" s="28">
        <v>109.583998918533</v>
      </c>
      <c r="G99" s="3"/>
      <c r="M99" s="7"/>
    </row>
    <row r="100" spans="2:13">
      <c r="E100" s="10"/>
      <c r="F100" s="29"/>
      <c r="G100" s="28"/>
      <c r="M100" s="7"/>
    </row>
    <row r="101" spans="2:13">
      <c r="E101" s="5"/>
      <c r="F101" s="6"/>
      <c r="G101" s="5"/>
      <c r="M101" s="7"/>
    </row>
  </sheetData>
  <mergeCells count="24">
    <mergeCell ref="A5:J5"/>
    <mergeCell ref="B3:B4"/>
    <mergeCell ref="A80:J80"/>
    <mergeCell ref="A8:J8"/>
    <mergeCell ref="A12:J12"/>
    <mergeCell ref="A17:J17"/>
    <mergeCell ref="A22:J22"/>
    <mergeCell ref="A25:J25"/>
    <mergeCell ref="A28:J28"/>
    <mergeCell ref="A31:J31"/>
    <mergeCell ref="A38:J38"/>
    <mergeCell ref="A52:J52"/>
    <mergeCell ref="A64:J64"/>
    <mergeCell ref="A75:J75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51"/>
  <sheetViews>
    <sheetView topLeftCell="A15" workbookViewId="0">
      <selection activeCell="E41" sqref="E41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4.164062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8.1640625" style="5" customWidth="1"/>
    <col min="14" max="16384" width="9.1640625" style="3"/>
  </cols>
  <sheetData>
    <row r="1" spans="1:13" s="2" customFormat="1" ht="29" customHeight="1">
      <c r="A1" s="47" t="s">
        <v>607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9</v>
      </c>
      <c r="H3" s="61"/>
      <c r="I3" s="61"/>
      <c r="J3" s="61"/>
      <c r="K3" s="59" t="s">
        <v>326</v>
      </c>
      <c r="L3" s="59" t="s">
        <v>3</v>
      </c>
      <c r="M3" s="66" t="s">
        <v>2</v>
      </c>
    </row>
    <row r="4" spans="1:13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7"/>
    </row>
    <row r="5" spans="1:13" ht="16">
      <c r="A5" s="68" t="s">
        <v>156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32" t="s">
        <v>117</v>
      </c>
      <c r="B6" s="11" t="s">
        <v>327</v>
      </c>
      <c r="C6" s="11" t="s">
        <v>286</v>
      </c>
      <c r="D6" s="11" t="s">
        <v>287</v>
      </c>
      <c r="E6" s="12" t="s">
        <v>619</v>
      </c>
      <c r="F6" s="11" t="s">
        <v>593</v>
      </c>
      <c r="G6" s="31" t="s">
        <v>35</v>
      </c>
      <c r="H6" s="30" t="s">
        <v>35</v>
      </c>
      <c r="I6" s="30" t="s">
        <v>288</v>
      </c>
      <c r="J6" s="32"/>
      <c r="K6" s="13" t="str">
        <f>"77,5"</f>
        <v>77,5</v>
      </c>
      <c r="L6" s="13" t="str">
        <f>"87,1953"</f>
        <v>87,1953</v>
      </c>
      <c r="M6" s="11"/>
    </row>
    <row r="8" spans="1:13" ht="16">
      <c r="A8" s="62" t="s">
        <v>11</v>
      </c>
      <c r="B8" s="62"/>
      <c r="C8" s="63"/>
      <c r="D8" s="63"/>
      <c r="E8" s="63"/>
      <c r="F8" s="63"/>
      <c r="G8" s="63"/>
      <c r="H8" s="63"/>
      <c r="I8" s="63"/>
      <c r="J8" s="63"/>
    </row>
    <row r="9" spans="1:13">
      <c r="A9" s="32" t="s">
        <v>117</v>
      </c>
      <c r="B9" s="11" t="s">
        <v>328</v>
      </c>
      <c r="C9" s="11" t="s">
        <v>289</v>
      </c>
      <c r="D9" s="11" t="s">
        <v>290</v>
      </c>
      <c r="E9" s="12" t="s">
        <v>621</v>
      </c>
      <c r="F9" s="11" t="s">
        <v>593</v>
      </c>
      <c r="G9" s="30" t="s">
        <v>142</v>
      </c>
      <c r="H9" s="30" t="s">
        <v>22</v>
      </c>
      <c r="I9" s="31" t="s">
        <v>13</v>
      </c>
      <c r="J9" s="32"/>
      <c r="K9" s="13" t="str">
        <f>"90,0"</f>
        <v>90,0</v>
      </c>
      <c r="L9" s="13" t="str">
        <f>"72,7020"</f>
        <v>72,7020</v>
      </c>
      <c r="M9" s="11"/>
    </row>
    <row r="11" spans="1:13" ht="16">
      <c r="A11" s="62" t="s">
        <v>20</v>
      </c>
      <c r="B11" s="62"/>
      <c r="C11" s="63"/>
      <c r="D11" s="63"/>
      <c r="E11" s="63"/>
      <c r="F11" s="63"/>
      <c r="G11" s="63"/>
      <c r="H11" s="63"/>
      <c r="I11" s="63"/>
      <c r="J11" s="63"/>
    </row>
    <row r="12" spans="1:13">
      <c r="A12" s="34" t="s">
        <v>117</v>
      </c>
      <c r="B12" s="14" t="s">
        <v>329</v>
      </c>
      <c r="C12" s="14" t="s">
        <v>291</v>
      </c>
      <c r="D12" s="14" t="s">
        <v>292</v>
      </c>
      <c r="E12" s="15" t="s">
        <v>619</v>
      </c>
      <c r="F12" s="14" t="s">
        <v>593</v>
      </c>
      <c r="G12" s="33" t="s">
        <v>71</v>
      </c>
      <c r="H12" s="33" t="s">
        <v>42</v>
      </c>
      <c r="I12" s="33" t="s">
        <v>92</v>
      </c>
      <c r="J12" s="34"/>
      <c r="K12" s="16" t="str">
        <f>"185,0"</f>
        <v>185,0</v>
      </c>
      <c r="L12" s="16" t="str">
        <f>"131,8310"</f>
        <v>131,8310</v>
      </c>
      <c r="M12" s="14"/>
    </row>
    <row r="13" spans="1:13">
      <c r="A13" s="41" t="s">
        <v>124</v>
      </c>
      <c r="B13" s="20" t="s">
        <v>279</v>
      </c>
      <c r="C13" s="20" t="s">
        <v>277</v>
      </c>
      <c r="D13" s="20" t="s">
        <v>278</v>
      </c>
      <c r="E13" s="21" t="s">
        <v>619</v>
      </c>
      <c r="F13" s="20" t="s">
        <v>589</v>
      </c>
      <c r="G13" s="39" t="s">
        <v>40</v>
      </c>
      <c r="H13" s="40" t="s">
        <v>174</v>
      </c>
      <c r="I13" s="40" t="s">
        <v>33</v>
      </c>
      <c r="J13" s="41"/>
      <c r="K13" s="22" t="str">
        <f>"135,0"</f>
        <v>135,0</v>
      </c>
      <c r="L13" s="22" t="str">
        <f>"96,7410"</f>
        <v>96,7410</v>
      </c>
      <c r="M13" s="20"/>
    </row>
    <row r="15" spans="1:13" ht="16">
      <c r="A15" s="62" t="s">
        <v>45</v>
      </c>
      <c r="B15" s="62"/>
      <c r="C15" s="63"/>
      <c r="D15" s="63"/>
      <c r="E15" s="63"/>
      <c r="F15" s="63"/>
      <c r="G15" s="63"/>
      <c r="H15" s="63"/>
      <c r="I15" s="63"/>
      <c r="J15" s="63"/>
    </row>
    <row r="16" spans="1:13">
      <c r="A16" s="34" t="s">
        <v>117</v>
      </c>
      <c r="B16" s="14" t="s">
        <v>122</v>
      </c>
      <c r="C16" s="14" t="s">
        <v>46</v>
      </c>
      <c r="D16" s="14" t="s">
        <v>47</v>
      </c>
      <c r="E16" s="15" t="s">
        <v>619</v>
      </c>
      <c r="F16" s="14" t="s">
        <v>589</v>
      </c>
      <c r="G16" s="33" t="s">
        <v>36</v>
      </c>
      <c r="H16" s="33" t="s">
        <v>51</v>
      </c>
      <c r="I16" s="33" t="s">
        <v>52</v>
      </c>
      <c r="J16" s="34"/>
      <c r="K16" s="16" t="str">
        <f>"170,0"</f>
        <v>170,0</v>
      </c>
      <c r="L16" s="16" t="str">
        <f>"115,0730"</f>
        <v>115,0730</v>
      </c>
      <c r="M16" s="14"/>
    </row>
    <row r="17" spans="1:13">
      <c r="A17" s="41" t="s">
        <v>124</v>
      </c>
      <c r="B17" s="20" t="s">
        <v>330</v>
      </c>
      <c r="C17" s="20" t="s">
        <v>293</v>
      </c>
      <c r="D17" s="20" t="s">
        <v>294</v>
      </c>
      <c r="E17" s="21" t="s">
        <v>619</v>
      </c>
      <c r="F17" s="20" t="s">
        <v>593</v>
      </c>
      <c r="G17" s="39" t="s">
        <v>174</v>
      </c>
      <c r="H17" s="39" t="s">
        <v>36</v>
      </c>
      <c r="I17" s="40" t="s">
        <v>83</v>
      </c>
      <c r="J17" s="41"/>
      <c r="K17" s="22" t="str">
        <f>"155,0"</f>
        <v>155,0</v>
      </c>
      <c r="L17" s="22" t="str">
        <f>"104,7645"</f>
        <v>104,7645</v>
      </c>
      <c r="M17" s="20"/>
    </row>
    <row r="19" spans="1:13" ht="16">
      <c r="A19" s="62" t="s">
        <v>55</v>
      </c>
      <c r="B19" s="62"/>
      <c r="C19" s="63"/>
      <c r="D19" s="63"/>
      <c r="E19" s="63"/>
      <c r="F19" s="63"/>
      <c r="G19" s="63"/>
      <c r="H19" s="63"/>
      <c r="I19" s="63"/>
      <c r="J19" s="63"/>
    </row>
    <row r="20" spans="1:13">
      <c r="A20" s="34" t="s">
        <v>117</v>
      </c>
      <c r="B20" s="14" t="s">
        <v>331</v>
      </c>
      <c r="C20" s="14" t="s">
        <v>295</v>
      </c>
      <c r="D20" s="14" t="s">
        <v>296</v>
      </c>
      <c r="E20" s="15" t="s">
        <v>619</v>
      </c>
      <c r="F20" s="14" t="s">
        <v>589</v>
      </c>
      <c r="G20" s="33" t="s">
        <v>71</v>
      </c>
      <c r="H20" s="35" t="s">
        <v>42</v>
      </c>
      <c r="I20" s="35" t="s">
        <v>42</v>
      </c>
      <c r="J20" s="34"/>
      <c r="K20" s="16" t="str">
        <f>"175,0"</f>
        <v>175,0</v>
      </c>
      <c r="L20" s="16" t="str">
        <f>"113,8025"</f>
        <v>113,8025</v>
      </c>
      <c r="M20" s="14"/>
    </row>
    <row r="21" spans="1:13">
      <c r="A21" s="38" t="s">
        <v>124</v>
      </c>
      <c r="B21" s="17" t="s">
        <v>332</v>
      </c>
      <c r="C21" s="17" t="s">
        <v>297</v>
      </c>
      <c r="D21" s="17" t="s">
        <v>298</v>
      </c>
      <c r="E21" s="18" t="s">
        <v>619</v>
      </c>
      <c r="F21" s="17" t="s">
        <v>589</v>
      </c>
      <c r="G21" s="36" t="s">
        <v>32</v>
      </c>
      <c r="H21" s="36" t="s">
        <v>174</v>
      </c>
      <c r="I21" s="36" t="s">
        <v>33</v>
      </c>
      <c r="J21" s="38"/>
      <c r="K21" s="19" t="str">
        <f>"150,0"</f>
        <v>150,0</v>
      </c>
      <c r="L21" s="19" t="str">
        <f>"97,8450"</f>
        <v>97,8450</v>
      </c>
      <c r="M21" s="17"/>
    </row>
    <row r="22" spans="1:13">
      <c r="A22" s="38" t="s">
        <v>126</v>
      </c>
      <c r="B22" s="17" t="s">
        <v>333</v>
      </c>
      <c r="C22" s="17" t="s">
        <v>299</v>
      </c>
      <c r="D22" s="17" t="s">
        <v>300</v>
      </c>
      <c r="E22" s="18" t="s">
        <v>619</v>
      </c>
      <c r="F22" s="17" t="s">
        <v>589</v>
      </c>
      <c r="G22" s="36" t="s">
        <v>31</v>
      </c>
      <c r="H22" s="36" t="s">
        <v>40</v>
      </c>
      <c r="I22" s="36" t="s">
        <v>179</v>
      </c>
      <c r="J22" s="38"/>
      <c r="K22" s="19" t="str">
        <f>"137,5"</f>
        <v>137,5</v>
      </c>
      <c r="L22" s="19" t="str">
        <f>"89,6362"</f>
        <v>89,6362</v>
      </c>
      <c r="M22" s="17"/>
    </row>
    <row r="23" spans="1:13">
      <c r="A23" s="38" t="s">
        <v>128</v>
      </c>
      <c r="B23" s="17" t="s">
        <v>334</v>
      </c>
      <c r="C23" s="17" t="s">
        <v>301</v>
      </c>
      <c r="D23" s="17" t="s">
        <v>302</v>
      </c>
      <c r="E23" s="18" t="s">
        <v>619</v>
      </c>
      <c r="F23" s="17" t="s">
        <v>589</v>
      </c>
      <c r="G23" s="36" t="s">
        <v>13</v>
      </c>
      <c r="H23" s="36" t="s">
        <v>14</v>
      </c>
      <c r="I23" s="36" t="s">
        <v>41</v>
      </c>
      <c r="J23" s="38"/>
      <c r="K23" s="19" t="str">
        <f>"112,5"</f>
        <v>112,5</v>
      </c>
      <c r="L23" s="19" t="str">
        <f>"73,2937"</f>
        <v>73,2937</v>
      </c>
      <c r="M23" s="17"/>
    </row>
    <row r="24" spans="1:13">
      <c r="A24" s="41" t="s">
        <v>117</v>
      </c>
      <c r="B24" s="20" t="s">
        <v>335</v>
      </c>
      <c r="C24" s="20" t="s">
        <v>562</v>
      </c>
      <c r="D24" s="20" t="s">
        <v>303</v>
      </c>
      <c r="E24" s="21" t="s">
        <v>622</v>
      </c>
      <c r="F24" s="20" t="s">
        <v>589</v>
      </c>
      <c r="G24" s="39" t="s">
        <v>192</v>
      </c>
      <c r="H24" s="39" t="s">
        <v>196</v>
      </c>
      <c r="I24" s="39" t="s">
        <v>51</v>
      </c>
      <c r="J24" s="41"/>
      <c r="K24" s="22" t="str">
        <f>"162,5"</f>
        <v>162,5</v>
      </c>
      <c r="L24" s="22" t="str">
        <f>"107,3797"</f>
        <v>107,3797</v>
      </c>
      <c r="M24" s="20"/>
    </row>
    <row r="26" spans="1:13" ht="16">
      <c r="A26" s="62" t="s">
        <v>87</v>
      </c>
      <c r="B26" s="62"/>
      <c r="C26" s="63"/>
      <c r="D26" s="63"/>
      <c r="E26" s="63"/>
      <c r="F26" s="63"/>
      <c r="G26" s="63"/>
      <c r="H26" s="63"/>
      <c r="I26" s="63"/>
      <c r="J26" s="63"/>
    </row>
    <row r="27" spans="1:13">
      <c r="A27" s="34" t="s">
        <v>117</v>
      </c>
      <c r="B27" s="14" t="s">
        <v>336</v>
      </c>
      <c r="C27" s="14" t="s">
        <v>304</v>
      </c>
      <c r="D27" s="14" t="s">
        <v>305</v>
      </c>
      <c r="E27" s="15" t="s">
        <v>619</v>
      </c>
      <c r="F27" s="14" t="s">
        <v>589</v>
      </c>
      <c r="G27" s="35" t="s">
        <v>192</v>
      </c>
      <c r="H27" s="35" t="s">
        <v>62</v>
      </c>
      <c r="I27" s="33" t="s">
        <v>62</v>
      </c>
      <c r="J27" s="34"/>
      <c r="K27" s="16" t="str">
        <f>"160,0"</f>
        <v>160,0</v>
      </c>
      <c r="L27" s="16" t="str">
        <f>"97,5680"</f>
        <v>97,5680</v>
      </c>
      <c r="M27" s="14"/>
    </row>
    <row r="28" spans="1:13">
      <c r="A28" s="41" t="s">
        <v>117</v>
      </c>
      <c r="B28" s="20" t="s">
        <v>337</v>
      </c>
      <c r="C28" s="20" t="s">
        <v>563</v>
      </c>
      <c r="D28" s="20" t="s">
        <v>306</v>
      </c>
      <c r="E28" s="21" t="s">
        <v>622</v>
      </c>
      <c r="F28" s="20" t="s">
        <v>596</v>
      </c>
      <c r="G28" s="39" t="s">
        <v>40</v>
      </c>
      <c r="H28" s="39" t="s">
        <v>180</v>
      </c>
      <c r="I28" s="39" t="s">
        <v>33</v>
      </c>
      <c r="J28" s="41"/>
      <c r="K28" s="22" t="str">
        <f>"150,0"</f>
        <v>150,0</v>
      </c>
      <c r="L28" s="22" t="str">
        <f>"92,2500"</f>
        <v>92,2500</v>
      </c>
      <c r="M28" s="20"/>
    </row>
    <row r="30" spans="1:13" ht="16">
      <c r="A30" s="62" t="s">
        <v>94</v>
      </c>
      <c r="B30" s="62"/>
      <c r="C30" s="63"/>
      <c r="D30" s="63"/>
      <c r="E30" s="63"/>
      <c r="F30" s="63"/>
      <c r="G30" s="63"/>
      <c r="H30" s="63"/>
      <c r="I30" s="63"/>
      <c r="J30" s="63"/>
    </row>
    <row r="31" spans="1:13">
      <c r="A31" s="34" t="s">
        <v>117</v>
      </c>
      <c r="B31" s="14" t="s">
        <v>338</v>
      </c>
      <c r="C31" s="14" t="s">
        <v>308</v>
      </c>
      <c r="D31" s="14" t="s">
        <v>309</v>
      </c>
      <c r="E31" s="15" t="s">
        <v>619</v>
      </c>
      <c r="F31" s="14" t="s">
        <v>585</v>
      </c>
      <c r="G31" s="33" t="s">
        <v>105</v>
      </c>
      <c r="H31" s="33" t="s">
        <v>77</v>
      </c>
      <c r="I31" s="33" t="s">
        <v>59</v>
      </c>
      <c r="J31" s="34"/>
      <c r="K31" s="16" t="str">
        <f>"240,0"</f>
        <v>240,0</v>
      </c>
      <c r="L31" s="16" t="str">
        <f>"143,0400"</f>
        <v>143,0400</v>
      </c>
      <c r="M31" s="14"/>
    </row>
    <row r="32" spans="1:13">
      <c r="A32" s="38" t="s">
        <v>124</v>
      </c>
      <c r="B32" s="17" t="s">
        <v>339</v>
      </c>
      <c r="C32" s="17" t="s">
        <v>311</v>
      </c>
      <c r="D32" s="17" t="s">
        <v>312</v>
      </c>
      <c r="E32" s="18" t="s">
        <v>619</v>
      </c>
      <c r="F32" s="17" t="s">
        <v>589</v>
      </c>
      <c r="G32" s="36" t="s">
        <v>54</v>
      </c>
      <c r="H32" s="36" t="s">
        <v>105</v>
      </c>
      <c r="I32" s="37" t="s">
        <v>50</v>
      </c>
      <c r="J32" s="38"/>
      <c r="K32" s="19" t="str">
        <f>"220,0"</f>
        <v>220,0</v>
      </c>
      <c r="L32" s="19" t="str">
        <f>"132,8580"</f>
        <v>132,8580</v>
      </c>
      <c r="M32" s="17"/>
    </row>
    <row r="33" spans="1:13">
      <c r="A33" s="38" t="s">
        <v>126</v>
      </c>
      <c r="B33" s="17" t="s">
        <v>340</v>
      </c>
      <c r="C33" s="17" t="s">
        <v>313</v>
      </c>
      <c r="D33" s="17" t="s">
        <v>314</v>
      </c>
      <c r="E33" s="18" t="s">
        <v>619</v>
      </c>
      <c r="F33" s="17" t="s">
        <v>589</v>
      </c>
      <c r="G33" s="37" t="s">
        <v>42</v>
      </c>
      <c r="H33" s="36" t="s">
        <v>92</v>
      </c>
      <c r="I33" s="37" t="s">
        <v>315</v>
      </c>
      <c r="J33" s="38"/>
      <c r="K33" s="19" t="str">
        <f>"185,0"</f>
        <v>185,0</v>
      </c>
      <c r="L33" s="19" t="str">
        <f>"109,4460"</f>
        <v>109,4460</v>
      </c>
      <c r="M33" s="17"/>
    </row>
    <row r="34" spans="1:13">
      <c r="A34" s="38" t="s">
        <v>117</v>
      </c>
      <c r="B34" s="17" t="s">
        <v>341</v>
      </c>
      <c r="C34" s="17" t="s">
        <v>564</v>
      </c>
      <c r="D34" s="17" t="s">
        <v>316</v>
      </c>
      <c r="E34" s="18" t="s">
        <v>622</v>
      </c>
      <c r="F34" s="17" t="s">
        <v>589</v>
      </c>
      <c r="G34" s="37" t="s">
        <v>71</v>
      </c>
      <c r="H34" s="36" t="s">
        <v>71</v>
      </c>
      <c r="I34" s="37" t="s">
        <v>42</v>
      </c>
      <c r="J34" s="38"/>
      <c r="K34" s="19" t="str">
        <f>"175,0"</f>
        <v>175,0</v>
      </c>
      <c r="L34" s="19" t="str">
        <f>"103,8542"</f>
        <v>103,8542</v>
      </c>
      <c r="M34" s="17"/>
    </row>
    <row r="35" spans="1:13">
      <c r="A35" s="41" t="s">
        <v>117</v>
      </c>
      <c r="B35" s="20" t="s">
        <v>342</v>
      </c>
      <c r="C35" s="20" t="s">
        <v>565</v>
      </c>
      <c r="D35" s="20" t="s">
        <v>317</v>
      </c>
      <c r="E35" s="21" t="s">
        <v>624</v>
      </c>
      <c r="F35" s="20" t="s">
        <v>589</v>
      </c>
      <c r="G35" s="39" t="s">
        <v>15</v>
      </c>
      <c r="H35" s="39" t="s">
        <v>199</v>
      </c>
      <c r="I35" s="40" t="s">
        <v>155</v>
      </c>
      <c r="J35" s="41"/>
      <c r="K35" s="22" t="str">
        <f>"117,5"</f>
        <v>117,5</v>
      </c>
      <c r="L35" s="22" t="str">
        <f>"77,1233"</f>
        <v>77,1233</v>
      </c>
      <c r="M35" s="20"/>
    </row>
    <row r="37" spans="1:13" ht="16">
      <c r="A37" s="62" t="s">
        <v>233</v>
      </c>
      <c r="B37" s="62"/>
      <c r="C37" s="63"/>
      <c r="D37" s="63"/>
      <c r="E37" s="63"/>
      <c r="F37" s="63"/>
      <c r="G37" s="63"/>
      <c r="H37" s="63"/>
      <c r="I37" s="63"/>
      <c r="J37" s="63"/>
    </row>
    <row r="38" spans="1:13">
      <c r="A38" s="34" t="s">
        <v>117</v>
      </c>
      <c r="B38" s="14" t="s">
        <v>343</v>
      </c>
      <c r="C38" s="14" t="s">
        <v>319</v>
      </c>
      <c r="D38" s="14" t="s">
        <v>320</v>
      </c>
      <c r="E38" s="15" t="s">
        <v>619</v>
      </c>
      <c r="F38" s="14" t="s">
        <v>589</v>
      </c>
      <c r="G38" s="33" t="s">
        <v>50</v>
      </c>
      <c r="H38" s="33" t="s">
        <v>215</v>
      </c>
      <c r="I38" s="35" t="s">
        <v>59</v>
      </c>
      <c r="J38" s="34"/>
      <c r="K38" s="16" t="str">
        <f>"235,0"</f>
        <v>235,0</v>
      </c>
      <c r="L38" s="16" t="str">
        <f>"135,2425"</f>
        <v>135,2425</v>
      </c>
      <c r="M38" s="14"/>
    </row>
    <row r="39" spans="1:13">
      <c r="A39" s="38" t="s">
        <v>124</v>
      </c>
      <c r="B39" s="17" t="s">
        <v>344</v>
      </c>
      <c r="C39" s="17" t="s">
        <v>321</v>
      </c>
      <c r="D39" s="17" t="s">
        <v>322</v>
      </c>
      <c r="E39" s="18" t="s">
        <v>619</v>
      </c>
      <c r="F39" s="17" t="s">
        <v>589</v>
      </c>
      <c r="G39" s="36" t="s">
        <v>36</v>
      </c>
      <c r="H39" s="37" t="s">
        <v>83</v>
      </c>
      <c r="I39" s="36" t="s">
        <v>83</v>
      </c>
      <c r="J39" s="38"/>
      <c r="K39" s="19" t="str">
        <f>"165,0"</f>
        <v>165,0</v>
      </c>
      <c r="L39" s="19" t="str">
        <f>"94,3470"</f>
        <v>94,3470</v>
      </c>
      <c r="M39" s="17"/>
    </row>
    <row r="40" spans="1:13">
      <c r="A40" s="41" t="s">
        <v>117</v>
      </c>
      <c r="B40" s="20" t="s">
        <v>345</v>
      </c>
      <c r="C40" s="20" t="s">
        <v>566</v>
      </c>
      <c r="D40" s="20" t="s">
        <v>323</v>
      </c>
      <c r="E40" s="21" t="s">
        <v>622</v>
      </c>
      <c r="F40" s="20" t="s">
        <v>585</v>
      </c>
      <c r="G40" s="39" t="s">
        <v>42</v>
      </c>
      <c r="H40" s="39" t="s">
        <v>43</v>
      </c>
      <c r="I40" s="40" t="s">
        <v>44</v>
      </c>
      <c r="J40" s="41"/>
      <c r="K40" s="22" t="str">
        <f>"190,0"</f>
        <v>190,0</v>
      </c>
      <c r="L40" s="22" t="str">
        <f>"111,4957"</f>
        <v>111,4957</v>
      </c>
      <c r="M40" s="20"/>
    </row>
    <row r="42" spans="1:13" ht="16">
      <c r="F42" s="8"/>
      <c r="G42" s="5"/>
      <c r="K42" s="10"/>
      <c r="M42" s="7"/>
    </row>
    <row r="43" spans="1:13">
      <c r="G43" s="5"/>
      <c r="K43" s="10"/>
      <c r="M43" s="7"/>
    </row>
    <row r="44" spans="1:13" ht="18">
      <c r="B44" s="9" t="s">
        <v>7</v>
      </c>
      <c r="C44" s="9"/>
      <c r="G44" s="3"/>
      <c r="K44" s="10"/>
      <c r="M44" s="7"/>
    </row>
    <row r="45" spans="1:13" ht="16">
      <c r="B45" s="42" t="s">
        <v>114</v>
      </c>
      <c r="C45" s="42"/>
      <c r="G45" s="3"/>
      <c r="K45" s="29"/>
      <c r="M45" s="7"/>
    </row>
    <row r="46" spans="1:13" ht="14">
      <c r="B46" s="24"/>
      <c r="C46" s="25" t="s">
        <v>113</v>
      </c>
      <c r="G46" s="3"/>
      <c r="K46" s="10"/>
      <c r="M46" s="7"/>
    </row>
    <row r="47" spans="1:13" ht="14">
      <c r="B47" s="26" t="s">
        <v>107</v>
      </c>
      <c r="C47" s="26" t="s">
        <v>108</v>
      </c>
      <c r="D47" s="26" t="s">
        <v>531</v>
      </c>
      <c r="E47" s="27" t="s">
        <v>324</v>
      </c>
      <c r="F47" s="26" t="s">
        <v>110</v>
      </c>
      <c r="G47" s="3"/>
      <c r="K47" s="10"/>
      <c r="M47" s="7"/>
    </row>
    <row r="48" spans="1:13">
      <c r="B48" s="5" t="s">
        <v>307</v>
      </c>
      <c r="C48" s="5" t="s">
        <v>113</v>
      </c>
      <c r="D48" s="10" t="s">
        <v>239</v>
      </c>
      <c r="E48" s="29">
        <v>240</v>
      </c>
      <c r="F48" s="28">
        <v>143.04000377655001</v>
      </c>
      <c r="G48" s="3"/>
      <c r="K48" s="10"/>
      <c r="M48" s="7"/>
    </row>
    <row r="49" spans="2:13">
      <c r="B49" s="5" t="s">
        <v>318</v>
      </c>
      <c r="C49" s="5" t="s">
        <v>113</v>
      </c>
      <c r="D49" s="10" t="s">
        <v>325</v>
      </c>
      <c r="E49" s="29">
        <v>235</v>
      </c>
      <c r="F49" s="28">
        <v>135.242502689362</v>
      </c>
      <c r="G49" s="3"/>
      <c r="K49" s="10"/>
      <c r="M49" s="7"/>
    </row>
    <row r="50" spans="2:13">
      <c r="B50" s="5" t="s">
        <v>310</v>
      </c>
      <c r="C50" s="5" t="s">
        <v>113</v>
      </c>
      <c r="D50" s="10" t="s">
        <v>239</v>
      </c>
      <c r="E50" s="29">
        <v>220</v>
      </c>
      <c r="F50" s="28">
        <v>132.858003377914</v>
      </c>
      <c r="G50" s="3"/>
      <c r="K50" s="10"/>
      <c r="M50" s="7"/>
    </row>
    <row r="51" spans="2:13">
      <c r="E51" s="5"/>
      <c r="F51" s="6"/>
      <c r="G51" s="5"/>
      <c r="K51" s="10"/>
      <c r="M51" s="7"/>
    </row>
  </sheetData>
  <mergeCells count="19">
    <mergeCell ref="A37:J37"/>
    <mergeCell ref="B3:B4"/>
    <mergeCell ref="A8:J8"/>
    <mergeCell ref="A11:J11"/>
    <mergeCell ref="A15:J15"/>
    <mergeCell ref="A19:J19"/>
    <mergeCell ref="A26:J26"/>
    <mergeCell ref="A30:J30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4"/>
  <sheetViews>
    <sheetView workbookViewId="0">
      <selection activeCell="E22" sqref="E22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4.3320312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8.5" style="5" customWidth="1"/>
    <col min="14" max="16384" width="9.1640625" style="3"/>
  </cols>
  <sheetData>
    <row r="1" spans="1:13" s="2" customFormat="1" ht="29" customHeight="1">
      <c r="A1" s="47" t="s">
        <v>608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9</v>
      </c>
      <c r="H3" s="61"/>
      <c r="I3" s="61"/>
      <c r="J3" s="61"/>
      <c r="K3" s="59" t="s">
        <v>326</v>
      </c>
      <c r="L3" s="59" t="s">
        <v>3</v>
      </c>
      <c r="M3" s="66" t="s">
        <v>2</v>
      </c>
    </row>
    <row r="4" spans="1:13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7"/>
    </row>
    <row r="5" spans="1:13" ht="16">
      <c r="A5" s="68" t="s">
        <v>45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34" t="s">
        <v>117</v>
      </c>
      <c r="B6" s="14" t="s">
        <v>473</v>
      </c>
      <c r="C6" s="14" t="s">
        <v>469</v>
      </c>
      <c r="D6" s="14" t="s">
        <v>202</v>
      </c>
      <c r="E6" s="15" t="s">
        <v>619</v>
      </c>
      <c r="F6" s="14" t="s">
        <v>585</v>
      </c>
      <c r="G6" s="33" t="s">
        <v>13</v>
      </c>
      <c r="H6" s="33" t="s">
        <v>15</v>
      </c>
      <c r="I6" s="34"/>
      <c r="J6" s="34"/>
      <c r="K6" s="16" t="str">
        <f>"110,0"</f>
        <v>110,0</v>
      </c>
      <c r="L6" s="16" t="str">
        <f>"73,6285"</f>
        <v>73,6285</v>
      </c>
      <c r="M6" s="14"/>
    </row>
    <row r="7" spans="1:13">
      <c r="A7" s="41" t="s">
        <v>117</v>
      </c>
      <c r="B7" s="20" t="s">
        <v>499</v>
      </c>
      <c r="C7" s="20" t="s">
        <v>567</v>
      </c>
      <c r="D7" s="20" t="s">
        <v>377</v>
      </c>
      <c r="E7" s="21" t="s">
        <v>624</v>
      </c>
      <c r="F7" s="20" t="s">
        <v>589</v>
      </c>
      <c r="G7" s="40" t="s">
        <v>31</v>
      </c>
      <c r="H7" s="39" t="s">
        <v>32</v>
      </c>
      <c r="I7" s="40" t="s">
        <v>192</v>
      </c>
      <c r="J7" s="41"/>
      <c r="K7" s="22" t="str">
        <f>"140,0"</f>
        <v>140,0</v>
      </c>
      <c r="L7" s="22" t="str">
        <f>"120,5947"</f>
        <v>120,5947</v>
      </c>
      <c r="M7" s="20"/>
    </row>
    <row r="9" spans="1:13" ht="16">
      <c r="A9" s="62" t="s">
        <v>55</v>
      </c>
      <c r="B9" s="62"/>
      <c r="C9" s="63"/>
      <c r="D9" s="63"/>
      <c r="E9" s="63"/>
      <c r="F9" s="63"/>
      <c r="G9" s="63"/>
      <c r="H9" s="63"/>
      <c r="I9" s="63"/>
      <c r="J9" s="63"/>
    </row>
    <row r="10" spans="1:13">
      <c r="A10" s="32" t="s">
        <v>117</v>
      </c>
      <c r="B10" s="11" t="s">
        <v>490</v>
      </c>
      <c r="C10" s="11" t="s">
        <v>479</v>
      </c>
      <c r="D10" s="11" t="s">
        <v>480</v>
      </c>
      <c r="E10" s="12" t="s">
        <v>619</v>
      </c>
      <c r="F10" s="11" t="s">
        <v>585</v>
      </c>
      <c r="G10" s="30" t="s">
        <v>83</v>
      </c>
      <c r="H10" s="30" t="s">
        <v>42</v>
      </c>
      <c r="I10" s="31" t="s">
        <v>72</v>
      </c>
      <c r="J10" s="32"/>
      <c r="K10" s="13" t="str">
        <f>"180,0"</f>
        <v>180,0</v>
      </c>
      <c r="L10" s="13" t="str">
        <f>"113,8680"</f>
        <v>113,8680</v>
      </c>
      <c r="M10" s="11"/>
    </row>
    <row r="12" spans="1:13" ht="16">
      <c r="A12" s="62" t="s">
        <v>87</v>
      </c>
      <c r="B12" s="62"/>
      <c r="C12" s="63"/>
      <c r="D12" s="63"/>
      <c r="E12" s="63"/>
      <c r="F12" s="63"/>
      <c r="G12" s="63"/>
      <c r="H12" s="63"/>
      <c r="I12" s="63"/>
      <c r="J12" s="63"/>
    </row>
    <row r="13" spans="1:13">
      <c r="A13" s="34" t="s">
        <v>117</v>
      </c>
      <c r="B13" s="14" t="s">
        <v>492</v>
      </c>
      <c r="C13" s="14" t="s">
        <v>482</v>
      </c>
      <c r="D13" s="14" t="s">
        <v>483</v>
      </c>
      <c r="E13" s="15" t="s">
        <v>619</v>
      </c>
      <c r="F13" s="14" t="s">
        <v>585</v>
      </c>
      <c r="G13" s="33" t="s">
        <v>48</v>
      </c>
      <c r="H13" s="33" t="s">
        <v>54</v>
      </c>
      <c r="I13" s="35" t="s">
        <v>76</v>
      </c>
      <c r="J13" s="34"/>
      <c r="K13" s="16" t="str">
        <f>"210,0"</f>
        <v>210,0</v>
      </c>
      <c r="L13" s="16" t="str">
        <f>"123,8265"</f>
        <v>123,8265</v>
      </c>
      <c r="M13" s="14"/>
    </row>
    <row r="14" spans="1:13">
      <c r="A14" s="41" t="s">
        <v>117</v>
      </c>
      <c r="B14" s="20" t="s">
        <v>492</v>
      </c>
      <c r="C14" s="20" t="s">
        <v>568</v>
      </c>
      <c r="D14" s="20" t="s">
        <v>483</v>
      </c>
      <c r="E14" s="21" t="s">
        <v>622</v>
      </c>
      <c r="F14" s="20" t="s">
        <v>585</v>
      </c>
      <c r="G14" s="39" t="s">
        <v>48</v>
      </c>
      <c r="H14" s="39" t="s">
        <v>54</v>
      </c>
      <c r="I14" s="40" t="s">
        <v>76</v>
      </c>
      <c r="J14" s="41"/>
      <c r="K14" s="22" t="str">
        <f>"210,0"</f>
        <v>210,0</v>
      </c>
      <c r="L14" s="22" t="str">
        <f>"127,6651"</f>
        <v>127,6651</v>
      </c>
      <c r="M14" s="20"/>
    </row>
    <row r="16" spans="1:13" ht="16">
      <c r="A16" s="62" t="s">
        <v>94</v>
      </c>
      <c r="B16" s="62"/>
      <c r="C16" s="63"/>
      <c r="D16" s="63"/>
      <c r="E16" s="63"/>
      <c r="F16" s="63"/>
      <c r="G16" s="63"/>
      <c r="H16" s="63"/>
      <c r="I16" s="63"/>
      <c r="J16" s="63"/>
    </row>
    <row r="17" spans="1:13">
      <c r="A17" s="34" t="s">
        <v>117</v>
      </c>
      <c r="B17" s="14" t="s">
        <v>500</v>
      </c>
      <c r="C17" s="14" t="s">
        <v>495</v>
      </c>
      <c r="D17" s="14" t="s">
        <v>496</v>
      </c>
      <c r="E17" s="15" t="s">
        <v>619</v>
      </c>
      <c r="F17" s="14" t="s">
        <v>596</v>
      </c>
      <c r="G17" s="35" t="s">
        <v>193</v>
      </c>
      <c r="H17" s="33" t="s">
        <v>193</v>
      </c>
      <c r="I17" s="35" t="s">
        <v>76</v>
      </c>
      <c r="J17" s="34"/>
      <c r="K17" s="16" t="str">
        <f>"207,5"</f>
        <v>207,5</v>
      </c>
      <c r="L17" s="16" t="str">
        <f>"116,9262"</f>
        <v>116,9262</v>
      </c>
      <c r="M17" s="14"/>
    </row>
    <row r="18" spans="1:13">
      <c r="A18" s="41" t="s">
        <v>124</v>
      </c>
      <c r="B18" s="20" t="s">
        <v>493</v>
      </c>
      <c r="C18" s="20" t="s">
        <v>484</v>
      </c>
      <c r="D18" s="20" t="s">
        <v>485</v>
      </c>
      <c r="E18" s="21" t="s">
        <v>619</v>
      </c>
      <c r="F18" s="20" t="s">
        <v>585</v>
      </c>
      <c r="G18" s="39" t="s">
        <v>52</v>
      </c>
      <c r="H18" s="39" t="s">
        <v>42</v>
      </c>
      <c r="I18" s="40" t="s">
        <v>43</v>
      </c>
      <c r="J18" s="41"/>
      <c r="K18" s="22" t="str">
        <f>"180,0"</f>
        <v>180,0</v>
      </c>
      <c r="L18" s="22" t="str">
        <f>"102,7170"</f>
        <v>102,7170</v>
      </c>
      <c r="M18" s="20"/>
    </row>
    <row r="20" spans="1:13" ht="16">
      <c r="A20" s="62" t="s">
        <v>233</v>
      </c>
      <c r="B20" s="62"/>
      <c r="C20" s="63"/>
      <c r="D20" s="63"/>
      <c r="E20" s="63"/>
      <c r="F20" s="63"/>
      <c r="G20" s="63"/>
      <c r="H20" s="63"/>
      <c r="I20" s="63"/>
      <c r="J20" s="63"/>
    </row>
    <row r="21" spans="1:13">
      <c r="A21" s="32" t="s">
        <v>117</v>
      </c>
      <c r="B21" s="11" t="s">
        <v>501</v>
      </c>
      <c r="C21" s="11" t="s">
        <v>497</v>
      </c>
      <c r="D21" s="11" t="s">
        <v>498</v>
      </c>
      <c r="E21" s="12" t="s">
        <v>619</v>
      </c>
      <c r="F21" s="11" t="s">
        <v>585</v>
      </c>
      <c r="G21" s="30" t="s">
        <v>48</v>
      </c>
      <c r="H21" s="31" t="s">
        <v>54</v>
      </c>
      <c r="I21" s="31" t="s">
        <v>54</v>
      </c>
      <c r="J21" s="32"/>
      <c r="K21" s="13" t="str">
        <f>"200,0"</f>
        <v>200,0</v>
      </c>
      <c r="L21" s="13" t="str">
        <f>"109,8400"</f>
        <v>109,8400</v>
      </c>
      <c r="M21" s="11"/>
    </row>
    <row r="23" spans="1:13">
      <c r="E23" s="10"/>
      <c r="F23" s="29"/>
      <c r="G23" s="28"/>
      <c r="K23" s="10"/>
      <c r="M23" s="7"/>
    </row>
    <row r="24" spans="1:13">
      <c r="E24" s="5"/>
      <c r="F24" s="6"/>
      <c r="G24" s="5"/>
      <c r="K24" s="10"/>
      <c r="M24" s="7"/>
    </row>
  </sheetData>
  <mergeCells count="16">
    <mergeCell ref="A9:J9"/>
    <mergeCell ref="A12:J12"/>
    <mergeCell ref="A16:J16"/>
    <mergeCell ref="A20:J20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8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4.164062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8.6640625" style="7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47" t="s">
        <v>609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9</v>
      </c>
      <c r="H3" s="61"/>
      <c r="I3" s="61"/>
      <c r="J3" s="61"/>
      <c r="K3" s="59" t="s">
        <v>326</v>
      </c>
      <c r="L3" s="59" t="s">
        <v>3</v>
      </c>
      <c r="M3" s="66" t="s">
        <v>2</v>
      </c>
    </row>
    <row r="4" spans="1:13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7"/>
    </row>
    <row r="5" spans="1:13" ht="16">
      <c r="A5" s="68" t="s">
        <v>55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34" t="s">
        <v>117</v>
      </c>
      <c r="B6" s="14" t="s">
        <v>490</v>
      </c>
      <c r="C6" s="14" t="s">
        <v>479</v>
      </c>
      <c r="D6" s="14" t="s">
        <v>480</v>
      </c>
      <c r="E6" s="15" t="s">
        <v>619</v>
      </c>
      <c r="F6" s="14" t="s">
        <v>585</v>
      </c>
      <c r="G6" s="33" t="s">
        <v>83</v>
      </c>
      <c r="H6" s="33" t="s">
        <v>42</v>
      </c>
      <c r="I6" s="35" t="s">
        <v>72</v>
      </c>
      <c r="J6" s="34"/>
      <c r="K6" s="16" t="str">
        <f>"180,0"</f>
        <v>180,0</v>
      </c>
      <c r="L6" s="16" t="str">
        <f>"113,8680"</f>
        <v>113,8680</v>
      </c>
      <c r="M6" s="14"/>
    </row>
    <row r="7" spans="1:13">
      <c r="A7" s="41" t="s">
        <v>117</v>
      </c>
      <c r="B7" s="20" t="s">
        <v>491</v>
      </c>
      <c r="C7" s="20" t="s">
        <v>569</v>
      </c>
      <c r="D7" s="20" t="s">
        <v>58</v>
      </c>
      <c r="E7" s="21" t="s">
        <v>622</v>
      </c>
      <c r="F7" s="20" t="s">
        <v>593</v>
      </c>
      <c r="G7" s="39" t="s">
        <v>215</v>
      </c>
      <c r="H7" s="40" t="s">
        <v>481</v>
      </c>
      <c r="I7" s="40" t="s">
        <v>466</v>
      </c>
      <c r="J7" s="41"/>
      <c r="K7" s="22" t="str">
        <f>"235,0"</f>
        <v>235,0</v>
      </c>
      <c r="L7" s="22" t="str">
        <f>"152,2631"</f>
        <v>152,2631</v>
      </c>
      <c r="M7" s="20"/>
    </row>
    <row r="9" spans="1:13" ht="16">
      <c r="A9" s="62" t="s">
        <v>87</v>
      </c>
      <c r="B9" s="62"/>
      <c r="C9" s="63"/>
      <c r="D9" s="63"/>
      <c r="E9" s="63"/>
      <c r="F9" s="63"/>
      <c r="G9" s="63"/>
      <c r="H9" s="63"/>
      <c r="I9" s="63"/>
      <c r="J9" s="63"/>
    </row>
    <row r="10" spans="1:13">
      <c r="A10" s="34" t="s">
        <v>117</v>
      </c>
      <c r="B10" s="14" t="s">
        <v>492</v>
      </c>
      <c r="C10" s="14" t="s">
        <v>482</v>
      </c>
      <c r="D10" s="14" t="s">
        <v>483</v>
      </c>
      <c r="E10" s="15" t="s">
        <v>619</v>
      </c>
      <c r="F10" s="14" t="s">
        <v>585</v>
      </c>
      <c r="G10" s="33" t="s">
        <v>48</v>
      </c>
      <c r="H10" s="33" t="s">
        <v>54</v>
      </c>
      <c r="I10" s="35" t="s">
        <v>76</v>
      </c>
      <c r="J10" s="34"/>
      <c r="K10" s="16" t="str">
        <f>"210,0"</f>
        <v>210,0</v>
      </c>
      <c r="L10" s="16" t="str">
        <f>"123,8265"</f>
        <v>123,8265</v>
      </c>
      <c r="M10" s="14"/>
    </row>
    <row r="11" spans="1:13">
      <c r="A11" s="41" t="s">
        <v>117</v>
      </c>
      <c r="B11" s="20" t="s">
        <v>492</v>
      </c>
      <c r="C11" s="20" t="s">
        <v>568</v>
      </c>
      <c r="D11" s="20" t="s">
        <v>483</v>
      </c>
      <c r="E11" s="21" t="s">
        <v>622</v>
      </c>
      <c r="F11" s="20" t="s">
        <v>585</v>
      </c>
      <c r="G11" s="39" t="s">
        <v>48</v>
      </c>
      <c r="H11" s="39" t="s">
        <v>54</v>
      </c>
      <c r="I11" s="40" t="s">
        <v>76</v>
      </c>
      <c r="J11" s="41"/>
      <c r="K11" s="22" t="str">
        <f>"210,0"</f>
        <v>210,0</v>
      </c>
      <c r="L11" s="22" t="str">
        <f>"127,6651"</f>
        <v>127,6651</v>
      </c>
      <c r="M11" s="20"/>
    </row>
    <row r="13" spans="1:13" ht="16">
      <c r="A13" s="62" t="s">
        <v>94</v>
      </c>
      <c r="B13" s="62"/>
      <c r="C13" s="63"/>
      <c r="D13" s="63"/>
      <c r="E13" s="63"/>
      <c r="F13" s="63"/>
      <c r="G13" s="63"/>
      <c r="H13" s="63"/>
      <c r="I13" s="63"/>
      <c r="J13" s="63"/>
    </row>
    <row r="14" spans="1:13">
      <c r="A14" s="32" t="s">
        <v>117</v>
      </c>
      <c r="B14" s="11" t="s">
        <v>493</v>
      </c>
      <c r="C14" s="11" t="s">
        <v>484</v>
      </c>
      <c r="D14" s="11" t="s">
        <v>485</v>
      </c>
      <c r="E14" s="12" t="s">
        <v>619</v>
      </c>
      <c r="F14" s="11" t="s">
        <v>585</v>
      </c>
      <c r="G14" s="30" t="s">
        <v>52</v>
      </c>
      <c r="H14" s="30" t="s">
        <v>42</v>
      </c>
      <c r="I14" s="31" t="s">
        <v>43</v>
      </c>
      <c r="J14" s="32"/>
      <c r="K14" s="13" t="str">
        <f>"180,0"</f>
        <v>180,0</v>
      </c>
      <c r="L14" s="13" t="str">
        <f>"102,7170"</f>
        <v>102,7170</v>
      </c>
      <c r="M14" s="11"/>
    </row>
    <row r="16" spans="1:13" ht="16">
      <c r="A16" s="62" t="s">
        <v>233</v>
      </c>
      <c r="B16" s="62"/>
      <c r="C16" s="63"/>
      <c r="D16" s="63"/>
      <c r="E16" s="63"/>
      <c r="F16" s="63"/>
      <c r="G16" s="63"/>
      <c r="H16" s="63"/>
      <c r="I16" s="63"/>
      <c r="J16" s="63"/>
    </row>
    <row r="17" spans="1:13">
      <c r="A17" s="34" t="s">
        <v>117</v>
      </c>
      <c r="B17" s="14" t="s">
        <v>345</v>
      </c>
      <c r="C17" s="14" t="s">
        <v>486</v>
      </c>
      <c r="D17" s="14" t="s">
        <v>323</v>
      </c>
      <c r="E17" s="15" t="s">
        <v>619</v>
      </c>
      <c r="F17" s="14" t="s">
        <v>585</v>
      </c>
      <c r="G17" s="35" t="s">
        <v>59</v>
      </c>
      <c r="H17" s="33" t="s">
        <v>60</v>
      </c>
      <c r="I17" s="34"/>
      <c r="J17" s="34"/>
      <c r="K17" s="16" t="str">
        <f>"250,0"</f>
        <v>250,0</v>
      </c>
      <c r="L17" s="16" t="str">
        <f>"139,6375"</f>
        <v>139,6375</v>
      </c>
      <c r="M17" s="14"/>
    </row>
    <row r="18" spans="1:13">
      <c r="A18" s="41" t="s">
        <v>248</v>
      </c>
      <c r="B18" s="20" t="s">
        <v>494</v>
      </c>
      <c r="C18" s="20" t="s">
        <v>487</v>
      </c>
      <c r="D18" s="20" t="s">
        <v>488</v>
      </c>
      <c r="E18" s="21" t="s">
        <v>619</v>
      </c>
      <c r="F18" s="20" t="s">
        <v>586</v>
      </c>
      <c r="G18" s="40" t="s">
        <v>77</v>
      </c>
      <c r="H18" s="40" t="s">
        <v>77</v>
      </c>
      <c r="I18" s="40" t="s">
        <v>77</v>
      </c>
      <c r="J18" s="41"/>
      <c r="K18" s="22" t="str">
        <f>"0.00"</f>
        <v>0.00</v>
      </c>
      <c r="L18" s="22" t="str">
        <f>"0,0000"</f>
        <v>0,0000</v>
      </c>
      <c r="M18" s="20"/>
    </row>
  </sheetData>
  <mergeCells count="15">
    <mergeCell ref="A9:J9"/>
    <mergeCell ref="A13:J13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32"/>
  <sheetViews>
    <sheetView workbookViewId="0">
      <selection activeCell="E30" sqref="E30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5.164062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9.33203125" style="5" customWidth="1"/>
    <col min="14" max="16384" width="9.1640625" style="3"/>
  </cols>
  <sheetData>
    <row r="1" spans="1:13" s="2" customFormat="1" ht="29" customHeight="1">
      <c r="A1" s="47" t="s">
        <v>610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10</v>
      </c>
      <c r="H3" s="61"/>
      <c r="I3" s="61"/>
      <c r="J3" s="61"/>
      <c r="K3" s="59" t="s">
        <v>326</v>
      </c>
      <c r="L3" s="59" t="s">
        <v>3</v>
      </c>
      <c r="M3" s="66" t="s">
        <v>2</v>
      </c>
    </row>
    <row r="4" spans="1:13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7"/>
    </row>
    <row r="5" spans="1:13" ht="16">
      <c r="A5" s="68" t="s">
        <v>144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32" t="s">
        <v>117</v>
      </c>
      <c r="B6" s="11" t="s">
        <v>470</v>
      </c>
      <c r="C6" s="11" t="s">
        <v>462</v>
      </c>
      <c r="D6" s="11" t="s">
        <v>463</v>
      </c>
      <c r="E6" s="12" t="s">
        <v>619</v>
      </c>
      <c r="F6" s="11" t="s">
        <v>589</v>
      </c>
      <c r="G6" s="30" t="s">
        <v>205</v>
      </c>
      <c r="H6" s="31" t="s">
        <v>40</v>
      </c>
      <c r="I6" s="31" t="s">
        <v>40</v>
      </c>
      <c r="J6" s="32"/>
      <c r="K6" s="13" t="str">
        <f>"127,5"</f>
        <v>127,5</v>
      </c>
      <c r="L6" s="13" t="str">
        <f>"161,3385"</f>
        <v>161,3385</v>
      </c>
      <c r="M6" s="11"/>
    </row>
    <row r="8" spans="1:13" ht="16">
      <c r="A8" s="62" t="s">
        <v>156</v>
      </c>
      <c r="B8" s="62"/>
      <c r="C8" s="63"/>
      <c r="D8" s="63"/>
      <c r="E8" s="63"/>
      <c r="F8" s="63"/>
      <c r="G8" s="63"/>
      <c r="H8" s="63"/>
      <c r="I8" s="63"/>
      <c r="J8" s="63"/>
    </row>
    <row r="9" spans="1:13">
      <c r="A9" s="32" t="s">
        <v>117</v>
      </c>
      <c r="B9" s="11" t="s">
        <v>249</v>
      </c>
      <c r="C9" s="11" t="s">
        <v>168</v>
      </c>
      <c r="D9" s="11" t="s">
        <v>161</v>
      </c>
      <c r="E9" s="12" t="s">
        <v>619</v>
      </c>
      <c r="F9" s="11" t="s">
        <v>589</v>
      </c>
      <c r="G9" s="30" t="s">
        <v>13</v>
      </c>
      <c r="H9" s="30" t="s">
        <v>24</v>
      </c>
      <c r="I9" s="30" t="s">
        <v>19</v>
      </c>
      <c r="J9" s="32"/>
      <c r="K9" s="13" t="str">
        <f>"105,0"</f>
        <v>105,0</v>
      </c>
      <c r="L9" s="13" t="str">
        <f>"117,0645"</f>
        <v>117,0645</v>
      </c>
      <c r="M9" s="11"/>
    </row>
    <row r="11" spans="1:13" ht="16">
      <c r="A11" s="62" t="s">
        <v>11</v>
      </c>
      <c r="B11" s="62"/>
      <c r="C11" s="63"/>
      <c r="D11" s="63"/>
      <c r="E11" s="63"/>
      <c r="F11" s="63"/>
      <c r="G11" s="63"/>
      <c r="H11" s="63"/>
      <c r="I11" s="63"/>
      <c r="J11" s="63"/>
    </row>
    <row r="12" spans="1:13">
      <c r="A12" s="34" t="s">
        <v>117</v>
      </c>
      <c r="B12" s="14" t="s">
        <v>414</v>
      </c>
      <c r="C12" s="14" t="s">
        <v>353</v>
      </c>
      <c r="D12" s="14" t="s">
        <v>354</v>
      </c>
      <c r="E12" s="15" t="s">
        <v>619</v>
      </c>
      <c r="F12" s="14" t="s">
        <v>589</v>
      </c>
      <c r="G12" s="33" t="s">
        <v>199</v>
      </c>
      <c r="H12" s="33" t="s">
        <v>39</v>
      </c>
      <c r="I12" s="33" t="s">
        <v>31</v>
      </c>
      <c r="J12" s="34"/>
      <c r="K12" s="16" t="str">
        <f>"130,0"</f>
        <v>130,0</v>
      </c>
      <c r="L12" s="16" t="str">
        <f>"135,9150"</f>
        <v>135,9150</v>
      </c>
      <c r="M12" s="14"/>
    </row>
    <row r="13" spans="1:13">
      <c r="A13" s="41" t="s">
        <v>117</v>
      </c>
      <c r="B13" s="20" t="s">
        <v>415</v>
      </c>
      <c r="C13" s="20" t="s">
        <v>545</v>
      </c>
      <c r="D13" s="20" t="s">
        <v>355</v>
      </c>
      <c r="E13" s="21" t="s">
        <v>624</v>
      </c>
      <c r="F13" s="20" t="s">
        <v>589</v>
      </c>
      <c r="G13" s="39" t="s">
        <v>13</v>
      </c>
      <c r="H13" s="39" t="s">
        <v>15</v>
      </c>
      <c r="I13" s="39" t="s">
        <v>165</v>
      </c>
      <c r="J13" s="41"/>
      <c r="K13" s="22" t="str">
        <f>"122,5"</f>
        <v>122,5</v>
      </c>
      <c r="L13" s="22" t="str">
        <f>"141,4837"</f>
        <v>141,4837</v>
      </c>
      <c r="M13" s="20"/>
    </row>
    <row r="15" spans="1:13" ht="16">
      <c r="A15" s="62" t="s">
        <v>20</v>
      </c>
      <c r="B15" s="62"/>
      <c r="C15" s="63"/>
      <c r="D15" s="63"/>
      <c r="E15" s="63"/>
      <c r="F15" s="63"/>
      <c r="G15" s="63"/>
      <c r="H15" s="63"/>
      <c r="I15" s="63"/>
      <c r="J15" s="63"/>
    </row>
    <row r="16" spans="1:13">
      <c r="A16" s="32" t="s">
        <v>117</v>
      </c>
      <c r="B16" s="11" t="s">
        <v>471</v>
      </c>
      <c r="C16" s="11" t="s">
        <v>464</v>
      </c>
      <c r="D16" s="11" t="s">
        <v>465</v>
      </c>
      <c r="E16" s="12" t="s">
        <v>619</v>
      </c>
      <c r="F16" s="11" t="s">
        <v>589</v>
      </c>
      <c r="G16" s="30" t="s">
        <v>215</v>
      </c>
      <c r="H16" s="30" t="s">
        <v>466</v>
      </c>
      <c r="I16" s="31" t="s">
        <v>97</v>
      </c>
      <c r="J16" s="32"/>
      <c r="K16" s="13" t="str">
        <f>"245,0"</f>
        <v>245,0</v>
      </c>
      <c r="L16" s="13" t="str">
        <f>"174,9055"</f>
        <v>174,9055</v>
      </c>
      <c r="M16" s="11"/>
    </row>
    <row r="18" spans="1:13" ht="16">
      <c r="A18" s="62" t="s">
        <v>45</v>
      </c>
      <c r="B18" s="62"/>
      <c r="C18" s="63"/>
      <c r="D18" s="63"/>
      <c r="E18" s="63"/>
      <c r="F18" s="63"/>
      <c r="G18" s="63"/>
      <c r="H18" s="63"/>
      <c r="I18" s="63"/>
      <c r="J18" s="63"/>
    </row>
    <row r="19" spans="1:13">
      <c r="A19" s="34" t="s">
        <v>117</v>
      </c>
      <c r="B19" s="14" t="s">
        <v>426</v>
      </c>
      <c r="C19" s="14" t="s">
        <v>549</v>
      </c>
      <c r="D19" s="14" t="s">
        <v>294</v>
      </c>
      <c r="E19" s="15" t="s">
        <v>620</v>
      </c>
      <c r="F19" s="14" t="s">
        <v>589</v>
      </c>
      <c r="G19" s="33" t="s">
        <v>42</v>
      </c>
      <c r="H19" s="33" t="s">
        <v>43</v>
      </c>
      <c r="I19" s="35" t="s">
        <v>48</v>
      </c>
      <c r="J19" s="34"/>
      <c r="K19" s="16" t="str">
        <f>"190,0"</f>
        <v>190,0</v>
      </c>
      <c r="L19" s="16" t="str">
        <f>"128,4210"</f>
        <v>128,4210</v>
      </c>
      <c r="M19" s="14"/>
    </row>
    <row r="20" spans="1:13">
      <c r="A20" s="38" t="s">
        <v>117</v>
      </c>
      <c r="B20" s="17" t="s">
        <v>262</v>
      </c>
      <c r="C20" s="17" t="s">
        <v>206</v>
      </c>
      <c r="D20" s="17" t="s">
        <v>207</v>
      </c>
      <c r="E20" s="18" t="s">
        <v>619</v>
      </c>
      <c r="F20" s="17" t="s">
        <v>593</v>
      </c>
      <c r="G20" s="36" t="s">
        <v>52</v>
      </c>
      <c r="H20" s="36" t="s">
        <v>42</v>
      </c>
      <c r="I20" s="36" t="s">
        <v>43</v>
      </c>
      <c r="J20" s="38"/>
      <c r="K20" s="19" t="str">
        <f>"190,0"</f>
        <v>190,0</v>
      </c>
      <c r="L20" s="19" t="str">
        <f>"128,3260"</f>
        <v>128,3260</v>
      </c>
      <c r="M20" s="17"/>
    </row>
    <row r="21" spans="1:13">
      <c r="A21" s="38" t="s">
        <v>124</v>
      </c>
      <c r="B21" s="17" t="s">
        <v>261</v>
      </c>
      <c r="C21" s="17" t="s">
        <v>203</v>
      </c>
      <c r="D21" s="17" t="s">
        <v>204</v>
      </c>
      <c r="E21" s="18" t="s">
        <v>619</v>
      </c>
      <c r="F21" s="17" t="s">
        <v>593</v>
      </c>
      <c r="G21" s="36" t="s">
        <v>62</v>
      </c>
      <c r="H21" s="36" t="s">
        <v>71</v>
      </c>
      <c r="I21" s="36" t="s">
        <v>43</v>
      </c>
      <c r="J21" s="38"/>
      <c r="K21" s="19" t="str">
        <f>"190,0"</f>
        <v>190,0</v>
      </c>
      <c r="L21" s="19" t="str">
        <f>"127,4710"</f>
        <v>127,4710</v>
      </c>
      <c r="M21" s="17"/>
    </row>
    <row r="22" spans="1:13">
      <c r="A22" s="38" t="s">
        <v>126</v>
      </c>
      <c r="B22" s="17" t="s">
        <v>472</v>
      </c>
      <c r="C22" s="17" t="s">
        <v>467</v>
      </c>
      <c r="D22" s="17" t="s">
        <v>468</v>
      </c>
      <c r="E22" s="18" t="s">
        <v>619</v>
      </c>
      <c r="F22" s="17" t="s">
        <v>589</v>
      </c>
      <c r="G22" s="36" t="s">
        <v>42</v>
      </c>
      <c r="H22" s="36" t="s">
        <v>43</v>
      </c>
      <c r="I22" s="37" t="s">
        <v>44</v>
      </c>
      <c r="J22" s="38"/>
      <c r="K22" s="19" t="str">
        <f>"190,0"</f>
        <v>190,0</v>
      </c>
      <c r="L22" s="19" t="str">
        <f>"127,3760"</f>
        <v>127,3760</v>
      </c>
      <c r="M22" s="17"/>
    </row>
    <row r="23" spans="1:13">
      <c r="A23" s="41" t="s">
        <v>128</v>
      </c>
      <c r="B23" s="20" t="s">
        <v>473</v>
      </c>
      <c r="C23" s="20" t="s">
        <v>469</v>
      </c>
      <c r="D23" s="20" t="s">
        <v>202</v>
      </c>
      <c r="E23" s="21" t="s">
        <v>619</v>
      </c>
      <c r="F23" s="20" t="s">
        <v>585</v>
      </c>
      <c r="G23" s="39" t="s">
        <v>13</v>
      </c>
      <c r="H23" s="39" t="s">
        <v>15</v>
      </c>
      <c r="I23" s="39" t="s">
        <v>155</v>
      </c>
      <c r="J23" s="41"/>
      <c r="K23" s="22" t="str">
        <f>"120,0"</f>
        <v>120,0</v>
      </c>
      <c r="L23" s="22" t="str">
        <f>"83,2680"</f>
        <v>83,2680</v>
      </c>
      <c r="M23" s="20"/>
    </row>
    <row r="25" spans="1:13" ht="16">
      <c r="A25" s="62" t="s">
        <v>55</v>
      </c>
      <c r="B25" s="62"/>
      <c r="C25" s="63"/>
      <c r="D25" s="63"/>
      <c r="E25" s="63"/>
      <c r="F25" s="63"/>
      <c r="G25" s="63"/>
      <c r="H25" s="63"/>
      <c r="I25" s="63"/>
      <c r="J25" s="63"/>
    </row>
    <row r="26" spans="1:13">
      <c r="A26" s="32" t="s">
        <v>117</v>
      </c>
      <c r="B26" s="11" t="s">
        <v>123</v>
      </c>
      <c r="C26" s="11" t="s">
        <v>57</v>
      </c>
      <c r="D26" s="11" t="s">
        <v>58</v>
      </c>
      <c r="E26" s="12" t="s">
        <v>619</v>
      </c>
      <c r="F26" s="11" t="s">
        <v>589</v>
      </c>
      <c r="G26" s="30" t="s">
        <v>64</v>
      </c>
      <c r="H26" s="30" t="s">
        <v>65</v>
      </c>
      <c r="I26" s="30" t="s">
        <v>66</v>
      </c>
      <c r="J26" s="32"/>
      <c r="K26" s="13" t="str">
        <f>"310,0"</f>
        <v>310,0</v>
      </c>
      <c r="L26" s="13" t="str">
        <f>"198,5860"</f>
        <v>198,5860</v>
      </c>
      <c r="M26" s="11"/>
    </row>
    <row r="28" spans="1:13" ht="16">
      <c r="A28" s="62" t="s">
        <v>87</v>
      </c>
      <c r="B28" s="62"/>
      <c r="C28" s="63"/>
      <c r="D28" s="63"/>
      <c r="E28" s="63"/>
      <c r="F28" s="63"/>
      <c r="G28" s="63"/>
      <c r="H28" s="63"/>
      <c r="I28" s="63"/>
      <c r="J28" s="63"/>
    </row>
    <row r="29" spans="1:13">
      <c r="A29" s="32" t="s">
        <v>117</v>
      </c>
      <c r="B29" s="11" t="s">
        <v>131</v>
      </c>
      <c r="C29" s="11" t="s">
        <v>89</v>
      </c>
      <c r="D29" s="11" t="s">
        <v>90</v>
      </c>
      <c r="E29" s="12" t="s">
        <v>619</v>
      </c>
      <c r="F29" s="11" t="s">
        <v>589</v>
      </c>
      <c r="G29" s="30" t="s">
        <v>93</v>
      </c>
      <c r="H29" s="30" t="s">
        <v>73</v>
      </c>
      <c r="I29" s="30" t="s">
        <v>65</v>
      </c>
      <c r="J29" s="32"/>
      <c r="K29" s="13" t="str">
        <f>"300,0"</f>
        <v>300,0</v>
      </c>
      <c r="L29" s="13" t="str">
        <f>"182,6400"</f>
        <v>182,6400</v>
      </c>
      <c r="M29" s="11"/>
    </row>
    <row r="31" spans="1:13">
      <c r="E31" s="10"/>
      <c r="F31" s="29"/>
      <c r="G31" s="28"/>
      <c r="K31" s="10"/>
      <c r="M31" s="7"/>
    </row>
    <row r="32" spans="1:13">
      <c r="E32" s="5"/>
      <c r="F32" s="6"/>
      <c r="G32" s="5"/>
      <c r="K32" s="10"/>
      <c r="M32" s="7"/>
    </row>
  </sheetData>
  <mergeCells count="18">
    <mergeCell ref="A28:J28"/>
    <mergeCell ref="K3:K4"/>
    <mergeCell ref="L3:L4"/>
    <mergeCell ref="M3:M4"/>
    <mergeCell ref="A5:J5"/>
    <mergeCell ref="B3:B4"/>
    <mergeCell ref="A8:J8"/>
    <mergeCell ref="A11:J11"/>
    <mergeCell ref="A15:J15"/>
    <mergeCell ref="A18:J18"/>
    <mergeCell ref="A25:J2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3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2.5" style="5" customWidth="1"/>
    <col min="7" max="9" width="5.5" style="10" customWidth="1"/>
    <col min="10" max="10" width="4.83203125" style="10" customWidth="1"/>
    <col min="11" max="11" width="10.5" style="29" bestFit="1" customWidth="1"/>
    <col min="12" max="12" width="8.664062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7" t="s">
        <v>611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10</v>
      </c>
      <c r="H3" s="61"/>
      <c r="I3" s="61"/>
      <c r="J3" s="61"/>
      <c r="K3" s="64" t="s">
        <v>326</v>
      </c>
      <c r="L3" s="59" t="s">
        <v>3</v>
      </c>
      <c r="M3" s="66" t="s">
        <v>2</v>
      </c>
    </row>
    <row r="4" spans="1:13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5"/>
      <c r="L4" s="60"/>
      <c r="M4" s="67"/>
    </row>
    <row r="5" spans="1:13" ht="16">
      <c r="A5" s="68" t="s">
        <v>28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32" t="s">
        <v>117</v>
      </c>
      <c r="B6" s="11" t="s">
        <v>120</v>
      </c>
      <c r="C6" s="11" t="s">
        <v>29</v>
      </c>
      <c r="D6" s="11" t="s">
        <v>30</v>
      </c>
      <c r="E6" s="12" t="s">
        <v>619</v>
      </c>
      <c r="F6" s="11" t="s">
        <v>589</v>
      </c>
      <c r="G6" s="30" t="s">
        <v>32</v>
      </c>
      <c r="H6" s="30" t="s">
        <v>33</v>
      </c>
      <c r="I6" s="31" t="s">
        <v>36</v>
      </c>
      <c r="J6" s="32"/>
      <c r="K6" s="45" t="str">
        <f>"150,0"</f>
        <v>150,0</v>
      </c>
      <c r="L6" s="13" t="str">
        <f>"122,5950"</f>
        <v>122,5950</v>
      </c>
      <c r="M6" s="11"/>
    </row>
    <row r="8" spans="1:13" ht="16">
      <c r="A8" s="62" t="s">
        <v>55</v>
      </c>
      <c r="B8" s="62"/>
      <c r="C8" s="63"/>
      <c r="D8" s="63"/>
      <c r="E8" s="63"/>
      <c r="F8" s="63"/>
      <c r="G8" s="63"/>
      <c r="H8" s="63"/>
      <c r="I8" s="63"/>
      <c r="J8" s="63"/>
    </row>
    <row r="9" spans="1:13">
      <c r="A9" s="34" t="s">
        <v>117</v>
      </c>
      <c r="B9" s="14" t="s">
        <v>459</v>
      </c>
      <c r="C9" s="14" t="s">
        <v>455</v>
      </c>
      <c r="D9" s="14" t="s">
        <v>456</v>
      </c>
      <c r="E9" s="15" t="s">
        <v>619</v>
      </c>
      <c r="F9" s="14" t="s">
        <v>593</v>
      </c>
      <c r="G9" s="33" t="s">
        <v>93</v>
      </c>
      <c r="H9" s="33" t="s">
        <v>73</v>
      </c>
      <c r="I9" s="35" t="s">
        <v>65</v>
      </c>
      <c r="J9" s="34"/>
      <c r="K9" s="43" t="str">
        <f>"290,0"</f>
        <v>290,0</v>
      </c>
      <c r="L9" s="16" t="str">
        <f>"185,1360"</f>
        <v>185,1360</v>
      </c>
      <c r="M9" s="14"/>
    </row>
    <row r="10" spans="1:13">
      <c r="A10" s="41" t="s">
        <v>117</v>
      </c>
      <c r="B10" s="20" t="s">
        <v>460</v>
      </c>
      <c r="C10" s="20" t="s">
        <v>571</v>
      </c>
      <c r="D10" s="20" t="s">
        <v>456</v>
      </c>
      <c r="E10" s="21" t="s">
        <v>622</v>
      </c>
      <c r="F10" s="20" t="s">
        <v>589</v>
      </c>
      <c r="G10" s="40" t="s">
        <v>61</v>
      </c>
      <c r="H10" s="39" t="s">
        <v>70</v>
      </c>
      <c r="I10" s="40" t="s">
        <v>85</v>
      </c>
      <c r="J10" s="41"/>
      <c r="K10" s="44" t="str">
        <f>"265,0"</f>
        <v>265,0</v>
      </c>
      <c r="L10" s="22" t="str">
        <f>"169,1760"</f>
        <v>169,1760</v>
      </c>
      <c r="M10" s="20"/>
    </row>
    <row r="12" spans="1:13" ht="16">
      <c r="A12" s="62" t="s">
        <v>98</v>
      </c>
      <c r="B12" s="62"/>
      <c r="C12" s="63"/>
      <c r="D12" s="63"/>
      <c r="E12" s="63"/>
      <c r="F12" s="63"/>
      <c r="G12" s="63"/>
      <c r="H12" s="63"/>
      <c r="I12" s="63"/>
      <c r="J12" s="63"/>
    </row>
    <row r="13" spans="1:13">
      <c r="A13" s="32" t="s">
        <v>248</v>
      </c>
      <c r="B13" s="11" t="s">
        <v>461</v>
      </c>
      <c r="C13" s="11" t="s">
        <v>457</v>
      </c>
      <c r="D13" s="11" t="s">
        <v>458</v>
      </c>
      <c r="E13" s="12" t="s">
        <v>619</v>
      </c>
      <c r="F13" s="11" t="s">
        <v>593</v>
      </c>
      <c r="G13" s="31" t="s">
        <v>60</v>
      </c>
      <c r="H13" s="32"/>
      <c r="I13" s="32"/>
      <c r="J13" s="32"/>
      <c r="K13" s="45">
        <v>0</v>
      </c>
      <c r="L13" s="13" t="str">
        <f>"0,0000"</f>
        <v>0,0000</v>
      </c>
      <c r="M13" s="11"/>
    </row>
  </sheetData>
  <mergeCells count="14">
    <mergeCell ref="A8:J8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1.6640625" style="5" customWidth="1"/>
    <col min="7" max="9" width="5.5" style="10" customWidth="1"/>
    <col min="10" max="10" width="4.83203125" style="10" customWidth="1"/>
    <col min="11" max="12" width="4.5" style="10" customWidth="1"/>
    <col min="13" max="13" width="5.5" style="10" customWidth="1"/>
    <col min="14" max="14" width="4.83203125" style="10" customWidth="1"/>
    <col min="15" max="15" width="7.83203125" style="7" bestFit="1" customWidth="1"/>
    <col min="16" max="16" width="8.5" style="7" bestFit="1" customWidth="1"/>
    <col min="17" max="17" width="15.6640625" style="5" bestFit="1" customWidth="1"/>
    <col min="18" max="16384" width="9.1640625" style="3"/>
  </cols>
  <sheetData>
    <row r="1" spans="1:17" s="2" customFormat="1" ht="29" customHeight="1">
      <c r="A1" s="47" t="s">
        <v>612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615</v>
      </c>
      <c r="H3" s="61"/>
      <c r="I3" s="61"/>
      <c r="J3" s="61"/>
      <c r="K3" s="61" t="s">
        <v>616</v>
      </c>
      <c r="L3" s="61"/>
      <c r="M3" s="61"/>
      <c r="N3" s="61"/>
      <c r="O3" s="59" t="s">
        <v>1</v>
      </c>
      <c r="P3" s="59" t="s">
        <v>3</v>
      </c>
      <c r="Q3" s="66" t="s">
        <v>2</v>
      </c>
    </row>
    <row r="4" spans="1:17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0"/>
      <c r="P4" s="60"/>
      <c r="Q4" s="67"/>
    </row>
    <row r="5" spans="1:17" ht="16">
      <c r="A5" s="68" t="s">
        <v>98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7">
      <c r="A6" s="32" t="s">
        <v>117</v>
      </c>
      <c r="B6" s="11" t="s">
        <v>529</v>
      </c>
      <c r="C6" s="11" t="s">
        <v>527</v>
      </c>
      <c r="D6" s="11" t="s">
        <v>528</v>
      </c>
      <c r="E6" s="12" t="s">
        <v>619</v>
      </c>
      <c r="F6" s="11" t="s">
        <v>589</v>
      </c>
      <c r="G6" s="31" t="s">
        <v>15</v>
      </c>
      <c r="H6" s="30" t="s">
        <v>155</v>
      </c>
      <c r="I6" s="31" t="s">
        <v>283</v>
      </c>
      <c r="J6" s="32"/>
      <c r="K6" s="30" t="s">
        <v>142</v>
      </c>
      <c r="L6" s="30" t="s">
        <v>22</v>
      </c>
      <c r="M6" s="31" t="s">
        <v>13</v>
      </c>
      <c r="N6" s="32"/>
      <c r="O6" s="13" t="str">
        <f>"210,0"</f>
        <v>210,0</v>
      </c>
      <c r="P6" s="13" t="str">
        <f>"112,1925"</f>
        <v>112,1925</v>
      </c>
      <c r="Q6" s="11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3"/>
  <sheetViews>
    <sheetView workbookViewId="0">
      <selection activeCell="E34" sqref="E34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30.5" style="5" customWidth="1"/>
    <col min="4" max="4" width="21.5" style="5" bestFit="1" customWidth="1"/>
    <col min="5" max="5" width="10.5" style="6" bestFit="1" customWidth="1"/>
    <col min="6" max="6" width="32" style="5" customWidth="1"/>
    <col min="7" max="9" width="4.6640625" style="10" bestFit="1" customWidth="1"/>
    <col min="10" max="10" width="4.33203125" style="10" bestFit="1" customWidth="1"/>
    <col min="11" max="11" width="10.5" style="29" bestFit="1" customWidth="1"/>
    <col min="12" max="12" width="7.6640625" style="7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47" t="s">
        <v>613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615</v>
      </c>
      <c r="H3" s="61"/>
      <c r="I3" s="61"/>
      <c r="J3" s="61"/>
      <c r="K3" s="64" t="s">
        <v>326</v>
      </c>
      <c r="L3" s="59" t="s">
        <v>3</v>
      </c>
      <c r="M3" s="66" t="s">
        <v>2</v>
      </c>
    </row>
    <row r="4" spans="1:13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5"/>
      <c r="L4" s="60"/>
      <c r="M4" s="67"/>
    </row>
    <row r="5" spans="1:13" ht="16">
      <c r="A5" s="68" t="s">
        <v>156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32" t="s">
        <v>117</v>
      </c>
      <c r="B6" s="11" t="s">
        <v>517</v>
      </c>
      <c r="C6" s="11" t="s">
        <v>507</v>
      </c>
      <c r="D6" s="11" t="s">
        <v>287</v>
      </c>
      <c r="E6" s="12" t="s">
        <v>619</v>
      </c>
      <c r="F6" s="11" t="s">
        <v>589</v>
      </c>
      <c r="G6" s="30" t="s">
        <v>362</v>
      </c>
      <c r="H6" s="31" t="s">
        <v>363</v>
      </c>
      <c r="I6" s="31" t="s">
        <v>508</v>
      </c>
      <c r="J6" s="32"/>
      <c r="K6" s="45" t="str">
        <f>"27,5"</f>
        <v>27,5</v>
      </c>
      <c r="L6" s="13" t="str">
        <f>"27,4161"</f>
        <v>27,4161</v>
      </c>
      <c r="M6" s="11"/>
    </row>
    <row r="8" spans="1:13" ht="16">
      <c r="A8" s="62" t="s">
        <v>11</v>
      </c>
      <c r="B8" s="62"/>
      <c r="C8" s="63"/>
      <c r="D8" s="63"/>
      <c r="E8" s="63"/>
      <c r="F8" s="63"/>
      <c r="G8" s="63"/>
      <c r="H8" s="63"/>
      <c r="I8" s="63"/>
      <c r="J8" s="63"/>
    </row>
    <row r="9" spans="1:13">
      <c r="A9" s="32" t="s">
        <v>117</v>
      </c>
      <c r="B9" s="11" t="s">
        <v>415</v>
      </c>
      <c r="C9" s="11" t="s">
        <v>570</v>
      </c>
      <c r="D9" s="11" t="s">
        <v>355</v>
      </c>
      <c r="E9" s="12" t="s">
        <v>622</v>
      </c>
      <c r="F9" s="11" t="s">
        <v>589</v>
      </c>
      <c r="G9" s="30" t="s">
        <v>363</v>
      </c>
      <c r="H9" s="30" t="s">
        <v>508</v>
      </c>
      <c r="I9" s="30" t="s">
        <v>140</v>
      </c>
      <c r="J9" s="32"/>
      <c r="K9" s="45" t="str">
        <f>"37,5"</f>
        <v>37,5</v>
      </c>
      <c r="L9" s="13" t="str">
        <f>"37,9454"</f>
        <v>37,9454</v>
      </c>
      <c r="M9" s="11"/>
    </row>
    <row r="11" spans="1:13" ht="16">
      <c r="A11" s="62" t="s">
        <v>156</v>
      </c>
      <c r="B11" s="62"/>
      <c r="C11" s="63"/>
      <c r="D11" s="63"/>
      <c r="E11" s="63"/>
      <c r="F11" s="63"/>
      <c r="G11" s="63"/>
      <c r="H11" s="63"/>
      <c r="I11" s="63"/>
      <c r="J11" s="63"/>
    </row>
    <row r="12" spans="1:13">
      <c r="A12" s="32" t="s">
        <v>117</v>
      </c>
      <c r="B12" s="11" t="s">
        <v>518</v>
      </c>
      <c r="C12" s="11" t="s">
        <v>572</v>
      </c>
      <c r="D12" s="11" t="s">
        <v>167</v>
      </c>
      <c r="E12" s="12" t="s">
        <v>621</v>
      </c>
      <c r="F12" s="11" t="s">
        <v>591</v>
      </c>
      <c r="G12" s="30" t="s">
        <v>154</v>
      </c>
      <c r="H12" s="30" t="s">
        <v>149</v>
      </c>
      <c r="I12" s="30" t="s">
        <v>16</v>
      </c>
      <c r="J12" s="32"/>
      <c r="K12" s="45" t="str">
        <f>"50,0"</f>
        <v>50,0</v>
      </c>
      <c r="L12" s="13" t="str">
        <f>"42,9100"</f>
        <v>42,9100</v>
      </c>
      <c r="M12" s="11"/>
    </row>
    <row r="14" spans="1:13" ht="16">
      <c r="A14" s="62" t="s">
        <v>11</v>
      </c>
      <c r="B14" s="62"/>
      <c r="C14" s="63"/>
      <c r="D14" s="63"/>
      <c r="E14" s="63"/>
      <c r="F14" s="63"/>
      <c r="G14" s="63"/>
      <c r="H14" s="63"/>
      <c r="I14" s="63"/>
      <c r="J14" s="63"/>
    </row>
    <row r="15" spans="1:13">
      <c r="A15" s="34" t="s">
        <v>117</v>
      </c>
      <c r="B15" s="14" t="s">
        <v>519</v>
      </c>
      <c r="C15" s="14" t="s">
        <v>573</v>
      </c>
      <c r="D15" s="14" t="s">
        <v>510</v>
      </c>
      <c r="E15" s="15" t="s">
        <v>621</v>
      </c>
      <c r="F15" s="14" t="s">
        <v>589</v>
      </c>
      <c r="G15" s="33" t="s">
        <v>149</v>
      </c>
      <c r="H15" s="35" t="s">
        <v>16</v>
      </c>
      <c r="I15" s="35" t="s">
        <v>158</v>
      </c>
      <c r="J15" s="34"/>
      <c r="K15" s="43" t="str">
        <f>"47,5"</f>
        <v>47,5</v>
      </c>
      <c r="L15" s="16" t="str">
        <f>"36,0074"</f>
        <v>36,0074</v>
      </c>
      <c r="M15" s="14"/>
    </row>
    <row r="16" spans="1:13">
      <c r="A16" s="38" t="s">
        <v>124</v>
      </c>
      <c r="B16" s="17" t="s">
        <v>520</v>
      </c>
      <c r="C16" s="17" t="s">
        <v>574</v>
      </c>
      <c r="D16" s="17" t="s">
        <v>511</v>
      </c>
      <c r="E16" s="18" t="s">
        <v>621</v>
      </c>
      <c r="F16" s="17" t="s">
        <v>589</v>
      </c>
      <c r="G16" s="36" t="s">
        <v>148</v>
      </c>
      <c r="H16" s="37" t="s">
        <v>16</v>
      </c>
      <c r="I16" s="37" t="s">
        <v>16</v>
      </c>
      <c r="J16" s="38"/>
      <c r="K16" s="46" t="str">
        <f>"45,0"</f>
        <v>45,0</v>
      </c>
      <c r="L16" s="19" t="str">
        <f>"33,9795"</f>
        <v>33,9795</v>
      </c>
      <c r="M16" s="17"/>
    </row>
    <row r="17" spans="1:13">
      <c r="A17" s="41" t="s">
        <v>248</v>
      </c>
      <c r="B17" s="20" t="s">
        <v>521</v>
      </c>
      <c r="C17" s="20" t="s">
        <v>575</v>
      </c>
      <c r="D17" s="20" t="s">
        <v>367</v>
      </c>
      <c r="E17" s="21" t="s">
        <v>621</v>
      </c>
      <c r="F17" s="20" t="s">
        <v>589</v>
      </c>
      <c r="G17" s="40" t="s">
        <v>154</v>
      </c>
      <c r="H17" s="41"/>
      <c r="I17" s="41"/>
      <c r="J17" s="41"/>
      <c r="K17" s="44">
        <v>0</v>
      </c>
      <c r="L17" s="22" t="str">
        <f>"0,0000"</f>
        <v>0,0000</v>
      </c>
      <c r="M17" s="20"/>
    </row>
    <row r="19" spans="1:13" ht="16">
      <c r="A19" s="62" t="s">
        <v>20</v>
      </c>
      <c r="B19" s="62"/>
      <c r="C19" s="63"/>
      <c r="D19" s="63"/>
      <c r="E19" s="63"/>
      <c r="F19" s="63"/>
      <c r="G19" s="63"/>
      <c r="H19" s="63"/>
      <c r="I19" s="63"/>
      <c r="J19" s="63"/>
    </row>
    <row r="20" spans="1:13">
      <c r="A20" s="34" t="s">
        <v>117</v>
      </c>
      <c r="B20" s="14" t="s">
        <v>254</v>
      </c>
      <c r="C20" s="14" t="s">
        <v>576</v>
      </c>
      <c r="D20" s="14" t="s">
        <v>38</v>
      </c>
      <c r="E20" s="15" t="s">
        <v>621</v>
      </c>
      <c r="F20" s="14" t="s">
        <v>591</v>
      </c>
      <c r="G20" s="33" t="s">
        <v>16</v>
      </c>
      <c r="H20" s="33" t="s">
        <v>163</v>
      </c>
      <c r="I20" s="35" t="s">
        <v>18</v>
      </c>
      <c r="J20" s="34"/>
      <c r="K20" s="43" t="str">
        <f>"57,5"</f>
        <v>57,5</v>
      </c>
      <c r="L20" s="16" t="str">
        <f>"41,7594"</f>
        <v>41,7594</v>
      </c>
      <c r="M20" s="14"/>
    </row>
    <row r="21" spans="1:13">
      <c r="A21" s="38" t="s">
        <v>117</v>
      </c>
      <c r="B21" s="17" t="s">
        <v>522</v>
      </c>
      <c r="C21" s="17" t="s">
        <v>577</v>
      </c>
      <c r="D21" s="17" t="s">
        <v>512</v>
      </c>
      <c r="E21" s="18" t="s">
        <v>620</v>
      </c>
      <c r="F21" s="17" t="s">
        <v>589</v>
      </c>
      <c r="G21" s="36" t="s">
        <v>16</v>
      </c>
      <c r="H21" s="37" t="s">
        <v>163</v>
      </c>
      <c r="I21" s="37" t="s">
        <v>163</v>
      </c>
      <c r="J21" s="38"/>
      <c r="K21" s="46" t="str">
        <f>"50,0"</f>
        <v>50,0</v>
      </c>
      <c r="L21" s="19" t="str">
        <f>"35,3550"</f>
        <v>35,3550</v>
      </c>
      <c r="M21" s="17"/>
    </row>
    <row r="22" spans="1:13">
      <c r="A22" s="38" t="s">
        <v>117</v>
      </c>
      <c r="B22" s="17" t="s">
        <v>258</v>
      </c>
      <c r="C22" s="17" t="s">
        <v>194</v>
      </c>
      <c r="D22" s="17" t="s">
        <v>195</v>
      </c>
      <c r="E22" s="18" t="s">
        <v>619</v>
      </c>
      <c r="F22" s="17" t="s">
        <v>589</v>
      </c>
      <c r="G22" s="36" t="s">
        <v>16</v>
      </c>
      <c r="H22" s="36" t="s">
        <v>17</v>
      </c>
      <c r="I22" s="36" t="s">
        <v>163</v>
      </c>
      <c r="J22" s="38"/>
      <c r="K22" s="46" t="str">
        <f>"57,5"</f>
        <v>57,5</v>
      </c>
      <c r="L22" s="19" t="str">
        <f>"41,5667"</f>
        <v>41,5667</v>
      </c>
      <c r="M22" s="17"/>
    </row>
    <row r="23" spans="1:13">
      <c r="A23" s="38" t="s">
        <v>117</v>
      </c>
      <c r="B23" s="17" t="s">
        <v>523</v>
      </c>
      <c r="C23" s="17" t="s">
        <v>578</v>
      </c>
      <c r="D23" s="17" t="s">
        <v>292</v>
      </c>
      <c r="E23" s="18" t="s">
        <v>622</v>
      </c>
      <c r="F23" s="17" t="s">
        <v>589</v>
      </c>
      <c r="G23" s="36" t="s">
        <v>16</v>
      </c>
      <c r="H23" s="36" t="s">
        <v>163</v>
      </c>
      <c r="I23" s="38"/>
      <c r="J23" s="38"/>
      <c r="K23" s="46" t="str">
        <f>"57,5"</f>
        <v>57,5</v>
      </c>
      <c r="L23" s="19" t="str">
        <f>"39,9875"</f>
        <v>39,9875</v>
      </c>
      <c r="M23" s="17"/>
    </row>
    <row r="24" spans="1:13">
      <c r="A24" s="41" t="s">
        <v>124</v>
      </c>
      <c r="B24" s="20" t="s">
        <v>524</v>
      </c>
      <c r="C24" s="20" t="s">
        <v>579</v>
      </c>
      <c r="D24" s="20" t="s">
        <v>513</v>
      </c>
      <c r="E24" s="21" t="s">
        <v>622</v>
      </c>
      <c r="F24" s="20" t="s">
        <v>589</v>
      </c>
      <c r="G24" s="39" t="s">
        <v>16</v>
      </c>
      <c r="H24" s="40" t="s">
        <v>163</v>
      </c>
      <c r="I24" s="40" t="s">
        <v>163</v>
      </c>
      <c r="J24" s="41"/>
      <c r="K24" s="44" t="str">
        <f>"50,0"</f>
        <v>50,0</v>
      </c>
      <c r="L24" s="22" t="str">
        <f>"36,6327"</f>
        <v>36,6327</v>
      </c>
      <c r="M24" s="20"/>
    </row>
    <row r="26" spans="1:13" ht="16">
      <c r="A26" s="62" t="s">
        <v>45</v>
      </c>
      <c r="B26" s="62"/>
      <c r="C26" s="63"/>
      <c r="D26" s="63"/>
      <c r="E26" s="63"/>
      <c r="F26" s="63"/>
      <c r="G26" s="63"/>
      <c r="H26" s="63"/>
      <c r="I26" s="63"/>
      <c r="J26" s="63"/>
    </row>
    <row r="27" spans="1:13">
      <c r="A27" s="34" t="s">
        <v>117</v>
      </c>
      <c r="B27" s="14" t="s">
        <v>260</v>
      </c>
      <c r="C27" s="14" t="s">
        <v>580</v>
      </c>
      <c r="D27" s="14" t="s">
        <v>202</v>
      </c>
      <c r="E27" s="15" t="s">
        <v>621</v>
      </c>
      <c r="F27" s="14" t="s">
        <v>589</v>
      </c>
      <c r="G27" s="33" t="s">
        <v>17</v>
      </c>
      <c r="H27" s="33" t="s">
        <v>164</v>
      </c>
      <c r="I27" s="35" t="s">
        <v>178</v>
      </c>
      <c r="J27" s="34"/>
      <c r="K27" s="43" t="str">
        <f>"62,5"</f>
        <v>62,5</v>
      </c>
      <c r="L27" s="16" t="str">
        <f>"41,8344"</f>
        <v>41,8344</v>
      </c>
      <c r="M27" s="14"/>
    </row>
    <row r="28" spans="1:13">
      <c r="A28" s="38" t="s">
        <v>124</v>
      </c>
      <c r="B28" s="17" t="s">
        <v>525</v>
      </c>
      <c r="C28" s="17" t="s">
        <v>581</v>
      </c>
      <c r="D28" s="17" t="s">
        <v>514</v>
      </c>
      <c r="E28" s="18" t="s">
        <v>621</v>
      </c>
      <c r="F28" s="17" t="s">
        <v>589</v>
      </c>
      <c r="G28" s="36" t="s">
        <v>148</v>
      </c>
      <c r="H28" s="37" t="s">
        <v>16</v>
      </c>
      <c r="I28" s="37" t="s">
        <v>158</v>
      </c>
      <c r="J28" s="38"/>
      <c r="K28" s="46" t="str">
        <f>"45,0"</f>
        <v>45,0</v>
      </c>
      <c r="L28" s="19" t="str">
        <f>"30,8318"</f>
        <v>30,8318</v>
      </c>
      <c r="M28" s="17"/>
    </row>
    <row r="29" spans="1:13">
      <c r="A29" s="38" t="s">
        <v>117</v>
      </c>
      <c r="B29" s="17" t="s">
        <v>430</v>
      </c>
      <c r="C29" s="17" t="s">
        <v>378</v>
      </c>
      <c r="D29" s="17" t="s">
        <v>379</v>
      </c>
      <c r="E29" s="18" t="s">
        <v>619</v>
      </c>
      <c r="F29" s="17" t="s">
        <v>593</v>
      </c>
      <c r="G29" s="36" t="s">
        <v>17</v>
      </c>
      <c r="H29" s="36" t="s">
        <v>178</v>
      </c>
      <c r="I29" s="36" t="s">
        <v>34</v>
      </c>
      <c r="J29" s="38"/>
      <c r="K29" s="46" t="str">
        <f>"70,0"</f>
        <v>70,0</v>
      </c>
      <c r="L29" s="19" t="str">
        <f>"45,3355"</f>
        <v>45,3355</v>
      </c>
      <c r="M29" s="17"/>
    </row>
    <row r="30" spans="1:13">
      <c r="A30" s="41" t="s">
        <v>124</v>
      </c>
      <c r="B30" s="20" t="s">
        <v>526</v>
      </c>
      <c r="C30" s="20" t="s">
        <v>515</v>
      </c>
      <c r="D30" s="20" t="s">
        <v>516</v>
      </c>
      <c r="E30" s="21" t="s">
        <v>619</v>
      </c>
      <c r="F30" s="20" t="s">
        <v>589</v>
      </c>
      <c r="G30" s="39" t="s">
        <v>16</v>
      </c>
      <c r="H30" s="39" t="s">
        <v>17</v>
      </c>
      <c r="I30" s="39" t="s">
        <v>18</v>
      </c>
      <c r="J30" s="41"/>
      <c r="K30" s="44" t="str">
        <f>"60,0"</f>
        <v>60,0</v>
      </c>
      <c r="L30" s="22" t="str">
        <f>"38,9850"</f>
        <v>38,9850</v>
      </c>
      <c r="M30" s="20"/>
    </row>
    <row r="32" spans="1:13" ht="16">
      <c r="A32" s="62" t="s">
        <v>87</v>
      </c>
      <c r="B32" s="62"/>
      <c r="C32" s="63"/>
      <c r="D32" s="63"/>
      <c r="E32" s="63"/>
      <c r="F32" s="63"/>
      <c r="G32" s="63"/>
      <c r="H32" s="63"/>
      <c r="I32" s="63"/>
      <c r="J32" s="63"/>
    </row>
    <row r="33" spans="1:13">
      <c r="A33" s="32" t="s">
        <v>117</v>
      </c>
      <c r="B33" s="11" t="s">
        <v>506</v>
      </c>
      <c r="C33" s="11" t="s">
        <v>503</v>
      </c>
      <c r="D33" s="11" t="s">
        <v>504</v>
      </c>
      <c r="E33" s="12" t="s">
        <v>619</v>
      </c>
      <c r="F33" s="11" t="s">
        <v>589</v>
      </c>
      <c r="G33" s="30" t="s">
        <v>178</v>
      </c>
      <c r="H33" s="30" t="s">
        <v>35</v>
      </c>
      <c r="I33" s="31" t="s">
        <v>288</v>
      </c>
      <c r="J33" s="32"/>
      <c r="K33" s="45" t="str">
        <f>"75,0"</f>
        <v>75,0</v>
      </c>
      <c r="L33" s="13" t="str">
        <f>"43,5975"</f>
        <v>43,5975</v>
      </c>
      <c r="M33" s="11"/>
    </row>
    <row r="35" spans="1:13">
      <c r="E35" s="10"/>
      <c r="F35" s="29"/>
      <c r="G35" s="28"/>
      <c r="M35" s="7"/>
    </row>
    <row r="36" spans="1:13">
      <c r="C36" s="3"/>
      <c r="D36" s="3"/>
      <c r="E36" s="3"/>
      <c r="F36" s="3"/>
      <c r="G36" s="3"/>
      <c r="M36" s="7"/>
    </row>
    <row r="37" spans="1:13" ht="18">
      <c r="B37" s="9" t="s">
        <v>530</v>
      </c>
      <c r="G37" s="3"/>
      <c r="M37" s="7"/>
    </row>
    <row r="38" spans="1:13" ht="16">
      <c r="B38" s="23" t="s">
        <v>114</v>
      </c>
      <c r="C38" s="23"/>
      <c r="G38" s="3"/>
      <c r="M38" s="7"/>
    </row>
    <row r="39" spans="1:13" ht="14">
      <c r="B39" s="24"/>
      <c r="C39" s="25" t="s">
        <v>238</v>
      </c>
      <c r="G39" s="3"/>
      <c r="M39" s="7"/>
    </row>
    <row r="40" spans="1:13" ht="14">
      <c r="B40" s="26" t="s">
        <v>107</v>
      </c>
      <c r="C40" s="26" t="s">
        <v>108</v>
      </c>
      <c r="D40" s="26" t="s">
        <v>531</v>
      </c>
      <c r="E40" s="27" t="s">
        <v>324</v>
      </c>
      <c r="F40" s="26" t="s">
        <v>489</v>
      </c>
      <c r="G40" s="3"/>
      <c r="M40" s="7"/>
    </row>
    <row r="41" spans="1:13">
      <c r="B41" s="5" t="s">
        <v>509</v>
      </c>
      <c r="C41" s="5" t="s">
        <v>582</v>
      </c>
      <c r="D41" s="10" t="s">
        <v>236</v>
      </c>
      <c r="E41" s="29">
        <v>50</v>
      </c>
      <c r="F41" s="28">
        <v>42.910000681877101</v>
      </c>
      <c r="G41" s="3"/>
      <c r="M41" s="7"/>
    </row>
    <row r="42" spans="1:13">
      <c r="B42" s="5" t="s">
        <v>200</v>
      </c>
      <c r="C42" s="5" t="s">
        <v>582</v>
      </c>
      <c r="D42" s="10" t="s">
        <v>410</v>
      </c>
      <c r="E42" s="29">
        <v>62.5</v>
      </c>
      <c r="F42" s="28">
        <v>41.834376752376599</v>
      </c>
      <c r="G42" s="3"/>
      <c r="M42" s="7"/>
    </row>
    <row r="43" spans="1:13">
      <c r="B43" s="5" t="s">
        <v>183</v>
      </c>
      <c r="C43" s="5" t="s">
        <v>582</v>
      </c>
      <c r="D43" s="10" t="s">
        <v>112</v>
      </c>
      <c r="E43" s="29">
        <v>57.5</v>
      </c>
      <c r="F43" s="28">
        <v>41.759374588728001</v>
      </c>
    </row>
  </sheetData>
  <mergeCells count="18">
    <mergeCell ref="A32:J32"/>
    <mergeCell ref="K3:K4"/>
    <mergeCell ref="L3:L4"/>
    <mergeCell ref="M3:M4"/>
    <mergeCell ref="A5:J5"/>
    <mergeCell ref="B3:B4"/>
    <mergeCell ref="A8:J8"/>
    <mergeCell ref="A11:J11"/>
    <mergeCell ref="A14:J14"/>
    <mergeCell ref="A19:J19"/>
    <mergeCell ref="A26:J26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4"/>
  <sheetViews>
    <sheetView tabSelected="1" workbookViewId="0">
      <selection activeCell="E15" sqref="E15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5.33203125" style="5" customWidth="1"/>
    <col min="7" max="9" width="4.6640625" style="10" bestFit="1" customWidth="1"/>
    <col min="10" max="10" width="4.33203125" style="10" bestFit="1" customWidth="1"/>
    <col min="11" max="11" width="10.5" style="7" bestFit="1" customWidth="1"/>
    <col min="12" max="12" width="7.6640625" style="7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47" t="s">
        <v>614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615</v>
      </c>
      <c r="H3" s="61"/>
      <c r="I3" s="61"/>
      <c r="J3" s="61"/>
      <c r="K3" s="59" t="s">
        <v>326</v>
      </c>
      <c r="L3" s="59" t="s">
        <v>3</v>
      </c>
      <c r="M3" s="66" t="s">
        <v>2</v>
      </c>
    </row>
    <row r="4" spans="1:13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7"/>
    </row>
    <row r="5" spans="1:13" ht="16">
      <c r="A5" s="68" t="s">
        <v>20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34" t="s">
        <v>117</v>
      </c>
      <c r="B6" s="14" t="s">
        <v>505</v>
      </c>
      <c r="C6" s="14" t="s">
        <v>583</v>
      </c>
      <c r="D6" s="14" t="s">
        <v>502</v>
      </c>
      <c r="E6" s="15" t="s">
        <v>620</v>
      </c>
      <c r="F6" s="14" t="s">
        <v>585</v>
      </c>
      <c r="G6" s="33" t="s">
        <v>163</v>
      </c>
      <c r="H6" s="35" t="s">
        <v>18</v>
      </c>
      <c r="I6" s="35" t="s">
        <v>164</v>
      </c>
      <c r="J6" s="34"/>
      <c r="K6" s="16" t="str">
        <f>"57,5"</f>
        <v>57,5</v>
      </c>
      <c r="L6" s="16" t="str">
        <f>"41,9060"</f>
        <v>41,9060</v>
      </c>
      <c r="M6" s="14"/>
    </row>
    <row r="7" spans="1:13">
      <c r="A7" s="38" t="s">
        <v>117</v>
      </c>
      <c r="B7" s="17" t="s">
        <v>329</v>
      </c>
      <c r="C7" s="17" t="s">
        <v>291</v>
      </c>
      <c r="D7" s="17" t="s">
        <v>292</v>
      </c>
      <c r="E7" s="18" t="s">
        <v>619</v>
      </c>
      <c r="F7" s="17" t="s">
        <v>593</v>
      </c>
      <c r="G7" s="36" t="s">
        <v>34</v>
      </c>
      <c r="H7" s="36" t="s">
        <v>35</v>
      </c>
      <c r="I7" s="37" t="s">
        <v>142</v>
      </c>
      <c r="J7" s="38"/>
      <c r="K7" s="19" t="str">
        <f>"75,0"</f>
        <v>75,0</v>
      </c>
      <c r="L7" s="19" t="str">
        <f>"51,6412"</f>
        <v>51,6412</v>
      </c>
      <c r="M7" s="17"/>
    </row>
    <row r="8" spans="1:13">
      <c r="A8" s="41" t="s">
        <v>124</v>
      </c>
      <c r="B8" s="20" t="s">
        <v>258</v>
      </c>
      <c r="C8" s="20" t="s">
        <v>194</v>
      </c>
      <c r="D8" s="20" t="s">
        <v>195</v>
      </c>
      <c r="E8" s="21" t="s">
        <v>619</v>
      </c>
      <c r="F8" s="20" t="s">
        <v>589</v>
      </c>
      <c r="G8" s="39" t="s">
        <v>16</v>
      </c>
      <c r="H8" s="39" t="s">
        <v>17</v>
      </c>
      <c r="I8" s="39" t="s">
        <v>163</v>
      </c>
      <c r="J8" s="41"/>
      <c r="K8" s="22" t="str">
        <f>"57,5"</f>
        <v>57,5</v>
      </c>
      <c r="L8" s="22" t="str">
        <f>"41,5667"</f>
        <v>41,5667</v>
      </c>
      <c r="M8" s="20"/>
    </row>
    <row r="10" spans="1:13" ht="16">
      <c r="A10" s="62" t="s">
        <v>87</v>
      </c>
      <c r="B10" s="62"/>
      <c r="C10" s="63"/>
      <c r="D10" s="63"/>
      <c r="E10" s="63"/>
      <c r="F10" s="63"/>
      <c r="G10" s="63"/>
      <c r="H10" s="63"/>
      <c r="I10" s="63"/>
      <c r="J10" s="63"/>
    </row>
    <row r="11" spans="1:13">
      <c r="A11" s="32" t="s">
        <v>117</v>
      </c>
      <c r="B11" s="11" t="s">
        <v>506</v>
      </c>
      <c r="C11" s="11" t="s">
        <v>503</v>
      </c>
      <c r="D11" s="11" t="s">
        <v>504</v>
      </c>
      <c r="E11" s="12" t="s">
        <v>619</v>
      </c>
      <c r="F11" s="11" t="s">
        <v>589</v>
      </c>
      <c r="G11" s="30" t="s">
        <v>178</v>
      </c>
      <c r="H11" s="30" t="s">
        <v>35</v>
      </c>
      <c r="I11" s="31" t="s">
        <v>288</v>
      </c>
      <c r="J11" s="32"/>
      <c r="K11" s="13" t="str">
        <f>"75,0"</f>
        <v>75,0</v>
      </c>
      <c r="L11" s="13" t="str">
        <f>"43,5975"</f>
        <v>43,5975</v>
      </c>
      <c r="M11" s="11"/>
    </row>
    <row r="13" spans="1:13" ht="16">
      <c r="A13" s="62" t="s">
        <v>98</v>
      </c>
      <c r="B13" s="62"/>
      <c r="C13" s="63"/>
      <c r="D13" s="63"/>
      <c r="E13" s="63"/>
      <c r="F13" s="63"/>
      <c r="G13" s="63"/>
      <c r="H13" s="63"/>
      <c r="I13" s="63"/>
      <c r="J13" s="63"/>
    </row>
    <row r="14" spans="1:13">
      <c r="A14" s="32" t="s">
        <v>117</v>
      </c>
      <c r="B14" s="11" t="s">
        <v>461</v>
      </c>
      <c r="C14" s="11" t="s">
        <v>457</v>
      </c>
      <c r="D14" s="11" t="s">
        <v>458</v>
      </c>
      <c r="E14" s="12" t="s">
        <v>619</v>
      </c>
      <c r="F14" s="11" t="s">
        <v>593</v>
      </c>
      <c r="G14" s="30" t="s">
        <v>142</v>
      </c>
      <c r="H14" s="30" t="s">
        <v>147</v>
      </c>
      <c r="I14" s="30" t="s">
        <v>143</v>
      </c>
      <c r="J14" s="32"/>
      <c r="K14" s="13" t="str">
        <f>"85,0"</f>
        <v>85,0</v>
      </c>
      <c r="L14" s="13" t="str">
        <f>"45,7852"</f>
        <v>45,7852</v>
      </c>
      <c r="M14" s="11"/>
    </row>
  </sheetData>
  <mergeCells count="14">
    <mergeCell ref="A10:J10"/>
    <mergeCell ref="A13:J1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46"/>
  <sheetViews>
    <sheetView topLeftCell="A2" workbookViewId="0">
      <selection activeCell="E37" sqref="E37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9" style="5" bestFit="1" customWidth="1"/>
    <col min="4" max="4" width="21.5" style="5" bestFit="1" customWidth="1"/>
    <col min="5" max="5" width="10.5" style="6" bestFit="1" customWidth="1"/>
    <col min="6" max="6" width="34.5" style="5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18.5" style="5" customWidth="1"/>
    <col min="22" max="16384" width="9.1640625" style="3"/>
  </cols>
  <sheetData>
    <row r="1" spans="1:21" s="2" customFormat="1" ht="29" customHeight="1">
      <c r="A1" s="47" t="s">
        <v>595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8</v>
      </c>
      <c r="H3" s="61"/>
      <c r="I3" s="61"/>
      <c r="J3" s="61"/>
      <c r="K3" s="61" t="s">
        <v>9</v>
      </c>
      <c r="L3" s="61"/>
      <c r="M3" s="61"/>
      <c r="N3" s="61"/>
      <c r="O3" s="61" t="s">
        <v>10</v>
      </c>
      <c r="P3" s="61"/>
      <c r="Q3" s="61"/>
      <c r="R3" s="61"/>
      <c r="S3" s="59" t="s">
        <v>1</v>
      </c>
      <c r="T3" s="59" t="s">
        <v>3</v>
      </c>
      <c r="U3" s="66" t="s">
        <v>2</v>
      </c>
    </row>
    <row r="4" spans="1:21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0"/>
      <c r="T4" s="60"/>
      <c r="U4" s="67"/>
    </row>
    <row r="5" spans="1:21" ht="16">
      <c r="A5" s="68" t="s">
        <v>11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21">
      <c r="A6" s="32" t="s">
        <v>117</v>
      </c>
      <c r="B6" s="11" t="s">
        <v>118</v>
      </c>
      <c r="C6" s="11" t="s">
        <v>538</v>
      </c>
      <c r="D6" s="11" t="s">
        <v>12</v>
      </c>
      <c r="E6" s="12" t="s">
        <v>620</v>
      </c>
      <c r="F6" s="11" t="s">
        <v>593</v>
      </c>
      <c r="G6" s="30" t="s">
        <v>13</v>
      </c>
      <c r="H6" s="30" t="s">
        <v>14</v>
      </c>
      <c r="I6" s="31" t="s">
        <v>15</v>
      </c>
      <c r="J6" s="32"/>
      <c r="K6" s="30" t="s">
        <v>16</v>
      </c>
      <c r="L6" s="30" t="s">
        <v>17</v>
      </c>
      <c r="M6" s="31" t="s">
        <v>18</v>
      </c>
      <c r="N6" s="32"/>
      <c r="O6" s="30" t="s">
        <v>13</v>
      </c>
      <c r="P6" s="31" t="s">
        <v>19</v>
      </c>
      <c r="Q6" s="30" t="s">
        <v>19</v>
      </c>
      <c r="R6" s="32"/>
      <c r="S6" s="13" t="str">
        <f>"267,5"</f>
        <v>267,5</v>
      </c>
      <c r="T6" s="13" t="str">
        <f>"277,7987"</f>
        <v>277,7987</v>
      </c>
      <c r="U6" s="11"/>
    </row>
    <row r="8" spans="1:21" ht="16">
      <c r="A8" s="62" t="s">
        <v>20</v>
      </c>
      <c r="B8" s="62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21">
      <c r="A9" s="32" t="s">
        <v>117</v>
      </c>
      <c r="B9" s="11" t="s">
        <v>119</v>
      </c>
      <c r="C9" s="11" t="s">
        <v>539</v>
      </c>
      <c r="D9" s="11" t="s">
        <v>21</v>
      </c>
      <c r="E9" s="12" t="s">
        <v>620</v>
      </c>
      <c r="F9" s="11" t="s">
        <v>593</v>
      </c>
      <c r="G9" s="30" t="s">
        <v>22</v>
      </c>
      <c r="H9" s="30" t="s">
        <v>23</v>
      </c>
      <c r="I9" s="30" t="s">
        <v>24</v>
      </c>
      <c r="J9" s="32"/>
      <c r="K9" s="30" t="s">
        <v>17</v>
      </c>
      <c r="L9" s="31" t="s">
        <v>25</v>
      </c>
      <c r="M9" s="31" t="s">
        <v>25</v>
      </c>
      <c r="N9" s="32"/>
      <c r="O9" s="30" t="s">
        <v>26</v>
      </c>
      <c r="P9" s="30" t="s">
        <v>27</v>
      </c>
      <c r="Q9" s="30" t="s">
        <v>19</v>
      </c>
      <c r="R9" s="32"/>
      <c r="S9" s="13" t="str">
        <f>"262,5"</f>
        <v>262,5</v>
      </c>
      <c r="T9" s="13" t="str">
        <f>"252,9975"</f>
        <v>252,9975</v>
      </c>
      <c r="U9" s="11"/>
    </row>
    <row r="11" spans="1:21" ht="16">
      <c r="A11" s="62" t="s">
        <v>28</v>
      </c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21">
      <c r="A12" s="32" t="s">
        <v>117</v>
      </c>
      <c r="B12" s="11" t="s">
        <v>120</v>
      </c>
      <c r="C12" s="11" t="s">
        <v>29</v>
      </c>
      <c r="D12" s="11" t="s">
        <v>30</v>
      </c>
      <c r="E12" s="12" t="s">
        <v>619</v>
      </c>
      <c r="F12" s="11" t="s">
        <v>589</v>
      </c>
      <c r="G12" s="30" t="s">
        <v>31</v>
      </c>
      <c r="H12" s="31" t="s">
        <v>32</v>
      </c>
      <c r="I12" s="30" t="s">
        <v>33</v>
      </c>
      <c r="J12" s="32"/>
      <c r="K12" s="30" t="s">
        <v>34</v>
      </c>
      <c r="L12" s="31" t="s">
        <v>35</v>
      </c>
      <c r="M12" s="30" t="s">
        <v>35</v>
      </c>
      <c r="N12" s="32"/>
      <c r="O12" s="30" t="s">
        <v>32</v>
      </c>
      <c r="P12" s="30" t="s">
        <v>33</v>
      </c>
      <c r="Q12" s="31" t="s">
        <v>36</v>
      </c>
      <c r="R12" s="32"/>
      <c r="S12" s="13" t="str">
        <f>"375,0"</f>
        <v>375,0</v>
      </c>
      <c r="T12" s="13" t="str">
        <f>"306,4875"</f>
        <v>306,4875</v>
      </c>
      <c r="U12" s="11"/>
    </row>
    <row r="14" spans="1:21" ht="16">
      <c r="A14" s="62" t="s">
        <v>20</v>
      </c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spans="1:21">
      <c r="A15" s="32" t="s">
        <v>117</v>
      </c>
      <c r="B15" s="11" t="s">
        <v>121</v>
      </c>
      <c r="C15" s="11" t="s">
        <v>37</v>
      </c>
      <c r="D15" s="11" t="s">
        <v>38</v>
      </c>
      <c r="E15" s="12" t="s">
        <v>619</v>
      </c>
      <c r="F15" s="11" t="s">
        <v>589</v>
      </c>
      <c r="G15" s="30" t="s">
        <v>39</v>
      </c>
      <c r="H15" s="30" t="s">
        <v>31</v>
      </c>
      <c r="I15" s="30" t="s">
        <v>40</v>
      </c>
      <c r="J15" s="32"/>
      <c r="K15" s="30" t="s">
        <v>13</v>
      </c>
      <c r="L15" s="30" t="s">
        <v>15</v>
      </c>
      <c r="M15" s="30" t="s">
        <v>41</v>
      </c>
      <c r="N15" s="32"/>
      <c r="O15" s="30" t="s">
        <v>42</v>
      </c>
      <c r="P15" s="30" t="s">
        <v>43</v>
      </c>
      <c r="Q15" s="30" t="s">
        <v>44</v>
      </c>
      <c r="R15" s="32"/>
      <c r="S15" s="13" t="str">
        <f>"442,5"</f>
        <v>442,5</v>
      </c>
      <c r="T15" s="13" t="str">
        <f>"331,6095"</f>
        <v>331,6095</v>
      </c>
      <c r="U15" s="11"/>
    </row>
    <row r="17" spans="1:21" ht="16">
      <c r="A17" s="62" t="s">
        <v>45</v>
      </c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spans="1:21">
      <c r="A18" s="32" t="s">
        <v>117</v>
      </c>
      <c r="B18" s="11" t="s">
        <v>122</v>
      </c>
      <c r="C18" s="11" t="s">
        <v>46</v>
      </c>
      <c r="D18" s="11" t="s">
        <v>47</v>
      </c>
      <c r="E18" s="12" t="s">
        <v>619</v>
      </c>
      <c r="F18" s="11" t="s">
        <v>589</v>
      </c>
      <c r="G18" s="30" t="s">
        <v>48</v>
      </c>
      <c r="H18" s="30" t="s">
        <v>49</v>
      </c>
      <c r="I18" s="30" t="s">
        <v>50</v>
      </c>
      <c r="J18" s="32"/>
      <c r="K18" s="30" t="s">
        <v>36</v>
      </c>
      <c r="L18" s="30" t="s">
        <v>51</v>
      </c>
      <c r="M18" s="30" t="s">
        <v>52</v>
      </c>
      <c r="N18" s="32"/>
      <c r="O18" s="30" t="s">
        <v>43</v>
      </c>
      <c r="P18" s="31" t="s">
        <v>53</v>
      </c>
      <c r="Q18" s="30" t="s">
        <v>54</v>
      </c>
      <c r="R18" s="32"/>
      <c r="S18" s="13" t="str">
        <f>"605,0"</f>
        <v>605,0</v>
      </c>
      <c r="T18" s="13" t="str">
        <f>"409,5245"</f>
        <v>409,5245</v>
      </c>
      <c r="U18" s="11"/>
    </row>
    <row r="20" spans="1:21" ht="16">
      <c r="A20" s="62" t="s">
        <v>55</v>
      </c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21">
      <c r="A21" s="34" t="s">
        <v>117</v>
      </c>
      <c r="B21" s="14" t="s">
        <v>123</v>
      </c>
      <c r="C21" s="14" t="s">
        <v>57</v>
      </c>
      <c r="D21" s="14" t="s">
        <v>58</v>
      </c>
      <c r="E21" s="15" t="s">
        <v>619</v>
      </c>
      <c r="F21" s="14" t="s">
        <v>589</v>
      </c>
      <c r="G21" s="33" t="s">
        <v>59</v>
      </c>
      <c r="H21" s="33" t="s">
        <v>60</v>
      </c>
      <c r="I21" s="33" t="s">
        <v>61</v>
      </c>
      <c r="J21" s="34"/>
      <c r="K21" s="33" t="s">
        <v>62</v>
      </c>
      <c r="L21" s="33" t="s">
        <v>63</v>
      </c>
      <c r="M21" s="35" t="s">
        <v>52</v>
      </c>
      <c r="N21" s="34"/>
      <c r="O21" s="33" t="s">
        <v>64</v>
      </c>
      <c r="P21" s="33" t="s">
        <v>65</v>
      </c>
      <c r="Q21" s="33" t="s">
        <v>66</v>
      </c>
      <c r="R21" s="34"/>
      <c r="S21" s="16" t="str">
        <f>"737,5"</f>
        <v>737,5</v>
      </c>
      <c r="T21" s="16" t="str">
        <f>"472,4425"</f>
        <v>472,4425</v>
      </c>
      <c r="U21" s="14"/>
    </row>
    <row r="22" spans="1:21">
      <c r="A22" s="38" t="s">
        <v>124</v>
      </c>
      <c r="B22" s="17" t="s">
        <v>125</v>
      </c>
      <c r="C22" s="17" t="s">
        <v>68</v>
      </c>
      <c r="D22" s="17" t="s">
        <v>69</v>
      </c>
      <c r="E22" s="18" t="s">
        <v>619</v>
      </c>
      <c r="F22" s="17" t="s">
        <v>588</v>
      </c>
      <c r="G22" s="36" t="s">
        <v>60</v>
      </c>
      <c r="H22" s="37" t="s">
        <v>70</v>
      </c>
      <c r="I22" s="36" t="s">
        <v>70</v>
      </c>
      <c r="J22" s="38"/>
      <c r="K22" s="36" t="s">
        <v>62</v>
      </c>
      <c r="L22" s="36" t="s">
        <v>71</v>
      </c>
      <c r="M22" s="37" t="s">
        <v>72</v>
      </c>
      <c r="N22" s="38"/>
      <c r="O22" s="36" t="s">
        <v>73</v>
      </c>
      <c r="P22" s="37" t="s">
        <v>65</v>
      </c>
      <c r="Q22" s="38"/>
      <c r="R22" s="38"/>
      <c r="S22" s="19" t="str">
        <f>"730,0"</f>
        <v>730,0</v>
      </c>
      <c r="T22" s="19" t="str">
        <f>"470,1200"</f>
        <v>470,1200</v>
      </c>
      <c r="U22" s="17"/>
    </row>
    <row r="23" spans="1:21">
      <c r="A23" s="38" t="s">
        <v>126</v>
      </c>
      <c r="B23" s="17" t="s">
        <v>127</v>
      </c>
      <c r="C23" s="17" t="s">
        <v>74</v>
      </c>
      <c r="D23" s="17" t="s">
        <v>75</v>
      </c>
      <c r="E23" s="18" t="s">
        <v>619</v>
      </c>
      <c r="F23" s="17" t="s">
        <v>589</v>
      </c>
      <c r="G23" s="36" t="s">
        <v>76</v>
      </c>
      <c r="H23" s="36" t="s">
        <v>77</v>
      </c>
      <c r="I23" s="36" t="s">
        <v>59</v>
      </c>
      <c r="J23" s="38"/>
      <c r="K23" s="36" t="s">
        <v>62</v>
      </c>
      <c r="L23" s="36" t="s">
        <v>52</v>
      </c>
      <c r="M23" s="38"/>
      <c r="N23" s="38"/>
      <c r="O23" s="36" t="s">
        <v>61</v>
      </c>
      <c r="P23" s="36" t="s">
        <v>78</v>
      </c>
      <c r="Q23" s="36" t="s">
        <v>79</v>
      </c>
      <c r="R23" s="38"/>
      <c r="S23" s="19" t="str">
        <f>"690,0"</f>
        <v>690,0</v>
      </c>
      <c r="T23" s="19" t="str">
        <f>"447,0510"</f>
        <v>447,0510</v>
      </c>
      <c r="U23" s="17"/>
    </row>
    <row r="24" spans="1:21">
      <c r="A24" s="38" t="s">
        <v>128</v>
      </c>
      <c r="B24" s="17" t="s">
        <v>129</v>
      </c>
      <c r="C24" s="17" t="s">
        <v>80</v>
      </c>
      <c r="D24" s="17" t="s">
        <v>81</v>
      </c>
      <c r="E24" s="18" t="s">
        <v>619</v>
      </c>
      <c r="F24" s="17" t="s">
        <v>596</v>
      </c>
      <c r="G24" s="36" t="s">
        <v>48</v>
      </c>
      <c r="H24" s="36" t="s">
        <v>54</v>
      </c>
      <c r="I24" s="37" t="s">
        <v>82</v>
      </c>
      <c r="J24" s="38"/>
      <c r="K24" s="36" t="s">
        <v>83</v>
      </c>
      <c r="L24" s="36" t="s">
        <v>71</v>
      </c>
      <c r="M24" s="37" t="s">
        <v>84</v>
      </c>
      <c r="N24" s="38"/>
      <c r="O24" s="36" t="s">
        <v>85</v>
      </c>
      <c r="P24" s="37" t="s">
        <v>79</v>
      </c>
      <c r="Q24" s="38"/>
      <c r="R24" s="38"/>
      <c r="S24" s="19" t="str">
        <f>"655,0"</f>
        <v>655,0</v>
      </c>
      <c r="T24" s="19" t="str">
        <f>"424,8985"</f>
        <v>424,8985</v>
      </c>
      <c r="U24" s="17"/>
    </row>
    <row r="25" spans="1:21">
      <c r="A25" s="38" t="s">
        <v>117</v>
      </c>
      <c r="B25" s="17" t="s">
        <v>127</v>
      </c>
      <c r="C25" s="17" t="s">
        <v>540</v>
      </c>
      <c r="D25" s="17" t="s">
        <v>75</v>
      </c>
      <c r="E25" s="18" t="s">
        <v>622</v>
      </c>
      <c r="F25" s="17" t="s">
        <v>589</v>
      </c>
      <c r="G25" s="36" t="s">
        <v>76</v>
      </c>
      <c r="H25" s="36" t="s">
        <v>77</v>
      </c>
      <c r="I25" s="36" t="s">
        <v>59</v>
      </c>
      <c r="J25" s="38"/>
      <c r="K25" s="36" t="s">
        <v>62</v>
      </c>
      <c r="L25" s="36" t="s">
        <v>52</v>
      </c>
      <c r="M25" s="38"/>
      <c r="N25" s="38"/>
      <c r="O25" s="36" t="s">
        <v>61</v>
      </c>
      <c r="P25" s="36" t="s">
        <v>78</v>
      </c>
      <c r="Q25" s="36" t="s">
        <v>79</v>
      </c>
      <c r="R25" s="38"/>
      <c r="S25" s="19" t="str">
        <f>"690,0"</f>
        <v>690,0</v>
      </c>
      <c r="T25" s="19" t="str">
        <f>"453,3097"</f>
        <v>453,3097</v>
      </c>
      <c r="U25" s="17"/>
    </row>
    <row r="26" spans="1:21">
      <c r="A26" s="41" t="s">
        <v>117</v>
      </c>
      <c r="B26" s="20" t="s">
        <v>130</v>
      </c>
      <c r="C26" s="20" t="s">
        <v>541</v>
      </c>
      <c r="D26" s="20" t="s">
        <v>86</v>
      </c>
      <c r="E26" s="21" t="s">
        <v>624</v>
      </c>
      <c r="F26" s="20" t="s">
        <v>589</v>
      </c>
      <c r="G26" s="39" t="s">
        <v>40</v>
      </c>
      <c r="H26" s="39" t="s">
        <v>32</v>
      </c>
      <c r="I26" s="40" t="s">
        <v>33</v>
      </c>
      <c r="J26" s="41"/>
      <c r="K26" s="39" t="s">
        <v>13</v>
      </c>
      <c r="L26" s="39" t="s">
        <v>15</v>
      </c>
      <c r="M26" s="39" t="s">
        <v>41</v>
      </c>
      <c r="N26" s="41"/>
      <c r="O26" s="39" t="s">
        <v>43</v>
      </c>
      <c r="P26" s="39" t="s">
        <v>48</v>
      </c>
      <c r="Q26" s="39" t="s">
        <v>54</v>
      </c>
      <c r="R26" s="41"/>
      <c r="S26" s="22" t="str">
        <f>"462,5"</f>
        <v>462,5</v>
      </c>
      <c r="T26" s="22" t="str">
        <f>"317,2408"</f>
        <v>317,2408</v>
      </c>
      <c r="U26" s="20"/>
    </row>
    <row r="28" spans="1:21" ht="16">
      <c r="A28" s="62" t="s">
        <v>87</v>
      </c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</row>
    <row r="29" spans="1:21">
      <c r="A29" s="32" t="s">
        <v>117</v>
      </c>
      <c r="B29" s="11" t="s">
        <v>131</v>
      </c>
      <c r="C29" s="11" t="s">
        <v>89</v>
      </c>
      <c r="D29" s="11" t="s">
        <v>90</v>
      </c>
      <c r="E29" s="12" t="s">
        <v>619</v>
      </c>
      <c r="F29" s="11" t="s">
        <v>589</v>
      </c>
      <c r="G29" s="30" t="s">
        <v>61</v>
      </c>
      <c r="H29" s="30" t="s">
        <v>78</v>
      </c>
      <c r="I29" s="30" t="s">
        <v>91</v>
      </c>
      <c r="J29" s="32"/>
      <c r="K29" s="30" t="s">
        <v>52</v>
      </c>
      <c r="L29" s="30" t="s">
        <v>42</v>
      </c>
      <c r="M29" s="31" t="s">
        <v>92</v>
      </c>
      <c r="N29" s="32"/>
      <c r="O29" s="30" t="s">
        <v>93</v>
      </c>
      <c r="P29" s="30" t="s">
        <v>73</v>
      </c>
      <c r="Q29" s="30" t="s">
        <v>65</v>
      </c>
      <c r="R29" s="32"/>
      <c r="S29" s="13" t="str">
        <f>"757,5"</f>
        <v>757,5</v>
      </c>
      <c r="T29" s="13" t="str">
        <f>"461,1660"</f>
        <v>461,1660</v>
      </c>
      <c r="U29" s="11"/>
    </row>
    <row r="31" spans="1:21" ht="16">
      <c r="A31" s="62" t="s">
        <v>94</v>
      </c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</row>
    <row r="32" spans="1:21">
      <c r="A32" s="32" t="s">
        <v>117</v>
      </c>
      <c r="B32" s="11" t="s">
        <v>132</v>
      </c>
      <c r="C32" s="11" t="s">
        <v>95</v>
      </c>
      <c r="D32" s="11" t="s">
        <v>96</v>
      </c>
      <c r="E32" s="12" t="s">
        <v>619</v>
      </c>
      <c r="F32" s="11" t="s">
        <v>589</v>
      </c>
      <c r="G32" s="30" t="s">
        <v>60</v>
      </c>
      <c r="H32" s="30" t="s">
        <v>61</v>
      </c>
      <c r="I32" s="30" t="s">
        <v>85</v>
      </c>
      <c r="J32" s="32"/>
      <c r="K32" s="30" t="s">
        <v>43</v>
      </c>
      <c r="L32" s="30" t="s">
        <v>48</v>
      </c>
      <c r="M32" s="31" t="s">
        <v>53</v>
      </c>
      <c r="N32" s="32"/>
      <c r="O32" s="30" t="s">
        <v>59</v>
      </c>
      <c r="P32" s="30" t="s">
        <v>60</v>
      </c>
      <c r="Q32" s="30" t="s">
        <v>97</v>
      </c>
      <c r="R32" s="32"/>
      <c r="S32" s="13" t="str">
        <f>"725,0"</f>
        <v>725,0</v>
      </c>
      <c r="T32" s="13" t="str">
        <f>"435,0000"</f>
        <v>435,0000</v>
      </c>
      <c r="U32" s="11"/>
    </row>
    <row r="34" spans="1:21" ht="16">
      <c r="A34" s="62" t="s">
        <v>98</v>
      </c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</row>
    <row r="35" spans="1:21">
      <c r="A35" s="32" t="s">
        <v>117</v>
      </c>
      <c r="B35" s="11" t="s">
        <v>133</v>
      </c>
      <c r="C35" s="11" t="s">
        <v>100</v>
      </c>
      <c r="D35" s="11" t="s">
        <v>101</v>
      </c>
      <c r="E35" s="12" t="s">
        <v>619</v>
      </c>
      <c r="F35" s="11" t="s">
        <v>589</v>
      </c>
      <c r="G35" s="30" t="s">
        <v>102</v>
      </c>
      <c r="H35" s="30" t="s">
        <v>103</v>
      </c>
      <c r="I35" s="30" t="s">
        <v>104</v>
      </c>
      <c r="J35" s="32"/>
      <c r="K35" s="30" t="s">
        <v>54</v>
      </c>
      <c r="L35" s="31" t="s">
        <v>105</v>
      </c>
      <c r="M35" s="30" t="s">
        <v>105</v>
      </c>
      <c r="N35" s="32"/>
      <c r="O35" s="30" t="s">
        <v>73</v>
      </c>
      <c r="P35" s="31" t="s">
        <v>102</v>
      </c>
      <c r="Q35" s="32"/>
      <c r="R35" s="32"/>
      <c r="S35" s="13" t="str">
        <f>"832,5"</f>
        <v>832,5</v>
      </c>
      <c r="T35" s="13" t="str">
        <f>"469,9462"</f>
        <v>469,9462</v>
      </c>
      <c r="U35" s="11"/>
    </row>
    <row r="37" spans="1:21" ht="16">
      <c r="F37" s="8"/>
      <c r="G37" s="5"/>
    </row>
    <row r="38" spans="1:21">
      <c r="G38" s="5"/>
    </row>
    <row r="39" spans="1:21" ht="18">
      <c r="B39" s="9" t="s">
        <v>7</v>
      </c>
      <c r="C39" s="9"/>
      <c r="G39" s="3"/>
    </row>
    <row r="40" spans="1:21" ht="16">
      <c r="B40" s="23" t="s">
        <v>114</v>
      </c>
      <c r="C40" s="23"/>
      <c r="G40" s="3"/>
    </row>
    <row r="41" spans="1:21" ht="14">
      <c r="B41" s="24"/>
      <c r="C41" s="25" t="s">
        <v>113</v>
      </c>
      <c r="G41" s="3"/>
    </row>
    <row r="42" spans="1:21" ht="14">
      <c r="B42" s="26" t="s">
        <v>107</v>
      </c>
      <c r="C42" s="26" t="s">
        <v>108</v>
      </c>
      <c r="D42" s="26" t="s">
        <v>531</v>
      </c>
      <c r="E42" s="27" t="s">
        <v>109</v>
      </c>
      <c r="F42" s="26" t="s">
        <v>110</v>
      </c>
      <c r="G42" s="3"/>
    </row>
    <row r="43" spans="1:21">
      <c r="B43" s="5" t="s">
        <v>56</v>
      </c>
      <c r="C43" s="5" t="s">
        <v>113</v>
      </c>
      <c r="D43" s="10" t="s">
        <v>115</v>
      </c>
      <c r="E43" s="29">
        <v>737.5</v>
      </c>
      <c r="F43" s="28">
        <v>472.442518919706</v>
      </c>
      <c r="G43" s="3"/>
    </row>
    <row r="44" spans="1:21">
      <c r="B44" s="5" t="s">
        <v>67</v>
      </c>
      <c r="C44" s="5" t="s">
        <v>113</v>
      </c>
      <c r="D44" s="10" t="s">
        <v>115</v>
      </c>
      <c r="E44" s="29">
        <v>730</v>
      </c>
      <c r="F44" s="28">
        <v>470.11999547481503</v>
      </c>
      <c r="G44" s="3"/>
    </row>
    <row r="45" spans="1:21">
      <c r="B45" s="5" t="s">
        <v>99</v>
      </c>
      <c r="C45" s="5" t="s">
        <v>113</v>
      </c>
      <c r="D45" s="10" t="s">
        <v>116</v>
      </c>
      <c r="E45" s="29">
        <v>832.5</v>
      </c>
      <c r="F45" s="28">
        <v>469.94622856378601</v>
      </c>
      <c r="G45" s="3"/>
    </row>
    <row r="46" spans="1:21">
      <c r="E46" s="5"/>
      <c r="F46" s="6"/>
      <c r="G46" s="5"/>
    </row>
  </sheetData>
  <mergeCells count="22">
    <mergeCell ref="A31:R31"/>
    <mergeCell ref="A34:R34"/>
    <mergeCell ref="B3:B4"/>
    <mergeCell ref="A8:R8"/>
    <mergeCell ref="A11:R11"/>
    <mergeCell ref="A14:R14"/>
    <mergeCell ref="A17:R17"/>
    <mergeCell ref="A20:R20"/>
    <mergeCell ref="A28:R28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2.5" style="5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15.6640625" style="5" bestFit="1" customWidth="1"/>
    <col min="22" max="16384" width="9.1640625" style="3"/>
  </cols>
  <sheetData>
    <row r="1" spans="1:21" s="2" customFormat="1" ht="29" customHeight="1">
      <c r="A1" s="47" t="s">
        <v>597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8</v>
      </c>
      <c r="H3" s="61"/>
      <c r="I3" s="61"/>
      <c r="J3" s="61"/>
      <c r="K3" s="61" t="s">
        <v>9</v>
      </c>
      <c r="L3" s="61"/>
      <c r="M3" s="61"/>
      <c r="N3" s="61"/>
      <c r="O3" s="61" t="s">
        <v>10</v>
      </c>
      <c r="P3" s="61"/>
      <c r="Q3" s="61"/>
      <c r="R3" s="61"/>
      <c r="S3" s="59" t="s">
        <v>1</v>
      </c>
      <c r="T3" s="59" t="s">
        <v>3</v>
      </c>
      <c r="U3" s="66" t="s">
        <v>2</v>
      </c>
    </row>
    <row r="4" spans="1:21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0"/>
      <c r="T4" s="60"/>
      <c r="U4" s="67"/>
    </row>
    <row r="5" spans="1:21" ht="16">
      <c r="A5" s="68" t="s">
        <v>55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21">
      <c r="A6" s="32" t="s">
        <v>117</v>
      </c>
      <c r="B6" s="11" t="s">
        <v>284</v>
      </c>
      <c r="C6" s="11" t="s">
        <v>280</v>
      </c>
      <c r="D6" s="11" t="s">
        <v>281</v>
      </c>
      <c r="E6" s="12" t="s">
        <v>619</v>
      </c>
      <c r="F6" s="11" t="s">
        <v>589</v>
      </c>
      <c r="G6" s="30" t="s">
        <v>155</v>
      </c>
      <c r="H6" s="30" t="s">
        <v>40</v>
      </c>
      <c r="I6" s="31" t="s">
        <v>174</v>
      </c>
      <c r="J6" s="32"/>
      <c r="K6" s="30" t="s">
        <v>40</v>
      </c>
      <c r="L6" s="30" t="s">
        <v>174</v>
      </c>
      <c r="M6" s="30" t="s">
        <v>192</v>
      </c>
      <c r="N6" s="32"/>
      <c r="O6" s="30" t="s">
        <v>33</v>
      </c>
      <c r="P6" s="30" t="s">
        <v>71</v>
      </c>
      <c r="Q6" s="30" t="s">
        <v>43</v>
      </c>
      <c r="R6" s="32"/>
      <c r="S6" s="13" t="str">
        <f>"477,5"</f>
        <v>477,5</v>
      </c>
      <c r="T6" s="13" t="str">
        <f>"308,7993"</f>
        <v>308,7993</v>
      </c>
      <c r="U6" s="11"/>
    </row>
    <row r="8" spans="1:21" ht="16">
      <c r="A8" s="62" t="s">
        <v>87</v>
      </c>
      <c r="B8" s="62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21">
      <c r="A9" s="32" t="s">
        <v>117</v>
      </c>
      <c r="B9" s="11" t="s">
        <v>285</v>
      </c>
      <c r="C9" s="11" t="s">
        <v>542</v>
      </c>
      <c r="D9" s="11" t="s">
        <v>282</v>
      </c>
      <c r="E9" s="12" t="s">
        <v>620</v>
      </c>
      <c r="F9" s="11" t="s">
        <v>589</v>
      </c>
      <c r="G9" s="30" t="s">
        <v>31</v>
      </c>
      <c r="H9" s="30" t="s">
        <v>33</v>
      </c>
      <c r="I9" s="31" t="s">
        <v>83</v>
      </c>
      <c r="J9" s="32"/>
      <c r="K9" s="30" t="s">
        <v>19</v>
      </c>
      <c r="L9" s="30" t="s">
        <v>162</v>
      </c>
      <c r="M9" s="30" t="s">
        <v>155</v>
      </c>
      <c r="N9" s="32"/>
      <c r="O9" s="31" t="s">
        <v>39</v>
      </c>
      <c r="P9" s="30" t="s">
        <v>283</v>
      </c>
      <c r="Q9" s="30" t="s">
        <v>174</v>
      </c>
      <c r="R9" s="32"/>
      <c r="S9" s="13" t="str">
        <f>"415,0"</f>
        <v>415,0</v>
      </c>
      <c r="T9" s="13" t="str">
        <f>"257,8810"</f>
        <v>257,8810</v>
      </c>
      <c r="U9" s="11"/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2" style="5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15.6640625" style="5" bestFit="1" customWidth="1"/>
    <col min="22" max="16384" width="9.1640625" style="3"/>
  </cols>
  <sheetData>
    <row r="1" spans="1:21" s="2" customFormat="1" ht="29" customHeight="1">
      <c r="A1" s="47" t="s">
        <v>598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8</v>
      </c>
      <c r="H3" s="61"/>
      <c r="I3" s="61"/>
      <c r="J3" s="61"/>
      <c r="K3" s="61" t="s">
        <v>9</v>
      </c>
      <c r="L3" s="61"/>
      <c r="M3" s="61"/>
      <c r="N3" s="61"/>
      <c r="O3" s="61" t="s">
        <v>10</v>
      </c>
      <c r="P3" s="61"/>
      <c r="Q3" s="61"/>
      <c r="R3" s="61"/>
      <c r="S3" s="59" t="s">
        <v>1</v>
      </c>
      <c r="T3" s="59" t="s">
        <v>3</v>
      </c>
      <c r="U3" s="66" t="s">
        <v>2</v>
      </c>
    </row>
    <row r="4" spans="1:21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0"/>
      <c r="T4" s="60"/>
      <c r="U4" s="67"/>
    </row>
    <row r="5" spans="1:21" ht="16">
      <c r="A5" s="68" t="s">
        <v>20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21">
      <c r="A6" s="32" t="s">
        <v>117</v>
      </c>
      <c r="B6" s="11" t="s">
        <v>279</v>
      </c>
      <c r="C6" s="11" t="s">
        <v>277</v>
      </c>
      <c r="D6" s="11" t="s">
        <v>278</v>
      </c>
      <c r="E6" s="12" t="s">
        <v>619</v>
      </c>
      <c r="F6" s="11" t="s">
        <v>589</v>
      </c>
      <c r="G6" s="30" t="s">
        <v>52</v>
      </c>
      <c r="H6" s="30" t="s">
        <v>92</v>
      </c>
      <c r="I6" s="30" t="s">
        <v>44</v>
      </c>
      <c r="J6" s="32"/>
      <c r="K6" s="30" t="s">
        <v>40</v>
      </c>
      <c r="L6" s="31" t="s">
        <v>174</v>
      </c>
      <c r="M6" s="31" t="s">
        <v>33</v>
      </c>
      <c r="N6" s="32"/>
      <c r="O6" s="30" t="s">
        <v>33</v>
      </c>
      <c r="P6" s="30" t="s">
        <v>83</v>
      </c>
      <c r="Q6" s="30" t="s">
        <v>71</v>
      </c>
      <c r="R6" s="32"/>
      <c r="S6" s="13" t="str">
        <f>"505,0"</f>
        <v>505,0</v>
      </c>
      <c r="T6" s="13" t="str">
        <f>"361,8830"</f>
        <v>361,8830</v>
      </c>
      <c r="U6" s="11"/>
    </row>
    <row r="8" spans="1:21">
      <c r="E8" s="5"/>
      <c r="F8" s="6"/>
      <c r="G8" s="5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6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32.5" style="5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5" width="7.83203125" style="7" bestFit="1" customWidth="1"/>
    <col min="16" max="16" width="8.5" style="7" bestFit="1" customWidth="1"/>
    <col min="17" max="17" width="19.1640625" style="5" customWidth="1"/>
    <col min="18" max="16384" width="9.1640625" style="3"/>
  </cols>
  <sheetData>
    <row r="1" spans="1:17" s="2" customFormat="1" ht="29" customHeight="1">
      <c r="A1" s="47" t="s">
        <v>599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9</v>
      </c>
      <c r="H3" s="61"/>
      <c r="I3" s="61"/>
      <c r="J3" s="61"/>
      <c r="K3" s="61" t="s">
        <v>10</v>
      </c>
      <c r="L3" s="61"/>
      <c r="M3" s="61"/>
      <c r="N3" s="61"/>
      <c r="O3" s="59" t="s">
        <v>1</v>
      </c>
      <c r="P3" s="59" t="s">
        <v>3</v>
      </c>
      <c r="Q3" s="66" t="s">
        <v>2</v>
      </c>
    </row>
    <row r="4" spans="1:17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0"/>
      <c r="P4" s="60"/>
      <c r="Q4" s="67"/>
    </row>
    <row r="5" spans="1:17" ht="16">
      <c r="A5" s="68" t="s">
        <v>11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7">
      <c r="A6" s="32" t="s">
        <v>117</v>
      </c>
      <c r="B6" s="11" t="s">
        <v>414</v>
      </c>
      <c r="C6" s="11" t="s">
        <v>353</v>
      </c>
      <c r="D6" s="11" t="s">
        <v>354</v>
      </c>
      <c r="E6" s="12" t="s">
        <v>619</v>
      </c>
      <c r="F6" s="11" t="s">
        <v>589</v>
      </c>
      <c r="G6" s="30" t="s">
        <v>16</v>
      </c>
      <c r="H6" s="30" t="s">
        <v>17</v>
      </c>
      <c r="I6" s="31" t="s">
        <v>18</v>
      </c>
      <c r="J6" s="32"/>
      <c r="K6" s="30" t="s">
        <v>199</v>
      </c>
      <c r="L6" s="30" t="s">
        <v>39</v>
      </c>
      <c r="M6" s="30" t="s">
        <v>31</v>
      </c>
      <c r="N6" s="32"/>
      <c r="O6" s="13" t="str">
        <f>"185,0"</f>
        <v>185,0</v>
      </c>
      <c r="P6" s="13" t="str">
        <f>"193,4175"</f>
        <v>193,4175</v>
      </c>
      <c r="Q6" s="11"/>
    </row>
    <row r="8" spans="1:17" ht="16">
      <c r="A8" s="62" t="s">
        <v>45</v>
      </c>
      <c r="B8" s="62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7">
      <c r="A9" s="32" t="s">
        <v>117</v>
      </c>
      <c r="B9" s="11" t="s">
        <v>472</v>
      </c>
      <c r="C9" s="11" t="s">
        <v>467</v>
      </c>
      <c r="D9" s="11" t="s">
        <v>468</v>
      </c>
      <c r="E9" s="12" t="s">
        <v>619</v>
      </c>
      <c r="F9" s="11" t="s">
        <v>589</v>
      </c>
      <c r="G9" s="30" t="s">
        <v>15</v>
      </c>
      <c r="H9" s="30" t="s">
        <v>162</v>
      </c>
      <c r="I9" s="30" t="s">
        <v>155</v>
      </c>
      <c r="J9" s="32"/>
      <c r="K9" s="30" t="s">
        <v>42</v>
      </c>
      <c r="L9" s="30" t="s">
        <v>43</v>
      </c>
      <c r="M9" s="31" t="s">
        <v>44</v>
      </c>
      <c r="N9" s="32"/>
      <c r="O9" s="13" t="str">
        <f>"310,0"</f>
        <v>310,0</v>
      </c>
      <c r="P9" s="13" t="str">
        <f>"207,8240"</f>
        <v>207,8240</v>
      </c>
      <c r="Q9" s="11"/>
    </row>
    <row r="11" spans="1:17" ht="16">
      <c r="A11" s="62" t="s">
        <v>55</v>
      </c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7">
      <c r="A12" s="34" t="s">
        <v>117</v>
      </c>
      <c r="B12" s="14" t="s">
        <v>123</v>
      </c>
      <c r="C12" s="14" t="s">
        <v>57</v>
      </c>
      <c r="D12" s="14" t="s">
        <v>58</v>
      </c>
      <c r="E12" s="15" t="s">
        <v>619</v>
      </c>
      <c r="F12" s="14" t="s">
        <v>589</v>
      </c>
      <c r="G12" s="33" t="s">
        <v>62</v>
      </c>
      <c r="H12" s="33" t="s">
        <v>63</v>
      </c>
      <c r="I12" s="35" t="s">
        <v>52</v>
      </c>
      <c r="J12" s="34"/>
      <c r="K12" s="33" t="s">
        <v>64</v>
      </c>
      <c r="L12" s="33" t="s">
        <v>65</v>
      </c>
      <c r="M12" s="33" t="s">
        <v>66</v>
      </c>
      <c r="N12" s="34"/>
      <c r="O12" s="16" t="str">
        <f>"477,5"</f>
        <v>477,5</v>
      </c>
      <c r="P12" s="16" t="str">
        <f>"305,8865"</f>
        <v>305,8865</v>
      </c>
      <c r="Q12" s="14"/>
    </row>
    <row r="13" spans="1:17">
      <c r="A13" s="41" t="s">
        <v>124</v>
      </c>
      <c r="B13" s="20" t="s">
        <v>478</v>
      </c>
      <c r="C13" s="20" t="s">
        <v>476</v>
      </c>
      <c r="D13" s="20" t="s">
        <v>477</v>
      </c>
      <c r="E13" s="21" t="s">
        <v>619</v>
      </c>
      <c r="F13" s="20" t="s">
        <v>589</v>
      </c>
      <c r="G13" s="39" t="s">
        <v>31</v>
      </c>
      <c r="H13" s="39" t="s">
        <v>40</v>
      </c>
      <c r="I13" s="40" t="s">
        <v>32</v>
      </c>
      <c r="J13" s="41"/>
      <c r="K13" s="39" t="s">
        <v>48</v>
      </c>
      <c r="L13" s="39" t="s">
        <v>54</v>
      </c>
      <c r="M13" s="39" t="s">
        <v>76</v>
      </c>
      <c r="N13" s="41"/>
      <c r="O13" s="22" t="str">
        <f>"350,0"</f>
        <v>350,0</v>
      </c>
      <c r="P13" s="22" t="str">
        <f>"229,3550"</f>
        <v>229,3550</v>
      </c>
      <c r="Q13" s="20"/>
    </row>
    <row r="15" spans="1:17" ht="16">
      <c r="A15" s="62" t="s">
        <v>94</v>
      </c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7">
      <c r="A16" s="32" t="s">
        <v>117</v>
      </c>
      <c r="B16" s="11" t="s">
        <v>273</v>
      </c>
      <c r="C16" s="11" t="s">
        <v>226</v>
      </c>
      <c r="D16" s="11" t="s">
        <v>227</v>
      </c>
      <c r="E16" s="12" t="s">
        <v>621</v>
      </c>
      <c r="F16" s="11" t="s">
        <v>589</v>
      </c>
      <c r="G16" s="30" t="s">
        <v>155</v>
      </c>
      <c r="H16" s="31" t="s">
        <v>205</v>
      </c>
      <c r="I16" s="31" t="s">
        <v>205</v>
      </c>
      <c r="J16" s="32"/>
      <c r="K16" s="30" t="s">
        <v>76</v>
      </c>
      <c r="L16" s="30" t="s">
        <v>228</v>
      </c>
      <c r="M16" s="30" t="s">
        <v>59</v>
      </c>
      <c r="N16" s="32"/>
      <c r="O16" s="13" t="str">
        <f>"360,0"</f>
        <v>360,0</v>
      </c>
      <c r="P16" s="13" t="str">
        <f>"213,0840"</f>
        <v>213,0840</v>
      </c>
      <c r="Q16" s="11"/>
    </row>
  </sheetData>
  <mergeCells count="16">
    <mergeCell ref="A8:N8"/>
    <mergeCell ref="A11:N11"/>
    <mergeCell ref="A15:N15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664062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1.1640625" style="5" customWidth="1"/>
    <col min="7" max="7" width="4.5" style="10" customWidth="1"/>
    <col min="8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5" width="7.83203125" style="7" bestFit="1" customWidth="1"/>
    <col min="16" max="16" width="8.5" style="7" bestFit="1" customWidth="1"/>
    <col min="17" max="17" width="15.6640625" style="5" bestFit="1" customWidth="1"/>
    <col min="18" max="16384" width="9.1640625" style="3"/>
  </cols>
  <sheetData>
    <row r="1" spans="1:17" s="2" customFormat="1" ht="29" customHeight="1">
      <c r="A1" s="47" t="s">
        <v>600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9</v>
      </c>
      <c r="H3" s="61"/>
      <c r="I3" s="61"/>
      <c r="J3" s="61"/>
      <c r="K3" s="61" t="s">
        <v>10</v>
      </c>
      <c r="L3" s="61"/>
      <c r="M3" s="61"/>
      <c r="N3" s="61"/>
      <c r="O3" s="59" t="s">
        <v>1</v>
      </c>
      <c r="P3" s="59" t="s">
        <v>3</v>
      </c>
      <c r="Q3" s="66" t="s">
        <v>2</v>
      </c>
    </row>
    <row r="4" spans="1:17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0"/>
      <c r="P4" s="60"/>
      <c r="Q4" s="67"/>
    </row>
    <row r="5" spans="1:17" ht="16">
      <c r="A5" s="68" t="s">
        <v>20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7">
      <c r="A6" s="32" t="s">
        <v>117</v>
      </c>
      <c r="B6" s="11" t="s">
        <v>258</v>
      </c>
      <c r="C6" s="11" t="s">
        <v>194</v>
      </c>
      <c r="D6" s="11" t="s">
        <v>195</v>
      </c>
      <c r="E6" s="12" t="s">
        <v>619</v>
      </c>
      <c r="F6" s="11" t="s">
        <v>589</v>
      </c>
      <c r="G6" s="30" t="s">
        <v>27</v>
      </c>
      <c r="H6" s="31" t="s">
        <v>24</v>
      </c>
      <c r="I6" s="30" t="s">
        <v>24</v>
      </c>
      <c r="J6" s="32"/>
      <c r="K6" s="30" t="s">
        <v>32</v>
      </c>
      <c r="L6" s="30" t="s">
        <v>33</v>
      </c>
      <c r="M6" s="30" t="s">
        <v>196</v>
      </c>
      <c r="N6" s="32"/>
      <c r="O6" s="13" t="str">
        <f>"260,0"</f>
        <v>260,0</v>
      </c>
      <c r="P6" s="13" t="str">
        <f>"193,9860"</f>
        <v>193,9860</v>
      </c>
      <c r="Q6" s="11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0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21.1640625" style="5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31.664062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47" t="s">
        <v>601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8</v>
      </c>
      <c r="H3" s="61"/>
      <c r="I3" s="61"/>
      <c r="J3" s="61"/>
      <c r="K3" s="59" t="s">
        <v>326</v>
      </c>
      <c r="L3" s="59" t="s">
        <v>3</v>
      </c>
      <c r="M3" s="66" t="s">
        <v>2</v>
      </c>
    </row>
    <row r="4" spans="1:13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7"/>
    </row>
    <row r="5" spans="1:13" ht="16">
      <c r="A5" s="68" t="s">
        <v>45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34" t="s">
        <v>117</v>
      </c>
      <c r="B6" s="14" t="s">
        <v>261</v>
      </c>
      <c r="C6" s="14" t="s">
        <v>203</v>
      </c>
      <c r="D6" s="14" t="s">
        <v>204</v>
      </c>
      <c r="E6" s="15" t="s">
        <v>619</v>
      </c>
      <c r="F6" s="14" t="s">
        <v>593</v>
      </c>
      <c r="G6" s="35" t="s">
        <v>174</v>
      </c>
      <c r="H6" s="33" t="s">
        <v>36</v>
      </c>
      <c r="I6" s="33" t="s">
        <v>52</v>
      </c>
      <c r="J6" s="34"/>
      <c r="K6" s="16" t="str">
        <f>"170,0"</f>
        <v>170,0</v>
      </c>
      <c r="L6" s="16" t="str">
        <f>"114,0530"</f>
        <v>114,0530</v>
      </c>
      <c r="M6" s="14"/>
    </row>
    <row r="7" spans="1:13">
      <c r="A7" s="41" t="s">
        <v>124</v>
      </c>
      <c r="B7" s="20" t="s">
        <v>262</v>
      </c>
      <c r="C7" s="20" t="s">
        <v>206</v>
      </c>
      <c r="D7" s="20" t="s">
        <v>207</v>
      </c>
      <c r="E7" s="21" t="s">
        <v>619</v>
      </c>
      <c r="F7" s="20" t="s">
        <v>593</v>
      </c>
      <c r="G7" s="40" t="s">
        <v>31</v>
      </c>
      <c r="H7" s="39" t="s">
        <v>31</v>
      </c>
      <c r="I7" s="39" t="s">
        <v>32</v>
      </c>
      <c r="J7" s="41"/>
      <c r="K7" s="22" t="str">
        <f>"140,0"</f>
        <v>140,0</v>
      </c>
      <c r="L7" s="22" t="str">
        <f>"94,5560"</f>
        <v>94,5560</v>
      </c>
      <c r="M7" s="20"/>
    </row>
    <row r="9" spans="1:13" ht="16">
      <c r="A9" s="62" t="s">
        <v>94</v>
      </c>
      <c r="B9" s="62"/>
      <c r="C9" s="63"/>
      <c r="D9" s="63"/>
      <c r="E9" s="63"/>
      <c r="F9" s="63"/>
      <c r="G9" s="63"/>
      <c r="H9" s="63"/>
      <c r="I9" s="63"/>
      <c r="J9" s="63"/>
    </row>
    <row r="10" spans="1:13">
      <c r="A10" s="32" t="s">
        <v>117</v>
      </c>
      <c r="B10" s="11" t="s">
        <v>273</v>
      </c>
      <c r="C10" s="11" t="s">
        <v>226</v>
      </c>
      <c r="D10" s="11" t="s">
        <v>227</v>
      </c>
      <c r="E10" s="12" t="s">
        <v>621</v>
      </c>
      <c r="F10" s="11" t="s">
        <v>589</v>
      </c>
      <c r="G10" s="30" t="s">
        <v>48</v>
      </c>
      <c r="H10" s="30" t="s">
        <v>193</v>
      </c>
      <c r="I10" s="30" t="s">
        <v>76</v>
      </c>
      <c r="J10" s="32"/>
      <c r="K10" s="13" t="str">
        <f>"215,0"</f>
        <v>215,0</v>
      </c>
      <c r="L10" s="13" t="str">
        <f>"127,2585"</f>
        <v>127,2585</v>
      </c>
      <c r="M10" s="11"/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15.5" style="5" bestFit="1" customWidth="1"/>
    <col min="5" max="5" width="9.83203125" style="6" customWidth="1"/>
    <col min="6" max="6" width="29.6640625" style="5" bestFit="1" customWidth="1"/>
    <col min="7" max="8" width="5.5" style="10" customWidth="1"/>
    <col min="9" max="9" width="5.6640625" style="10" customWidth="1"/>
    <col min="10" max="10" width="4.83203125" style="10" customWidth="1"/>
    <col min="11" max="11" width="10.5" style="7" bestFit="1" customWidth="1"/>
    <col min="12" max="12" width="8.6640625" style="7" customWidth="1"/>
    <col min="13" max="13" width="18.33203125" style="5" customWidth="1"/>
    <col min="14" max="16384" width="9.1640625" style="3"/>
  </cols>
  <sheetData>
    <row r="1" spans="1:13" s="2" customFormat="1" ht="29" customHeight="1">
      <c r="A1" s="47" t="s">
        <v>602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8</v>
      </c>
      <c r="H3" s="61"/>
      <c r="I3" s="61"/>
      <c r="J3" s="61"/>
      <c r="K3" s="59" t="s">
        <v>326</v>
      </c>
      <c r="L3" s="59" t="s">
        <v>3</v>
      </c>
      <c r="M3" s="66" t="s">
        <v>2</v>
      </c>
    </row>
    <row r="4" spans="1:13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7"/>
    </row>
    <row r="5" spans="1:13" ht="16">
      <c r="A5" s="68" t="s">
        <v>94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32" t="s">
        <v>248</v>
      </c>
      <c r="B6" s="11" t="s">
        <v>475</v>
      </c>
      <c r="C6" s="11" t="s">
        <v>543</v>
      </c>
      <c r="D6" s="11" t="s">
        <v>474</v>
      </c>
      <c r="E6" s="12" t="s">
        <v>624</v>
      </c>
      <c r="F6" s="11" t="s">
        <v>589</v>
      </c>
      <c r="G6" s="31" t="s">
        <v>52</v>
      </c>
      <c r="H6" s="31" t="s">
        <v>42</v>
      </c>
      <c r="I6" s="32"/>
      <c r="J6" s="32"/>
      <c r="K6" s="45">
        <v>0</v>
      </c>
      <c r="L6" s="13" t="str">
        <f>"0,0000"</f>
        <v>0,0000</v>
      </c>
      <c r="M6" s="11"/>
    </row>
    <row r="8" spans="1:13">
      <c r="G8" s="5"/>
      <c r="K8" s="10"/>
      <c r="M8" s="7"/>
    </row>
    <row r="9" spans="1:13">
      <c r="E9" s="5"/>
    </row>
    <row r="10" spans="1:13" ht="18">
      <c r="C10" s="9"/>
      <c r="D10" s="9"/>
      <c r="E10" s="5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164062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1.164062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9" style="5" customWidth="1"/>
    <col min="14" max="16384" width="9.1640625" style="3"/>
  </cols>
  <sheetData>
    <row r="1" spans="1:13" s="2" customFormat="1" ht="29" customHeight="1">
      <c r="A1" s="47" t="s">
        <v>603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584</v>
      </c>
      <c r="B3" s="70" t="s">
        <v>0</v>
      </c>
      <c r="C3" s="57" t="s">
        <v>617</v>
      </c>
      <c r="D3" s="57" t="s">
        <v>6</v>
      </c>
      <c r="E3" s="59" t="s">
        <v>618</v>
      </c>
      <c r="F3" s="61" t="s">
        <v>5</v>
      </c>
      <c r="G3" s="61" t="s">
        <v>8</v>
      </c>
      <c r="H3" s="61"/>
      <c r="I3" s="61"/>
      <c r="J3" s="61"/>
      <c r="K3" s="59" t="s">
        <v>326</v>
      </c>
      <c r="L3" s="59" t="s">
        <v>3</v>
      </c>
      <c r="M3" s="66" t="s">
        <v>2</v>
      </c>
    </row>
    <row r="4" spans="1:13" s="1" customFormat="1" ht="21" customHeight="1" thickBot="1">
      <c r="A4" s="56"/>
      <c r="B4" s="71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7"/>
    </row>
    <row r="5" spans="1:13" ht="16">
      <c r="A5" s="68" t="s">
        <v>20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32" t="s">
        <v>117</v>
      </c>
      <c r="B6" s="11" t="s">
        <v>258</v>
      </c>
      <c r="C6" s="11" t="s">
        <v>194</v>
      </c>
      <c r="D6" s="11" t="s">
        <v>195</v>
      </c>
      <c r="E6" s="12" t="s">
        <v>619</v>
      </c>
      <c r="F6" s="11" t="s">
        <v>589</v>
      </c>
      <c r="G6" s="30" t="s">
        <v>40</v>
      </c>
      <c r="H6" s="30" t="s">
        <v>180</v>
      </c>
      <c r="I6" s="30" t="s">
        <v>33</v>
      </c>
      <c r="J6" s="32"/>
      <c r="K6" s="13" t="str">
        <f>"150,0"</f>
        <v>150,0</v>
      </c>
      <c r="L6" s="13" t="str">
        <f>"111,9150"</f>
        <v>111,9150</v>
      </c>
      <c r="M6" s="11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Двоеборье без экип ДК</vt:lpstr>
      <vt:lpstr>IPL Двоеборье без экип</vt:lpstr>
      <vt:lpstr>IPL Присед без экипировки ДК</vt:lpstr>
      <vt:lpstr>IPL Присед без экипировки</vt:lpstr>
      <vt:lpstr>IPL Присед в бинтах ДК</vt:lpstr>
      <vt:lpstr>IPL Жим без экипировки ДК</vt:lpstr>
      <vt:lpstr>IPL Жим без экипировки</vt:lpstr>
      <vt:lpstr>СПР Жим софт однопетельная ДК</vt:lpstr>
      <vt:lpstr>СПР Жим софт однопетельная</vt:lpstr>
      <vt:lpstr>IPL Тяга без экипировки ДК</vt:lpstr>
      <vt:lpstr>IPL Тяга без экипировки</vt:lpstr>
      <vt:lpstr>СПР Пауэрспорт ДК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2023-12-24T08:51:05Z</dcterms:modified>
</cp:coreProperties>
</file>