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Март/"/>
    </mc:Choice>
  </mc:AlternateContent>
  <xr:revisionPtr revIDLastSave="0" documentId="13_ncr:1_{D7DF3470-8D4C-DB4D-A806-72D434A6A9C5}" xr6:coauthVersionLast="45" xr6:coauthVersionMax="45" xr10:uidLastSave="{00000000-0000-0000-0000-000000000000}"/>
  <bookViews>
    <workbookView xWindow="480" yWindow="460" windowWidth="28320" windowHeight="15920" firstSheet="20" activeTab="26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ПЛ в бинтах" sheetId="7" r:id="rId4"/>
    <sheet name="IPL Двоеборье без экип ДК" sheetId="18" r:id="rId5"/>
    <sheet name="IPL Двоеборье без экип" sheetId="17" r:id="rId6"/>
    <sheet name="IPL Двоеборье экип" sheetId="19" r:id="rId7"/>
    <sheet name="IPL Присед без экипировки ДК" sheetId="16" r:id="rId8"/>
    <sheet name="IPL Жим без экипировки ДК" sheetId="10" r:id="rId9"/>
    <sheet name="IPL Жим без экипировки" sheetId="9" r:id="rId10"/>
    <sheet name="IPL Жим однослой" sheetId="11" r:id="rId11"/>
    <sheet name="WEPF Жим софт однопетельная" sheetId="44" r:id="rId12"/>
    <sheet name="WEPF Жим софт многопетельнаяДК" sheetId="49" r:id="rId13"/>
    <sheet name="WEPF Жим софт многопетельная" sheetId="48" r:id="rId14"/>
    <sheet name="WRPF Военный жим ДК" sheetId="47" r:id="rId15"/>
    <sheet name="WRPF Военный жим" sheetId="45" r:id="rId16"/>
    <sheet name="СПР Жим СФО" sheetId="34" r:id="rId17"/>
    <sheet name="IPL Тяга без экипировки ДК" sheetId="13" r:id="rId18"/>
    <sheet name="IPL Тяга без экипировки" sheetId="12" r:id="rId19"/>
    <sheet name="IPL Тяга многослой" sheetId="14" r:id="rId20"/>
    <sheet name="СПР Пауэрспорт ДК" sheetId="43" r:id="rId21"/>
    <sheet name="СПР Жим стоя ДК" sheetId="39" r:id="rId22"/>
    <sheet name="СПР Жим стоя" sheetId="38" r:id="rId23"/>
    <sheet name="СПР Подъем на бицепс ДК" sheetId="41" r:id="rId24"/>
    <sheet name="WRPF Подъем на бицепс ДК" sheetId="31" r:id="rId25"/>
    <sheet name="WRPF Подъем на бицепс" sheetId="30" r:id="rId26"/>
    <sheet name="ФЖД Армейский жим макс.ДК" sheetId="33" r:id="rId27"/>
  </sheets>
  <definedNames>
    <definedName name="_FilterDatabase" localSheetId="1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49" l="1"/>
  <c r="K6" i="49"/>
  <c r="L6" i="48"/>
  <c r="K6" i="48"/>
  <c r="L6" i="47"/>
  <c r="K6" i="47"/>
  <c r="L6" i="45"/>
  <c r="K6" i="45"/>
  <c r="L9" i="44"/>
  <c r="K9" i="44"/>
  <c r="L6" i="44"/>
  <c r="K6" i="44"/>
  <c r="P6" i="43"/>
  <c r="O6" i="43"/>
  <c r="L13" i="41"/>
  <c r="K13" i="41"/>
  <c r="L10" i="41"/>
  <c r="K10" i="41"/>
  <c r="L7" i="41"/>
  <c r="K7" i="41"/>
  <c r="L6" i="41"/>
  <c r="K6" i="41"/>
  <c r="L6" i="39"/>
  <c r="K6" i="39"/>
  <c r="L9" i="38"/>
  <c r="K9" i="38"/>
  <c r="L6" i="38"/>
  <c r="K6" i="38"/>
  <c r="L27" i="34"/>
  <c r="K27" i="34"/>
  <c r="L24" i="34"/>
  <c r="K24" i="34"/>
  <c r="L21" i="34"/>
  <c r="K21" i="34"/>
  <c r="L18" i="34"/>
  <c r="K18" i="34"/>
  <c r="L15" i="34"/>
  <c r="K15" i="34"/>
  <c r="L14" i="34"/>
  <c r="K14" i="34"/>
  <c r="L11" i="34"/>
  <c r="K11" i="34"/>
  <c r="L10" i="34"/>
  <c r="K10" i="34"/>
  <c r="L9" i="34"/>
  <c r="K9" i="34"/>
  <c r="L6" i="34"/>
  <c r="K6" i="34"/>
  <c r="L9" i="33"/>
  <c r="K9" i="33"/>
  <c r="L6" i="33"/>
  <c r="K6" i="33"/>
  <c r="L30" i="31"/>
  <c r="K30" i="31"/>
  <c r="L29" i="31"/>
  <c r="K29" i="31"/>
  <c r="L26" i="31"/>
  <c r="K26" i="31"/>
  <c r="L25" i="31"/>
  <c r="K25" i="31"/>
  <c r="L24" i="31"/>
  <c r="K24" i="31"/>
  <c r="L21" i="31"/>
  <c r="K21" i="31"/>
  <c r="L20" i="31"/>
  <c r="K20" i="31"/>
  <c r="L19" i="31"/>
  <c r="K19" i="31"/>
  <c r="L16" i="31"/>
  <c r="K16" i="31"/>
  <c r="L15" i="31"/>
  <c r="K15" i="31"/>
  <c r="L14" i="31"/>
  <c r="K14" i="31"/>
  <c r="L13" i="31"/>
  <c r="K13" i="31"/>
  <c r="L12" i="31"/>
  <c r="K12" i="31"/>
  <c r="L9" i="31"/>
  <c r="K9" i="31"/>
  <c r="L6" i="31"/>
  <c r="K6" i="31"/>
  <c r="L18" i="30"/>
  <c r="K18" i="30"/>
  <c r="L17" i="30"/>
  <c r="K17" i="30"/>
  <c r="L16" i="30"/>
  <c r="K16" i="30"/>
  <c r="L13" i="30"/>
  <c r="K13" i="30"/>
  <c r="L10" i="30"/>
  <c r="K10" i="30"/>
  <c r="L9" i="30"/>
  <c r="K9" i="30"/>
  <c r="L6" i="30"/>
  <c r="K6" i="30"/>
  <c r="P6" i="19"/>
  <c r="P9" i="18"/>
  <c r="O9" i="18"/>
  <c r="P6" i="18"/>
  <c r="O6" i="18"/>
  <c r="P6" i="17"/>
  <c r="O6" i="17"/>
  <c r="L6" i="16"/>
  <c r="K6" i="16"/>
  <c r="L6" i="14"/>
  <c r="K6" i="14"/>
  <c r="L18" i="13"/>
  <c r="K18" i="13"/>
  <c r="L15" i="13"/>
  <c r="K15" i="13"/>
  <c r="L12" i="13"/>
  <c r="K12" i="13"/>
  <c r="L9" i="13"/>
  <c r="K9" i="13"/>
  <c r="L6" i="13"/>
  <c r="K6" i="13"/>
  <c r="L14" i="12"/>
  <c r="K14" i="12"/>
  <c r="L11" i="12"/>
  <c r="K11" i="12"/>
  <c r="L10" i="12"/>
  <c r="K10" i="12"/>
  <c r="L7" i="12"/>
  <c r="K7" i="12"/>
  <c r="L6" i="12"/>
  <c r="K6" i="12"/>
  <c r="L6" i="11"/>
  <c r="K6" i="11"/>
  <c r="L40" i="10"/>
  <c r="K40" i="10"/>
  <c r="L39" i="10"/>
  <c r="K39" i="10"/>
  <c r="L36" i="10"/>
  <c r="K36" i="10"/>
  <c r="L35" i="10"/>
  <c r="K35" i="10"/>
  <c r="L32" i="10"/>
  <c r="K32" i="10"/>
  <c r="L31" i="10"/>
  <c r="K31" i="10"/>
  <c r="L30" i="10"/>
  <c r="K30" i="10"/>
  <c r="L29" i="10"/>
  <c r="K29" i="10"/>
  <c r="L26" i="10"/>
  <c r="K26" i="10"/>
  <c r="L25" i="10"/>
  <c r="K25" i="10"/>
  <c r="L24" i="10"/>
  <c r="K24" i="10"/>
  <c r="L23" i="10"/>
  <c r="K23" i="10"/>
  <c r="L22" i="10"/>
  <c r="K22" i="10"/>
  <c r="L19" i="10"/>
  <c r="K19" i="10"/>
  <c r="L18" i="10"/>
  <c r="K18" i="10"/>
  <c r="L15" i="10"/>
  <c r="K15" i="10"/>
  <c r="L12" i="10"/>
  <c r="K12" i="10"/>
  <c r="L9" i="10"/>
  <c r="K9" i="10"/>
  <c r="L6" i="10"/>
  <c r="K6" i="10"/>
  <c r="L24" i="9"/>
  <c r="K24" i="9"/>
  <c r="L21" i="9"/>
  <c r="K21" i="9"/>
  <c r="L18" i="9"/>
  <c r="K18" i="9"/>
  <c r="L15" i="9"/>
  <c r="K15" i="9"/>
  <c r="L12" i="9"/>
  <c r="K12" i="9"/>
  <c r="L9" i="9"/>
  <c r="K9" i="9"/>
  <c r="L6" i="9"/>
  <c r="K6" i="9"/>
  <c r="T9" i="8"/>
  <c r="S9" i="8"/>
  <c r="T6" i="8"/>
  <c r="S6" i="8"/>
  <c r="T9" i="7"/>
  <c r="S9" i="7"/>
  <c r="T6" i="7"/>
  <c r="S6" i="7"/>
  <c r="T31" i="6"/>
  <c r="S31" i="6"/>
  <c r="T28" i="6"/>
  <c r="S28" i="6"/>
  <c r="T27" i="6"/>
  <c r="S27" i="6"/>
  <c r="T26" i="6"/>
  <c r="S26" i="6"/>
  <c r="T23" i="6"/>
  <c r="S23" i="6"/>
  <c r="T22" i="6"/>
  <c r="S22" i="6"/>
  <c r="T21" i="6"/>
  <c r="S21" i="6"/>
  <c r="T18" i="6"/>
  <c r="S18" i="6"/>
  <c r="T17" i="6"/>
  <c r="S17" i="6"/>
  <c r="T14" i="6"/>
  <c r="S14" i="6"/>
  <c r="T13" i="6"/>
  <c r="S13" i="6"/>
  <c r="T10" i="6"/>
  <c r="S10" i="6"/>
  <c r="T9" i="6"/>
  <c r="T6" i="6"/>
  <c r="T9" i="5"/>
  <c r="S9" i="5"/>
  <c r="T6" i="5"/>
  <c r="S6" i="5"/>
</calcChain>
</file>

<file path=xl/sharedStrings.xml><?xml version="1.0" encoding="utf-8"?>
<sst xmlns="http://schemas.openxmlformats.org/spreadsheetml/2006/main" count="1698" uniqueCount="490">
  <si>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</si>
  <si>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</si>
  <si>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</si>
  <si>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</si>
  <si>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</si>
  <si>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</si>
  <si>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</si>
  <si>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</si>
  <si>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</si>
  <si>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</si>
  <si>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</si>
  <si>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 xml:space="preserve">Егорова Ольга </t>
  </si>
  <si>
    <t>66,60</t>
  </si>
  <si>
    <t>120,0</t>
  </si>
  <si>
    <t>125,0</t>
  </si>
  <si>
    <t>132,5</t>
  </si>
  <si>
    <t>90,0</t>
  </si>
  <si>
    <t>100,0</t>
  </si>
  <si>
    <t>105,0</t>
  </si>
  <si>
    <t>155,0</t>
  </si>
  <si>
    <t>165,0</t>
  </si>
  <si>
    <t>170,0</t>
  </si>
  <si>
    <t xml:space="preserve">Смирнов Антон </t>
  </si>
  <si>
    <t>ВЕСОВАЯ КАТЕГОРИЯ   90</t>
  </si>
  <si>
    <t>Открытая (01.04.1992)/31</t>
  </si>
  <si>
    <t>89,70</t>
  </si>
  <si>
    <t>210,0</t>
  </si>
  <si>
    <t>215,0</t>
  </si>
  <si>
    <t>220,0</t>
  </si>
  <si>
    <t>150,0</t>
  </si>
  <si>
    <t>157,5</t>
  </si>
  <si>
    <t>202,5</t>
  </si>
  <si>
    <t xml:space="preserve">Жеребенков Александр </t>
  </si>
  <si>
    <t xml:space="preserve">Абсолютный зачёт </t>
  </si>
  <si>
    <t xml:space="preserve">ФИО </t>
  </si>
  <si>
    <t xml:space="preserve">Возрастная группа </t>
  </si>
  <si>
    <t xml:space="preserve">Сумма </t>
  </si>
  <si>
    <t xml:space="preserve">Wilks </t>
  </si>
  <si>
    <t>67.5</t>
  </si>
  <si>
    <t xml:space="preserve">Мужчины </t>
  </si>
  <si>
    <t xml:space="preserve">Открытая </t>
  </si>
  <si>
    <t>90</t>
  </si>
  <si>
    <t>1</t>
  </si>
  <si>
    <t>Егорова Ольга</t>
  </si>
  <si>
    <t>Абдулин Рустам</t>
  </si>
  <si>
    <t>ВЕСОВАЯ КАТЕГОРИЯ   60</t>
  </si>
  <si>
    <t>Открытая (24.02.1990)/34</t>
  </si>
  <si>
    <t>60,00</t>
  </si>
  <si>
    <t>102,5</t>
  </si>
  <si>
    <t>107,5</t>
  </si>
  <si>
    <t>60,0</t>
  </si>
  <si>
    <t>110,0</t>
  </si>
  <si>
    <t>ВЕСОВАЯ КАТЕГОРИЯ   75</t>
  </si>
  <si>
    <t>68,40</t>
  </si>
  <si>
    <t>70,0</t>
  </si>
  <si>
    <t>40,0</t>
  </si>
  <si>
    <t>Открытая (19.01.2003)/21</t>
  </si>
  <si>
    <t>69,20</t>
  </si>
  <si>
    <t>80,0</t>
  </si>
  <si>
    <t>50,0</t>
  </si>
  <si>
    <t>95,0</t>
  </si>
  <si>
    <t xml:space="preserve">Григорьев Даниил </t>
  </si>
  <si>
    <t>Открытая (23.05.2005)/18</t>
  </si>
  <si>
    <t>66,90</t>
  </si>
  <si>
    <t>175,0</t>
  </si>
  <si>
    <t>115,0</t>
  </si>
  <si>
    <t>185,0</t>
  </si>
  <si>
    <t>190,0</t>
  </si>
  <si>
    <t>Открытая (15.07.1989)/34</t>
  </si>
  <si>
    <t>65,60</t>
  </si>
  <si>
    <t>130,0</t>
  </si>
  <si>
    <t>137,5</t>
  </si>
  <si>
    <t>85,0</t>
  </si>
  <si>
    <t>180,0</t>
  </si>
  <si>
    <t>Юноши 15-19 (14.09.2010)/13</t>
  </si>
  <si>
    <t>71,20</t>
  </si>
  <si>
    <t>55,0</t>
  </si>
  <si>
    <t>Открытая (13.10.1996)/27</t>
  </si>
  <si>
    <t>71,30</t>
  </si>
  <si>
    <t>140,0</t>
  </si>
  <si>
    <t>145,0</t>
  </si>
  <si>
    <t>160,0</t>
  </si>
  <si>
    <t>ВЕСОВАЯ КАТЕГОРИЯ   82.5</t>
  </si>
  <si>
    <t xml:space="preserve">Григорьев Артем </t>
  </si>
  <si>
    <t>Открытая (10.06.1996)/27</t>
  </si>
  <si>
    <t>82,50</t>
  </si>
  <si>
    <t>195,0</t>
  </si>
  <si>
    <t>200,0</t>
  </si>
  <si>
    <t>152,5</t>
  </si>
  <si>
    <t>227,5</t>
  </si>
  <si>
    <t xml:space="preserve">Валиев Салават </t>
  </si>
  <si>
    <t>Открытая (19.01.1994)/30</t>
  </si>
  <si>
    <t>80,80</t>
  </si>
  <si>
    <t>112,5</t>
  </si>
  <si>
    <t>205,0</t>
  </si>
  <si>
    <t>207,5</t>
  </si>
  <si>
    <t xml:space="preserve">Тимофеев Дмитрий </t>
  </si>
  <si>
    <t>Открытая (14.09.1988)/35</t>
  </si>
  <si>
    <t>78,90</t>
  </si>
  <si>
    <t>135,0</t>
  </si>
  <si>
    <t>167,5</t>
  </si>
  <si>
    <t>Юноши 15-19 (22.09.2008)/15</t>
  </si>
  <si>
    <t>87,70</t>
  </si>
  <si>
    <t xml:space="preserve">Гатауллин Тимур </t>
  </si>
  <si>
    <t>87,90</t>
  </si>
  <si>
    <t>225,0</t>
  </si>
  <si>
    <t>232,5</t>
  </si>
  <si>
    <t>250,0</t>
  </si>
  <si>
    <t>Открытая (15.05.2007)/16</t>
  </si>
  <si>
    <t>89,50</t>
  </si>
  <si>
    <t>ВЕСОВАЯ КАТЕГОРИЯ   110</t>
  </si>
  <si>
    <t>Открытая (06.11.1987)/36</t>
  </si>
  <si>
    <t>104,80</t>
  </si>
  <si>
    <t>75</t>
  </si>
  <si>
    <t>82.5</t>
  </si>
  <si>
    <t>-</t>
  </si>
  <si>
    <t>Бурочкина Мария</t>
  </si>
  <si>
    <t>Крылова Ксения</t>
  </si>
  <si>
    <t>Клишина Екатерина</t>
  </si>
  <si>
    <t>Григорьев Даниил</t>
  </si>
  <si>
    <t>2</t>
  </si>
  <si>
    <t>Савинов Олег</t>
  </si>
  <si>
    <t>Бикулов Дмитрий</t>
  </si>
  <si>
    <t>Телепов Никита</t>
  </si>
  <si>
    <t>Григорьев Артем</t>
  </si>
  <si>
    <t>Валиев Салават</t>
  </si>
  <si>
    <t>3</t>
  </si>
  <si>
    <t>Мавлюмбердин Ильдар</t>
  </si>
  <si>
    <t>Макарычев Арсений</t>
  </si>
  <si>
    <t>Горовенко Семён</t>
  </si>
  <si>
    <t>Строганов Глеб</t>
  </si>
  <si>
    <t>Мякушин Владимир</t>
  </si>
  <si>
    <t>Юноши 15-19 (19.03.2007)/17</t>
  </si>
  <si>
    <t>71,80</t>
  </si>
  <si>
    <t>ВЕСОВАЯ КАТЕГОРИЯ   100</t>
  </si>
  <si>
    <t>Юноши 15-19 (15.10.2006)/17</t>
  </si>
  <si>
    <t>92,50</t>
  </si>
  <si>
    <t>72,5</t>
  </si>
  <si>
    <t>142,5</t>
  </si>
  <si>
    <t>Калинников Кирилл</t>
  </si>
  <si>
    <t>Копашенко Андрей</t>
  </si>
  <si>
    <t>86,50</t>
  </si>
  <si>
    <t xml:space="preserve">Луцук Виталий </t>
  </si>
  <si>
    <t>94,10</t>
  </si>
  <si>
    <t>Андросов Сергей</t>
  </si>
  <si>
    <t>Ким Вячеслав</t>
  </si>
  <si>
    <t>ВЕСОВАЯ КАТЕГОРИЯ   56</t>
  </si>
  <si>
    <t>54,70</t>
  </si>
  <si>
    <t>32,5</t>
  </si>
  <si>
    <t>37,5</t>
  </si>
  <si>
    <t>75,0</t>
  </si>
  <si>
    <t xml:space="preserve">Трухтанов Павел </t>
  </si>
  <si>
    <t>Юноши 15-19 (13.01.2009)/15</t>
  </si>
  <si>
    <t>52,80</t>
  </si>
  <si>
    <t>45,0</t>
  </si>
  <si>
    <t>57,5</t>
  </si>
  <si>
    <t>Юноши 15-19 (07.07.2010)/13</t>
  </si>
  <si>
    <t>62,90</t>
  </si>
  <si>
    <t>65,0</t>
  </si>
  <si>
    <t xml:space="preserve">Стецко Юрий </t>
  </si>
  <si>
    <t>73,60</t>
  </si>
  <si>
    <t>89,00</t>
  </si>
  <si>
    <t>ВЕСОВАЯ КАТЕГОРИЯ   140</t>
  </si>
  <si>
    <t>Открытая (21.06.1997)/26</t>
  </si>
  <si>
    <t>128,00</t>
  </si>
  <si>
    <t>212,5</t>
  </si>
  <si>
    <t xml:space="preserve">Результат </t>
  </si>
  <si>
    <t>Результат</t>
  </si>
  <si>
    <t>Байгузина Карина</t>
  </si>
  <si>
    <t>Седых Егор</t>
  </si>
  <si>
    <t>Федотов Антон</t>
  </si>
  <si>
    <t>Тарасов Даниил</t>
  </si>
  <si>
    <t>Петров Владимир</t>
  </si>
  <si>
    <t>Саяпин Георгий</t>
  </si>
  <si>
    <t>ВЕСОВАЯ КАТЕГОРИЯ   52</t>
  </si>
  <si>
    <t>Открытая (02.12.1974)/49</t>
  </si>
  <si>
    <t>52,00</t>
  </si>
  <si>
    <t>Открытая (18.11.1999)/24</t>
  </si>
  <si>
    <t>58,80</t>
  </si>
  <si>
    <t>Открытая (03.03.1993)/31</t>
  </si>
  <si>
    <t>65,00</t>
  </si>
  <si>
    <t xml:space="preserve"> </t>
  </si>
  <si>
    <t>Юноши 15-19 (12.02.2008)/16</t>
  </si>
  <si>
    <t>71,10</t>
  </si>
  <si>
    <t>Открытая (04.11.1989)/34</t>
  </si>
  <si>
    <t xml:space="preserve">Кутузов Дмитрий </t>
  </si>
  <si>
    <t>Открытая (17.04.1991)/32</t>
  </si>
  <si>
    <t>78,70</t>
  </si>
  <si>
    <t xml:space="preserve">Калашников Александр </t>
  </si>
  <si>
    <t>Открытая (27.10.1980)/43</t>
  </si>
  <si>
    <t>88,80</t>
  </si>
  <si>
    <t xml:space="preserve">Коновалов Артур </t>
  </si>
  <si>
    <t>Открытая (12.08.1985)/38</t>
  </si>
  <si>
    <t>89,20</t>
  </si>
  <si>
    <t>162,5</t>
  </si>
  <si>
    <t>Открытая (15.12.1995)/28</t>
  </si>
  <si>
    <t>89,60</t>
  </si>
  <si>
    <t>90,00</t>
  </si>
  <si>
    <t>Юноши 15-19 (23.06.2006)/17</t>
  </si>
  <si>
    <t>99,10</t>
  </si>
  <si>
    <t>Открытая (14.04.2003)/20</t>
  </si>
  <si>
    <t>98,30</t>
  </si>
  <si>
    <t>98,10</t>
  </si>
  <si>
    <t>95,20</t>
  </si>
  <si>
    <t>Открытая (14.05.1990)/33</t>
  </si>
  <si>
    <t>107,70</t>
  </si>
  <si>
    <t>102,10</t>
  </si>
  <si>
    <t>ВЕСОВАЯ КАТЕГОРИЯ   125</t>
  </si>
  <si>
    <t xml:space="preserve">Тимофеев Александр </t>
  </si>
  <si>
    <t>Открытая (19.12.1994)/29</t>
  </si>
  <si>
    <t>124,90</t>
  </si>
  <si>
    <t>Открытая (09.10.1987)/36</t>
  </si>
  <si>
    <t>123,40</t>
  </si>
  <si>
    <t>125</t>
  </si>
  <si>
    <t>Калошина Анна</t>
  </si>
  <si>
    <t>Федотов Никита</t>
  </si>
  <si>
    <t>Пустобаев Сергей</t>
  </si>
  <si>
    <t>Орлов Артём</t>
  </si>
  <si>
    <t>Тараканов Алексей</t>
  </si>
  <si>
    <t>Кутузов Дмитрий</t>
  </si>
  <si>
    <t>Калашников Александр</t>
  </si>
  <si>
    <t>Коновалов Артур</t>
  </si>
  <si>
    <t>Симагин Антон</t>
  </si>
  <si>
    <t>Кочетков Дмитрий</t>
  </si>
  <si>
    <t>Федоров Ярослав</t>
  </si>
  <si>
    <t>Типочкин Сергей</t>
  </si>
  <si>
    <t>Трофимов Алексей</t>
  </si>
  <si>
    <t>Севрюков Николай</t>
  </si>
  <si>
    <t>Мартынов Павел</t>
  </si>
  <si>
    <t>Тютерев Олег</t>
  </si>
  <si>
    <t>Тимофеев Александр</t>
  </si>
  <si>
    <t>Хаустов Сергей</t>
  </si>
  <si>
    <t>Открытая (17.06.1982)/41</t>
  </si>
  <si>
    <t>97,50</t>
  </si>
  <si>
    <t>Яковлев Максим</t>
  </si>
  <si>
    <t>Открытая (24.01.1991)/33</t>
  </si>
  <si>
    <t xml:space="preserve">Мельников Владимир </t>
  </si>
  <si>
    <t>80,30</t>
  </si>
  <si>
    <t>Открытая (03.10.1985)/38</t>
  </si>
  <si>
    <t>86,70</t>
  </si>
  <si>
    <t>240,0</t>
  </si>
  <si>
    <t>Открытая (21.08.1981)/42</t>
  </si>
  <si>
    <t>98,80</t>
  </si>
  <si>
    <t>245,0</t>
  </si>
  <si>
    <t>260,0</t>
  </si>
  <si>
    <t xml:space="preserve">Аверьянов Владислав </t>
  </si>
  <si>
    <t>Мельников Павел</t>
  </si>
  <si>
    <t>Гридин Роман</t>
  </si>
  <si>
    <t>Мельников Владимир</t>
  </si>
  <si>
    <t>Карпов Евгений</t>
  </si>
  <si>
    <t>Емельянов Александр</t>
  </si>
  <si>
    <t>Девушки 15-19 (22.04.2007)/16</t>
  </si>
  <si>
    <t>117,5</t>
  </si>
  <si>
    <t xml:space="preserve">Салехетдинов Эльдар </t>
  </si>
  <si>
    <t>92,5</t>
  </si>
  <si>
    <t xml:space="preserve">Хомяков Виталий </t>
  </si>
  <si>
    <t>73,90</t>
  </si>
  <si>
    <t>118,10</t>
  </si>
  <si>
    <t>Монова Анастасия</t>
  </si>
  <si>
    <t>Реутова Гелена</t>
  </si>
  <si>
    <t>Севрюкова Светлана</t>
  </si>
  <si>
    <t>Хаиров Алексей</t>
  </si>
  <si>
    <t>Открытая (13.11.1992)/31</t>
  </si>
  <si>
    <t>75,30</t>
  </si>
  <si>
    <t>Боровков Владимир</t>
  </si>
  <si>
    <t>Открытая (23.09.1983)/40</t>
  </si>
  <si>
    <t>72,40</t>
  </si>
  <si>
    <t>Сараева Надежда</t>
  </si>
  <si>
    <t>30,0</t>
  </si>
  <si>
    <t>35,0</t>
  </si>
  <si>
    <t>66,50</t>
  </si>
  <si>
    <t>Нигмедзянов Амир</t>
  </si>
  <si>
    <t>62,5</t>
  </si>
  <si>
    <t>Подъем на бицепс</t>
  </si>
  <si>
    <t>50,90</t>
  </si>
  <si>
    <t>25,0</t>
  </si>
  <si>
    <t>27,5</t>
  </si>
  <si>
    <t>47,5</t>
  </si>
  <si>
    <t>52,5</t>
  </si>
  <si>
    <t>Открытая (12.02.1997)/27</t>
  </si>
  <si>
    <t>75,00</t>
  </si>
  <si>
    <t>67,5</t>
  </si>
  <si>
    <t>86,60</t>
  </si>
  <si>
    <t>97,10</t>
  </si>
  <si>
    <t>82,5</t>
  </si>
  <si>
    <t>98,00</t>
  </si>
  <si>
    <t>99,00</t>
  </si>
  <si>
    <t xml:space="preserve">Gloss </t>
  </si>
  <si>
    <t>Нагорная Дарья</t>
  </si>
  <si>
    <t>Середавин Вадим</t>
  </si>
  <si>
    <t>Гимаев Шамиль</t>
  </si>
  <si>
    <t>Колоколов Руслан</t>
  </si>
  <si>
    <t>Кириенко Антон</t>
  </si>
  <si>
    <t>Рахматов Далер</t>
  </si>
  <si>
    <t>Фоминцев Александр</t>
  </si>
  <si>
    <t>64,70</t>
  </si>
  <si>
    <t>64,80</t>
  </si>
  <si>
    <t>64,90</t>
  </si>
  <si>
    <t>66,80</t>
  </si>
  <si>
    <t>72,30</t>
  </si>
  <si>
    <t>71,90</t>
  </si>
  <si>
    <t>69,90</t>
  </si>
  <si>
    <t>81,30</t>
  </si>
  <si>
    <t>Открытая (06.10.1986)/37</t>
  </si>
  <si>
    <t>78,50</t>
  </si>
  <si>
    <t>82,30</t>
  </si>
  <si>
    <t>60,5</t>
  </si>
  <si>
    <t>Лемдьянов Александр</t>
  </si>
  <si>
    <t>Соловьев Владислав</t>
  </si>
  <si>
    <t>4</t>
  </si>
  <si>
    <t>Миценмахер Аллан</t>
  </si>
  <si>
    <t>Политов Максим</t>
  </si>
  <si>
    <t>Спиридонов Никита</t>
  </si>
  <si>
    <t>Бармин Глеб</t>
  </si>
  <si>
    <t>Беляков Олег</t>
  </si>
  <si>
    <t>Лосев Аркадий</t>
  </si>
  <si>
    <t>Кириллов Николай</t>
  </si>
  <si>
    <t>Семенов Андрей</t>
  </si>
  <si>
    <t>Жим стоя</t>
  </si>
  <si>
    <t>ВЕСОВАЯ КАТЕГОРИЯ   70</t>
  </si>
  <si>
    <t>Открытая (19.06.1987)/36</t>
  </si>
  <si>
    <t>42,5</t>
  </si>
  <si>
    <t xml:space="preserve">Худошин Дмитрий </t>
  </si>
  <si>
    <t>Открытая (07.12.1990)/33</t>
  </si>
  <si>
    <t xml:space="preserve">Калявин Максим </t>
  </si>
  <si>
    <t>Открытая (10.04.1989)/34</t>
  </si>
  <si>
    <t>67,50</t>
  </si>
  <si>
    <t>Открытая (31.03.1980)/43</t>
  </si>
  <si>
    <t>65,40</t>
  </si>
  <si>
    <t>77,5</t>
  </si>
  <si>
    <t xml:space="preserve">Гугняков Александр </t>
  </si>
  <si>
    <t>Открытая (17.09.1974)/49</t>
  </si>
  <si>
    <t>74,80</t>
  </si>
  <si>
    <t>Мастера 40-49 (17.09.1974)/49</t>
  </si>
  <si>
    <t>Открытая (31.05.1985)/38</t>
  </si>
  <si>
    <t>Открытая (24.09.1996)/27</t>
  </si>
  <si>
    <t>85,70</t>
  </si>
  <si>
    <t>97,5</t>
  </si>
  <si>
    <t>Открытая (30.03.1970)/53</t>
  </si>
  <si>
    <t>93,70</t>
  </si>
  <si>
    <t>Открытая (15.11.1977)/46</t>
  </si>
  <si>
    <t>119,50</t>
  </si>
  <si>
    <t>Куприянова Екатерина</t>
  </si>
  <si>
    <t>Худошин Дмитрий</t>
  </si>
  <si>
    <t>Калявин Максим</t>
  </si>
  <si>
    <t>Воровкин Максим</t>
  </si>
  <si>
    <t>Гугняков Александр</t>
  </si>
  <si>
    <t>Лобанов Юрий</t>
  </si>
  <si>
    <t>Давыдов Евгений</t>
  </si>
  <si>
    <t>Исаев Андрей</t>
  </si>
  <si>
    <t>Титов Андрей</t>
  </si>
  <si>
    <t>Открытая (03.12.1995)/28</t>
  </si>
  <si>
    <t>82,00</t>
  </si>
  <si>
    <t>106,0</t>
  </si>
  <si>
    <t>91,00</t>
  </si>
  <si>
    <t xml:space="preserve">Замятин Игорь </t>
  </si>
  <si>
    <t>Тресцов Виктор</t>
  </si>
  <si>
    <t>Николаев Алексей</t>
  </si>
  <si>
    <t>66,00</t>
  </si>
  <si>
    <t>72,10</t>
  </si>
  <si>
    <t>76,70</t>
  </si>
  <si>
    <t>Чавушян Альберт</t>
  </si>
  <si>
    <t>Пискунов Кирилл</t>
  </si>
  <si>
    <t>Базаров Артем</t>
  </si>
  <si>
    <t>Стецко Игорь</t>
  </si>
  <si>
    <t>Ахмеров Ильнас</t>
  </si>
  <si>
    <t>Мастера 40-49 (14.04.1980)/43</t>
  </si>
  <si>
    <t>70,20</t>
  </si>
  <si>
    <t>Открытая (29.09.1999)/24</t>
  </si>
  <si>
    <t>65,70</t>
  </si>
  <si>
    <t>Замятина Наталья</t>
  </si>
  <si>
    <t>Мелконян Тигран</t>
  </si>
  <si>
    <t>Открытая (20.03.1991)/33</t>
  </si>
  <si>
    <t>95,00</t>
  </si>
  <si>
    <t>Луцук Виталий</t>
  </si>
  <si>
    <t>Мастера 50-59 (06.02.1966)/58</t>
  </si>
  <si>
    <t>Открытая (07.06.1984)/39</t>
  </si>
  <si>
    <t>72,50</t>
  </si>
  <si>
    <t>Николаева Екатерина</t>
  </si>
  <si>
    <t>Юниоры (26.06.2000)/23</t>
  </si>
  <si>
    <t>125,00</t>
  </si>
  <si>
    <t>300,0</t>
  </si>
  <si>
    <t>Порватов Андрей</t>
  </si>
  <si>
    <t>Весовая категория</t>
  </si>
  <si>
    <t>Юниорки 20-23 (13.05.2002)/21</t>
  </si>
  <si>
    <t>Юниоры 20-23 (11.04.2001)/22</t>
  </si>
  <si>
    <t>Мастера 45-49 (14.03.1975)/49</t>
  </si>
  <si>
    <t>Мастера 45-49 (07.03.1975)/49</t>
  </si>
  <si>
    <t>Мастера 45-49 (21.07.1975)/48</t>
  </si>
  <si>
    <t>Мастера 40-44 (06.12.1982)/41</t>
  </si>
  <si>
    <t>Мастера 50-54 (12.11.1973)/50</t>
  </si>
  <si>
    <t>Мастера 55-59 (06.02.1966)/58</t>
  </si>
  <si>
    <t>Мастера 45-49 (14.01.1979)/45</t>
  </si>
  <si>
    <t>Юниорки 20-23 (04.01.2002)/22</t>
  </si>
  <si>
    <t>Юниоры 20-23 (16.01.2002)/22</t>
  </si>
  <si>
    <t>Мастера 75-79 (24.01.1947)/77</t>
  </si>
  <si>
    <t>Юниорки 20-23 (11.03.2001)/23</t>
  </si>
  <si>
    <t>Мастера 55-59 (07.02.1968)/56</t>
  </si>
  <si>
    <t>Юниоры 20-23 (22.07.2001)/22</t>
  </si>
  <si>
    <t>Мастера 50-54 (28.01.1972)/52</t>
  </si>
  <si>
    <t>Мастера 65-69 (18.07.1956)/67</t>
  </si>
  <si>
    <t>Юноши 13-19 (03.07.2008)/15</t>
  </si>
  <si>
    <t>Юниоры 20-23 (14.04.2003)/20</t>
  </si>
  <si>
    <t>Юноши 13-19 (22.07.2009)/14</t>
  </si>
  <si>
    <t>Юноши 13-19 (15.05.2008)/15</t>
  </si>
  <si>
    <t>Юноши 13-19 (21.10.2004)/19</t>
  </si>
  <si>
    <t>Юноши 13-19 (10.02.2010)/14</t>
  </si>
  <si>
    <t>Юноши 13-19 (08.10.2006)/17</t>
  </si>
  <si>
    <t>Девушки 13-19 (19.04.2005)/18</t>
  </si>
  <si>
    <t>Юноши 13-19 (28.10.2008)/15</t>
  </si>
  <si>
    <t>Юноши 13-19 (18.01.2007)/17</t>
  </si>
  <si>
    <t>Юноши 13-19 (03.09.2009)/14</t>
  </si>
  <si>
    <t>Юноши 13-19 (18.05.2007)/16</t>
  </si>
  <si>
    <t>Юниоры 20-23 (23.04.2001)/22</t>
  </si>
  <si>
    <t>Юноши 13-19 (17.10.2005)/18</t>
  </si>
  <si>
    <t>Юниоры 20-23 (26.04.2002)/21</t>
  </si>
  <si>
    <t>Мастера 50-59 (17.07.1970)/53</t>
  </si>
  <si>
    <t>Юноши 13-19 (09.01.2010)/14</t>
  </si>
  <si>
    <t>Мастера 50-59 (12.11.1973)/50</t>
  </si>
  <si>
    <t>Юноши 13-19 (02.10.2006)/17</t>
  </si>
  <si>
    <t>Юниоры 20-23 (20.09.2000)/23</t>
  </si>
  <si>
    <t>Юниоры 20-23 (18.07.2001)/22</t>
  </si>
  <si>
    <t>Юниоры 20-23 (26.07.2001)/22</t>
  </si>
  <si>
    <t>Юниоры 20-23 (02.07.2001)/22</t>
  </si>
  <si>
    <t>Мастера 50-54 (17.07.1970)/53</t>
  </si>
  <si>
    <t>Мастера 60-64 (07.09.1963)/60</t>
  </si>
  <si>
    <t>Открытый Чемпионат Евразии
IPL Пауэрлифтинг без экипировки ДК
Самара/Самарская область, 23 марта 2024</t>
  </si>
  <si>
    <t>Открытый Чемпионат Евразии
IPL Пауэрлифтинг без экипировки
Самара/Самарская область, 23 марта 2024</t>
  </si>
  <si>
    <t>Открытый Чемпионат Евразии
IPL Пауэрлифтинг в бинтах ДК
Самара/Самарская область, 23 марта 2024</t>
  </si>
  <si>
    <t>Открытый Чемпионат Евразии
IPL Пауэрлифтинг в бинтах
Самара/Самарская область, 23 марта 2024</t>
  </si>
  <si>
    <t>Открытый Чемпионат Евразии
IPL Силовое двоеборье без экипировки ДК
Самара/Самарская область, 23 марта 2024</t>
  </si>
  <si>
    <t>Открытый Чемпионат Евразии
IPL Силовое двоеборье без экипировки
Самара/Самарская область, 23 марта 2024</t>
  </si>
  <si>
    <t>Открытый Чемпионат Евразии
IPL Силовое двоеборье в экипировке
Самара/Самарская область, 23 марта 2024</t>
  </si>
  <si>
    <t>Открытый Чемпионат Евразии
IPL Присед без экипировки ДК
Самара/Самарская область, 23 марта 2024</t>
  </si>
  <si>
    <t>Открытый Чемпионат Евразии
IPL Жим лежа без экипировки ДК
Самара/Самарская область, 23 марта 2024</t>
  </si>
  <si>
    <t>Открытый Чемпионат Евразии
IPL Жим лежа без экипировки
Самара/Самарская область, 23 марта 2024</t>
  </si>
  <si>
    <t>Открытый Чемпионат Евразии
IPL Жим лежа в однослойной экипировке
Самара/Самарская область, 23 марта 2024</t>
  </si>
  <si>
    <t>Всероссийский турнир
WEPF Жим лежа в однопетельной софт экипировке
Самара/Самарская область, 23 марта 2024</t>
  </si>
  <si>
    <t>Всероссийский турнир
WEPF Жим лежа в многопетельной софт экипировке ДК
Самара/Самарская область, 23 марта 2024</t>
  </si>
  <si>
    <t>Всероссийский турнир
WEPF Жим лежа в многопетельной софт экипировке
Самара/Самарская область, 23 марта 2024</t>
  </si>
  <si>
    <t>Всероссийский турнир
WRPF Военный жим лежа с ДК
Самара/Самарская область, 23 марта 2024</t>
  </si>
  <si>
    <t>Всероссийский турнир
WRPF Военный жим лежа
Самара/Самарская область, 23 марта 2024</t>
  </si>
  <si>
    <t>Всероссийский турнир
СПР Жим лежа среди спортсменов с физическими особенностями
Самара/Самарская область, 23 марта 2024</t>
  </si>
  <si>
    <t>Открытый Чемпионат Евразии
IPL Становая тяга без экипировки ДК
Самара/Самарская область, 23 марта 2024</t>
  </si>
  <si>
    <t>Открытый Чемпионат Евразии
IPL Становая тяга без экипировки
Самара/Самарская область, 23 марта 2024</t>
  </si>
  <si>
    <t>Открытый Чемпионат Евразии
IPL Становая тяга в многослойной экипировке
Самара/Самарская область, 23 марта 2024</t>
  </si>
  <si>
    <t>Всероссийский турнир
СПР Пауэрспорт ДК
Самара/Самарская область, 23 марта 2024</t>
  </si>
  <si>
    <t>Всероссийский турнир
СПР Жим штанги стоя ДК
Самара/Самарская область, 23 марта 2024</t>
  </si>
  <si>
    <t>Всероссийский турнир
СПР Жим штанги стоя
Самара/Самарская область, 23 марта 2024</t>
  </si>
  <si>
    <t>Всероссийский турнир
СПР Строгий подъем штанги на бицепс ДК
Самара/Самарская область, 23 марта 2024</t>
  </si>
  <si>
    <t>Всероссийский турнир
WRPF Строгий подъем штанги на бицепс ДК
Самара/Самарская область, 23 марта 2024</t>
  </si>
  <si>
    <t>Всероссийский турнир
WRPF Строгий подъем штанги на бицепс
Самара/Самарская область, 23 марта 2024</t>
  </si>
  <si>
    <t>Открытый Чемпионат Евразии
ФЖД Армейский жим на максимум ДК
Самара/Самарская область, 23 марта 2024</t>
  </si>
  <si>
    <t>Казахстан, Актюбинская область , Актобе</t>
  </si>
  <si>
    <t>Дёмин Роман</t>
  </si>
  <si>
    <t>Армения, Ереван</t>
  </si>
  <si>
    <t>Мастера 60-69 (07.09.1963)/60</t>
  </si>
  <si>
    <t>№</t>
  </si>
  <si>
    <t>Самарская область, Самара</t>
  </si>
  <si>
    <t>Оренбургская область, Оренбург</t>
  </si>
  <si>
    <t>Оренбургская область, Тоцкое Второе</t>
  </si>
  <si>
    <t>Республика Татарстан, Набережные Челны</t>
  </si>
  <si>
    <t xml:space="preserve">Пензенская область , Пенза </t>
  </si>
  <si>
    <t>Самарская область, Кинель</t>
  </si>
  <si>
    <t>Самарская область, Отрадный</t>
  </si>
  <si>
    <t>Нижегородская область, Нижний Новгород</t>
  </si>
  <si>
    <t>Самарская область, Сызрань</t>
  </si>
  <si>
    <t>Иркутская область, Иркутск</t>
  </si>
  <si>
    <t>Самарская область, Новокуйбышевск</t>
  </si>
  <si>
    <t>Санкт-Петербург</t>
  </si>
  <si>
    <t>Нижегородская область, Балахна</t>
  </si>
  <si>
    <t>Оренбургская область, Бугуруслан</t>
  </si>
  <si>
    <t>Чувашская Республика, Чебоксары</t>
  </si>
  <si>
    <t>Нижегородская область, Дзержинск</t>
  </si>
  <si>
    <t>Саратовская область, Пугачёв</t>
  </si>
  <si>
    <t>Республика Татарстан, Казань</t>
  </si>
  <si>
    <t>Республика Татарстан, Альметьевск</t>
  </si>
  <si>
    <t>Ставропольский край, Кочубеевское</t>
  </si>
  <si>
    <t xml:space="preserve">
Дата рождения/Возраст</t>
  </si>
  <si>
    <t>Возрастная группа</t>
  </si>
  <si>
    <t>O</t>
  </si>
  <si>
    <t>J</t>
  </si>
  <si>
    <t>T</t>
  </si>
  <si>
    <t>M2</t>
  </si>
  <si>
    <t>M1</t>
  </si>
  <si>
    <t>M3</t>
  </si>
  <si>
    <t>M4</t>
  </si>
  <si>
    <t>M8</t>
  </si>
  <si>
    <t>M6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</si>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</sst>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U42"/>
  <sheetViews>
    <sheetView workbookViewId="0">
      <selection activeCell="E32" sqref="E32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42.832031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20" bestFit="1" customWidth="1"/>
    <col min="20" max="20" width="8.5" style="6" bestFit="1" customWidth="1"/>
    <col min="21" max="21" width="18.33203125" style="5" bestFit="1" customWidth="1"/>
    <col min="22" max="16384" width="9.1640625" style="3"/>
  </cols>
  <sheetData>
    <row r="1" spans="1:21" s="2" customFormat="1" ht="29" customHeight="1">
      <c r="A1" s="46" t="s">
        <v>426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7</v>
      </c>
      <c r="H3" s="60"/>
      <c r="I3" s="60"/>
      <c r="J3" s="60"/>
      <c r="K3" s="60" t="s">
        <v>8</v>
      </c>
      <c r="L3" s="60"/>
      <c r="M3" s="60"/>
      <c r="N3" s="60"/>
      <c r="O3" s="60" t="s">
        <v>9</v>
      </c>
      <c r="P3" s="60"/>
      <c r="Q3" s="60"/>
      <c r="R3" s="60"/>
      <c r="S3" s="63" t="s">
        <v>1</v>
      </c>
      <c r="T3" s="58" t="s">
        <v>3</v>
      </c>
      <c r="U3" s="65" t="s">
        <v>2</v>
      </c>
    </row>
    <row r="4" spans="1:21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4"/>
      <c r="T4" s="59"/>
      <c r="U4" s="66"/>
    </row>
    <row r="5" spans="1:21" ht="16">
      <c r="A5" s="67" t="s">
        <v>45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1">
      <c r="A6" s="22" t="s">
        <v>115</v>
      </c>
      <c r="B6" s="7" t="s">
        <v>116</v>
      </c>
      <c r="C6" s="7" t="s">
        <v>46</v>
      </c>
      <c r="D6" s="7" t="s">
        <v>47</v>
      </c>
      <c r="E6" s="8" t="s">
        <v>480</v>
      </c>
      <c r="F6" s="7" t="s">
        <v>458</v>
      </c>
      <c r="G6" s="23" t="s">
        <v>48</v>
      </c>
      <c r="H6" s="23" t="s">
        <v>48</v>
      </c>
      <c r="I6" s="23" t="s">
        <v>49</v>
      </c>
      <c r="J6" s="22"/>
      <c r="K6" s="23"/>
      <c r="L6" s="22"/>
      <c r="M6" s="22"/>
      <c r="N6" s="22"/>
      <c r="O6" s="23"/>
      <c r="P6" s="22"/>
      <c r="Q6" s="22"/>
      <c r="R6" s="22"/>
      <c r="S6" s="42">
        <v>0</v>
      </c>
      <c r="T6" s="9" t="str">
        <f>"0,0000"</f>
        <v>0,0000</v>
      </c>
      <c r="U6" s="7" t="s">
        <v>346</v>
      </c>
    </row>
    <row r="8" spans="1:21" ht="16">
      <c r="A8" s="61" t="s">
        <v>52</v>
      </c>
      <c r="B8" s="61"/>
      <c r="C8" s="61"/>
      <c r="D8" s="61"/>
      <c r="E8" s="62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34" t="s">
        <v>115</v>
      </c>
      <c r="B9" s="24" t="s">
        <v>117</v>
      </c>
      <c r="C9" s="24" t="s">
        <v>384</v>
      </c>
      <c r="D9" s="24" t="s">
        <v>53</v>
      </c>
      <c r="E9" s="25" t="s">
        <v>481</v>
      </c>
      <c r="F9" s="24" t="s">
        <v>458</v>
      </c>
      <c r="G9" s="33" t="s">
        <v>54</v>
      </c>
      <c r="H9" s="33" t="s">
        <v>54</v>
      </c>
      <c r="I9" s="33" t="s">
        <v>54</v>
      </c>
      <c r="J9" s="34"/>
      <c r="K9" s="33"/>
      <c r="L9" s="34"/>
      <c r="M9" s="34"/>
      <c r="N9" s="34"/>
      <c r="O9" s="33"/>
      <c r="P9" s="34"/>
      <c r="Q9" s="34"/>
      <c r="R9" s="34"/>
      <c r="S9" s="43">
        <v>0</v>
      </c>
      <c r="T9" s="26" t="str">
        <f>"0,0000"</f>
        <v>0,0000</v>
      </c>
      <c r="U9" s="24" t="s">
        <v>181</v>
      </c>
    </row>
    <row r="10" spans="1:21">
      <c r="A10" s="37" t="s">
        <v>42</v>
      </c>
      <c r="B10" s="27" t="s">
        <v>118</v>
      </c>
      <c r="C10" s="27" t="s">
        <v>56</v>
      </c>
      <c r="D10" s="27" t="s">
        <v>57</v>
      </c>
      <c r="E10" s="28" t="s">
        <v>480</v>
      </c>
      <c r="F10" s="27" t="s">
        <v>459</v>
      </c>
      <c r="G10" s="35" t="s">
        <v>54</v>
      </c>
      <c r="H10" s="36" t="s">
        <v>58</v>
      </c>
      <c r="I10" s="35" t="s">
        <v>58</v>
      </c>
      <c r="J10" s="37"/>
      <c r="K10" s="36" t="s">
        <v>59</v>
      </c>
      <c r="L10" s="36" t="s">
        <v>59</v>
      </c>
      <c r="M10" s="35" t="s">
        <v>59</v>
      </c>
      <c r="N10" s="37"/>
      <c r="O10" s="35" t="s">
        <v>60</v>
      </c>
      <c r="P10" s="35" t="s">
        <v>18</v>
      </c>
      <c r="Q10" s="36" t="s">
        <v>51</v>
      </c>
      <c r="R10" s="37"/>
      <c r="S10" s="44" t="str">
        <f>"235,0"</f>
        <v>235,0</v>
      </c>
      <c r="T10" s="29" t="str">
        <f>"235,6580"</f>
        <v>235,6580</v>
      </c>
      <c r="U10" s="27" t="s">
        <v>181</v>
      </c>
    </row>
    <row r="12" spans="1:21" ht="16">
      <c r="A12" s="61" t="s">
        <v>10</v>
      </c>
      <c r="B12" s="61"/>
      <c r="C12" s="61"/>
      <c r="D12" s="61"/>
      <c r="E12" s="62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1:21">
      <c r="A13" s="34" t="s">
        <v>42</v>
      </c>
      <c r="B13" s="24" t="s">
        <v>119</v>
      </c>
      <c r="C13" s="24" t="s">
        <v>62</v>
      </c>
      <c r="D13" s="24" t="s">
        <v>63</v>
      </c>
      <c r="E13" s="25" t="s">
        <v>480</v>
      </c>
      <c r="F13" s="24" t="s">
        <v>459</v>
      </c>
      <c r="G13" s="38" t="s">
        <v>20</v>
      </c>
      <c r="H13" s="33" t="s">
        <v>64</v>
      </c>
      <c r="I13" s="33" t="s">
        <v>64</v>
      </c>
      <c r="J13" s="34"/>
      <c r="K13" s="38" t="s">
        <v>51</v>
      </c>
      <c r="L13" s="33" t="s">
        <v>65</v>
      </c>
      <c r="M13" s="33" t="s">
        <v>65</v>
      </c>
      <c r="N13" s="34"/>
      <c r="O13" s="38" t="s">
        <v>21</v>
      </c>
      <c r="P13" s="38" t="s">
        <v>66</v>
      </c>
      <c r="Q13" s="33" t="s">
        <v>67</v>
      </c>
      <c r="R13" s="34"/>
      <c r="S13" s="43" t="str">
        <f>"460,0"</f>
        <v>460,0</v>
      </c>
      <c r="T13" s="26" t="str">
        <f>"357,2360"</f>
        <v>357,2360</v>
      </c>
      <c r="U13" s="24" t="s">
        <v>181</v>
      </c>
    </row>
    <row r="14" spans="1:21">
      <c r="A14" s="37" t="s">
        <v>120</v>
      </c>
      <c r="B14" s="27" t="s">
        <v>121</v>
      </c>
      <c r="C14" s="27" t="s">
        <v>68</v>
      </c>
      <c r="D14" s="27" t="s">
        <v>69</v>
      </c>
      <c r="E14" s="28" t="s">
        <v>480</v>
      </c>
      <c r="F14" s="27" t="s">
        <v>458</v>
      </c>
      <c r="G14" s="35" t="s">
        <v>14</v>
      </c>
      <c r="H14" s="35" t="s">
        <v>70</v>
      </c>
      <c r="I14" s="35" t="s">
        <v>71</v>
      </c>
      <c r="J14" s="37"/>
      <c r="K14" s="36" t="s">
        <v>72</v>
      </c>
      <c r="L14" s="35" t="s">
        <v>72</v>
      </c>
      <c r="M14" s="35" t="s">
        <v>16</v>
      </c>
      <c r="N14" s="37"/>
      <c r="O14" s="35" t="s">
        <v>21</v>
      </c>
      <c r="P14" s="35" t="s">
        <v>73</v>
      </c>
      <c r="Q14" s="35" t="s">
        <v>67</v>
      </c>
      <c r="R14" s="37"/>
      <c r="S14" s="44" t="str">
        <f>"417,5"</f>
        <v>417,5</v>
      </c>
      <c r="T14" s="29" t="str">
        <f>"329,4492"</f>
        <v>329,4492</v>
      </c>
      <c r="U14" s="27" t="s">
        <v>11</v>
      </c>
    </row>
    <row r="16" spans="1:21" ht="16">
      <c r="A16" s="61" t="s">
        <v>52</v>
      </c>
      <c r="B16" s="61"/>
      <c r="C16" s="61"/>
      <c r="D16" s="61"/>
      <c r="E16" s="62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</row>
    <row r="17" spans="1:21">
      <c r="A17" s="34" t="s">
        <v>42</v>
      </c>
      <c r="B17" s="24" t="s">
        <v>122</v>
      </c>
      <c r="C17" s="24" t="s">
        <v>74</v>
      </c>
      <c r="D17" s="24" t="s">
        <v>75</v>
      </c>
      <c r="E17" s="25" t="s">
        <v>482</v>
      </c>
      <c r="F17" s="24" t="s">
        <v>460</v>
      </c>
      <c r="G17" s="38" t="s">
        <v>17</v>
      </c>
      <c r="H17" s="38" t="s">
        <v>18</v>
      </c>
      <c r="I17" s="33" t="s">
        <v>51</v>
      </c>
      <c r="J17" s="34"/>
      <c r="K17" s="38" t="s">
        <v>59</v>
      </c>
      <c r="L17" s="38" t="s">
        <v>76</v>
      </c>
      <c r="M17" s="34"/>
      <c r="N17" s="34"/>
      <c r="O17" s="38" t="s">
        <v>51</v>
      </c>
      <c r="P17" s="38" t="s">
        <v>65</v>
      </c>
      <c r="Q17" s="33" t="s">
        <v>13</v>
      </c>
      <c r="R17" s="34"/>
      <c r="S17" s="43" t="str">
        <f>"275,0"</f>
        <v>275,0</v>
      </c>
      <c r="T17" s="26" t="str">
        <f>"203,4450"</f>
        <v>203,4450</v>
      </c>
      <c r="U17" s="24" t="s">
        <v>181</v>
      </c>
    </row>
    <row r="18" spans="1:21">
      <c r="A18" s="37" t="s">
        <v>42</v>
      </c>
      <c r="B18" s="27" t="s">
        <v>123</v>
      </c>
      <c r="C18" s="27" t="s">
        <v>77</v>
      </c>
      <c r="D18" s="27" t="s">
        <v>78</v>
      </c>
      <c r="E18" s="28" t="s">
        <v>480</v>
      </c>
      <c r="F18" s="27" t="s">
        <v>458</v>
      </c>
      <c r="G18" s="35" t="s">
        <v>79</v>
      </c>
      <c r="H18" s="35" t="s">
        <v>80</v>
      </c>
      <c r="I18" s="35" t="s">
        <v>29</v>
      </c>
      <c r="J18" s="37"/>
      <c r="K18" s="35" t="s">
        <v>17</v>
      </c>
      <c r="L18" s="36" t="s">
        <v>18</v>
      </c>
      <c r="M18" s="36" t="s">
        <v>18</v>
      </c>
      <c r="N18" s="37"/>
      <c r="O18" s="36" t="s">
        <v>29</v>
      </c>
      <c r="P18" s="35" t="s">
        <v>81</v>
      </c>
      <c r="Q18" s="35" t="s">
        <v>20</v>
      </c>
      <c r="R18" s="37"/>
      <c r="S18" s="44" t="str">
        <f>"415,0"</f>
        <v>415,0</v>
      </c>
      <c r="T18" s="29" t="str">
        <f>"306,6850"</f>
        <v>306,6850</v>
      </c>
      <c r="U18" s="27" t="s">
        <v>181</v>
      </c>
    </row>
    <row r="20" spans="1:21" ht="16">
      <c r="A20" s="61" t="s">
        <v>82</v>
      </c>
      <c r="B20" s="61"/>
      <c r="C20" s="61"/>
      <c r="D20" s="61"/>
      <c r="E20" s="62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21">
      <c r="A21" s="34" t="s">
        <v>42</v>
      </c>
      <c r="B21" s="24" t="s">
        <v>124</v>
      </c>
      <c r="C21" s="24" t="s">
        <v>84</v>
      </c>
      <c r="D21" s="24" t="s">
        <v>85</v>
      </c>
      <c r="E21" s="25" t="s">
        <v>480</v>
      </c>
      <c r="F21" s="24" t="s">
        <v>459</v>
      </c>
      <c r="G21" s="38" t="s">
        <v>66</v>
      </c>
      <c r="H21" s="38" t="s">
        <v>86</v>
      </c>
      <c r="I21" s="38" t="s">
        <v>87</v>
      </c>
      <c r="J21" s="34"/>
      <c r="K21" s="38" t="s">
        <v>29</v>
      </c>
      <c r="L21" s="33" t="s">
        <v>88</v>
      </c>
      <c r="M21" s="33" t="s">
        <v>88</v>
      </c>
      <c r="N21" s="34"/>
      <c r="O21" s="38" t="s">
        <v>26</v>
      </c>
      <c r="P21" s="33" t="s">
        <v>89</v>
      </c>
      <c r="Q21" s="33" t="s">
        <v>89</v>
      </c>
      <c r="R21" s="34"/>
      <c r="S21" s="43" t="str">
        <f>"560,0"</f>
        <v>560,0</v>
      </c>
      <c r="T21" s="26" t="str">
        <f>"375,1440"</f>
        <v>375,1440</v>
      </c>
      <c r="U21" s="24" t="s">
        <v>181</v>
      </c>
    </row>
    <row r="22" spans="1:21">
      <c r="A22" s="40" t="s">
        <v>120</v>
      </c>
      <c r="B22" s="30" t="s">
        <v>125</v>
      </c>
      <c r="C22" s="30" t="s">
        <v>91</v>
      </c>
      <c r="D22" s="30" t="s">
        <v>92</v>
      </c>
      <c r="E22" s="31" t="s">
        <v>480</v>
      </c>
      <c r="F22" s="30" t="s">
        <v>461</v>
      </c>
      <c r="G22" s="39" t="s">
        <v>19</v>
      </c>
      <c r="H22" s="39" t="s">
        <v>81</v>
      </c>
      <c r="I22" s="39" t="s">
        <v>20</v>
      </c>
      <c r="J22" s="40"/>
      <c r="K22" s="39" t="s">
        <v>93</v>
      </c>
      <c r="L22" s="41" t="s">
        <v>65</v>
      </c>
      <c r="M22" s="41" t="s">
        <v>65</v>
      </c>
      <c r="N22" s="40"/>
      <c r="O22" s="41" t="s">
        <v>94</v>
      </c>
      <c r="P22" s="39" t="s">
        <v>95</v>
      </c>
      <c r="Q22" s="39" t="s">
        <v>27</v>
      </c>
      <c r="R22" s="40"/>
      <c r="S22" s="45" t="str">
        <f>"492,5"</f>
        <v>492,5</v>
      </c>
      <c r="T22" s="32" t="str">
        <f>"334,1612"</f>
        <v>334,1612</v>
      </c>
      <c r="U22" s="30" t="s">
        <v>96</v>
      </c>
    </row>
    <row r="23" spans="1:21">
      <c r="A23" s="37" t="s">
        <v>126</v>
      </c>
      <c r="B23" s="27" t="s">
        <v>127</v>
      </c>
      <c r="C23" s="27" t="s">
        <v>97</v>
      </c>
      <c r="D23" s="27" t="s">
        <v>98</v>
      </c>
      <c r="E23" s="28" t="s">
        <v>480</v>
      </c>
      <c r="F23" s="27" t="s">
        <v>459</v>
      </c>
      <c r="G23" s="35" t="s">
        <v>99</v>
      </c>
      <c r="H23" s="36" t="s">
        <v>79</v>
      </c>
      <c r="I23" s="35" t="s">
        <v>79</v>
      </c>
      <c r="J23" s="37"/>
      <c r="K23" s="35" t="s">
        <v>60</v>
      </c>
      <c r="L23" s="36" t="s">
        <v>17</v>
      </c>
      <c r="M23" s="35" t="s">
        <v>17</v>
      </c>
      <c r="N23" s="37"/>
      <c r="O23" s="36" t="s">
        <v>19</v>
      </c>
      <c r="P23" s="35" t="s">
        <v>19</v>
      </c>
      <c r="Q23" s="36" t="s">
        <v>100</v>
      </c>
      <c r="R23" s="37"/>
      <c r="S23" s="44" t="str">
        <f>"395,0"</f>
        <v>395,0</v>
      </c>
      <c r="T23" s="29" t="str">
        <f>"272,0760"</f>
        <v>272,0760</v>
      </c>
      <c r="U23" s="27" t="s">
        <v>181</v>
      </c>
    </row>
    <row r="25" spans="1:21" ht="16">
      <c r="A25" s="61" t="s">
        <v>23</v>
      </c>
      <c r="B25" s="61"/>
      <c r="C25" s="61"/>
      <c r="D25" s="61"/>
      <c r="E25" s="62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21">
      <c r="A26" s="34" t="s">
        <v>42</v>
      </c>
      <c r="B26" s="24" t="s">
        <v>128</v>
      </c>
      <c r="C26" s="24" t="s">
        <v>101</v>
      </c>
      <c r="D26" s="24" t="s">
        <v>102</v>
      </c>
      <c r="E26" s="25" t="s">
        <v>482</v>
      </c>
      <c r="F26" s="24" t="s">
        <v>458</v>
      </c>
      <c r="G26" s="38" t="s">
        <v>70</v>
      </c>
      <c r="H26" s="38" t="s">
        <v>99</v>
      </c>
      <c r="I26" s="38" t="s">
        <v>79</v>
      </c>
      <c r="J26" s="34"/>
      <c r="K26" s="33" t="s">
        <v>16</v>
      </c>
      <c r="L26" s="33" t="s">
        <v>16</v>
      </c>
      <c r="M26" s="38" t="s">
        <v>16</v>
      </c>
      <c r="N26" s="34"/>
      <c r="O26" s="38" t="s">
        <v>79</v>
      </c>
      <c r="P26" s="38" t="s">
        <v>80</v>
      </c>
      <c r="Q26" s="33" t="s">
        <v>29</v>
      </c>
      <c r="R26" s="34"/>
      <c r="S26" s="43" t="str">
        <f>"375,0"</f>
        <v>375,0</v>
      </c>
      <c r="T26" s="26" t="str">
        <f>"242,6625"</f>
        <v>242,6625</v>
      </c>
      <c r="U26" s="24" t="s">
        <v>103</v>
      </c>
    </row>
    <row r="27" spans="1:21">
      <c r="A27" s="40" t="s">
        <v>42</v>
      </c>
      <c r="B27" s="30" t="s">
        <v>129</v>
      </c>
      <c r="C27" s="30" t="s">
        <v>385</v>
      </c>
      <c r="D27" s="30" t="s">
        <v>104</v>
      </c>
      <c r="E27" s="31" t="s">
        <v>481</v>
      </c>
      <c r="F27" s="30" t="s">
        <v>453</v>
      </c>
      <c r="G27" s="39" t="s">
        <v>27</v>
      </c>
      <c r="H27" s="39" t="s">
        <v>105</v>
      </c>
      <c r="I27" s="41" t="s">
        <v>106</v>
      </c>
      <c r="J27" s="40"/>
      <c r="K27" s="39" t="s">
        <v>80</v>
      </c>
      <c r="L27" s="39" t="s">
        <v>29</v>
      </c>
      <c r="M27" s="41" t="s">
        <v>88</v>
      </c>
      <c r="N27" s="40"/>
      <c r="O27" s="41" t="s">
        <v>106</v>
      </c>
      <c r="P27" s="39" t="s">
        <v>106</v>
      </c>
      <c r="Q27" s="41" t="s">
        <v>107</v>
      </c>
      <c r="R27" s="40"/>
      <c r="S27" s="45" t="str">
        <f>"607,5"</f>
        <v>607,5</v>
      </c>
      <c r="T27" s="32" t="str">
        <f>"392,6273"</f>
        <v>392,6273</v>
      </c>
      <c r="U27" s="30" t="s">
        <v>181</v>
      </c>
    </row>
    <row r="28" spans="1:21">
      <c r="A28" s="37" t="s">
        <v>42</v>
      </c>
      <c r="B28" s="27" t="s">
        <v>130</v>
      </c>
      <c r="C28" s="27" t="s">
        <v>108</v>
      </c>
      <c r="D28" s="27" t="s">
        <v>109</v>
      </c>
      <c r="E28" s="28" t="s">
        <v>480</v>
      </c>
      <c r="F28" s="27" t="s">
        <v>462</v>
      </c>
      <c r="G28" s="35" t="s">
        <v>79</v>
      </c>
      <c r="H28" s="35" t="s">
        <v>29</v>
      </c>
      <c r="I28" s="35" t="s">
        <v>81</v>
      </c>
      <c r="J28" s="37"/>
      <c r="K28" s="35" t="s">
        <v>17</v>
      </c>
      <c r="L28" s="35" t="s">
        <v>51</v>
      </c>
      <c r="M28" s="35" t="s">
        <v>65</v>
      </c>
      <c r="N28" s="37"/>
      <c r="O28" s="35" t="s">
        <v>29</v>
      </c>
      <c r="P28" s="35" t="s">
        <v>21</v>
      </c>
      <c r="Q28" s="35" t="s">
        <v>67</v>
      </c>
      <c r="R28" s="37"/>
      <c r="S28" s="44" t="str">
        <f>"465,0"</f>
        <v>465,0</v>
      </c>
      <c r="T28" s="29" t="str">
        <f>"297,6930"</f>
        <v>297,6930</v>
      </c>
      <c r="U28" s="27" t="s">
        <v>181</v>
      </c>
    </row>
    <row r="30" spans="1:21" ht="16">
      <c r="A30" s="61" t="s">
        <v>110</v>
      </c>
      <c r="B30" s="61"/>
      <c r="C30" s="61"/>
      <c r="D30" s="61"/>
      <c r="E30" s="62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21">
      <c r="A31" s="22" t="s">
        <v>42</v>
      </c>
      <c r="B31" s="7" t="s">
        <v>131</v>
      </c>
      <c r="C31" s="7" t="s">
        <v>111</v>
      </c>
      <c r="D31" s="7" t="s">
        <v>112</v>
      </c>
      <c r="E31" s="8" t="s">
        <v>480</v>
      </c>
      <c r="F31" s="7" t="s">
        <v>461</v>
      </c>
      <c r="G31" s="21" t="s">
        <v>79</v>
      </c>
      <c r="H31" s="21" t="s">
        <v>29</v>
      </c>
      <c r="I31" s="21" t="s">
        <v>19</v>
      </c>
      <c r="J31" s="22"/>
      <c r="K31" s="21" t="s">
        <v>14</v>
      </c>
      <c r="L31" s="21" t="s">
        <v>70</v>
      </c>
      <c r="M31" s="21" t="s">
        <v>99</v>
      </c>
      <c r="N31" s="22"/>
      <c r="O31" s="21" t="s">
        <v>21</v>
      </c>
      <c r="P31" s="21" t="s">
        <v>73</v>
      </c>
      <c r="Q31" s="23" t="s">
        <v>67</v>
      </c>
      <c r="R31" s="22"/>
      <c r="S31" s="42" t="str">
        <f>"470,0"</f>
        <v>470,0</v>
      </c>
      <c r="T31" s="9" t="str">
        <f>"281,0600"</f>
        <v>281,0600</v>
      </c>
      <c r="U31" s="7" t="s">
        <v>181</v>
      </c>
    </row>
    <row r="33" spans="2:7" ht="16">
      <c r="F33" s="11"/>
      <c r="G33" s="5"/>
    </row>
    <row r="34" spans="2:7">
      <c r="G34" s="5"/>
    </row>
    <row r="35" spans="2:7" ht="18">
      <c r="B35" s="12" t="s">
        <v>33</v>
      </c>
      <c r="C35" s="12"/>
      <c r="G35" s="3"/>
    </row>
    <row r="36" spans="2:7" ht="16">
      <c r="B36" s="13" t="s">
        <v>39</v>
      </c>
      <c r="C36" s="13"/>
      <c r="G36" s="3"/>
    </row>
    <row r="37" spans="2:7" ht="14">
      <c r="B37" s="14"/>
      <c r="C37" s="15" t="s">
        <v>40</v>
      </c>
      <c r="G37" s="3"/>
    </row>
    <row r="38" spans="2:7" ht="14">
      <c r="B38" s="16" t="s">
        <v>34</v>
      </c>
      <c r="C38" s="16" t="s">
        <v>35</v>
      </c>
      <c r="D38" s="16" t="s">
        <v>383</v>
      </c>
      <c r="E38" s="17" t="s">
        <v>36</v>
      </c>
      <c r="F38" s="16" t="s">
        <v>37</v>
      </c>
      <c r="G38" s="3"/>
    </row>
    <row r="39" spans="2:7">
      <c r="B39" s="5" t="s">
        <v>83</v>
      </c>
      <c r="C39" s="5" t="s">
        <v>40</v>
      </c>
      <c r="D39" s="19" t="s">
        <v>114</v>
      </c>
      <c r="E39" s="20">
        <v>560</v>
      </c>
      <c r="F39" s="18">
        <v>375.14400005340599</v>
      </c>
      <c r="G39" s="3"/>
    </row>
    <row r="40" spans="2:7">
      <c r="B40" s="5" t="s">
        <v>61</v>
      </c>
      <c r="C40" s="5" t="s">
        <v>40</v>
      </c>
      <c r="D40" s="19" t="s">
        <v>38</v>
      </c>
      <c r="E40" s="20">
        <v>460</v>
      </c>
      <c r="F40" s="18">
        <v>357.23600149154697</v>
      </c>
      <c r="G40" s="3"/>
    </row>
    <row r="41" spans="2:7">
      <c r="B41" s="5" t="s">
        <v>90</v>
      </c>
      <c r="C41" s="5" t="s">
        <v>40</v>
      </c>
      <c r="D41" s="19" t="s">
        <v>114</v>
      </c>
      <c r="E41" s="20">
        <v>492.5</v>
      </c>
      <c r="F41" s="18">
        <v>334.16124835610401</v>
      </c>
      <c r="G41" s="3"/>
    </row>
    <row r="42" spans="2:7">
      <c r="E42" s="5"/>
      <c r="F42" s="10"/>
      <c r="G42" s="5"/>
    </row>
  </sheetData>
  <mergeCells count="20">
    <mergeCell ref="A30:R30"/>
    <mergeCell ref="S3:S4"/>
    <mergeCell ref="T3:T4"/>
    <mergeCell ref="U3:U4"/>
    <mergeCell ref="A5:R5"/>
    <mergeCell ref="B3:B4"/>
    <mergeCell ref="A8:R8"/>
    <mergeCell ref="A12:R12"/>
    <mergeCell ref="A16:R16"/>
    <mergeCell ref="A20:R20"/>
    <mergeCell ref="A25:R2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24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8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46" t="s">
        <v>435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146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168</v>
      </c>
      <c r="C6" s="7" t="s">
        <v>393</v>
      </c>
      <c r="D6" s="7" t="s">
        <v>147</v>
      </c>
      <c r="E6" s="8" t="s">
        <v>481</v>
      </c>
      <c r="F6" s="7" t="s">
        <v>458</v>
      </c>
      <c r="G6" s="21" t="s">
        <v>148</v>
      </c>
      <c r="H6" s="21" t="s">
        <v>149</v>
      </c>
      <c r="I6" s="23" t="s">
        <v>55</v>
      </c>
      <c r="J6" s="22"/>
      <c r="K6" s="9" t="str">
        <f>"37,5"</f>
        <v>37,5</v>
      </c>
      <c r="L6" s="9" t="str">
        <f>"44,9438"</f>
        <v>44,9438</v>
      </c>
      <c r="M6" s="7" t="s">
        <v>181</v>
      </c>
    </row>
    <row r="8" spans="1:13" ht="16">
      <c r="A8" s="61" t="s">
        <v>10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2" t="s">
        <v>42</v>
      </c>
      <c r="B9" s="7" t="s">
        <v>43</v>
      </c>
      <c r="C9" s="7" t="s">
        <v>386</v>
      </c>
      <c r="D9" s="7" t="s">
        <v>12</v>
      </c>
      <c r="E9" s="8" t="s">
        <v>483</v>
      </c>
      <c r="F9" s="7" t="s">
        <v>458</v>
      </c>
      <c r="G9" s="21" t="s">
        <v>16</v>
      </c>
      <c r="H9" s="21" t="s">
        <v>17</v>
      </c>
      <c r="I9" s="21" t="s">
        <v>18</v>
      </c>
      <c r="J9" s="22"/>
      <c r="K9" s="9" t="str">
        <f>"105,0"</f>
        <v>105,0</v>
      </c>
      <c r="L9" s="9" t="str">
        <f>"122,4971"</f>
        <v>122,4971</v>
      </c>
      <c r="M9" s="7" t="s">
        <v>22</v>
      </c>
    </row>
    <row r="11" spans="1:13" ht="16">
      <c r="A11" s="61" t="s">
        <v>146</v>
      </c>
      <c r="B11" s="61"/>
      <c r="C11" s="61"/>
      <c r="D11" s="61"/>
      <c r="E11" s="62"/>
      <c r="F11" s="61"/>
      <c r="G11" s="61"/>
      <c r="H11" s="61"/>
      <c r="I11" s="61"/>
      <c r="J11" s="61"/>
    </row>
    <row r="12" spans="1:13">
      <c r="A12" s="22" t="s">
        <v>42</v>
      </c>
      <c r="B12" s="7" t="s">
        <v>169</v>
      </c>
      <c r="C12" s="7" t="s">
        <v>152</v>
      </c>
      <c r="D12" s="7" t="s">
        <v>153</v>
      </c>
      <c r="E12" s="8" t="s">
        <v>482</v>
      </c>
      <c r="F12" s="7" t="s">
        <v>463</v>
      </c>
      <c r="G12" s="21" t="s">
        <v>154</v>
      </c>
      <c r="H12" s="21" t="s">
        <v>59</v>
      </c>
      <c r="I12" s="21" t="s">
        <v>155</v>
      </c>
      <c r="J12" s="22"/>
      <c r="K12" s="9" t="str">
        <f>"57,5"</f>
        <v>57,5</v>
      </c>
      <c r="L12" s="9" t="str">
        <f>"55,5335"</f>
        <v>55,5335</v>
      </c>
      <c r="M12" s="7" t="s">
        <v>181</v>
      </c>
    </row>
    <row r="14" spans="1:13" ht="16">
      <c r="A14" s="61" t="s">
        <v>10</v>
      </c>
      <c r="B14" s="61"/>
      <c r="C14" s="61"/>
      <c r="D14" s="61"/>
      <c r="E14" s="62"/>
      <c r="F14" s="61"/>
      <c r="G14" s="61"/>
      <c r="H14" s="61"/>
      <c r="I14" s="61"/>
      <c r="J14" s="61"/>
    </row>
    <row r="15" spans="1:13">
      <c r="A15" s="22" t="s">
        <v>42</v>
      </c>
      <c r="B15" s="7" t="s">
        <v>170</v>
      </c>
      <c r="C15" s="7" t="s">
        <v>156</v>
      </c>
      <c r="D15" s="7" t="s">
        <v>157</v>
      </c>
      <c r="E15" s="8" t="s">
        <v>482</v>
      </c>
      <c r="F15" s="7" t="s">
        <v>460</v>
      </c>
      <c r="G15" s="21" t="s">
        <v>50</v>
      </c>
      <c r="H15" s="21" t="s">
        <v>158</v>
      </c>
      <c r="I15" s="23" t="s">
        <v>54</v>
      </c>
      <c r="J15" s="22"/>
      <c r="K15" s="9" t="str">
        <f>"65,0"</f>
        <v>65,0</v>
      </c>
      <c r="L15" s="9" t="str">
        <f>"53,1570"</f>
        <v>53,1570</v>
      </c>
      <c r="M15" s="7" t="s">
        <v>159</v>
      </c>
    </row>
    <row r="17" spans="1:13" ht="16">
      <c r="A17" s="61" t="s">
        <v>52</v>
      </c>
      <c r="B17" s="61"/>
      <c r="C17" s="61"/>
      <c r="D17" s="61"/>
      <c r="E17" s="62"/>
      <c r="F17" s="61"/>
      <c r="G17" s="61"/>
      <c r="H17" s="61"/>
      <c r="I17" s="61"/>
      <c r="J17" s="61"/>
    </row>
    <row r="18" spans="1:13">
      <c r="A18" s="22" t="s">
        <v>42</v>
      </c>
      <c r="B18" s="7" t="s">
        <v>171</v>
      </c>
      <c r="C18" s="7" t="s">
        <v>394</v>
      </c>
      <c r="D18" s="7" t="s">
        <v>160</v>
      </c>
      <c r="E18" s="8" t="s">
        <v>481</v>
      </c>
      <c r="F18" s="7" t="s">
        <v>458</v>
      </c>
      <c r="G18" s="23" t="s">
        <v>99</v>
      </c>
      <c r="H18" s="23" t="s">
        <v>99</v>
      </c>
      <c r="I18" s="21" t="s">
        <v>99</v>
      </c>
      <c r="J18" s="22"/>
      <c r="K18" s="9" t="str">
        <f>"135,0"</f>
        <v>135,0</v>
      </c>
      <c r="L18" s="9" t="str">
        <f>"97,4835"</f>
        <v>97,4835</v>
      </c>
      <c r="M18" s="7" t="s">
        <v>181</v>
      </c>
    </row>
    <row r="20" spans="1:13" ht="16">
      <c r="A20" s="61" t="s">
        <v>23</v>
      </c>
      <c r="B20" s="61"/>
      <c r="C20" s="61"/>
      <c r="D20" s="61"/>
      <c r="E20" s="62"/>
      <c r="F20" s="61"/>
      <c r="G20" s="61"/>
      <c r="H20" s="61"/>
      <c r="I20" s="61"/>
      <c r="J20" s="61"/>
    </row>
    <row r="21" spans="1:13">
      <c r="A21" s="22" t="s">
        <v>42</v>
      </c>
      <c r="B21" s="7" t="s">
        <v>172</v>
      </c>
      <c r="C21" s="7" t="s">
        <v>395</v>
      </c>
      <c r="D21" s="7" t="s">
        <v>161</v>
      </c>
      <c r="E21" s="8" t="s">
        <v>487</v>
      </c>
      <c r="F21" s="7" t="s">
        <v>458</v>
      </c>
      <c r="G21" s="23" t="s">
        <v>18</v>
      </c>
      <c r="H21" s="21" t="s">
        <v>18</v>
      </c>
      <c r="I21" s="23" t="s">
        <v>51</v>
      </c>
      <c r="J21" s="22"/>
      <c r="K21" s="9" t="str">
        <f>"105,0"</f>
        <v>105,0</v>
      </c>
      <c r="L21" s="9" t="str">
        <f>"133,4926"</f>
        <v>133,4926</v>
      </c>
      <c r="M21" s="7" t="s">
        <v>181</v>
      </c>
    </row>
    <row r="23" spans="1:13" ht="16">
      <c r="A23" s="61" t="s">
        <v>162</v>
      </c>
      <c r="B23" s="61"/>
      <c r="C23" s="61"/>
      <c r="D23" s="61"/>
      <c r="E23" s="62"/>
      <c r="F23" s="61"/>
      <c r="G23" s="61"/>
      <c r="H23" s="61"/>
      <c r="I23" s="61"/>
      <c r="J23" s="61"/>
    </row>
    <row r="24" spans="1:13">
      <c r="A24" s="22" t="s">
        <v>42</v>
      </c>
      <c r="B24" s="7" t="s">
        <v>173</v>
      </c>
      <c r="C24" s="7" t="s">
        <v>163</v>
      </c>
      <c r="D24" s="7" t="s">
        <v>164</v>
      </c>
      <c r="E24" s="8" t="s">
        <v>480</v>
      </c>
      <c r="F24" s="7" t="s">
        <v>458</v>
      </c>
      <c r="G24" s="21" t="s">
        <v>94</v>
      </c>
      <c r="H24" s="21" t="s">
        <v>165</v>
      </c>
      <c r="I24" s="21" t="s">
        <v>28</v>
      </c>
      <c r="J24" s="22"/>
      <c r="K24" s="9" t="str">
        <f>"220,0"</f>
        <v>220,0</v>
      </c>
      <c r="L24" s="9" t="str">
        <f>"124,7840"</f>
        <v>124,7840</v>
      </c>
      <c r="M24" s="7" t="s">
        <v>181</v>
      </c>
    </row>
  </sheetData>
  <mergeCells count="18">
    <mergeCell ref="A23:J23"/>
    <mergeCell ref="B3:B4"/>
    <mergeCell ref="A8:J8"/>
    <mergeCell ref="A11:J11"/>
    <mergeCell ref="A14:J14"/>
    <mergeCell ref="A17:J17"/>
    <mergeCell ref="A20:J2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0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6.33203125" style="5" bestFit="1" customWidth="1"/>
    <col min="14" max="16384" width="9.1640625" style="3"/>
  </cols>
  <sheetData>
    <row r="1" spans="1:13" s="2" customFormat="1" ht="29" customHeight="1">
      <c r="A1" s="46" t="s">
        <v>436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134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234</v>
      </c>
      <c r="C6" s="7" t="s">
        <v>232</v>
      </c>
      <c r="D6" s="7" t="s">
        <v>233</v>
      </c>
      <c r="E6" s="8" t="s">
        <v>480</v>
      </c>
      <c r="F6" s="7" t="s">
        <v>458</v>
      </c>
      <c r="G6" s="21" t="s">
        <v>87</v>
      </c>
      <c r="H6" s="21" t="s">
        <v>26</v>
      </c>
      <c r="I6" s="23" t="s">
        <v>27</v>
      </c>
      <c r="J6" s="22"/>
      <c r="K6" s="9" t="str">
        <f>"210,0"</f>
        <v>210,0</v>
      </c>
      <c r="L6" s="9" t="str">
        <f>"129,1500"</f>
        <v>129,1500</v>
      </c>
      <c r="M6" s="7" t="s">
        <v>151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664062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0.33203125" style="5" bestFit="1" customWidth="1"/>
    <col min="7" max="10" width="5.5" style="19" customWidth="1"/>
    <col min="11" max="11" width="10.5" style="6" bestFit="1" customWidth="1"/>
    <col min="12" max="12" width="8.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46" t="s">
        <v>437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52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370</v>
      </c>
      <c r="C6" s="7" t="s">
        <v>366</v>
      </c>
      <c r="D6" s="7" t="s">
        <v>367</v>
      </c>
      <c r="E6" s="8" t="s">
        <v>484</v>
      </c>
      <c r="F6" s="7" t="s">
        <v>458</v>
      </c>
      <c r="G6" s="21" t="s">
        <v>70</v>
      </c>
      <c r="H6" s="23" t="s">
        <v>79</v>
      </c>
      <c r="I6" s="21" t="s">
        <v>79</v>
      </c>
      <c r="J6" s="22"/>
      <c r="K6" s="9" t="str">
        <f>"140,0"</f>
        <v>140,0</v>
      </c>
      <c r="L6" s="9" t="str">
        <f>"126,2542"</f>
        <v>126,2542</v>
      </c>
      <c r="M6" s="7" t="s">
        <v>355</v>
      </c>
    </row>
    <row r="8" spans="1:13" ht="16">
      <c r="A8" s="61" t="s">
        <v>10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2" t="s">
        <v>42</v>
      </c>
      <c r="B9" s="7" t="s">
        <v>371</v>
      </c>
      <c r="C9" s="7" t="s">
        <v>368</v>
      </c>
      <c r="D9" s="7" t="s">
        <v>369</v>
      </c>
      <c r="E9" s="8" t="s">
        <v>480</v>
      </c>
      <c r="F9" s="7" t="s">
        <v>455</v>
      </c>
      <c r="G9" s="21" t="s">
        <v>81</v>
      </c>
      <c r="H9" s="21" t="s">
        <v>21</v>
      </c>
      <c r="I9" s="21" t="s">
        <v>73</v>
      </c>
      <c r="J9" s="23" t="s">
        <v>67</v>
      </c>
      <c r="K9" s="9" t="str">
        <f>"180,0"</f>
        <v>180,0</v>
      </c>
      <c r="L9" s="9" t="str">
        <f>"137,8800"</f>
        <v>137,8800</v>
      </c>
      <c r="M9" s="7" t="s">
        <v>142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1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5.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6" t="s">
        <v>438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207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382</v>
      </c>
      <c r="C6" s="7" t="s">
        <v>379</v>
      </c>
      <c r="D6" s="7" t="s">
        <v>380</v>
      </c>
      <c r="E6" s="8" t="s">
        <v>481</v>
      </c>
      <c r="F6" s="7" t="s">
        <v>471</v>
      </c>
      <c r="G6" s="23" t="s">
        <v>381</v>
      </c>
      <c r="H6" s="23" t="s">
        <v>381</v>
      </c>
      <c r="I6" s="21" t="s">
        <v>381</v>
      </c>
      <c r="J6" s="22"/>
      <c r="K6" s="9" t="str">
        <f>"300,0"</f>
        <v>300,0</v>
      </c>
      <c r="L6" s="9" t="str">
        <f>"163,6200"</f>
        <v>163,6200</v>
      </c>
      <c r="M6" s="7" t="s">
        <v>181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5.8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46" t="s">
        <v>439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52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378</v>
      </c>
      <c r="C6" s="7" t="s">
        <v>376</v>
      </c>
      <c r="D6" s="7" t="s">
        <v>377</v>
      </c>
      <c r="E6" s="8" t="s">
        <v>480</v>
      </c>
      <c r="F6" s="7" t="s">
        <v>472</v>
      </c>
      <c r="G6" s="21" t="s">
        <v>67</v>
      </c>
      <c r="H6" s="21" t="s">
        <v>87</v>
      </c>
      <c r="I6" s="21" t="s">
        <v>26</v>
      </c>
      <c r="J6" s="22"/>
      <c r="K6" s="9" t="str">
        <f>"210,0"</f>
        <v>210,0</v>
      </c>
      <c r="L6" s="9" t="str">
        <f>"179,6550"</f>
        <v>179,6550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4.1640625" style="5" bestFit="1" customWidth="1"/>
    <col min="7" max="8" width="5.5" style="19" customWidth="1"/>
    <col min="9" max="9" width="6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6.33203125" style="5" bestFit="1" customWidth="1"/>
    <col min="14" max="16384" width="9.1640625" style="3"/>
  </cols>
  <sheetData>
    <row r="1" spans="1:13" s="2" customFormat="1" ht="29" customHeight="1">
      <c r="A1" s="46" t="s">
        <v>440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134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227</v>
      </c>
      <c r="C6" s="7" t="s">
        <v>375</v>
      </c>
      <c r="D6" s="7" t="s">
        <v>203</v>
      </c>
      <c r="E6" s="8" t="s">
        <v>483</v>
      </c>
      <c r="F6" s="7" t="s">
        <v>459</v>
      </c>
      <c r="G6" s="21" t="s">
        <v>29</v>
      </c>
      <c r="H6" s="21" t="s">
        <v>19</v>
      </c>
      <c r="I6" s="22"/>
      <c r="J6" s="22"/>
      <c r="K6" s="9" t="str">
        <f>"155,0"</f>
        <v>155,0</v>
      </c>
      <c r="L6" s="9" t="str">
        <f>"127,3311"</f>
        <v>127,3311</v>
      </c>
      <c r="M6" s="7" t="s">
        <v>103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832031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0.33203125" style="5" bestFit="1" customWidth="1"/>
    <col min="7" max="8" width="5.5" style="19" customWidth="1"/>
    <col min="9" max="9" width="5.164062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6" t="s">
        <v>441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134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374</v>
      </c>
      <c r="C6" s="7" t="s">
        <v>372</v>
      </c>
      <c r="D6" s="7" t="s">
        <v>373</v>
      </c>
      <c r="E6" s="8" t="s">
        <v>480</v>
      </c>
      <c r="F6" s="7" t="s">
        <v>458</v>
      </c>
      <c r="G6" s="21" t="s">
        <v>79</v>
      </c>
      <c r="H6" s="21" t="s">
        <v>29</v>
      </c>
      <c r="I6" s="22"/>
      <c r="J6" s="22"/>
      <c r="K6" s="9" t="str">
        <f>"150,0"</f>
        <v>150,0</v>
      </c>
      <c r="L6" s="9" t="str">
        <f>"93,3000"</f>
        <v>93,3000</v>
      </c>
      <c r="M6" s="7" t="s">
        <v>181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37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22.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8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46" t="s">
        <v>442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23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342</v>
      </c>
      <c r="C6" s="7" t="s">
        <v>320</v>
      </c>
      <c r="D6" s="7" t="s">
        <v>161</v>
      </c>
      <c r="E6" s="8" t="s">
        <v>480</v>
      </c>
      <c r="F6" s="7" t="s">
        <v>458</v>
      </c>
      <c r="G6" s="21" t="s">
        <v>268</v>
      </c>
      <c r="H6" s="21" t="s">
        <v>55</v>
      </c>
      <c r="I6" s="23" t="s">
        <v>321</v>
      </c>
      <c r="J6" s="22"/>
      <c r="K6" s="9" t="str">
        <f>"40,0"</f>
        <v>40,0</v>
      </c>
      <c r="L6" s="9" t="str">
        <f>"30,0820"</f>
        <v>30,0820</v>
      </c>
      <c r="M6" s="7" t="s">
        <v>181</v>
      </c>
    </row>
    <row r="8" spans="1:13" ht="16">
      <c r="A8" s="61" t="s">
        <v>10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34" t="s">
        <v>42</v>
      </c>
      <c r="B9" s="24" t="s">
        <v>343</v>
      </c>
      <c r="C9" s="24" t="s">
        <v>323</v>
      </c>
      <c r="D9" s="24" t="s">
        <v>270</v>
      </c>
      <c r="E9" s="25" t="s">
        <v>480</v>
      </c>
      <c r="F9" s="24" t="s">
        <v>469</v>
      </c>
      <c r="G9" s="38" t="s">
        <v>18</v>
      </c>
      <c r="H9" s="33" t="s">
        <v>51</v>
      </c>
      <c r="I9" s="38" t="s">
        <v>51</v>
      </c>
      <c r="J9" s="34"/>
      <c r="K9" s="26" t="str">
        <f>"110,0"</f>
        <v>110,0</v>
      </c>
      <c r="L9" s="26" t="str">
        <f>"83,3855"</f>
        <v>83,3855</v>
      </c>
      <c r="M9" s="24" t="s">
        <v>181</v>
      </c>
    </row>
    <row r="10" spans="1:13">
      <c r="A10" s="40" t="s">
        <v>120</v>
      </c>
      <c r="B10" s="30" t="s">
        <v>344</v>
      </c>
      <c r="C10" s="30" t="s">
        <v>325</v>
      </c>
      <c r="D10" s="30" t="s">
        <v>326</v>
      </c>
      <c r="E10" s="31" t="s">
        <v>480</v>
      </c>
      <c r="F10" s="30" t="s">
        <v>468</v>
      </c>
      <c r="G10" s="39" t="s">
        <v>16</v>
      </c>
      <c r="H10" s="39" t="s">
        <v>17</v>
      </c>
      <c r="I10" s="39" t="s">
        <v>18</v>
      </c>
      <c r="J10" s="40"/>
      <c r="K10" s="32" t="str">
        <f>"105,0"</f>
        <v>105,0</v>
      </c>
      <c r="L10" s="32" t="str">
        <f>"78,5820"</f>
        <v>78,5820</v>
      </c>
      <c r="M10" s="30" t="s">
        <v>181</v>
      </c>
    </row>
    <row r="11" spans="1:13">
      <c r="A11" s="37" t="s">
        <v>126</v>
      </c>
      <c r="B11" s="27" t="s">
        <v>345</v>
      </c>
      <c r="C11" s="27" t="s">
        <v>327</v>
      </c>
      <c r="D11" s="27" t="s">
        <v>328</v>
      </c>
      <c r="E11" s="28" t="s">
        <v>480</v>
      </c>
      <c r="F11" s="27" t="s">
        <v>468</v>
      </c>
      <c r="G11" s="35" t="s">
        <v>50</v>
      </c>
      <c r="H11" s="35" t="s">
        <v>54</v>
      </c>
      <c r="I11" s="36" t="s">
        <v>329</v>
      </c>
      <c r="J11" s="37"/>
      <c r="K11" s="29" t="str">
        <f>"70,0"</f>
        <v>70,0</v>
      </c>
      <c r="L11" s="29" t="str">
        <f>"53,8370"</f>
        <v>53,8370</v>
      </c>
      <c r="M11" s="27" t="s">
        <v>181</v>
      </c>
    </row>
    <row r="13" spans="1:13" ht="16">
      <c r="A13" s="61" t="s">
        <v>52</v>
      </c>
      <c r="B13" s="61"/>
      <c r="C13" s="61"/>
      <c r="D13" s="61"/>
      <c r="E13" s="62"/>
      <c r="F13" s="61"/>
      <c r="G13" s="61"/>
      <c r="H13" s="61"/>
      <c r="I13" s="61"/>
      <c r="J13" s="61"/>
    </row>
    <row r="14" spans="1:13">
      <c r="A14" s="34" t="s">
        <v>42</v>
      </c>
      <c r="B14" s="24" t="s">
        <v>346</v>
      </c>
      <c r="C14" s="24" t="s">
        <v>331</v>
      </c>
      <c r="D14" s="24" t="s">
        <v>332</v>
      </c>
      <c r="E14" s="25" t="s">
        <v>480</v>
      </c>
      <c r="F14" s="24" t="s">
        <v>458</v>
      </c>
      <c r="G14" s="38" t="s">
        <v>29</v>
      </c>
      <c r="H14" s="38" t="s">
        <v>19</v>
      </c>
      <c r="I14" s="38" t="s">
        <v>30</v>
      </c>
      <c r="J14" s="34"/>
      <c r="K14" s="26" t="str">
        <f>"157,5"</f>
        <v>157,5</v>
      </c>
      <c r="L14" s="26" t="str">
        <f>"108,6592"</f>
        <v>108,6592</v>
      </c>
      <c r="M14" s="24" t="s">
        <v>181</v>
      </c>
    </row>
    <row r="15" spans="1:13">
      <c r="A15" s="37" t="s">
        <v>42</v>
      </c>
      <c r="B15" s="27" t="s">
        <v>346</v>
      </c>
      <c r="C15" s="27" t="s">
        <v>333</v>
      </c>
      <c r="D15" s="27" t="s">
        <v>332</v>
      </c>
      <c r="E15" s="28" t="s">
        <v>484</v>
      </c>
      <c r="F15" s="27" t="s">
        <v>458</v>
      </c>
      <c r="G15" s="35" t="s">
        <v>29</v>
      </c>
      <c r="H15" s="35" t="s">
        <v>19</v>
      </c>
      <c r="I15" s="35" t="s">
        <v>30</v>
      </c>
      <c r="J15" s="37"/>
      <c r="K15" s="29" t="str">
        <f>"157,5"</f>
        <v>157,5</v>
      </c>
      <c r="L15" s="29" t="str">
        <f>"120,9377"</f>
        <v>120,9377</v>
      </c>
      <c r="M15" s="27" t="s">
        <v>181</v>
      </c>
    </row>
    <row r="17" spans="1:13" ht="16">
      <c r="A17" s="61" t="s">
        <v>82</v>
      </c>
      <c r="B17" s="61"/>
      <c r="C17" s="61"/>
      <c r="D17" s="61"/>
      <c r="E17" s="62"/>
      <c r="F17" s="61"/>
      <c r="G17" s="61"/>
      <c r="H17" s="61"/>
      <c r="I17" s="61"/>
      <c r="J17" s="61"/>
    </row>
    <row r="18" spans="1:13">
      <c r="A18" s="22" t="s">
        <v>42</v>
      </c>
      <c r="B18" s="7" t="s">
        <v>347</v>
      </c>
      <c r="C18" s="7" t="s">
        <v>334</v>
      </c>
      <c r="D18" s="7" t="s">
        <v>85</v>
      </c>
      <c r="E18" s="8" t="s">
        <v>480</v>
      </c>
      <c r="F18" s="7" t="s">
        <v>458</v>
      </c>
      <c r="G18" s="21" t="s">
        <v>58</v>
      </c>
      <c r="H18" s="21" t="s">
        <v>16</v>
      </c>
      <c r="I18" s="21" t="s">
        <v>254</v>
      </c>
      <c r="J18" s="22"/>
      <c r="K18" s="9" t="str">
        <f>"92,5"</f>
        <v>92,5</v>
      </c>
      <c r="L18" s="9" t="str">
        <f>"59,6255"</f>
        <v>59,6255</v>
      </c>
      <c r="M18" s="7" t="s">
        <v>181</v>
      </c>
    </row>
    <row r="20" spans="1:13" ht="16">
      <c r="A20" s="61" t="s">
        <v>23</v>
      </c>
      <c r="B20" s="61"/>
      <c r="C20" s="61"/>
      <c r="D20" s="61"/>
      <c r="E20" s="62"/>
      <c r="F20" s="61"/>
      <c r="G20" s="61"/>
      <c r="H20" s="61"/>
      <c r="I20" s="61"/>
      <c r="J20" s="61"/>
    </row>
    <row r="21" spans="1:13">
      <c r="A21" s="22" t="s">
        <v>42</v>
      </c>
      <c r="B21" s="7" t="s">
        <v>348</v>
      </c>
      <c r="C21" s="7" t="s">
        <v>335</v>
      </c>
      <c r="D21" s="7" t="s">
        <v>336</v>
      </c>
      <c r="E21" s="8" t="s">
        <v>480</v>
      </c>
      <c r="F21" s="7" t="s">
        <v>458</v>
      </c>
      <c r="G21" s="21" t="s">
        <v>16</v>
      </c>
      <c r="H21" s="21" t="s">
        <v>60</v>
      </c>
      <c r="I21" s="21" t="s">
        <v>337</v>
      </c>
      <c r="J21" s="22"/>
      <c r="K21" s="9" t="str">
        <f>"97,5"</f>
        <v>97,5</v>
      </c>
      <c r="L21" s="9" t="str">
        <f>"61,3714"</f>
        <v>61,3714</v>
      </c>
      <c r="M21" s="7" t="s">
        <v>346</v>
      </c>
    </row>
    <row r="23" spans="1:13" ht="16">
      <c r="A23" s="61" t="s">
        <v>134</v>
      </c>
      <c r="B23" s="61"/>
      <c r="C23" s="61"/>
      <c r="D23" s="61"/>
      <c r="E23" s="62"/>
      <c r="F23" s="61"/>
      <c r="G23" s="61"/>
      <c r="H23" s="61"/>
      <c r="I23" s="61"/>
      <c r="J23" s="61"/>
    </row>
    <row r="24" spans="1:13">
      <c r="A24" s="22" t="s">
        <v>42</v>
      </c>
      <c r="B24" s="7" t="s">
        <v>349</v>
      </c>
      <c r="C24" s="7" t="s">
        <v>338</v>
      </c>
      <c r="D24" s="7" t="s">
        <v>339</v>
      </c>
      <c r="E24" s="8" t="s">
        <v>480</v>
      </c>
      <c r="F24" s="7" t="s">
        <v>468</v>
      </c>
      <c r="G24" s="21" t="s">
        <v>337</v>
      </c>
      <c r="H24" s="21" t="s">
        <v>51</v>
      </c>
      <c r="I24" s="23" t="s">
        <v>93</v>
      </c>
      <c r="J24" s="22"/>
      <c r="K24" s="9" t="str">
        <f>"110,0"</f>
        <v>110,0</v>
      </c>
      <c r="L24" s="9" t="str">
        <f>"65,8900"</f>
        <v>65,8900</v>
      </c>
      <c r="M24" s="7" t="s">
        <v>181</v>
      </c>
    </row>
    <row r="26" spans="1:13" ht="16">
      <c r="A26" s="61" t="s">
        <v>207</v>
      </c>
      <c r="B26" s="61"/>
      <c r="C26" s="61"/>
      <c r="D26" s="61"/>
      <c r="E26" s="62"/>
      <c r="F26" s="61"/>
      <c r="G26" s="61"/>
      <c r="H26" s="61"/>
      <c r="I26" s="61"/>
      <c r="J26" s="61"/>
    </row>
    <row r="27" spans="1:13">
      <c r="A27" s="22" t="s">
        <v>42</v>
      </c>
      <c r="B27" s="7" t="s">
        <v>350</v>
      </c>
      <c r="C27" s="7" t="s">
        <v>340</v>
      </c>
      <c r="D27" s="7" t="s">
        <v>341</v>
      </c>
      <c r="E27" s="8" t="s">
        <v>480</v>
      </c>
      <c r="F27" s="7" t="s">
        <v>468</v>
      </c>
      <c r="G27" s="21" t="s">
        <v>16</v>
      </c>
      <c r="H27" s="21" t="s">
        <v>17</v>
      </c>
      <c r="I27" s="23" t="s">
        <v>49</v>
      </c>
      <c r="J27" s="22"/>
      <c r="K27" s="9" t="str">
        <f>"100,0"</f>
        <v>100,0</v>
      </c>
      <c r="L27" s="9" t="str">
        <f>"55,1450"</f>
        <v>55,1450</v>
      </c>
      <c r="M27" s="7" t="s">
        <v>181</v>
      </c>
    </row>
    <row r="29" spans="1:13" ht="16">
      <c r="F29" s="11"/>
      <c r="G29" s="5"/>
      <c r="K29" s="19"/>
      <c r="M29" s="6"/>
    </row>
    <row r="30" spans="1:13">
      <c r="G30" s="5"/>
      <c r="K30" s="19"/>
      <c r="M30" s="6"/>
    </row>
    <row r="31" spans="1:13" ht="18">
      <c r="B31" s="12" t="s">
        <v>33</v>
      </c>
      <c r="C31" s="12"/>
      <c r="G31" s="3"/>
      <c r="K31" s="19"/>
      <c r="M31" s="6"/>
    </row>
    <row r="32" spans="1:13" ht="16">
      <c r="B32" s="13" t="s">
        <v>39</v>
      </c>
      <c r="C32" s="13"/>
      <c r="G32" s="3"/>
      <c r="K32" s="19"/>
      <c r="M32" s="6"/>
    </row>
    <row r="33" spans="2:13" ht="14">
      <c r="B33" s="14"/>
      <c r="C33" s="15" t="s">
        <v>40</v>
      </c>
      <c r="G33" s="3"/>
      <c r="K33" s="19"/>
      <c r="M33" s="6"/>
    </row>
    <row r="34" spans="2:13" ht="14">
      <c r="B34" s="16" t="s">
        <v>34</v>
      </c>
      <c r="C34" s="16" t="s">
        <v>35</v>
      </c>
      <c r="D34" s="16" t="s">
        <v>383</v>
      </c>
      <c r="E34" s="17" t="s">
        <v>166</v>
      </c>
      <c r="F34" s="16" t="s">
        <v>287</v>
      </c>
      <c r="G34" s="3"/>
      <c r="K34" s="19"/>
      <c r="M34" s="6"/>
    </row>
    <row r="35" spans="2:13">
      <c r="B35" s="5" t="s">
        <v>330</v>
      </c>
      <c r="C35" s="5" t="s">
        <v>40</v>
      </c>
      <c r="D35" s="19" t="s">
        <v>113</v>
      </c>
      <c r="E35" s="20">
        <v>157.5</v>
      </c>
      <c r="F35" s="18">
        <v>108.659247010946</v>
      </c>
      <c r="G35" s="3"/>
      <c r="K35" s="19"/>
      <c r="M35" s="6"/>
    </row>
    <row r="36" spans="2:13">
      <c r="B36" s="5" t="s">
        <v>322</v>
      </c>
      <c r="C36" s="5" t="s">
        <v>40</v>
      </c>
      <c r="D36" s="19" t="s">
        <v>38</v>
      </c>
      <c r="E36" s="20">
        <v>110</v>
      </c>
      <c r="F36" s="18">
        <v>83.385502696037307</v>
      </c>
      <c r="G36" s="3"/>
      <c r="K36" s="19"/>
      <c r="M36" s="6"/>
    </row>
    <row r="37" spans="2:13">
      <c r="B37" s="5" t="s">
        <v>324</v>
      </c>
      <c r="C37" s="5" t="s">
        <v>40</v>
      </c>
      <c r="D37" s="19" t="s">
        <v>38</v>
      </c>
      <c r="E37" s="20">
        <v>105</v>
      </c>
      <c r="F37" s="18">
        <v>78.581997156143203</v>
      </c>
      <c r="G37" s="3"/>
      <c r="K37" s="19"/>
      <c r="M37" s="6"/>
    </row>
  </sheetData>
  <mergeCells count="18">
    <mergeCell ref="A26:J26"/>
    <mergeCell ref="K3:K4"/>
    <mergeCell ref="L3:L4"/>
    <mergeCell ref="M3:M4"/>
    <mergeCell ref="A5:J5"/>
    <mergeCell ref="B3:B4"/>
    <mergeCell ref="A8:J8"/>
    <mergeCell ref="A13:J13"/>
    <mergeCell ref="A17:J17"/>
    <mergeCell ref="A20:J20"/>
    <mergeCell ref="A23:J23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7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1" style="5" bestFit="1" customWidth="1"/>
    <col min="14" max="16384" width="9.1640625" style="3"/>
  </cols>
  <sheetData>
    <row r="1" spans="1:13" s="2" customFormat="1" ht="29" customHeight="1">
      <c r="A1" s="46" t="s">
        <v>443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9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174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258</v>
      </c>
      <c r="C6" s="7" t="s">
        <v>251</v>
      </c>
      <c r="D6" s="7" t="s">
        <v>176</v>
      </c>
      <c r="E6" s="8" t="s">
        <v>482</v>
      </c>
      <c r="F6" s="7" t="s">
        <v>473</v>
      </c>
      <c r="G6" s="21" t="s">
        <v>49</v>
      </c>
      <c r="H6" s="21" t="s">
        <v>93</v>
      </c>
      <c r="I6" s="23" t="s">
        <v>252</v>
      </c>
      <c r="J6" s="22"/>
      <c r="K6" s="9" t="str">
        <f>"112,5"</f>
        <v>112,5</v>
      </c>
      <c r="L6" s="9" t="str">
        <f>"140,2425"</f>
        <v>140,2425</v>
      </c>
      <c r="M6" s="7" t="s">
        <v>253</v>
      </c>
    </row>
    <row r="8" spans="1:13" ht="16">
      <c r="A8" s="61" t="s">
        <v>10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2" t="s">
        <v>42</v>
      </c>
      <c r="B9" s="7" t="s">
        <v>259</v>
      </c>
      <c r="C9" s="7" t="s">
        <v>396</v>
      </c>
      <c r="D9" s="7" t="s">
        <v>69</v>
      </c>
      <c r="E9" s="8" t="s">
        <v>481</v>
      </c>
      <c r="F9" s="7" t="s">
        <v>458</v>
      </c>
      <c r="G9" s="21" t="s">
        <v>58</v>
      </c>
      <c r="H9" s="21" t="s">
        <v>72</v>
      </c>
      <c r="I9" s="23" t="s">
        <v>254</v>
      </c>
      <c r="J9" s="22"/>
      <c r="K9" s="9" t="str">
        <f>"85,0"</f>
        <v>85,0</v>
      </c>
      <c r="L9" s="9" t="str">
        <f>"88,5700"</f>
        <v>88,5700</v>
      </c>
      <c r="M9" s="7" t="s">
        <v>255</v>
      </c>
    </row>
    <row r="11" spans="1:13" ht="16">
      <c r="A11" s="61" t="s">
        <v>52</v>
      </c>
      <c r="B11" s="61"/>
      <c r="C11" s="61"/>
      <c r="D11" s="61"/>
      <c r="E11" s="62"/>
      <c r="F11" s="61"/>
      <c r="G11" s="61"/>
      <c r="H11" s="61"/>
      <c r="I11" s="61"/>
      <c r="J11" s="61"/>
    </row>
    <row r="12" spans="1:13">
      <c r="A12" s="22" t="s">
        <v>42</v>
      </c>
      <c r="B12" s="7" t="s">
        <v>260</v>
      </c>
      <c r="C12" s="7" t="s">
        <v>397</v>
      </c>
      <c r="D12" s="7" t="s">
        <v>256</v>
      </c>
      <c r="E12" s="8" t="s">
        <v>486</v>
      </c>
      <c r="F12" s="7" t="s">
        <v>458</v>
      </c>
      <c r="G12" s="21" t="s">
        <v>60</v>
      </c>
      <c r="H12" s="23" t="s">
        <v>18</v>
      </c>
      <c r="I12" s="23" t="s">
        <v>18</v>
      </c>
      <c r="J12" s="22"/>
      <c r="K12" s="9" t="str">
        <f>"95,0"</f>
        <v>95,0</v>
      </c>
      <c r="L12" s="9" t="str">
        <f>"116,0492"</f>
        <v>116,0492</v>
      </c>
      <c r="M12" s="7" t="s">
        <v>181</v>
      </c>
    </row>
    <row r="14" spans="1:13" ht="16">
      <c r="A14" s="61" t="s">
        <v>10</v>
      </c>
      <c r="B14" s="61"/>
      <c r="C14" s="61"/>
      <c r="D14" s="61"/>
      <c r="E14" s="62"/>
      <c r="F14" s="61"/>
      <c r="G14" s="61"/>
      <c r="H14" s="61"/>
      <c r="I14" s="61"/>
      <c r="J14" s="61"/>
    </row>
    <row r="15" spans="1:13">
      <c r="A15" s="22" t="s">
        <v>42</v>
      </c>
      <c r="B15" s="7" t="s">
        <v>121</v>
      </c>
      <c r="C15" s="7" t="s">
        <v>68</v>
      </c>
      <c r="D15" s="7" t="s">
        <v>69</v>
      </c>
      <c r="E15" s="8" t="s">
        <v>480</v>
      </c>
      <c r="F15" s="7" t="s">
        <v>458</v>
      </c>
      <c r="G15" s="21" t="s">
        <v>21</v>
      </c>
      <c r="H15" s="21" t="s">
        <v>73</v>
      </c>
      <c r="I15" s="21" t="s">
        <v>67</v>
      </c>
      <c r="J15" s="22"/>
      <c r="K15" s="9" t="str">
        <f>"190,0"</f>
        <v>190,0</v>
      </c>
      <c r="L15" s="9" t="str">
        <f>"149,9290"</f>
        <v>149,9290</v>
      </c>
      <c r="M15" s="7" t="s">
        <v>11</v>
      </c>
    </row>
    <row r="17" spans="1:13" ht="16">
      <c r="A17" s="61" t="s">
        <v>207</v>
      </c>
      <c r="B17" s="61"/>
      <c r="C17" s="61"/>
      <c r="D17" s="61"/>
      <c r="E17" s="62"/>
      <c r="F17" s="61"/>
      <c r="G17" s="61"/>
      <c r="H17" s="61"/>
      <c r="I17" s="61"/>
      <c r="J17" s="61"/>
    </row>
    <row r="18" spans="1:13">
      <c r="A18" s="22" t="s">
        <v>42</v>
      </c>
      <c r="B18" s="7" t="s">
        <v>261</v>
      </c>
      <c r="C18" s="7" t="s">
        <v>398</v>
      </c>
      <c r="D18" s="7" t="s">
        <v>257</v>
      </c>
      <c r="E18" s="8" t="s">
        <v>481</v>
      </c>
      <c r="F18" s="7" t="s">
        <v>458</v>
      </c>
      <c r="G18" s="21" t="s">
        <v>81</v>
      </c>
      <c r="H18" s="23" t="s">
        <v>21</v>
      </c>
      <c r="I18" s="23" t="s">
        <v>64</v>
      </c>
      <c r="J18" s="22"/>
      <c r="K18" s="9" t="str">
        <f>"160,0"</f>
        <v>160,0</v>
      </c>
      <c r="L18" s="9" t="str">
        <f>"92,3360"</f>
        <v>92,3360</v>
      </c>
      <c r="M18" s="7" t="s">
        <v>255</v>
      </c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14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7.33203125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1.1640625" style="5" bestFit="1" customWidth="1"/>
    <col min="14" max="16384" width="9.1640625" style="3"/>
  </cols>
  <sheetData>
    <row r="1" spans="1:13" s="2" customFormat="1" ht="29" customHeight="1">
      <c r="A1" s="46" t="s">
        <v>444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9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82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34" t="s">
        <v>42</v>
      </c>
      <c r="B6" s="24" t="s">
        <v>246</v>
      </c>
      <c r="C6" s="24" t="s">
        <v>235</v>
      </c>
      <c r="D6" s="24" t="s">
        <v>92</v>
      </c>
      <c r="E6" s="25" t="s">
        <v>480</v>
      </c>
      <c r="F6" s="24" t="s">
        <v>458</v>
      </c>
      <c r="G6" s="38" t="s">
        <v>73</v>
      </c>
      <c r="H6" s="38" t="s">
        <v>87</v>
      </c>
      <c r="I6" s="38" t="s">
        <v>26</v>
      </c>
      <c r="J6" s="34"/>
      <c r="K6" s="26" t="str">
        <f>"210,0"</f>
        <v>210,0</v>
      </c>
      <c r="L6" s="26" t="str">
        <f>"142,4850"</f>
        <v>142,4850</v>
      </c>
      <c r="M6" s="24" t="s">
        <v>236</v>
      </c>
    </row>
    <row r="7" spans="1:13">
      <c r="A7" s="37" t="s">
        <v>42</v>
      </c>
      <c r="B7" s="27" t="s">
        <v>247</v>
      </c>
      <c r="C7" s="27" t="s">
        <v>399</v>
      </c>
      <c r="D7" s="27" t="s">
        <v>237</v>
      </c>
      <c r="E7" s="28" t="s">
        <v>485</v>
      </c>
      <c r="F7" s="27" t="s">
        <v>458</v>
      </c>
      <c r="G7" s="35" t="s">
        <v>21</v>
      </c>
      <c r="H7" s="35" t="s">
        <v>73</v>
      </c>
      <c r="I7" s="35" t="s">
        <v>67</v>
      </c>
      <c r="J7" s="37"/>
      <c r="K7" s="29" t="str">
        <f>"190,0"</f>
        <v>190,0</v>
      </c>
      <c r="L7" s="29" t="str">
        <f>"153,6085"</f>
        <v>153,6085</v>
      </c>
      <c r="M7" s="27" t="s">
        <v>142</v>
      </c>
    </row>
    <row r="9" spans="1:13" ht="16">
      <c r="A9" s="61" t="s">
        <v>23</v>
      </c>
      <c r="B9" s="61"/>
      <c r="C9" s="61"/>
      <c r="D9" s="61"/>
      <c r="E9" s="62"/>
      <c r="F9" s="61"/>
      <c r="G9" s="61"/>
      <c r="H9" s="61"/>
      <c r="I9" s="61"/>
      <c r="J9" s="61"/>
    </row>
    <row r="10" spans="1:13">
      <c r="A10" s="34" t="s">
        <v>42</v>
      </c>
      <c r="B10" s="24" t="s">
        <v>248</v>
      </c>
      <c r="C10" s="24" t="s">
        <v>238</v>
      </c>
      <c r="D10" s="24" t="s">
        <v>239</v>
      </c>
      <c r="E10" s="25" t="s">
        <v>480</v>
      </c>
      <c r="F10" s="24" t="s">
        <v>458</v>
      </c>
      <c r="G10" s="38" t="s">
        <v>87</v>
      </c>
      <c r="H10" s="38" t="s">
        <v>28</v>
      </c>
      <c r="I10" s="33" t="s">
        <v>240</v>
      </c>
      <c r="J10" s="34"/>
      <c r="K10" s="26" t="str">
        <f>"220,0"</f>
        <v>220,0</v>
      </c>
      <c r="L10" s="26" t="str">
        <f>"143,2420"</f>
        <v>143,2420</v>
      </c>
      <c r="M10" s="24" t="s">
        <v>181</v>
      </c>
    </row>
    <row r="11" spans="1:13">
      <c r="A11" s="37" t="s">
        <v>42</v>
      </c>
      <c r="B11" s="27" t="s">
        <v>249</v>
      </c>
      <c r="C11" s="27" t="s">
        <v>400</v>
      </c>
      <c r="D11" s="27" t="s">
        <v>193</v>
      </c>
      <c r="E11" s="28" t="s">
        <v>488</v>
      </c>
      <c r="F11" s="27" t="s">
        <v>473</v>
      </c>
      <c r="G11" s="35" t="s">
        <v>19</v>
      </c>
      <c r="H11" s="35" t="s">
        <v>20</v>
      </c>
      <c r="I11" s="35" t="s">
        <v>21</v>
      </c>
      <c r="J11" s="37"/>
      <c r="K11" s="29" t="str">
        <f>"170,0"</f>
        <v>170,0</v>
      </c>
      <c r="L11" s="29" t="str">
        <f>"174,1065"</f>
        <v>174,1065</v>
      </c>
      <c r="M11" s="27" t="s">
        <v>181</v>
      </c>
    </row>
    <row r="13" spans="1:13" ht="16">
      <c r="A13" s="61" t="s">
        <v>134</v>
      </c>
      <c r="B13" s="61"/>
      <c r="C13" s="61"/>
      <c r="D13" s="61"/>
      <c r="E13" s="62"/>
      <c r="F13" s="61"/>
      <c r="G13" s="61"/>
      <c r="H13" s="61"/>
      <c r="I13" s="61"/>
      <c r="J13" s="61"/>
    </row>
    <row r="14" spans="1:13">
      <c r="A14" s="22" t="s">
        <v>42</v>
      </c>
      <c r="B14" s="7" t="s">
        <v>250</v>
      </c>
      <c r="C14" s="7" t="s">
        <v>241</v>
      </c>
      <c r="D14" s="7" t="s">
        <v>242</v>
      </c>
      <c r="E14" s="8" t="s">
        <v>480</v>
      </c>
      <c r="F14" s="7" t="s">
        <v>458</v>
      </c>
      <c r="G14" s="21" t="s">
        <v>243</v>
      </c>
      <c r="H14" s="23" t="s">
        <v>244</v>
      </c>
      <c r="I14" s="23" t="s">
        <v>244</v>
      </c>
      <c r="J14" s="22"/>
      <c r="K14" s="9" t="str">
        <f>"245,0"</f>
        <v>245,0</v>
      </c>
      <c r="L14" s="9" t="str">
        <f>"149,8420"</f>
        <v>149,8420</v>
      </c>
      <c r="M14" s="7" t="s">
        <v>245</v>
      </c>
    </row>
  </sheetData>
  <mergeCells count="14">
    <mergeCell ref="A9:J9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Лист5">
    <pageSetUpPr fitToPage="1"/>
  </sheetPr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42.832031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22.33203125" style="5" bestFit="1" customWidth="1"/>
    <col min="22" max="16384" width="9.1640625" style="3"/>
  </cols>
  <sheetData>
    <row r="1" spans="1:21" s="2" customFormat="1" ht="29" customHeight="1">
      <c r="A1" s="46" t="s">
        <v>427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7</v>
      </c>
      <c r="H3" s="60"/>
      <c r="I3" s="60"/>
      <c r="J3" s="60"/>
      <c r="K3" s="60" t="s">
        <v>8</v>
      </c>
      <c r="L3" s="60"/>
      <c r="M3" s="60"/>
      <c r="N3" s="60"/>
      <c r="O3" s="60" t="s">
        <v>9</v>
      </c>
      <c r="P3" s="60"/>
      <c r="Q3" s="60"/>
      <c r="R3" s="60"/>
      <c r="S3" s="58" t="s">
        <v>1</v>
      </c>
      <c r="T3" s="58" t="s">
        <v>3</v>
      </c>
      <c r="U3" s="65" t="s">
        <v>2</v>
      </c>
    </row>
    <row r="4" spans="1:21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9"/>
      <c r="T4" s="59"/>
      <c r="U4" s="66"/>
    </row>
    <row r="5" spans="1:21" ht="16">
      <c r="A5" s="67" t="s">
        <v>10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1">
      <c r="A6" s="22" t="s">
        <v>42</v>
      </c>
      <c r="B6" s="7" t="s">
        <v>43</v>
      </c>
      <c r="C6" s="7" t="s">
        <v>386</v>
      </c>
      <c r="D6" s="7" t="s">
        <v>12</v>
      </c>
      <c r="E6" s="8" t="s">
        <v>483</v>
      </c>
      <c r="F6" s="7" t="s">
        <v>458</v>
      </c>
      <c r="G6" s="21" t="s">
        <v>13</v>
      </c>
      <c r="H6" s="21" t="s">
        <v>14</v>
      </c>
      <c r="I6" s="21" t="s">
        <v>15</v>
      </c>
      <c r="J6" s="22"/>
      <c r="K6" s="21" t="s">
        <v>16</v>
      </c>
      <c r="L6" s="21" t="s">
        <v>17</v>
      </c>
      <c r="M6" s="21" t="s">
        <v>18</v>
      </c>
      <c r="N6" s="22"/>
      <c r="O6" s="21" t="s">
        <v>19</v>
      </c>
      <c r="P6" s="21" t="s">
        <v>20</v>
      </c>
      <c r="Q6" s="23" t="s">
        <v>21</v>
      </c>
      <c r="R6" s="22"/>
      <c r="S6" s="9" t="str">
        <f>"402,5"</f>
        <v>402,5</v>
      </c>
      <c r="T6" s="9" t="str">
        <f>"469,5723"</f>
        <v>469,5723</v>
      </c>
      <c r="U6" s="7" t="s">
        <v>22</v>
      </c>
    </row>
    <row r="8" spans="1:21" ht="16">
      <c r="A8" s="61" t="s">
        <v>23</v>
      </c>
      <c r="B8" s="61"/>
      <c r="C8" s="61"/>
      <c r="D8" s="61"/>
      <c r="E8" s="62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22" t="s">
        <v>42</v>
      </c>
      <c r="B9" s="7" t="s">
        <v>44</v>
      </c>
      <c r="C9" s="7" t="s">
        <v>24</v>
      </c>
      <c r="D9" s="7" t="s">
        <v>25</v>
      </c>
      <c r="E9" s="8" t="s">
        <v>480</v>
      </c>
      <c r="F9" s="7" t="s">
        <v>461</v>
      </c>
      <c r="G9" s="21" t="s">
        <v>26</v>
      </c>
      <c r="H9" s="23" t="s">
        <v>27</v>
      </c>
      <c r="I9" s="21" t="s">
        <v>28</v>
      </c>
      <c r="J9" s="22"/>
      <c r="K9" s="21" t="s">
        <v>29</v>
      </c>
      <c r="L9" s="23" t="s">
        <v>30</v>
      </c>
      <c r="M9" s="23" t="s">
        <v>30</v>
      </c>
      <c r="N9" s="22"/>
      <c r="O9" s="23" t="s">
        <v>31</v>
      </c>
      <c r="P9" s="21" t="s">
        <v>31</v>
      </c>
      <c r="Q9" s="22"/>
      <c r="R9" s="22"/>
      <c r="S9" s="9" t="str">
        <f>"572,5"</f>
        <v>572,5</v>
      </c>
      <c r="T9" s="9" t="str">
        <f>"366,1138"</f>
        <v>366,1138</v>
      </c>
      <c r="U9" s="7" t="s">
        <v>32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41.8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6" t="s">
        <v>445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9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82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264</v>
      </c>
      <c r="C6" s="7" t="s">
        <v>262</v>
      </c>
      <c r="D6" s="7" t="s">
        <v>263</v>
      </c>
      <c r="E6" s="8" t="s">
        <v>480</v>
      </c>
      <c r="F6" s="7" t="s">
        <v>465</v>
      </c>
      <c r="G6" s="23" t="s">
        <v>26</v>
      </c>
      <c r="H6" s="21" t="s">
        <v>26</v>
      </c>
      <c r="I6" s="23" t="s">
        <v>28</v>
      </c>
      <c r="J6" s="22"/>
      <c r="K6" s="9" t="str">
        <f>"210,0"</f>
        <v>210,0</v>
      </c>
      <c r="L6" s="9" t="str">
        <f>"149,2260"</f>
        <v>149,2260</v>
      </c>
      <c r="M6" s="7" t="s">
        <v>181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40" style="5" customWidth="1"/>
    <col min="7" max="9" width="4.5" style="19" customWidth="1"/>
    <col min="10" max="10" width="4.83203125" style="19" customWidth="1"/>
    <col min="11" max="13" width="4.5" style="19" customWidth="1"/>
    <col min="14" max="14" width="4.83203125" style="19" customWidth="1"/>
    <col min="15" max="15" width="7.83203125" style="6" bestFit="1" customWidth="1"/>
    <col min="16" max="16" width="7.5" style="6" bestFit="1" customWidth="1"/>
    <col min="17" max="17" width="17.83203125" style="5" customWidth="1"/>
    <col min="18" max="16384" width="9.1640625" style="3"/>
  </cols>
  <sheetData>
    <row r="1" spans="1:17" s="2" customFormat="1" ht="29" customHeight="1">
      <c r="A1" s="46" t="s">
        <v>446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318</v>
      </c>
      <c r="H3" s="60"/>
      <c r="I3" s="60"/>
      <c r="J3" s="60"/>
      <c r="K3" s="60" t="s">
        <v>273</v>
      </c>
      <c r="L3" s="60"/>
      <c r="M3" s="60"/>
      <c r="N3" s="60"/>
      <c r="O3" s="58" t="s">
        <v>1</v>
      </c>
      <c r="P3" s="58" t="s">
        <v>3</v>
      </c>
      <c r="Q3" s="65" t="s">
        <v>2</v>
      </c>
    </row>
    <row r="4" spans="1:17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9"/>
      <c r="P4" s="59"/>
      <c r="Q4" s="66"/>
    </row>
    <row r="5" spans="1:17" ht="16">
      <c r="A5" s="67" t="s">
        <v>52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7">
      <c r="A6" s="22" t="s">
        <v>42</v>
      </c>
      <c r="B6" s="7" t="s">
        <v>365</v>
      </c>
      <c r="C6" s="7" t="s">
        <v>401</v>
      </c>
      <c r="D6" s="7" t="s">
        <v>280</v>
      </c>
      <c r="E6" s="8" t="s">
        <v>482</v>
      </c>
      <c r="F6" s="7" t="s">
        <v>460</v>
      </c>
      <c r="G6" s="21" t="s">
        <v>155</v>
      </c>
      <c r="H6" s="21" t="s">
        <v>272</v>
      </c>
      <c r="I6" s="23" t="s">
        <v>158</v>
      </c>
      <c r="J6" s="22"/>
      <c r="K6" s="21" t="s">
        <v>278</v>
      </c>
      <c r="L6" s="21" t="s">
        <v>76</v>
      </c>
      <c r="M6" s="21" t="s">
        <v>155</v>
      </c>
      <c r="N6" s="22"/>
      <c r="O6" s="9" t="str">
        <f>"120,0"</f>
        <v>120,0</v>
      </c>
      <c r="P6" s="9" t="str">
        <f>"82,6260"</f>
        <v>82,6260</v>
      </c>
      <c r="Q6" s="7" t="s">
        <v>159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9.83203125" style="5" bestFit="1" customWidth="1"/>
    <col min="7" max="8" width="4.5" style="19" customWidth="1"/>
    <col min="9" max="9" width="5.3320312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6" t="s">
        <v>447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318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134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225</v>
      </c>
      <c r="C6" s="7" t="s">
        <v>402</v>
      </c>
      <c r="D6" s="7" t="s">
        <v>201</v>
      </c>
      <c r="E6" s="8" t="s">
        <v>481</v>
      </c>
      <c r="F6" s="7" t="s">
        <v>463</v>
      </c>
      <c r="G6" s="21" t="s">
        <v>72</v>
      </c>
      <c r="H6" s="21" t="s">
        <v>60</v>
      </c>
      <c r="I6" s="22"/>
      <c r="J6" s="22"/>
      <c r="K6" s="9" t="str">
        <f>"95,0"</f>
        <v>95,0</v>
      </c>
      <c r="L6" s="9" t="str">
        <f>"55,6320"</f>
        <v>55,6320</v>
      </c>
      <c r="M6" s="7" t="s">
        <v>181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31.5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46" t="s">
        <v>448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318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82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356</v>
      </c>
      <c r="C6" s="7" t="s">
        <v>351</v>
      </c>
      <c r="D6" s="7" t="s">
        <v>352</v>
      </c>
      <c r="E6" s="8" t="s">
        <v>480</v>
      </c>
      <c r="F6" s="7" t="s">
        <v>458</v>
      </c>
      <c r="G6" s="21" t="s">
        <v>48</v>
      </c>
      <c r="H6" s="21" t="s">
        <v>353</v>
      </c>
      <c r="I6" s="23" t="s">
        <v>49</v>
      </c>
      <c r="J6" s="22"/>
      <c r="K6" s="9" t="str">
        <f>"106,0"</f>
        <v>106,0</v>
      </c>
      <c r="L6" s="9" t="str">
        <f>"68,5979"</f>
        <v>68,5979</v>
      </c>
      <c r="M6" s="7" t="s">
        <v>181</v>
      </c>
    </row>
    <row r="8" spans="1:13" ht="16">
      <c r="A8" s="61" t="s">
        <v>134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2" t="s">
        <v>42</v>
      </c>
      <c r="B9" s="7" t="s">
        <v>357</v>
      </c>
      <c r="C9" s="7" t="s">
        <v>403</v>
      </c>
      <c r="D9" s="7" t="s">
        <v>354</v>
      </c>
      <c r="E9" s="8" t="s">
        <v>482</v>
      </c>
      <c r="F9" s="7" t="s">
        <v>458</v>
      </c>
      <c r="G9" s="21" t="s">
        <v>76</v>
      </c>
      <c r="H9" s="21" t="s">
        <v>50</v>
      </c>
      <c r="I9" s="21" t="s">
        <v>272</v>
      </c>
      <c r="J9" s="22"/>
      <c r="K9" s="9" t="str">
        <f>"62,5"</f>
        <v>62,5</v>
      </c>
      <c r="L9" s="9" t="str">
        <f>"38,0125"</f>
        <v>38,0125</v>
      </c>
      <c r="M9" s="7" t="s">
        <v>355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41" style="5" customWidth="1"/>
    <col min="7" max="9" width="4.5" style="19" customWidth="1"/>
    <col min="10" max="10" width="4.83203125" style="19" customWidth="1"/>
    <col min="11" max="11" width="10.5" style="6" bestFit="1" customWidth="1"/>
    <col min="12" max="12" width="7.664062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46" t="s">
        <v>449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273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10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34" t="s">
        <v>42</v>
      </c>
      <c r="B6" s="24" t="s">
        <v>361</v>
      </c>
      <c r="C6" s="24" t="s">
        <v>404</v>
      </c>
      <c r="D6" s="24" t="s">
        <v>358</v>
      </c>
      <c r="E6" s="25" t="s">
        <v>482</v>
      </c>
      <c r="F6" s="24" t="s">
        <v>474</v>
      </c>
      <c r="G6" s="38" t="s">
        <v>154</v>
      </c>
      <c r="H6" s="33" t="s">
        <v>278</v>
      </c>
      <c r="I6" s="38" t="s">
        <v>278</v>
      </c>
      <c r="J6" s="34"/>
      <c r="K6" s="26" t="str">
        <f>"52,5"</f>
        <v>52,5</v>
      </c>
      <c r="L6" s="26" t="str">
        <f>"40,0575"</f>
        <v>40,0575</v>
      </c>
      <c r="M6" s="24"/>
    </row>
    <row r="7" spans="1:13">
      <c r="A7" s="37" t="s">
        <v>120</v>
      </c>
      <c r="B7" s="27" t="s">
        <v>362</v>
      </c>
      <c r="C7" s="27" t="s">
        <v>405</v>
      </c>
      <c r="D7" s="27" t="s">
        <v>297</v>
      </c>
      <c r="E7" s="28" t="s">
        <v>482</v>
      </c>
      <c r="F7" s="27" t="s">
        <v>458</v>
      </c>
      <c r="G7" s="35" t="s">
        <v>277</v>
      </c>
      <c r="H7" s="36" t="s">
        <v>59</v>
      </c>
      <c r="I7" s="36" t="s">
        <v>59</v>
      </c>
      <c r="J7" s="37"/>
      <c r="K7" s="29" t="str">
        <f>"47,5"</f>
        <v>47,5</v>
      </c>
      <c r="L7" s="29" t="str">
        <f>"36,7792"</f>
        <v>36,7792</v>
      </c>
      <c r="M7" s="27" t="s">
        <v>142</v>
      </c>
    </row>
    <row r="9" spans="1:13" ht="16">
      <c r="A9" s="61" t="s">
        <v>52</v>
      </c>
      <c r="B9" s="61"/>
      <c r="C9" s="61"/>
      <c r="D9" s="61"/>
      <c r="E9" s="62"/>
      <c r="F9" s="61"/>
      <c r="G9" s="61"/>
      <c r="H9" s="61"/>
      <c r="I9" s="61"/>
      <c r="J9" s="61"/>
    </row>
    <row r="10" spans="1:13">
      <c r="A10" s="22" t="s">
        <v>42</v>
      </c>
      <c r="B10" s="7" t="s">
        <v>363</v>
      </c>
      <c r="C10" s="7" t="s">
        <v>406</v>
      </c>
      <c r="D10" s="7" t="s">
        <v>359</v>
      </c>
      <c r="E10" s="8" t="s">
        <v>482</v>
      </c>
      <c r="F10" s="7" t="s">
        <v>460</v>
      </c>
      <c r="G10" s="21" t="s">
        <v>154</v>
      </c>
      <c r="H10" s="23" t="s">
        <v>277</v>
      </c>
      <c r="I10" s="23" t="s">
        <v>277</v>
      </c>
      <c r="J10" s="22"/>
      <c r="K10" s="9" t="str">
        <f>"45,0"</f>
        <v>45,0</v>
      </c>
      <c r="L10" s="9" t="str">
        <f>"31,9253"</f>
        <v>31,9253</v>
      </c>
      <c r="M10" s="7" t="s">
        <v>159</v>
      </c>
    </row>
    <row r="12" spans="1:13" ht="16">
      <c r="A12" s="61" t="s">
        <v>82</v>
      </c>
      <c r="B12" s="61"/>
      <c r="C12" s="61"/>
      <c r="D12" s="61"/>
      <c r="E12" s="62"/>
      <c r="F12" s="61"/>
      <c r="G12" s="61"/>
      <c r="H12" s="61"/>
      <c r="I12" s="61"/>
      <c r="J12" s="61"/>
    </row>
    <row r="13" spans="1:13">
      <c r="A13" s="22" t="s">
        <v>42</v>
      </c>
      <c r="B13" s="7" t="s">
        <v>364</v>
      </c>
      <c r="C13" s="7" t="s">
        <v>407</v>
      </c>
      <c r="D13" s="7" t="s">
        <v>360</v>
      </c>
      <c r="E13" s="8" t="s">
        <v>482</v>
      </c>
      <c r="F13" s="7" t="s">
        <v>460</v>
      </c>
      <c r="G13" s="23" t="s">
        <v>76</v>
      </c>
      <c r="H13" s="21" t="s">
        <v>76</v>
      </c>
      <c r="I13" s="21" t="s">
        <v>50</v>
      </c>
      <c r="J13" s="22"/>
      <c r="K13" s="9" t="str">
        <f>"60,0"</f>
        <v>60,0</v>
      </c>
      <c r="L13" s="9" t="str">
        <f>"40,6410"</f>
        <v>40,6410</v>
      </c>
      <c r="M13" s="7" t="s">
        <v>159</v>
      </c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32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8.33203125" style="5" bestFit="1" customWidth="1"/>
    <col min="7" max="10" width="4.6640625" style="19" bestFit="1" customWidth="1"/>
    <col min="11" max="11" width="10.5" style="6" bestFit="1" customWidth="1"/>
    <col min="12" max="12" width="7.664062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46" t="s">
        <v>450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273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174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288</v>
      </c>
      <c r="C6" s="7" t="s">
        <v>408</v>
      </c>
      <c r="D6" s="7" t="s">
        <v>274</v>
      </c>
      <c r="E6" s="8" t="s">
        <v>482</v>
      </c>
      <c r="F6" s="7" t="s">
        <v>458</v>
      </c>
      <c r="G6" s="21" t="s">
        <v>275</v>
      </c>
      <c r="H6" s="23" t="s">
        <v>276</v>
      </c>
      <c r="I6" s="23" t="s">
        <v>276</v>
      </c>
      <c r="J6" s="22"/>
      <c r="K6" s="9" t="str">
        <f>"25,0"</f>
        <v>25,0</v>
      </c>
      <c r="L6" s="9" t="str">
        <f>"28,1600"</f>
        <v>28,1600</v>
      </c>
      <c r="M6" s="7" t="s">
        <v>181</v>
      </c>
    </row>
    <row r="8" spans="1:13" ht="16">
      <c r="A8" s="61" t="s">
        <v>45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2" t="s">
        <v>42</v>
      </c>
      <c r="B9" s="7" t="s">
        <v>215</v>
      </c>
      <c r="C9" s="7" t="s">
        <v>177</v>
      </c>
      <c r="D9" s="7" t="s">
        <v>178</v>
      </c>
      <c r="E9" s="8" t="s">
        <v>480</v>
      </c>
      <c r="F9" s="7" t="s">
        <v>458</v>
      </c>
      <c r="G9" s="21" t="s">
        <v>269</v>
      </c>
      <c r="H9" s="21" t="s">
        <v>55</v>
      </c>
      <c r="I9" s="23" t="s">
        <v>277</v>
      </c>
      <c r="J9" s="22"/>
      <c r="K9" s="9" t="str">
        <f>"40,0"</f>
        <v>40,0</v>
      </c>
      <c r="L9" s="9" t="str">
        <f>"33,9800"</f>
        <v>33,9800</v>
      </c>
      <c r="M9" s="7" t="s">
        <v>142</v>
      </c>
    </row>
    <row r="11" spans="1:13" ht="16">
      <c r="A11" s="61" t="s">
        <v>10</v>
      </c>
      <c r="B11" s="61"/>
      <c r="C11" s="61"/>
      <c r="D11" s="61"/>
      <c r="E11" s="62"/>
      <c r="F11" s="61"/>
      <c r="G11" s="61"/>
      <c r="H11" s="61"/>
      <c r="I11" s="61"/>
      <c r="J11" s="61"/>
    </row>
    <row r="12" spans="1:13">
      <c r="A12" s="34" t="s">
        <v>42</v>
      </c>
      <c r="B12" s="24" t="s">
        <v>307</v>
      </c>
      <c r="C12" s="24" t="s">
        <v>409</v>
      </c>
      <c r="D12" s="24" t="s">
        <v>295</v>
      </c>
      <c r="E12" s="25" t="s">
        <v>482</v>
      </c>
      <c r="F12" s="24" t="s">
        <v>458</v>
      </c>
      <c r="G12" s="38" t="s">
        <v>154</v>
      </c>
      <c r="H12" s="38" t="s">
        <v>277</v>
      </c>
      <c r="I12" s="33" t="s">
        <v>59</v>
      </c>
      <c r="J12" s="34"/>
      <c r="K12" s="26" t="str">
        <f>"47,5"</f>
        <v>47,5</v>
      </c>
      <c r="L12" s="26" t="str">
        <f>"36,8814"</f>
        <v>36,8814</v>
      </c>
      <c r="M12" s="24" t="s">
        <v>181</v>
      </c>
    </row>
    <row r="13" spans="1:13">
      <c r="A13" s="40" t="s">
        <v>120</v>
      </c>
      <c r="B13" s="30" t="s">
        <v>271</v>
      </c>
      <c r="C13" s="30" t="s">
        <v>410</v>
      </c>
      <c r="D13" s="30" t="s">
        <v>270</v>
      </c>
      <c r="E13" s="31" t="s">
        <v>482</v>
      </c>
      <c r="F13" s="30" t="s">
        <v>475</v>
      </c>
      <c r="G13" s="39" t="s">
        <v>55</v>
      </c>
      <c r="H13" s="39" t="s">
        <v>154</v>
      </c>
      <c r="I13" s="41" t="s">
        <v>278</v>
      </c>
      <c r="J13" s="40"/>
      <c r="K13" s="32" t="str">
        <f>"45,0"</f>
        <v>45,0</v>
      </c>
      <c r="L13" s="32" t="str">
        <f>"34,1123"</f>
        <v>34,1123</v>
      </c>
      <c r="M13" s="30" t="s">
        <v>181</v>
      </c>
    </row>
    <row r="14" spans="1:13">
      <c r="A14" s="40" t="s">
        <v>126</v>
      </c>
      <c r="B14" s="30" t="s">
        <v>308</v>
      </c>
      <c r="C14" s="30" t="s">
        <v>411</v>
      </c>
      <c r="D14" s="30" t="s">
        <v>296</v>
      </c>
      <c r="E14" s="31" t="s">
        <v>482</v>
      </c>
      <c r="F14" s="30" t="s">
        <v>460</v>
      </c>
      <c r="G14" s="39" t="s">
        <v>55</v>
      </c>
      <c r="H14" s="41" t="s">
        <v>154</v>
      </c>
      <c r="I14" s="41" t="s">
        <v>154</v>
      </c>
      <c r="J14" s="40"/>
      <c r="K14" s="32" t="str">
        <f>"40,0"</f>
        <v>40,0</v>
      </c>
      <c r="L14" s="32" t="str">
        <f>"31,0160"</f>
        <v>31,0160</v>
      </c>
      <c r="M14" s="30" t="s">
        <v>159</v>
      </c>
    </row>
    <row r="15" spans="1:13">
      <c r="A15" s="40" t="s">
        <v>309</v>
      </c>
      <c r="B15" s="30" t="s">
        <v>310</v>
      </c>
      <c r="C15" s="30" t="s">
        <v>412</v>
      </c>
      <c r="D15" s="30" t="s">
        <v>297</v>
      </c>
      <c r="E15" s="31" t="s">
        <v>482</v>
      </c>
      <c r="F15" s="30" t="s">
        <v>458</v>
      </c>
      <c r="G15" s="39" t="s">
        <v>149</v>
      </c>
      <c r="H15" s="39" t="s">
        <v>55</v>
      </c>
      <c r="I15" s="41" t="s">
        <v>154</v>
      </c>
      <c r="J15" s="40"/>
      <c r="K15" s="32" t="str">
        <f>"40,0"</f>
        <v>40,0</v>
      </c>
      <c r="L15" s="32" t="str">
        <f>"30,9720"</f>
        <v>30,9720</v>
      </c>
      <c r="M15" s="30" t="s">
        <v>181</v>
      </c>
    </row>
    <row r="16" spans="1:13">
      <c r="A16" s="37" t="s">
        <v>42</v>
      </c>
      <c r="B16" s="27" t="s">
        <v>311</v>
      </c>
      <c r="C16" s="27" t="s">
        <v>413</v>
      </c>
      <c r="D16" s="27" t="s">
        <v>298</v>
      </c>
      <c r="E16" s="28" t="s">
        <v>481</v>
      </c>
      <c r="F16" s="27" t="s">
        <v>458</v>
      </c>
      <c r="G16" s="35" t="s">
        <v>154</v>
      </c>
      <c r="H16" s="36" t="s">
        <v>278</v>
      </c>
      <c r="I16" s="36" t="s">
        <v>278</v>
      </c>
      <c r="J16" s="37"/>
      <c r="K16" s="29" t="str">
        <f>"45,0"</f>
        <v>45,0</v>
      </c>
      <c r="L16" s="29" t="str">
        <f>"33,9795"</f>
        <v>33,9795</v>
      </c>
      <c r="M16" s="27" t="s">
        <v>103</v>
      </c>
    </row>
    <row r="18" spans="1:13" ht="16">
      <c r="A18" s="61" t="s">
        <v>52</v>
      </c>
      <c r="B18" s="61"/>
      <c r="C18" s="61"/>
      <c r="D18" s="61"/>
      <c r="E18" s="62"/>
      <c r="F18" s="61"/>
      <c r="G18" s="61"/>
      <c r="H18" s="61"/>
      <c r="I18" s="61"/>
      <c r="J18" s="61"/>
    </row>
    <row r="19" spans="1:13">
      <c r="A19" s="34" t="s">
        <v>42</v>
      </c>
      <c r="B19" s="24" t="s">
        <v>312</v>
      </c>
      <c r="C19" s="24" t="s">
        <v>414</v>
      </c>
      <c r="D19" s="24" t="s">
        <v>299</v>
      </c>
      <c r="E19" s="25" t="s">
        <v>482</v>
      </c>
      <c r="F19" s="24" t="s">
        <v>458</v>
      </c>
      <c r="G19" s="33" t="s">
        <v>154</v>
      </c>
      <c r="H19" s="38" t="s">
        <v>154</v>
      </c>
      <c r="I19" s="38" t="s">
        <v>278</v>
      </c>
      <c r="J19" s="34"/>
      <c r="K19" s="26" t="str">
        <f>"52,5"</f>
        <v>52,5</v>
      </c>
      <c r="L19" s="26" t="str">
        <f>"37,1647"</f>
        <v>37,1647</v>
      </c>
      <c r="M19" s="24" t="s">
        <v>103</v>
      </c>
    </row>
    <row r="20" spans="1:13">
      <c r="A20" s="40" t="s">
        <v>42</v>
      </c>
      <c r="B20" s="30" t="s">
        <v>313</v>
      </c>
      <c r="C20" s="30" t="s">
        <v>415</v>
      </c>
      <c r="D20" s="30" t="s">
        <v>300</v>
      </c>
      <c r="E20" s="31" t="s">
        <v>481</v>
      </c>
      <c r="F20" s="30" t="s">
        <v>466</v>
      </c>
      <c r="G20" s="39" t="s">
        <v>155</v>
      </c>
      <c r="H20" s="39" t="s">
        <v>50</v>
      </c>
      <c r="I20" s="41" t="s">
        <v>281</v>
      </c>
      <c r="J20" s="40"/>
      <c r="K20" s="32" t="str">
        <f>"60,0"</f>
        <v>60,0</v>
      </c>
      <c r="L20" s="32" t="str">
        <f>"42,6570"</f>
        <v>42,6570</v>
      </c>
      <c r="M20" s="30" t="s">
        <v>181</v>
      </c>
    </row>
    <row r="21" spans="1:13">
      <c r="A21" s="37" t="s">
        <v>42</v>
      </c>
      <c r="B21" s="27" t="s">
        <v>314</v>
      </c>
      <c r="C21" s="27" t="s">
        <v>416</v>
      </c>
      <c r="D21" s="27" t="s">
        <v>301</v>
      </c>
      <c r="E21" s="28" t="s">
        <v>483</v>
      </c>
      <c r="F21" s="27" t="s">
        <v>458</v>
      </c>
      <c r="G21" s="35" t="s">
        <v>55</v>
      </c>
      <c r="H21" s="36" t="s">
        <v>277</v>
      </c>
      <c r="I21" s="36" t="s">
        <v>277</v>
      </c>
      <c r="J21" s="37"/>
      <c r="K21" s="29" t="str">
        <f>"40,0"</f>
        <v>40,0</v>
      </c>
      <c r="L21" s="29" t="str">
        <f>"34,4355"</f>
        <v>34,4355</v>
      </c>
      <c r="M21" s="27" t="s">
        <v>151</v>
      </c>
    </row>
    <row r="23" spans="1:13" ht="16">
      <c r="A23" s="61" t="s">
        <v>82</v>
      </c>
      <c r="B23" s="61"/>
      <c r="C23" s="61"/>
      <c r="D23" s="61"/>
      <c r="E23" s="62"/>
      <c r="F23" s="61"/>
      <c r="G23" s="61"/>
      <c r="H23" s="61"/>
      <c r="I23" s="61"/>
      <c r="J23" s="61"/>
    </row>
    <row r="24" spans="1:13">
      <c r="A24" s="34" t="s">
        <v>42</v>
      </c>
      <c r="B24" s="24" t="s">
        <v>315</v>
      </c>
      <c r="C24" s="24" t="s">
        <v>417</v>
      </c>
      <c r="D24" s="24" t="s">
        <v>302</v>
      </c>
      <c r="E24" s="25" t="s">
        <v>482</v>
      </c>
      <c r="F24" s="24" t="s">
        <v>462</v>
      </c>
      <c r="G24" s="38" t="s">
        <v>154</v>
      </c>
      <c r="H24" s="38" t="s">
        <v>277</v>
      </c>
      <c r="I24" s="33" t="s">
        <v>76</v>
      </c>
      <c r="J24" s="34"/>
      <c r="K24" s="26" t="str">
        <f>"47,5"</f>
        <v>47,5</v>
      </c>
      <c r="L24" s="26" t="str">
        <f>"30,9130"</f>
        <v>30,9130</v>
      </c>
      <c r="M24" s="24" t="s">
        <v>181</v>
      </c>
    </row>
    <row r="25" spans="1:13">
      <c r="A25" s="40" t="s">
        <v>42</v>
      </c>
      <c r="B25" s="30" t="s">
        <v>316</v>
      </c>
      <c r="C25" s="30" t="s">
        <v>303</v>
      </c>
      <c r="D25" s="30" t="s">
        <v>304</v>
      </c>
      <c r="E25" s="31" t="s">
        <v>480</v>
      </c>
      <c r="F25" s="30" t="s">
        <v>463</v>
      </c>
      <c r="G25" s="39" t="s">
        <v>154</v>
      </c>
      <c r="H25" s="39" t="s">
        <v>59</v>
      </c>
      <c r="I25" s="39" t="s">
        <v>76</v>
      </c>
      <c r="J25" s="40"/>
      <c r="K25" s="32" t="str">
        <f>"55,0"</f>
        <v>55,0</v>
      </c>
      <c r="L25" s="32" t="str">
        <f>"36,6520"</f>
        <v>36,6520</v>
      </c>
      <c r="M25" s="30" t="s">
        <v>181</v>
      </c>
    </row>
    <row r="26" spans="1:13">
      <c r="A26" s="37" t="s">
        <v>42</v>
      </c>
      <c r="B26" s="27" t="s">
        <v>317</v>
      </c>
      <c r="C26" s="27" t="s">
        <v>456</v>
      </c>
      <c r="D26" s="27" t="s">
        <v>305</v>
      </c>
      <c r="E26" s="28" t="s">
        <v>485</v>
      </c>
      <c r="F26" s="27" t="s">
        <v>458</v>
      </c>
      <c r="G26" s="35" t="s">
        <v>278</v>
      </c>
      <c r="H26" s="35" t="s">
        <v>155</v>
      </c>
      <c r="I26" s="35" t="s">
        <v>50</v>
      </c>
      <c r="J26" s="36" t="s">
        <v>306</v>
      </c>
      <c r="K26" s="29" t="str">
        <f>"60,0"</f>
        <v>60,0</v>
      </c>
      <c r="L26" s="29" t="str">
        <f>"51,9062"</f>
        <v>51,9062</v>
      </c>
      <c r="M26" s="27" t="s">
        <v>151</v>
      </c>
    </row>
    <row r="28" spans="1:13" ht="16">
      <c r="A28" s="61" t="s">
        <v>134</v>
      </c>
      <c r="B28" s="61"/>
      <c r="C28" s="61"/>
      <c r="D28" s="61"/>
      <c r="E28" s="62"/>
      <c r="F28" s="61"/>
      <c r="G28" s="61"/>
      <c r="H28" s="61"/>
      <c r="I28" s="61"/>
      <c r="J28" s="61"/>
    </row>
    <row r="29" spans="1:13">
      <c r="A29" s="34" t="s">
        <v>42</v>
      </c>
      <c r="B29" s="24" t="s">
        <v>227</v>
      </c>
      <c r="C29" s="24" t="s">
        <v>375</v>
      </c>
      <c r="D29" s="24" t="s">
        <v>203</v>
      </c>
      <c r="E29" s="25" t="s">
        <v>483</v>
      </c>
      <c r="F29" s="24" t="s">
        <v>459</v>
      </c>
      <c r="G29" s="33" t="s">
        <v>158</v>
      </c>
      <c r="H29" s="38" t="s">
        <v>158</v>
      </c>
      <c r="I29" s="33" t="s">
        <v>54</v>
      </c>
      <c r="J29" s="34"/>
      <c r="K29" s="26" t="str">
        <f>"65,0"</f>
        <v>65,0</v>
      </c>
      <c r="L29" s="26" t="str">
        <f>"49,8707"</f>
        <v>49,8707</v>
      </c>
      <c r="M29" s="24" t="s">
        <v>103</v>
      </c>
    </row>
    <row r="30" spans="1:13">
      <c r="A30" s="37" t="s">
        <v>120</v>
      </c>
      <c r="B30" s="27" t="s">
        <v>226</v>
      </c>
      <c r="C30" s="27" t="s">
        <v>418</v>
      </c>
      <c r="D30" s="27" t="s">
        <v>202</v>
      </c>
      <c r="E30" s="28" t="s">
        <v>483</v>
      </c>
      <c r="F30" s="27" t="s">
        <v>458</v>
      </c>
      <c r="G30" s="36" t="s">
        <v>155</v>
      </c>
      <c r="H30" s="35" t="s">
        <v>155</v>
      </c>
      <c r="I30" s="36" t="s">
        <v>50</v>
      </c>
      <c r="J30" s="37"/>
      <c r="K30" s="29" t="str">
        <f>"57,5"</f>
        <v>57,5</v>
      </c>
      <c r="L30" s="29" t="str">
        <f>"38,0851"</f>
        <v>38,0851</v>
      </c>
      <c r="M30" s="27" t="s">
        <v>181</v>
      </c>
    </row>
    <row r="32" spans="1:13">
      <c r="E32" s="5"/>
      <c r="F32" s="10"/>
      <c r="G32" s="5"/>
      <c r="K32" s="19"/>
      <c r="M32" s="6"/>
    </row>
  </sheetData>
  <mergeCells count="17">
    <mergeCell ref="A28:J28"/>
    <mergeCell ref="A5:J5"/>
    <mergeCell ref="A8:J8"/>
    <mergeCell ref="A11:J11"/>
    <mergeCell ref="A18:J18"/>
    <mergeCell ref="A23:J23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7" style="5" bestFit="1" customWidth="1"/>
    <col min="7" max="9" width="4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46" t="s">
        <v>451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273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174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288</v>
      </c>
      <c r="C6" s="7" t="s">
        <v>408</v>
      </c>
      <c r="D6" s="7" t="s">
        <v>274</v>
      </c>
      <c r="E6" s="8" t="s">
        <v>482</v>
      </c>
      <c r="F6" s="7" t="s">
        <v>458</v>
      </c>
      <c r="G6" s="21" t="s">
        <v>275</v>
      </c>
      <c r="H6" s="23" t="s">
        <v>276</v>
      </c>
      <c r="I6" s="23" t="s">
        <v>276</v>
      </c>
      <c r="J6" s="22"/>
      <c r="K6" s="9" t="str">
        <f>"25,0"</f>
        <v>25,0</v>
      </c>
      <c r="L6" s="9" t="str">
        <f>"28,1600"</f>
        <v>28,1600</v>
      </c>
      <c r="M6" s="7" t="s">
        <v>181</v>
      </c>
    </row>
    <row r="8" spans="1:13" ht="16">
      <c r="A8" s="61" t="s">
        <v>52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34" t="s">
        <v>42</v>
      </c>
      <c r="B9" s="24" t="s">
        <v>289</v>
      </c>
      <c r="C9" s="24" t="s">
        <v>419</v>
      </c>
      <c r="D9" s="24" t="s">
        <v>75</v>
      </c>
      <c r="E9" s="25" t="s">
        <v>482</v>
      </c>
      <c r="F9" s="24" t="s">
        <v>458</v>
      </c>
      <c r="G9" s="38" t="s">
        <v>154</v>
      </c>
      <c r="H9" s="38" t="s">
        <v>277</v>
      </c>
      <c r="I9" s="33" t="s">
        <v>278</v>
      </c>
      <c r="J9" s="34"/>
      <c r="K9" s="26" t="str">
        <f>"47,5"</f>
        <v>47,5</v>
      </c>
      <c r="L9" s="26" t="str">
        <f>"34,0314"</f>
        <v>34,0314</v>
      </c>
      <c r="M9" s="24" t="s">
        <v>181</v>
      </c>
    </row>
    <row r="10" spans="1:13">
      <c r="A10" s="37" t="s">
        <v>42</v>
      </c>
      <c r="B10" s="27" t="s">
        <v>290</v>
      </c>
      <c r="C10" s="27" t="s">
        <v>279</v>
      </c>
      <c r="D10" s="27" t="s">
        <v>280</v>
      </c>
      <c r="E10" s="28" t="s">
        <v>480</v>
      </c>
      <c r="F10" s="27" t="s">
        <v>476</v>
      </c>
      <c r="G10" s="35" t="s">
        <v>281</v>
      </c>
      <c r="H10" s="35" t="s">
        <v>54</v>
      </c>
      <c r="I10" s="36" t="s">
        <v>137</v>
      </c>
      <c r="J10" s="37"/>
      <c r="K10" s="29" t="str">
        <f>"70,0"</f>
        <v>70,0</v>
      </c>
      <c r="L10" s="29" t="str">
        <f>"48,1985"</f>
        <v>48,1985</v>
      </c>
      <c r="M10" s="27" t="s">
        <v>181</v>
      </c>
    </row>
    <row r="12" spans="1:13" ht="16">
      <c r="A12" s="61" t="s">
        <v>23</v>
      </c>
      <c r="B12" s="61"/>
      <c r="C12" s="61"/>
      <c r="D12" s="61"/>
      <c r="E12" s="62"/>
      <c r="F12" s="61"/>
      <c r="G12" s="61"/>
      <c r="H12" s="61"/>
      <c r="I12" s="61"/>
      <c r="J12" s="61"/>
    </row>
    <row r="13" spans="1:13">
      <c r="A13" s="22" t="s">
        <v>42</v>
      </c>
      <c r="B13" s="7" t="s">
        <v>291</v>
      </c>
      <c r="C13" s="7" t="s">
        <v>420</v>
      </c>
      <c r="D13" s="7" t="s">
        <v>282</v>
      </c>
      <c r="E13" s="8" t="s">
        <v>481</v>
      </c>
      <c r="F13" s="7" t="s">
        <v>466</v>
      </c>
      <c r="G13" s="21" t="s">
        <v>281</v>
      </c>
      <c r="H13" s="23" t="s">
        <v>150</v>
      </c>
      <c r="I13" s="23" t="s">
        <v>150</v>
      </c>
      <c r="J13" s="22"/>
      <c r="K13" s="9" t="str">
        <f>"67,5"</f>
        <v>67,5</v>
      </c>
      <c r="L13" s="9" t="str">
        <f>"42,2213"</f>
        <v>42,2213</v>
      </c>
      <c r="M13" s="7" t="s">
        <v>181</v>
      </c>
    </row>
    <row r="15" spans="1:13" ht="16">
      <c r="A15" s="61" t="s">
        <v>134</v>
      </c>
      <c r="B15" s="61"/>
      <c r="C15" s="61"/>
      <c r="D15" s="61"/>
      <c r="E15" s="62"/>
      <c r="F15" s="61"/>
      <c r="G15" s="61"/>
      <c r="H15" s="61"/>
      <c r="I15" s="61"/>
      <c r="J15" s="61"/>
    </row>
    <row r="16" spans="1:13">
      <c r="A16" s="34" t="s">
        <v>42</v>
      </c>
      <c r="B16" s="24" t="s">
        <v>292</v>
      </c>
      <c r="C16" s="24" t="s">
        <v>421</v>
      </c>
      <c r="D16" s="24" t="s">
        <v>283</v>
      </c>
      <c r="E16" s="25" t="s">
        <v>481</v>
      </c>
      <c r="F16" s="24" t="s">
        <v>477</v>
      </c>
      <c r="G16" s="33" t="s">
        <v>150</v>
      </c>
      <c r="H16" s="38" t="s">
        <v>150</v>
      </c>
      <c r="I16" s="33" t="s">
        <v>284</v>
      </c>
      <c r="J16" s="34"/>
      <c r="K16" s="26" t="str">
        <f>"75,0"</f>
        <v>75,0</v>
      </c>
      <c r="L16" s="26" t="str">
        <f>"44,1638"</f>
        <v>44,1638</v>
      </c>
      <c r="M16" s="24" t="s">
        <v>181</v>
      </c>
    </row>
    <row r="17" spans="1:13">
      <c r="A17" s="40" t="s">
        <v>120</v>
      </c>
      <c r="B17" s="30" t="s">
        <v>293</v>
      </c>
      <c r="C17" s="30" t="s">
        <v>422</v>
      </c>
      <c r="D17" s="30" t="s">
        <v>285</v>
      </c>
      <c r="E17" s="31" t="s">
        <v>481</v>
      </c>
      <c r="F17" s="30" t="s">
        <v>469</v>
      </c>
      <c r="G17" s="39" t="s">
        <v>150</v>
      </c>
      <c r="H17" s="41" t="s">
        <v>284</v>
      </c>
      <c r="I17" s="41" t="s">
        <v>284</v>
      </c>
      <c r="J17" s="40"/>
      <c r="K17" s="32" t="str">
        <f>"75,0"</f>
        <v>75,0</v>
      </c>
      <c r="L17" s="32" t="str">
        <f>"43,9763"</f>
        <v>43,9763</v>
      </c>
      <c r="M17" s="30" t="s">
        <v>181</v>
      </c>
    </row>
    <row r="18" spans="1:13">
      <c r="A18" s="37" t="s">
        <v>126</v>
      </c>
      <c r="B18" s="27" t="s">
        <v>294</v>
      </c>
      <c r="C18" s="27" t="s">
        <v>423</v>
      </c>
      <c r="D18" s="27" t="s">
        <v>286</v>
      </c>
      <c r="E18" s="28" t="s">
        <v>481</v>
      </c>
      <c r="F18" s="27" t="s">
        <v>466</v>
      </c>
      <c r="G18" s="35" t="s">
        <v>54</v>
      </c>
      <c r="H18" s="36" t="s">
        <v>150</v>
      </c>
      <c r="I18" s="36" t="s">
        <v>150</v>
      </c>
      <c r="J18" s="37"/>
      <c r="K18" s="29" t="str">
        <f>"70,0"</f>
        <v>70,0</v>
      </c>
      <c r="L18" s="29" t="str">
        <f>"40,8660"</f>
        <v>40,8660</v>
      </c>
      <c r="M18" s="27" t="s">
        <v>181</v>
      </c>
    </row>
  </sheetData>
  <mergeCells count="15">
    <mergeCell ref="A8:J8"/>
    <mergeCell ref="A12:J12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9"/>
  <sheetViews>
    <sheetView tabSelected="1"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2.33203125" style="5" customWidth="1"/>
    <col min="7" max="9" width="4.6640625" style="19" bestFit="1" customWidth="1"/>
    <col min="10" max="10" width="4.33203125" style="19" bestFit="1" customWidth="1"/>
    <col min="11" max="11" width="10.5" style="6" bestFit="1" customWidth="1"/>
    <col min="12" max="12" width="7.6640625" style="6" bestFit="1" customWidth="1"/>
    <col min="13" max="13" width="16.33203125" style="5" bestFit="1" customWidth="1"/>
    <col min="14" max="16384" width="9.1640625" style="3"/>
  </cols>
  <sheetData>
    <row r="1" spans="1:13" s="2" customFormat="1" ht="29" customHeight="1">
      <c r="A1" s="46" t="s">
        <v>452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318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319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314</v>
      </c>
      <c r="C6" s="7" t="s">
        <v>424</v>
      </c>
      <c r="D6" s="7" t="s">
        <v>301</v>
      </c>
      <c r="E6" s="8" t="s">
        <v>485</v>
      </c>
      <c r="F6" s="7" t="s">
        <v>458</v>
      </c>
      <c r="G6" s="21" t="s">
        <v>59</v>
      </c>
      <c r="H6" s="21" t="s">
        <v>76</v>
      </c>
      <c r="I6" s="23" t="s">
        <v>272</v>
      </c>
      <c r="J6" s="22"/>
      <c r="K6" s="9" t="str">
        <f>"55,0"</f>
        <v>55,0</v>
      </c>
      <c r="L6" s="9" t="str">
        <f>"49,8020"</f>
        <v>49,8020</v>
      </c>
      <c r="M6" s="7" t="s">
        <v>151</v>
      </c>
    </row>
    <row r="8" spans="1:13" ht="16">
      <c r="A8" s="61" t="s">
        <v>23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2" t="s">
        <v>42</v>
      </c>
      <c r="B9" s="7" t="s">
        <v>317</v>
      </c>
      <c r="C9" s="7" t="s">
        <v>425</v>
      </c>
      <c r="D9" s="7" t="s">
        <v>305</v>
      </c>
      <c r="E9" s="8" t="s">
        <v>489</v>
      </c>
      <c r="F9" s="7" t="s">
        <v>458</v>
      </c>
      <c r="G9" s="23" t="s">
        <v>137</v>
      </c>
      <c r="H9" s="21" t="s">
        <v>150</v>
      </c>
      <c r="I9" s="23" t="s">
        <v>58</v>
      </c>
      <c r="J9" s="22"/>
      <c r="K9" s="9" t="str">
        <f>"75,0"</f>
        <v>75,0</v>
      </c>
      <c r="L9" s="9" t="str">
        <f>"69,4381"</f>
        <v>69,4381</v>
      </c>
      <c r="M9" s="7" t="s">
        <v>151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U9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1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0.332031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6" t="s">
        <v>428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7</v>
      </c>
      <c r="H3" s="60"/>
      <c r="I3" s="60"/>
      <c r="J3" s="60"/>
      <c r="K3" s="60" t="s">
        <v>8</v>
      </c>
      <c r="L3" s="60"/>
      <c r="M3" s="60"/>
      <c r="N3" s="60"/>
      <c r="O3" s="60" t="s">
        <v>9</v>
      </c>
      <c r="P3" s="60"/>
      <c r="Q3" s="60"/>
      <c r="R3" s="60"/>
      <c r="S3" s="58" t="s">
        <v>1</v>
      </c>
      <c r="T3" s="58" t="s">
        <v>3</v>
      </c>
      <c r="U3" s="65" t="s">
        <v>2</v>
      </c>
    </row>
    <row r="4" spans="1:21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9"/>
      <c r="T4" s="59"/>
      <c r="U4" s="66"/>
    </row>
    <row r="5" spans="1:21" ht="16">
      <c r="A5" s="67" t="s">
        <v>23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1">
      <c r="A6" s="22" t="s">
        <v>42</v>
      </c>
      <c r="B6" s="7" t="s">
        <v>144</v>
      </c>
      <c r="C6" s="7" t="s">
        <v>387</v>
      </c>
      <c r="D6" s="7" t="s">
        <v>141</v>
      </c>
      <c r="E6" s="8" t="s">
        <v>483</v>
      </c>
      <c r="F6" s="7" t="s">
        <v>458</v>
      </c>
      <c r="G6" s="23" t="s">
        <v>81</v>
      </c>
      <c r="H6" s="21" t="s">
        <v>81</v>
      </c>
      <c r="I6" s="21" t="s">
        <v>21</v>
      </c>
      <c r="J6" s="22"/>
      <c r="K6" s="21" t="s">
        <v>14</v>
      </c>
      <c r="L6" s="23" t="s">
        <v>15</v>
      </c>
      <c r="M6" s="23" t="s">
        <v>15</v>
      </c>
      <c r="N6" s="22"/>
      <c r="O6" s="21" t="s">
        <v>81</v>
      </c>
      <c r="P6" s="21" t="s">
        <v>21</v>
      </c>
      <c r="Q6" s="21" t="s">
        <v>73</v>
      </c>
      <c r="R6" s="22"/>
      <c r="S6" s="9" t="str">
        <f>"475,0"</f>
        <v>475,0</v>
      </c>
      <c r="T6" s="9" t="str">
        <f>"350,5266"</f>
        <v>350,5266</v>
      </c>
      <c r="U6" s="7" t="s">
        <v>142</v>
      </c>
    </row>
    <row r="8" spans="1:21" ht="16">
      <c r="A8" s="61" t="s">
        <v>134</v>
      </c>
      <c r="B8" s="61"/>
      <c r="C8" s="61"/>
      <c r="D8" s="61"/>
      <c r="E8" s="62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22" t="s">
        <v>42</v>
      </c>
      <c r="B9" s="7" t="s">
        <v>145</v>
      </c>
      <c r="C9" s="7" t="s">
        <v>388</v>
      </c>
      <c r="D9" s="7" t="s">
        <v>143</v>
      </c>
      <c r="E9" s="8" t="s">
        <v>483</v>
      </c>
      <c r="F9" s="7" t="s">
        <v>463</v>
      </c>
      <c r="G9" s="21" t="s">
        <v>29</v>
      </c>
      <c r="H9" s="21" t="s">
        <v>81</v>
      </c>
      <c r="I9" s="21" t="s">
        <v>21</v>
      </c>
      <c r="J9" s="22"/>
      <c r="K9" s="21" t="s">
        <v>16</v>
      </c>
      <c r="L9" s="23" t="s">
        <v>17</v>
      </c>
      <c r="M9" s="21" t="s">
        <v>17</v>
      </c>
      <c r="N9" s="22"/>
      <c r="O9" s="21" t="s">
        <v>29</v>
      </c>
      <c r="P9" s="21" t="s">
        <v>81</v>
      </c>
      <c r="Q9" s="21" t="s">
        <v>21</v>
      </c>
      <c r="R9" s="22"/>
      <c r="S9" s="9" t="str">
        <f>"440,0"</f>
        <v>440,0</v>
      </c>
      <c r="T9" s="9" t="str">
        <f>"306,2030"</f>
        <v>306,2030</v>
      </c>
      <c r="U9" s="7" t="s">
        <v>181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2.33203125" style="5" bestFit="1" customWidth="1"/>
    <col min="7" max="9" width="5.5" style="19" customWidth="1"/>
    <col min="10" max="10" width="4.83203125" style="19" customWidth="1"/>
    <col min="11" max="13" width="4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6" t="s">
        <v>429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7</v>
      </c>
      <c r="H3" s="60"/>
      <c r="I3" s="60"/>
      <c r="J3" s="60"/>
      <c r="K3" s="60" t="s">
        <v>8</v>
      </c>
      <c r="L3" s="60"/>
      <c r="M3" s="60"/>
      <c r="N3" s="60"/>
      <c r="O3" s="60" t="s">
        <v>9</v>
      </c>
      <c r="P3" s="60"/>
      <c r="Q3" s="60"/>
      <c r="R3" s="60"/>
      <c r="S3" s="58" t="s">
        <v>1</v>
      </c>
      <c r="T3" s="58" t="s">
        <v>3</v>
      </c>
      <c r="U3" s="65" t="s">
        <v>2</v>
      </c>
    </row>
    <row r="4" spans="1:21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9"/>
      <c r="T4" s="59"/>
      <c r="U4" s="66"/>
    </row>
    <row r="5" spans="1:21" ht="16">
      <c r="A5" s="67" t="s">
        <v>52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1">
      <c r="A6" s="22" t="s">
        <v>42</v>
      </c>
      <c r="B6" s="7" t="s">
        <v>139</v>
      </c>
      <c r="C6" s="7" t="s">
        <v>132</v>
      </c>
      <c r="D6" s="7" t="s">
        <v>133</v>
      </c>
      <c r="E6" s="8" t="s">
        <v>482</v>
      </c>
      <c r="F6" s="7" t="s">
        <v>464</v>
      </c>
      <c r="G6" s="21" t="s">
        <v>19</v>
      </c>
      <c r="H6" s="23" t="s">
        <v>20</v>
      </c>
      <c r="I6" s="21" t="s">
        <v>20</v>
      </c>
      <c r="J6" s="22"/>
      <c r="K6" s="23" t="s">
        <v>72</v>
      </c>
      <c r="L6" s="23" t="s">
        <v>16</v>
      </c>
      <c r="M6" s="21" t="s">
        <v>16</v>
      </c>
      <c r="N6" s="22"/>
      <c r="O6" s="21" t="s">
        <v>67</v>
      </c>
      <c r="P6" s="23" t="s">
        <v>87</v>
      </c>
      <c r="Q6" s="21" t="s">
        <v>94</v>
      </c>
      <c r="R6" s="22"/>
      <c r="S6" s="9" t="str">
        <f>"460,0"</f>
        <v>460,0</v>
      </c>
      <c r="T6" s="9" t="str">
        <f>"338,1920"</f>
        <v>338,1920</v>
      </c>
      <c r="U6" s="7" t="s">
        <v>181</v>
      </c>
    </row>
    <row r="8" spans="1:21" ht="16">
      <c r="A8" s="61" t="s">
        <v>134</v>
      </c>
      <c r="B8" s="61"/>
      <c r="C8" s="61"/>
      <c r="D8" s="61"/>
      <c r="E8" s="62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22" t="s">
        <v>42</v>
      </c>
      <c r="B9" s="7" t="s">
        <v>140</v>
      </c>
      <c r="C9" s="7" t="s">
        <v>135</v>
      </c>
      <c r="D9" s="7" t="s">
        <v>136</v>
      </c>
      <c r="E9" s="8" t="s">
        <v>482</v>
      </c>
      <c r="F9" s="7" t="s">
        <v>464</v>
      </c>
      <c r="G9" s="23" t="s">
        <v>13</v>
      </c>
      <c r="H9" s="21" t="s">
        <v>14</v>
      </c>
      <c r="I9" s="23" t="s">
        <v>15</v>
      </c>
      <c r="J9" s="22"/>
      <c r="K9" s="21" t="s">
        <v>137</v>
      </c>
      <c r="L9" s="23" t="s">
        <v>58</v>
      </c>
      <c r="M9" s="21" t="s">
        <v>58</v>
      </c>
      <c r="N9" s="22"/>
      <c r="O9" s="21" t="s">
        <v>99</v>
      </c>
      <c r="P9" s="23" t="s">
        <v>138</v>
      </c>
      <c r="Q9" s="21" t="s">
        <v>29</v>
      </c>
      <c r="R9" s="22"/>
      <c r="S9" s="9" t="str">
        <f>"355,0"</f>
        <v>355,0</v>
      </c>
      <c r="T9" s="9" t="str">
        <f>"223,5790"</f>
        <v>223,5790</v>
      </c>
      <c r="U9" s="7" t="s">
        <v>181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0.33203125" style="5" bestFit="1" customWidth="1"/>
    <col min="7" max="9" width="4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8.5" style="6" bestFit="1" customWidth="1"/>
    <col min="17" max="17" width="25.33203125" style="5" customWidth="1"/>
    <col min="18" max="16384" width="9.1640625" style="3"/>
  </cols>
  <sheetData>
    <row r="1" spans="1:17" s="2" customFormat="1" ht="29" customHeight="1">
      <c r="A1" s="46" t="s">
        <v>430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60" t="s">
        <v>9</v>
      </c>
      <c r="L3" s="60"/>
      <c r="M3" s="60"/>
      <c r="N3" s="60"/>
      <c r="O3" s="58" t="s">
        <v>1</v>
      </c>
      <c r="P3" s="58" t="s">
        <v>3</v>
      </c>
      <c r="Q3" s="65" t="s">
        <v>2</v>
      </c>
    </row>
    <row r="4" spans="1:17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9"/>
      <c r="P4" s="59"/>
      <c r="Q4" s="66"/>
    </row>
    <row r="5" spans="1:17" ht="16">
      <c r="A5" s="67" t="s">
        <v>45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7">
      <c r="A6" s="22" t="s">
        <v>42</v>
      </c>
      <c r="B6" s="7" t="s">
        <v>116</v>
      </c>
      <c r="C6" s="7" t="s">
        <v>46</v>
      </c>
      <c r="D6" s="7" t="s">
        <v>47</v>
      </c>
      <c r="E6" s="8" t="s">
        <v>480</v>
      </c>
      <c r="F6" s="7" t="s">
        <v>458</v>
      </c>
      <c r="G6" s="21" t="s">
        <v>76</v>
      </c>
      <c r="H6" s="21" t="s">
        <v>50</v>
      </c>
      <c r="I6" s="23" t="s">
        <v>158</v>
      </c>
      <c r="J6" s="22"/>
      <c r="K6" s="21" t="s">
        <v>51</v>
      </c>
      <c r="L6" s="23" t="s">
        <v>13</v>
      </c>
      <c r="M6" s="23" t="s">
        <v>13</v>
      </c>
      <c r="N6" s="22"/>
      <c r="O6" s="9" t="str">
        <f>"170,0"</f>
        <v>170,0</v>
      </c>
      <c r="P6" s="9" t="str">
        <f>"189,5330"</f>
        <v>189,5330</v>
      </c>
      <c r="Q6" s="7" t="s">
        <v>346</v>
      </c>
    </row>
    <row r="8" spans="1:17" ht="16">
      <c r="A8" s="61" t="s">
        <v>52</v>
      </c>
      <c r="B8" s="61"/>
      <c r="C8" s="61"/>
      <c r="D8" s="61"/>
      <c r="E8" s="62"/>
      <c r="F8" s="61"/>
      <c r="G8" s="61"/>
      <c r="H8" s="61"/>
      <c r="I8" s="61"/>
      <c r="J8" s="61"/>
      <c r="K8" s="61"/>
      <c r="L8" s="61"/>
      <c r="M8" s="61"/>
      <c r="N8" s="61"/>
    </row>
    <row r="9" spans="1:17">
      <c r="A9" s="22" t="s">
        <v>42</v>
      </c>
      <c r="B9" s="7" t="s">
        <v>117</v>
      </c>
      <c r="C9" s="7" t="s">
        <v>384</v>
      </c>
      <c r="D9" s="7" t="s">
        <v>53</v>
      </c>
      <c r="E9" s="8" t="s">
        <v>481</v>
      </c>
      <c r="F9" s="7" t="s">
        <v>458</v>
      </c>
      <c r="G9" s="21" t="s">
        <v>268</v>
      </c>
      <c r="H9" s="21" t="s">
        <v>269</v>
      </c>
      <c r="I9" s="23" t="s">
        <v>55</v>
      </c>
      <c r="J9" s="22"/>
      <c r="K9" s="23" t="s">
        <v>58</v>
      </c>
      <c r="L9" s="21" t="s">
        <v>58</v>
      </c>
      <c r="M9" s="21" t="s">
        <v>16</v>
      </c>
      <c r="N9" s="22"/>
      <c r="O9" s="9" t="str">
        <f>"125,0"</f>
        <v>125,0</v>
      </c>
      <c r="P9" s="9" t="str">
        <f>"126,3750"</f>
        <v>126,3750</v>
      </c>
      <c r="Q9" s="7" t="s">
        <v>181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8320312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0.33203125" style="5" bestFit="1" customWidth="1"/>
    <col min="7" max="7" width="4.5" style="19" customWidth="1"/>
    <col min="8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8.5" style="6" bestFit="1" customWidth="1"/>
    <col min="17" max="17" width="16.33203125" style="5" bestFit="1" customWidth="1"/>
    <col min="18" max="16384" width="9.1640625" style="3"/>
  </cols>
  <sheetData>
    <row r="1" spans="1:17" s="2" customFormat="1" ht="29" customHeight="1">
      <c r="A1" s="46" t="s">
        <v>431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60" t="s">
        <v>9</v>
      </c>
      <c r="L3" s="60"/>
      <c r="M3" s="60"/>
      <c r="N3" s="60"/>
      <c r="O3" s="58" t="s">
        <v>1</v>
      </c>
      <c r="P3" s="58" t="s">
        <v>3</v>
      </c>
      <c r="Q3" s="65" t="s">
        <v>2</v>
      </c>
    </row>
    <row r="4" spans="1:17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9"/>
      <c r="P4" s="59"/>
      <c r="Q4" s="66"/>
    </row>
    <row r="5" spans="1:17" ht="16">
      <c r="A5" s="67" t="s">
        <v>10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7">
      <c r="A6" s="22" t="s">
        <v>42</v>
      </c>
      <c r="B6" s="7" t="s">
        <v>43</v>
      </c>
      <c r="C6" s="7" t="s">
        <v>386</v>
      </c>
      <c r="D6" s="7" t="s">
        <v>12</v>
      </c>
      <c r="E6" s="8" t="s">
        <v>483</v>
      </c>
      <c r="F6" s="7" t="s">
        <v>458</v>
      </c>
      <c r="G6" s="21" t="s">
        <v>16</v>
      </c>
      <c r="H6" s="21" t="s">
        <v>17</v>
      </c>
      <c r="I6" s="21" t="s">
        <v>18</v>
      </c>
      <c r="J6" s="22"/>
      <c r="K6" s="21" t="s">
        <v>19</v>
      </c>
      <c r="L6" s="21" t="s">
        <v>20</v>
      </c>
      <c r="M6" s="23" t="s">
        <v>21</v>
      </c>
      <c r="N6" s="22"/>
      <c r="O6" s="9" t="str">
        <f>"270,0"</f>
        <v>270,0</v>
      </c>
      <c r="P6" s="9" t="str">
        <f>"314,9926"</f>
        <v>314,9926</v>
      </c>
      <c r="Q6" s="7" t="s">
        <v>22</v>
      </c>
    </row>
  </sheetData>
  <mergeCells count="13"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15.5" style="5" bestFit="1" customWidth="1"/>
    <col min="5" max="5" width="12.5" style="10" customWidth="1"/>
    <col min="6" max="6" width="41.832031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20" bestFit="1" customWidth="1"/>
    <col min="16" max="16" width="6.5" style="6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46" t="s">
        <v>432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60" t="s">
        <v>9</v>
      </c>
      <c r="L3" s="60"/>
      <c r="M3" s="60"/>
      <c r="N3" s="60"/>
      <c r="O3" s="63" t="s">
        <v>1</v>
      </c>
      <c r="P3" s="58" t="s">
        <v>3</v>
      </c>
      <c r="Q3" s="65" t="s">
        <v>2</v>
      </c>
    </row>
    <row r="4" spans="1:17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4"/>
      <c r="P4" s="59"/>
      <c r="Q4" s="66"/>
    </row>
    <row r="5" spans="1:17" ht="16">
      <c r="A5" s="67" t="s">
        <v>82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7">
      <c r="A6" s="22" t="s">
        <v>115</v>
      </c>
      <c r="B6" s="7" t="s">
        <v>264</v>
      </c>
      <c r="C6" s="7" t="s">
        <v>262</v>
      </c>
      <c r="D6" s="7" t="s">
        <v>263</v>
      </c>
      <c r="E6" s="8" t="s">
        <v>480</v>
      </c>
      <c r="F6" s="7" t="s">
        <v>465</v>
      </c>
      <c r="G6" s="23" t="s">
        <v>138</v>
      </c>
      <c r="H6" s="23" t="s">
        <v>138</v>
      </c>
      <c r="I6" s="23" t="s">
        <v>138</v>
      </c>
      <c r="J6" s="22"/>
      <c r="K6" s="23"/>
      <c r="L6" s="22"/>
      <c r="M6" s="22"/>
      <c r="N6" s="22"/>
      <c r="O6" s="42">
        <v>0</v>
      </c>
      <c r="P6" s="9" t="str">
        <f>"0,0000"</f>
        <v>0,0000</v>
      </c>
      <c r="Q6" s="7" t="s">
        <v>181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1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46" t="s">
        <v>433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7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52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267</v>
      </c>
      <c r="C6" s="7" t="s">
        <v>265</v>
      </c>
      <c r="D6" s="7" t="s">
        <v>266</v>
      </c>
      <c r="E6" s="8" t="s">
        <v>480</v>
      </c>
      <c r="F6" s="7" t="s">
        <v>466</v>
      </c>
      <c r="G6" s="23" t="s">
        <v>49</v>
      </c>
      <c r="H6" s="21" t="s">
        <v>49</v>
      </c>
      <c r="I6" s="23" t="s">
        <v>13</v>
      </c>
      <c r="J6" s="22"/>
      <c r="K6" s="9" t="str">
        <f>"107,5"</f>
        <v>107,5</v>
      </c>
      <c r="L6" s="9" t="str">
        <f>"104,5438"</f>
        <v>104,5438</v>
      </c>
      <c r="M6" s="7" t="s">
        <v>181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51"/>
  <sheetViews>
    <sheetView topLeftCell="A11" workbookViewId="0">
      <selection activeCell="E41" sqref="E41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41.8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4.5" style="5" bestFit="1" customWidth="1"/>
    <col min="14" max="16384" width="9.1640625" style="3"/>
  </cols>
  <sheetData>
    <row r="1" spans="1:13" s="2" customFormat="1" ht="29" customHeight="1">
      <c r="A1" s="46" t="s">
        <v>434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457</v>
      </c>
      <c r="B3" s="69" t="s">
        <v>0</v>
      </c>
      <c r="C3" s="56" t="s">
        <v>478</v>
      </c>
      <c r="D3" s="56" t="s">
        <v>6</v>
      </c>
      <c r="E3" s="58" t="s">
        <v>479</v>
      </c>
      <c r="F3" s="60" t="s">
        <v>5</v>
      </c>
      <c r="G3" s="60" t="s">
        <v>8</v>
      </c>
      <c r="H3" s="60"/>
      <c r="I3" s="60"/>
      <c r="J3" s="60"/>
      <c r="K3" s="58" t="s">
        <v>167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174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42</v>
      </c>
      <c r="B6" s="7" t="s">
        <v>214</v>
      </c>
      <c r="C6" s="7" t="s">
        <v>175</v>
      </c>
      <c r="D6" s="7" t="s">
        <v>176</v>
      </c>
      <c r="E6" s="8" t="s">
        <v>480</v>
      </c>
      <c r="F6" s="7" t="s">
        <v>465</v>
      </c>
      <c r="G6" s="21" t="s">
        <v>154</v>
      </c>
      <c r="H6" s="21" t="s">
        <v>59</v>
      </c>
      <c r="I6" s="22"/>
      <c r="J6" s="22"/>
      <c r="K6" s="9" t="str">
        <f>"50,0"</f>
        <v>50,0</v>
      </c>
      <c r="L6" s="9" t="str">
        <f>"62,3300"</f>
        <v>62,3300</v>
      </c>
      <c r="M6" s="7" t="s">
        <v>181</v>
      </c>
    </row>
    <row r="8" spans="1:13" ht="16">
      <c r="A8" s="61" t="s">
        <v>45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2" t="s">
        <v>42</v>
      </c>
      <c r="B9" s="7" t="s">
        <v>215</v>
      </c>
      <c r="C9" s="7" t="s">
        <v>177</v>
      </c>
      <c r="D9" s="7" t="s">
        <v>178</v>
      </c>
      <c r="E9" s="8" t="s">
        <v>480</v>
      </c>
      <c r="F9" s="7" t="s">
        <v>458</v>
      </c>
      <c r="G9" s="21" t="s">
        <v>150</v>
      </c>
      <c r="H9" s="21" t="s">
        <v>58</v>
      </c>
      <c r="I9" s="21" t="s">
        <v>72</v>
      </c>
      <c r="J9" s="22"/>
      <c r="K9" s="9" t="str">
        <f>"85,0"</f>
        <v>85,0</v>
      </c>
      <c r="L9" s="9" t="str">
        <f>"73,8565"</f>
        <v>73,8565</v>
      </c>
      <c r="M9" s="7" t="s">
        <v>142</v>
      </c>
    </row>
    <row r="11" spans="1:13" ht="16">
      <c r="A11" s="61" t="s">
        <v>10</v>
      </c>
      <c r="B11" s="61"/>
      <c r="C11" s="61"/>
      <c r="D11" s="61"/>
      <c r="E11" s="62"/>
      <c r="F11" s="61"/>
      <c r="G11" s="61"/>
      <c r="H11" s="61"/>
      <c r="I11" s="61"/>
      <c r="J11" s="61"/>
    </row>
    <row r="12" spans="1:13">
      <c r="A12" s="22" t="s">
        <v>42</v>
      </c>
      <c r="B12" s="7" t="s">
        <v>216</v>
      </c>
      <c r="C12" s="7" t="s">
        <v>179</v>
      </c>
      <c r="D12" s="7" t="s">
        <v>180</v>
      </c>
      <c r="E12" s="8" t="s">
        <v>480</v>
      </c>
      <c r="F12" s="7" t="s">
        <v>458</v>
      </c>
      <c r="G12" s="21" t="s">
        <v>17</v>
      </c>
      <c r="H12" s="21" t="s">
        <v>49</v>
      </c>
      <c r="I12" s="23" t="s">
        <v>93</v>
      </c>
      <c r="J12" s="22"/>
      <c r="K12" s="9" t="str">
        <f>"107,5"</f>
        <v>107,5</v>
      </c>
      <c r="L12" s="9" t="str">
        <f>"85,4840"</f>
        <v>85,4840</v>
      </c>
      <c r="M12" s="7" t="s">
        <v>181</v>
      </c>
    </row>
    <row r="14" spans="1:13" ht="16">
      <c r="A14" s="61" t="s">
        <v>52</v>
      </c>
      <c r="B14" s="61"/>
      <c r="C14" s="61"/>
      <c r="D14" s="61"/>
      <c r="E14" s="62"/>
      <c r="F14" s="61"/>
      <c r="G14" s="61"/>
      <c r="H14" s="61"/>
      <c r="I14" s="61"/>
      <c r="J14" s="61"/>
    </row>
    <row r="15" spans="1:13">
      <c r="A15" s="22" t="s">
        <v>42</v>
      </c>
      <c r="B15" s="7" t="s">
        <v>217</v>
      </c>
      <c r="C15" s="7" t="s">
        <v>182</v>
      </c>
      <c r="D15" s="7" t="s">
        <v>183</v>
      </c>
      <c r="E15" s="8" t="s">
        <v>482</v>
      </c>
      <c r="F15" s="7" t="s">
        <v>458</v>
      </c>
      <c r="G15" s="23" t="s">
        <v>16</v>
      </c>
      <c r="H15" s="21" t="s">
        <v>60</v>
      </c>
      <c r="I15" s="23" t="s">
        <v>17</v>
      </c>
      <c r="J15" s="22"/>
      <c r="K15" s="9" t="str">
        <f>"95,0"</f>
        <v>95,0</v>
      </c>
      <c r="L15" s="9" t="str">
        <f>"70,3570"</f>
        <v>70,3570</v>
      </c>
      <c r="M15" s="7" t="s">
        <v>181</v>
      </c>
    </row>
    <row r="17" spans="1:13" ht="16">
      <c r="A17" s="61" t="s">
        <v>82</v>
      </c>
      <c r="B17" s="61"/>
      <c r="C17" s="61"/>
      <c r="D17" s="61"/>
      <c r="E17" s="62"/>
      <c r="F17" s="61"/>
      <c r="G17" s="61"/>
      <c r="H17" s="61"/>
      <c r="I17" s="61"/>
      <c r="J17" s="61"/>
    </row>
    <row r="18" spans="1:13">
      <c r="A18" s="34" t="s">
        <v>42</v>
      </c>
      <c r="B18" s="24" t="s">
        <v>218</v>
      </c>
      <c r="C18" s="24" t="s">
        <v>184</v>
      </c>
      <c r="D18" s="24" t="s">
        <v>85</v>
      </c>
      <c r="E18" s="25" t="s">
        <v>480</v>
      </c>
      <c r="F18" s="24" t="s">
        <v>467</v>
      </c>
      <c r="G18" s="38" t="s">
        <v>79</v>
      </c>
      <c r="H18" s="33" t="s">
        <v>80</v>
      </c>
      <c r="I18" s="33" t="s">
        <v>80</v>
      </c>
      <c r="J18" s="34"/>
      <c r="K18" s="26" t="str">
        <f>"140,0"</f>
        <v>140,0</v>
      </c>
      <c r="L18" s="26" t="str">
        <f>"93,7860"</f>
        <v>93,7860</v>
      </c>
      <c r="M18" s="24" t="s">
        <v>181</v>
      </c>
    </row>
    <row r="19" spans="1:13">
      <c r="A19" s="37" t="s">
        <v>120</v>
      </c>
      <c r="B19" s="27" t="s">
        <v>219</v>
      </c>
      <c r="C19" s="27" t="s">
        <v>186</v>
      </c>
      <c r="D19" s="27" t="s">
        <v>187</v>
      </c>
      <c r="E19" s="28" t="s">
        <v>480</v>
      </c>
      <c r="F19" s="27" t="s">
        <v>468</v>
      </c>
      <c r="G19" s="36" t="s">
        <v>99</v>
      </c>
      <c r="H19" s="35" t="s">
        <v>99</v>
      </c>
      <c r="I19" s="36" t="s">
        <v>79</v>
      </c>
      <c r="J19" s="37"/>
      <c r="K19" s="29" t="str">
        <f>"135,0"</f>
        <v>135,0</v>
      </c>
      <c r="L19" s="29" t="str">
        <f>"93,1365"</f>
        <v>93,1365</v>
      </c>
      <c r="M19" s="27" t="s">
        <v>181</v>
      </c>
    </row>
    <row r="21" spans="1:13" ht="16">
      <c r="A21" s="61" t="s">
        <v>23</v>
      </c>
      <c r="B21" s="61"/>
      <c r="C21" s="61"/>
      <c r="D21" s="61"/>
      <c r="E21" s="62"/>
      <c r="F21" s="61"/>
      <c r="G21" s="61"/>
      <c r="H21" s="61"/>
      <c r="I21" s="61"/>
      <c r="J21" s="61"/>
    </row>
    <row r="22" spans="1:13">
      <c r="A22" s="34" t="s">
        <v>42</v>
      </c>
      <c r="B22" s="24" t="s">
        <v>220</v>
      </c>
      <c r="C22" s="24" t="s">
        <v>189</v>
      </c>
      <c r="D22" s="24" t="s">
        <v>190</v>
      </c>
      <c r="E22" s="25" t="s">
        <v>480</v>
      </c>
      <c r="F22" s="24" t="s">
        <v>458</v>
      </c>
      <c r="G22" s="33" t="s">
        <v>81</v>
      </c>
      <c r="H22" s="38" t="s">
        <v>81</v>
      </c>
      <c r="I22" s="38" t="s">
        <v>20</v>
      </c>
      <c r="J22" s="34"/>
      <c r="K22" s="26" t="str">
        <f>"165,0"</f>
        <v>165,0</v>
      </c>
      <c r="L22" s="26" t="str">
        <f>"106,0620"</f>
        <v>106,0620</v>
      </c>
      <c r="M22" s="24" t="s">
        <v>103</v>
      </c>
    </row>
    <row r="23" spans="1:13">
      <c r="A23" s="40" t="s">
        <v>120</v>
      </c>
      <c r="B23" s="30" t="s">
        <v>221</v>
      </c>
      <c r="C23" s="30" t="s">
        <v>192</v>
      </c>
      <c r="D23" s="30" t="s">
        <v>193</v>
      </c>
      <c r="E23" s="31" t="s">
        <v>480</v>
      </c>
      <c r="F23" s="30" t="s">
        <v>469</v>
      </c>
      <c r="G23" s="39" t="s">
        <v>19</v>
      </c>
      <c r="H23" s="39" t="s">
        <v>81</v>
      </c>
      <c r="I23" s="39" t="s">
        <v>194</v>
      </c>
      <c r="J23" s="40"/>
      <c r="K23" s="32" t="str">
        <f>"162,5"</f>
        <v>162,5</v>
      </c>
      <c r="L23" s="32" t="str">
        <f>"104,2113"</f>
        <v>104,2113</v>
      </c>
      <c r="M23" s="30" t="s">
        <v>181</v>
      </c>
    </row>
    <row r="24" spans="1:13">
      <c r="A24" s="40" t="s">
        <v>126</v>
      </c>
      <c r="B24" s="30" t="s">
        <v>222</v>
      </c>
      <c r="C24" s="30" t="s">
        <v>195</v>
      </c>
      <c r="D24" s="30" t="s">
        <v>196</v>
      </c>
      <c r="E24" s="31" t="s">
        <v>480</v>
      </c>
      <c r="F24" s="30" t="s">
        <v>470</v>
      </c>
      <c r="G24" s="41" t="s">
        <v>80</v>
      </c>
      <c r="H24" s="41" t="s">
        <v>88</v>
      </c>
      <c r="I24" s="39" t="s">
        <v>88</v>
      </c>
      <c r="J24" s="40"/>
      <c r="K24" s="32" t="str">
        <f>"152,5"</f>
        <v>152,5</v>
      </c>
      <c r="L24" s="32" t="str">
        <f>"97,5695"</f>
        <v>97,5695</v>
      </c>
      <c r="M24" s="30" t="s">
        <v>181</v>
      </c>
    </row>
    <row r="25" spans="1:13">
      <c r="A25" s="40" t="s">
        <v>42</v>
      </c>
      <c r="B25" s="30" t="s">
        <v>223</v>
      </c>
      <c r="C25" s="30" t="s">
        <v>389</v>
      </c>
      <c r="D25" s="30" t="s">
        <v>197</v>
      </c>
      <c r="E25" s="31" t="s">
        <v>484</v>
      </c>
      <c r="F25" s="30" t="s">
        <v>458</v>
      </c>
      <c r="G25" s="41" t="s">
        <v>29</v>
      </c>
      <c r="H25" s="41" t="s">
        <v>88</v>
      </c>
      <c r="I25" s="39" t="s">
        <v>88</v>
      </c>
      <c r="J25" s="40"/>
      <c r="K25" s="32" t="str">
        <f>"152,5"</f>
        <v>152,5</v>
      </c>
      <c r="L25" s="32" t="str">
        <f>"97,8428"</f>
        <v>97,8428</v>
      </c>
      <c r="M25" s="30" t="s">
        <v>181</v>
      </c>
    </row>
    <row r="26" spans="1:13">
      <c r="A26" s="37" t="s">
        <v>42</v>
      </c>
      <c r="B26" s="27" t="s">
        <v>144</v>
      </c>
      <c r="C26" s="27" t="s">
        <v>387</v>
      </c>
      <c r="D26" s="27" t="s">
        <v>141</v>
      </c>
      <c r="E26" s="28" t="s">
        <v>483</v>
      </c>
      <c r="F26" s="27" t="s">
        <v>458</v>
      </c>
      <c r="G26" s="35" t="s">
        <v>14</v>
      </c>
      <c r="H26" s="36" t="s">
        <v>15</v>
      </c>
      <c r="I26" s="36" t="s">
        <v>15</v>
      </c>
      <c r="J26" s="37"/>
      <c r="K26" s="29" t="str">
        <f>"125,0"</f>
        <v>125,0</v>
      </c>
      <c r="L26" s="29" t="str">
        <f>"92,2438"</f>
        <v>92,2438</v>
      </c>
      <c r="M26" s="27" t="s">
        <v>142</v>
      </c>
    </row>
    <row r="28" spans="1:13" ht="16">
      <c r="A28" s="61" t="s">
        <v>134</v>
      </c>
      <c r="B28" s="61"/>
      <c r="C28" s="61"/>
      <c r="D28" s="61"/>
      <c r="E28" s="62"/>
      <c r="F28" s="61"/>
      <c r="G28" s="61"/>
      <c r="H28" s="61"/>
      <c r="I28" s="61"/>
      <c r="J28" s="61"/>
    </row>
    <row r="29" spans="1:13">
      <c r="A29" s="34" t="s">
        <v>42</v>
      </c>
      <c r="B29" s="24" t="s">
        <v>224</v>
      </c>
      <c r="C29" s="24" t="s">
        <v>198</v>
      </c>
      <c r="D29" s="24" t="s">
        <v>199</v>
      </c>
      <c r="E29" s="25" t="s">
        <v>482</v>
      </c>
      <c r="F29" s="24" t="s">
        <v>468</v>
      </c>
      <c r="G29" s="38" t="s">
        <v>70</v>
      </c>
      <c r="H29" s="38" t="s">
        <v>79</v>
      </c>
      <c r="I29" s="38" t="s">
        <v>80</v>
      </c>
      <c r="J29" s="34"/>
      <c r="K29" s="26" t="str">
        <f>"145,0"</f>
        <v>145,0</v>
      </c>
      <c r="L29" s="26" t="str">
        <f>"88,5660"</f>
        <v>88,5660</v>
      </c>
      <c r="M29" s="24" t="s">
        <v>185</v>
      </c>
    </row>
    <row r="30" spans="1:13">
      <c r="A30" s="40" t="s">
        <v>42</v>
      </c>
      <c r="B30" s="30" t="s">
        <v>225</v>
      </c>
      <c r="C30" s="30" t="s">
        <v>200</v>
      </c>
      <c r="D30" s="30" t="s">
        <v>201</v>
      </c>
      <c r="E30" s="31" t="s">
        <v>480</v>
      </c>
      <c r="F30" s="30" t="s">
        <v>463</v>
      </c>
      <c r="G30" s="39" t="s">
        <v>29</v>
      </c>
      <c r="H30" s="39" t="s">
        <v>30</v>
      </c>
      <c r="I30" s="41" t="s">
        <v>194</v>
      </c>
      <c r="J30" s="40"/>
      <c r="K30" s="32" t="str">
        <f>"157,5"</f>
        <v>157,5</v>
      </c>
      <c r="L30" s="32" t="str">
        <f>"96,5318"</f>
        <v>96,5318</v>
      </c>
      <c r="M30" s="30" t="s">
        <v>181</v>
      </c>
    </row>
    <row r="31" spans="1:13">
      <c r="A31" s="40" t="s">
        <v>42</v>
      </c>
      <c r="B31" s="30" t="s">
        <v>226</v>
      </c>
      <c r="C31" s="30" t="s">
        <v>390</v>
      </c>
      <c r="D31" s="30" t="s">
        <v>202</v>
      </c>
      <c r="E31" s="31" t="s">
        <v>485</v>
      </c>
      <c r="F31" s="30" t="s">
        <v>458</v>
      </c>
      <c r="G31" s="39" t="s">
        <v>65</v>
      </c>
      <c r="H31" s="41" t="s">
        <v>13</v>
      </c>
      <c r="I31" s="41" t="s">
        <v>14</v>
      </c>
      <c r="J31" s="40"/>
      <c r="K31" s="32" t="str">
        <f>"115,0"</f>
        <v>115,0</v>
      </c>
      <c r="L31" s="32" t="str">
        <f>"81,1221"</f>
        <v>81,1221</v>
      </c>
      <c r="M31" s="30" t="s">
        <v>181</v>
      </c>
    </row>
    <row r="32" spans="1:13">
      <c r="A32" s="37" t="s">
        <v>42</v>
      </c>
      <c r="B32" s="27" t="s">
        <v>227</v>
      </c>
      <c r="C32" s="27" t="s">
        <v>391</v>
      </c>
      <c r="D32" s="27" t="s">
        <v>203</v>
      </c>
      <c r="E32" s="28" t="s">
        <v>486</v>
      </c>
      <c r="F32" s="27" t="s">
        <v>459</v>
      </c>
      <c r="G32" s="35" t="s">
        <v>29</v>
      </c>
      <c r="H32" s="35" t="s">
        <v>194</v>
      </c>
      <c r="I32" s="35" t="s">
        <v>20</v>
      </c>
      <c r="J32" s="37"/>
      <c r="K32" s="29" t="str">
        <f>"165,0"</f>
        <v>165,0</v>
      </c>
      <c r="L32" s="29" t="str">
        <f>"135,5460"</f>
        <v>135,5460</v>
      </c>
      <c r="M32" s="27" t="s">
        <v>103</v>
      </c>
    </row>
    <row r="34" spans="1:13" ht="16">
      <c r="A34" s="61" t="s">
        <v>110</v>
      </c>
      <c r="B34" s="61"/>
      <c r="C34" s="61"/>
      <c r="D34" s="61"/>
      <c r="E34" s="62"/>
      <c r="F34" s="61"/>
      <c r="G34" s="61"/>
      <c r="H34" s="61"/>
      <c r="I34" s="61"/>
      <c r="J34" s="61"/>
    </row>
    <row r="35" spans="1:13">
      <c r="A35" s="34" t="s">
        <v>42</v>
      </c>
      <c r="B35" s="24" t="s">
        <v>228</v>
      </c>
      <c r="C35" s="24" t="s">
        <v>204</v>
      </c>
      <c r="D35" s="24" t="s">
        <v>205</v>
      </c>
      <c r="E35" s="25" t="s">
        <v>480</v>
      </c>
      <c r="F35" s="24" t="s">
        <v>468</v>
      </c>
      <c r="G35" s="38" t="s">
        <v>29</v>
      </c>
      <c r="H35" s="33" t="s">
        <v>81</v>
      </c>
      <c r="I35" s="33" t="s">
        <v>81</v>
      </c>
      <c r="J35" s="34"/>
      <c r="K35" s="26" t="str">
        <f>"150,0"</f>
        <v>150,0</v>
      </c>
      <c r="L35" s="26" t="str">
        <f>"88,8600"</f>
        <v>88,8600</v>
      </c>
      <c r="M35" s="24" t="s">
        <v>181</v>
      </c>
    </row>
    <row r="36" spans="1:13">
      <c r="A36" s="37" t="s">
        <v>42</v>
      </c>
      <c r="B36" s="27" t="s">
        <v>229</v>
      </c>
      <c r="C36" s="27" t="s">
        <v>392</v>
      </c>
      <c r="D36" s="27" t="s">
        <v>206</v>
      </c>
      <c r="E36" s="28" t="s">
        <v>483</v>
      </c>
      <c r="F36" s="27" t="s">
        <v>458</v>
      </c>
      <c r="G36" s="35" t="s">
        <v>13</v>
      </c>
      <c r="H36" s="35" t="s">
        <v>14</v>
      </c>
      <c r="I36" s="36" t="s">
        <v>15</v>
      </c>
      <c r="J36" s="37"/>
      <c r="K36" s="29" t="str">
        <f>"125,0"</f>
        <v>125,0</v>
      </c>
      <c r="L36" s="29" t="str">
        <f>"79,9902"</f>
        <v>79,9902</v>
      </c>
      <c r="M36" s="27" t="s">
        <v>181</v>
      </c>
    </row>
    <row r="38" spans="1:13" ht="16">
      <c r="A38" s="61" t="s">
        <v>207</v>
      </c>
      <c r="B38" s="61"/>
      <c r="C38" s="61"/>
      <c r="D38" s="61"/>
      <c r="E38" s="62"/>
      <c r="F38" s="61"/>
      <c r="G38" s="61"/>
      <c r="H38" s="61"/>
      <c r="I38" s="61"/>
      <c r="J38" s="61"/>
    </row>
    <row r="39" spans="1:13">
      <c r="A39" s="34" t="s">
        <v>42</v>
      </c>
      <c r="B39" s="24" t="s">
        <v>230</v>
      </c>
      <c r="C39" s="24" t="s">
        <v>209</v>
      </c>
      <c r="D39" s="24" t="s">
        <v>210</v>
      </c>
      <c r="E39" s="25" t="s">
        <v>480</v>
      </c>
      <c r="F39" s="24" t="s">
        <v>458</v>
      </c>
      <c r="G39" s="38" t="s">
        <v>86</v>
      </c>
      <c r="H39" s="33" t="s">
        <v>31</v>
      </c>
      <c r="I39" s="33" t="s">
        <v>31</v>
      </c>
      <c r="J39" s="34"/>
      <c r="K39" s="26" t="str">
        <f>"195,0"</f>
        <v>195,0</v>
      </c>
      <c r="L39" s="26" t="str">
        <f>"111,1305"</f>
        <v>111,1305</v>
      </c>
      <c r="M39" s="24" t="s">
        <v>454</v>
      </c>
    </row>
    <row r="40" spans="1:13">
      <c r="A40" s="37" t="s">
        <v>120</v>
      </c>
      <c r="B40" s="27" t="s">
        <v>231</v>
      </c>
      <c r="C40" s="27" t="s">
        <v>211</v>
      </c>
      <c r="D40" s="27" t="s">
        <v>212</v>
      </c>
      <c r="E40" s="28" t="s">
        <v>480</v>
      </c>
      <c r="F40" s="27" t="s">
        <v>458</v>
      </c>
      <c r="G40" s="35" t="s">
        <v>81</v>
      </c>
      <c r="H40" s="36" t="s">
        <v>21</v>
      </c>
      <c r="I40" s="36" t="s">
        <v>21</v>
      </c>
      <c r="J40" s="37"/>
      <c r="K40" s="29" t="str">
        <f>"160,0"</f>
        <v>160,0</v>
      </c>
      <c r="L40" s="29" t="str">
        <f>"91,4240"</f>
        <v>91,4240</v>
      </c>
      <c r="M40" s="27"/>
    </row>
    <row r="42" spans="1:13" ht="16">
      <c r="F42" s="11"/>
      <c r="G42" s="5"/>
      <c r="K42" s="19"/>
      <c r="M42" s="6"/>
    </row>
    <row r="43" spans="1:13">
      <c r="G43" s="5"/>
      <c r="K43" s="19"/>
      <c r="M43" s="6"/>
    </row>
    <row r="44" spans="1:13" ht="18">
      <c r="B44" s="12" t="s">
        <v>33</v>
      </c>
      <c r="C44" s="12"/>
      <c r="G44" s="3"/>
      <c r="K44" s="19"/>
      <c r="M44" s="6"/>
    </row>
    <row r="45" spans="1:13" ht="16">
      <c r="B45" s="13" t="s">
        <v>39</v>
      </c>
      <c r="C45" s="13"/>
      <c r="G45" s="3"/>
      <c r="K45" s="19"/>
      <c r="M45" s="6"/>
    </row>
    <row r="46" spans="1:13" ht="14">
      <c r="B46" s="14"/>
      <c r="C46" s="15" t="s">
        <v>40</v>
      </c>
      <c r="G46" s="3"/>
      <c r="K46" s="19"/>
      <c r="M46" s="6"/>
    </row>
    <row r="47" spans="1:13" ht="14">
      <c r="B47" s="16" t="s">
        <v>34</v>
      </c>
      <c r="C47" s="16" t="s">
        <v>35</v>
      </c>
      <c r="D47" s="16" t="s">
        <v>383</v>
      </c>
      <c r="E47" s="17" t="s">
        <v>166</v>
      </c>
      <c r="F47" s="16" t="s">
        <v>37</v>
      </c>
      <c r="G47" s="3"/>
      <c r="K47" s="19"/>
      <c r="M47" s="6"/>
    </row>
    <row r="48" spans="1:13">
      <c r="B48" s="5" t="s">
        <v>208</v>
      </c>
      <c r="C48" s="5" t="s">
        <v>40</v>
      </c>
      <c r="D48" s="19" t="s">
        <v>213</v>
      </c>
      <c r="E48" s="20">
        <v>195</v>
      </c>
      <c r="F48" s="18">
        <v>111.130495369434</v>
      </c>
      <c r="G48" s="3"/>
      <c r="K48" s="19"/>
      <c r="M48" s="6"/>
    </row>
    <row r="49" spans="2:13">
      <c r="B49" s="5" t="s">
        <v>188</v>
      </c>
      <c r="C49" s="5" t="s">
        <v>40</v>
      </c>
      <c r="D49" s="19" t="s">
        <v>41</v>
      </c>
      <c r="E49" s="20">
        <v>165</v>
      </c>
      <c r="F49" s="18">
        <v>106.061995625496</v>
      </c>
      <c r="G49" s="3"/>
      <c r="K49" s="19"/>
      <c r="M49" s="6"/>
    </row>
    <row r="50" spans="2:13">
      <c r="B50" s="5" t="s">
        <v>191</v>
      </c>
      <c r="C50" s="5" t="s">
        <v>40</v>
      </c>
      <c r="D50" s="19" t="s">
        <v>41</v>
      </c>
      <c r="E50" s="20">
        <v>162.5</v>
      </c>
      <c r="F50" s="18">
        <v>104.211253672838</v>
      </c>
      <c r="G50" s="3"/>
      <c r="K50" s="19"/>
      <c r="M50" s="6"/>
    </row>
    <row r="51" spans="2:13">
      <c r="E51" s="5"/>
      <c r="F51" s="10"/>
      <c r="G51" s="5"/>
      <c r="K51" s="19"/>
      <c r="M51" s="6"/>
    </row>
  </sheetData>
  <mergeCells count="20">
    <mergeCell ref="A34:J34"/>
    <mergeCell ref="A38:J38"/>
    <mergeCell ref="B3:B4"/>
    <mergeCell ref="A8:J8"/>
    <mergeCell ref="A11:J11"/>
    <mergeCell ref="A14:J14"/>
    <mergeCell ref="A17:J17"/>
    <mergeCell ref="A21:J21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Двоеборье экип</vt:lpstr>
      <vt:lpstr>IPL Присед без экипировки ДК</vt:lpstr>
      <vt:lpstr>IPL Жим без экипировки ДК</vt:lpstr>
      <vt:lpstr>IPL Жим без экипировки</vt:lpstr>
      <vt:lpstr>IPL Жим однослой</vt:lpstr>
      <vt:lpstr>WEPF Жим софт однопетельная</vt:lpstr>
      <vt:lpstr>WEPF Жим софт многопетельнаяДК</vt:lpstr>
      <vt:lpstr>WEPF Жим софт многопетельная</vt:lpstr>
      <vt:lpstr>WRPF Военный жим ДК</vt:lpstr>
      <vt:lpstr>WRPF Военный жим</vt:lpstr>
      <vt:lpstr>СПР Жим СФО</vt:lpstr>
      <vt:lpstr>IPL Тяга без экипировки ДК</vt:lpstr>
      <vt:lpstr>IPL Тяга без экипировки</vt:lpstr>
      <vt:lpstr>IPL Тяга многослой</vt:lpstr>
      <vt:lpstr>СПР Пауэрспорт ДК</vt:lpstr>
      <vt:lpstr>СПР Жим стоя ДК</vt:lpstr>
      <vt:lpstr>СПР Жим стоя</vt:lpstr>
      <vt:lpstr>СПР Подъем на бицепс ДК</vt:lpstr>
      <vt:lpstr>WRPF Подъем на бицепс ДК</vt:lpstr>
      <vt:lpstr>WRPF Подъем на бицепс</vt:lpstr>
      <vt:lpstr>ФЖД Армейский жим макс.ДК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2024-03-26T14:52:19Z</dcterms:modified>
</cp:coreProperties>
</file>