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0/Ноябрь/"/>
    </mc:Choice>
  </mc:AlternateContent>
  <xr:revisionPtr revIDLastSave="0" documentId="13_ncr:1_{96810118-5BC0-B24F-9AA1-1E8E49B5EC03}" xr6:coauthVersionLast="45" xr6:coauthVersionMax="45" xr10:uidLastSave="{00000000-0000-0000-0000-000000000000}"/>
  <bookViews>
    <workbookView xWindow="0" yWindow="460" windowWidth="28800" windowHeight="16080" firstSheet="5" activeTab="10" xr2:uid="{00000000-000D-0000-FFFF-FFFF00000000}"/>
  </bookViews>
  <sheets>
    <sheet name="IPL ПЛ без экипировки" sheetId="5" r:id="rId1"/>
    <sheet name="IPL ПЛ в бинтах" sheetId="6" r:id="rId2"/>
    <sheet name="IPL Двоеборье без экип" sheetId="11" r:id="rId3"/>
    <sheet name="IPL Жим без экипировки" sheetId="7" r:id="rId4"/>
    <sheet name="IPL Жим однослой" sheetId="8" r:id="rId5"/>
    <sheet name="IPL Жим многослой" sheetId="9" r:id="rId6"/>
    <sheet name="IPL Тяга без экипировки" sheetId="10" r:id="rId7"/>
    <sheet name="СПР Пауэрспорт" sheetId="13" r:id="rId8"/>
    <sheet name="СПР Подъем на бицепс" sheetId="12" r:id="rId9"/>
    <sheet name="ФЖД ЖД Любители" sheetId="16" r:id="rId10"/>
    <sheet name="ФЖД Военный жим на макс." sheetId="18" r:id="rId11"/>
    <sheet name="Командное первенство" sheetId="23" r:id="rId12"/>
  </sheets>
  <definedNames>
    <definedName name="_FilterDatabase" localSheetId="0" hidden="1">'IPL ПЛ без экипировки'!$A$1:$S$3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3" i="5" l="1"/>
  <c r="T33" i="5"/>
  <c r="L12" i="18"/>
  <c r="K12" i="18"/>
  <c r="L9" i="18"/>
  <c r="K9" i="18"/>
  <c r="L8" i="18"/>
  <c r="K8" i="18"/>
  <c r="L7" i="18"/>
  <c r="K7" i="18"/>
  <c r="L6" i="18"/>
  <c r="K6" i="18"/>
  <c r="N6" i="16"/>
  <c r="M6" i="16"/>
  <c r="P12" i="13"/>
  <c r="O12" i="13"/>
  <c r="P9" i="13"/>
  <c r="O9" i="13"/>
  <c r="P6" i="13"/>
  <c r="O6" i="13"/>
  <c r="L28" i="12"/>
  <c r="K28" i="12"/>
  <c r="L25" i="12"/>
  <c r="K25" i="12"/>
  <c r="L22" i="12"/>
  <c r="K22" i="12"/>
  <c r="L19" i="12"/>
  <c r="K19" i="12"/>
  <c r="L16" i="12"/>
  <c r="L15" i="12"/>
  <c r="K15" i="12"/>
  <c r="L12" i="12"/>
  <c r="K12" i="12"/>
  <c r="L9" i="12"/>
  <c r="K9" i="12"/>
  <c r="L6" i="12"/>
  <c r="K6" i="12"/>
  <c r="P18" i="11"/>
  <c r="O18" i="11"/>
  <c r="P15" i="11"/>
  <c r="O15" i="11"/>
  <c r="P12" i="11"/>
  <c r="O12" i="11"/>
  <c r="P9" i="11"/>
  <c r="O9" i="11"/>
  <c r="P6" i="11"/>
  <c r="O6" i="11"/>
  <c r="L37" i="10"/>
  <c r="K37" i="10"/>
  <c r="L36" i="10"/>
  <c r="K36" i="10"/>
  <c r="L35" i="10"/>
  <c r="K35" i="10"/>
  <c r="L32" i="10"/>
  <c r="K32" i="10"/>
  <c r="L29" i="10"/>
  <c r="K29" i="10"/>
  <c r="L28" i="10"/>
  <c r="K28" i="10"/>
  <c r="L27" i="10"/>
  <c r="K27" i="10"/>
  <c r="L24" i="10"/>
  <c r="K24" i="10"/>
  <c r="L23" i="10"/>
  <c r="K23" i="10"/>
  <c r="L20" i="10"/>
  <c r="K20" i="10"/>
  <c r="L19" i="10"/>
  <c r="K19" i="10"/>
  <c r="L16" i="10"/>
  <c r="K16" i="10"/>
  <c r="L13" i="10"/>
  <c r="K13" i="10"/>
  <c r="L10" i="10"/>
  <c r="K10" i="10"/>
  <c r="L9" i="10"/>
  <c r="K9" i="10"/>
  <c r="L6" i="10"/>
  <c r="K6" i="10"/>
  <c r="L6" i="9"/>
  <c r="K6" i="9"/>
  <c r="L10" i="8"/>
  <c r="K10" i="8"/>
  <c r="L7" i="8"/>
  <c r="K7" i="8"/>
  <c r="L6" i="8"/>
  <c r="K6" i="8"/>
  <c r="L78" i="7"/>
  <c r="K78" i="7"/>
  <c r="L75" i="7"/>
  <c r="K75" i="7"/>
  <c r="L72" i="7"/>
  <c r="K72" i="7"/>
  <c r="L71" i="7"/>
  <c r="L70" i="7"/>
  <c r="K70" i="7"/>
  <c r="L69" i="7"/>
  <c r="K69" i="7"/>
  <c r="L66" i="7"/>
  <c r="K66" i="7"/>
  <c r="L65" i="7"/>
  <c r="K65" i="7"/>
  <c r="L64" i="7"/>
  <c r="K64" i="7"/>
  <c r="L63" i="7"/>
  <c r="K63" i="7"/>
  <c r="L62" i="7"/>
  <c r="K62" i="7"/>
  <c r="L61" i="7"/>
  <c r="K61" i="7"/>
  <c r="L60" i="7"/>
  <c r="K60" i="7"/>
  <c r="L57" i="7"/>
  <c r="K57" i="7"/>
  <c r="L56" i="7"/>
  <c r="K56" i="7"/>
  <c r="L55" i="7"/>
  <c r="K55" i="7"/>
  <c r="L54" i="7"/>
  <c r="K54" i="7"/>
  <c r="L53" i="7"/>
  <c r="K53" i="7"/>
  <c r="L52" i="7"/>
  <c r="K52" i="7"/>
  <c r="L51" i="7"/>
  <c r="K51" i="7"/>
  <c r="L50" i="7"/>
  <c r="K50" i="7"/>
  <c r="L49" i="7"/>
  <c r="K49" i="7"/>
  <c r="L48" i="7"/>
  <c r="K48" i="7"/>
  <c r="L45" i="7"/>
  <c r="K45" i="7"/>
  <c r="L44" i="7"/>
  <c r="K44" i="7"/>
  <c r="L43" i="7"/>
  <c r="K43" i="7"/>
  <c r="L42" i="7"/>
  <c r="K42" i="7"/>
  <c r="L39" i="7"/>
  <c r="K39" i="7"/>
  <c r="L38" i="7"/>
  <c r="K38" i="7"/>
  <c r="L37" i="7"/>
  <c r="K37" i="7"/>
  <c r="L36" i="7"/>
  <c r="K36" i="7"/>
  <c r="L33" i="7"/>
  <c r="K33" i="7"/>
  <c r="L32" i="7"/>
  <c r="K32" i="7"/>
  <c r="L29" i="7"/>
  <c r="K29" i="7"/>
  <c r="L26" i="7"/>
  <c r="K26" i="7"/>
  <c r="L23" i="7"/>
  <c r="K23" i="7"/>
  <c r="L22" i="7"/>
  <c r="K22" i="7"/>
  <c r="L21" i="7"/>
  <c r="K21" i="7"/>
  <c r="L18" i="7"/>
  <c r="K18" i="7"/>
  <c r="L15" i="7"/>
  <c r="K15" i="7"/>
  <c r="L14" i="7"/>
  <c r="K14" i="7"/>
  <c r="L13" i="7"/>
  <c r="K13" i="7"/>
  <c r="L10" i="7"/>
  <c r="K10" i="7"/>
  <c r="L9" i="7"/>
  <c r="K9" i="7"/>
  <c r="L6" i="7"/>
  <c r="K6" i="7"/>
  <c r="T6" i="6"/>
  <c r="S6" i="6"/>
  <c r="T45" i="5"/>
  <c r="S45" i="5"/>
  <c r="T42" i="5"/>
  <c r="S42" i="5"/>
  <c r="T41" i="5"/>
  <c r="S41" i="5"/>
  <c r="T40" i="5"/>
  <c r="S40" i="5"/>
  <c r="T37" i="5"/>
  <c r="S37" i="5"/>
  <c r="T34" i="5"/>
  <c r="S34" i="5"/>
  <c r="T30" i="5"/>
  <c r="S30" i="5"/>
  <c r="T29" i="5"/>
  <c r="S29" i="5"/>
  <c r="T28" i="5"/>
  <c r="S28" i="5"/>
  <c r="T27" i="5"/>
  <c r="S27" i="5"/>
  <c r="T26" i="5"/>
  <c r="S26" i="5"/>
  <c r="T25" i="5"/>
  <c r="S25" i="5"/>
  <c r="T22" i="5"/>
  <c r="S22" i="5"/>
  <c r="T21" i="5"/>
  <c r="S21" i="5"/>
  <c r="T20" i="5"/>
  <c r="S20" i="5"/>
  <c r="T19" i="5"/>
  <c r="S19" i="5"/>
  <c r="T18" i="5"/>
  <c r="S18" i="5"/>
  <c r="T15" i="5"/>
  <c r="S15" i="5"/>
  <c r="T14" i="5"/>
  <c r="S14" i="5"/>
  <c r="T11" i="5"/>
  <c r="S11" i="5"/>
  <c r="T10" i="5"/>
  <c r="S10" i="5"/>
  <c r="T7" i="5"/>
  <c r="S7" i="5"/>
  <c r="T6" i="5"/>
  <c r="S6" i="5"/>
</calcChain>
</file>

<file path=xl/sharedStrings.xml><?xml version="1.0" encoding="utf-8"?>
<sst xmlns="http://schemas.openxmlformats.org/spreadsheetml/2006/main" count="1762" uniqueCount="513">
  <si>
    <t>ФИО</t>
  </si>
  <si>
    <t>Сумма</t>
  </si>
  <si>
    <t>Тренер</t>
  </si>
  <si>
    <t>Очки</t>
  </si>
  <si>
    <t>Рек</t>
  </si>
  <si>
    <t>Город/Область</t>
  </si>
  <si>
    <t>Вес</t>
  </si>
  <si>
    <t>Повторы</t>
  </si>
  <si>
    <t>Собственный 
вес</t>
  </si>
  <si>
    <t>Приседание</t>
  </si>
  <si>
    <t>Жим лёжа</t>
  </si>
  <si>
    <t>Становая тяга</t>
  </si>
  <si>
    <t>ВЕСОВАЯ КАТЕГОРИЯ   52</t>
  </si>
  <si>
    <t>Седова Светлана</t>
  </si>
  <si>
    <t>Открытая (24.02.1989)/31</t>
  </si>
  <si>
    <t>52,00</t>
  </si>
  <si>
    <t xml:space="preserve">Пермь/Пермский край </t>
  </si>
  <si>
    <t>60,0</t>
  </si>
  <si>
    <t>70,0</t>
  </si>
  <si>
    <t>80,0</t>
  </si>
  <si>
    <t>40,0</t>
  </si>
  <si>
    <t>45,0</t>
  </si>
  <si>
    <t>50,0</t>
  </si>
  <si>
    <t>100,0</t>
  </si>
  <si>
    <t>110,0</t>
  </si>
  <si>
    <t>Поносова Юлия</t>
  </si>
  <si>
    <t>Открытая (08.08.1986)/34</t>
  </si>
  <si>
    <t>51,90</t>
  </si>
  <si>
    <t>82,5</t>
  </si>
  <si>
    <t>87,5</t>
  </si>
  <si>
    <t>52,5</t>
  </si>
  <si>
    <t>90,0</t>
  </si>
  <si>
    <t>ВЕСОВАЯ КАТЕГОРИЯ   56</t>
  </si>
  <si>
    <t>Попонина Елена</t>
  </si>
  <si>
    <t>Открытая (19.09.1973)/47</t>
  </si>
  <si>
    <t>54,80</t>
  </si>
  <si>
    <t>47,5</t>
  </si>
  <si>
    <t>ВЕСОВАЯ КАТЕГОРИЯ   75</t>
  </si>
  <si>
    <t>Ткач Людмила</t>
  </si>
  <si>
    <t>Открытая (13.06.1996)/24</t>
  </si>
  <si>
    <t>69,70</t>
  </si>
  <si>
    <t>120,0</t>
  </si>
  <si>
    <t>140,0</t>
  </si>
  <si>
    <t>150,0</t>
  </si>
  <si>
    <t>95,0</t>
  </si>
  <si>
    <t>160,0</t>
  </si>
  <si>
    <t>170,0</t>
  </si>
  <si>
    <t>Янаева Елена</t>
  </si>
  <si>
    <t>Открытая (12.07.1986)/34</t>
  </si>
  <si>
    <t>68,90</t>
  </si>
  <si>
    <t>75,0</t>
  </si>
  <si>
    <t>130,0</t>
  </si>
  <si>
    <t>Якимов Даниил</t>
  </si>
  <si>
    <t>Юноши 15-19 (07.07.2003)/17</t>
  </si>
  <si>
    <t>74,20</t>
  </si>
  <si>
    <t>145,0</t>
  </si>
  <si>
    <t>155,0</t>
  </si>
  <si>
    <t>165,0</t>
  </si>
  <si>
    <t>135,0</t>
  </si>
  <si>
    <t>Карякин Никита</t>
  </si>
  <si>
    <t>Юноши 15-19 (26.10.2007)/13</t>
  </si>
  <si>
    <t>69,50</t>
  </si>
  <si>
    <t>Коротаев Роман</t>
  </si>
  <si>
    <t>Открытая (20.01.1987)/33</t>
  </si>
  <si>
    <t>71,70</t>
  </si>
  <si>
    <t xml:space="preserve">Нытва/Пермский край </t>
  </si>
  <si>
    <t>117,5</t>
  </si>
  <si>
    <t>122,5</t>
  </si>
  <si>
    <t>125,0</t>
  </si>
  <si>
    <t>220,0</t>
  </si>
  <si>
    <t>230,0</t>
  </si>
  <si>
    <t>240,0</t>
  </si>
  <si>
    <t>Усенко Ян</t>
  </si>
  <si>
    <t>Открытая (30.10.1997)/23</t>
  </si>
  <si>
    <t>73,20</t>
  </si>
  <si>
    <t>180,0</t>
  </si>
  <si>
    <t>195,0</t>
  </si>
  <si>
    <t>205,0</t>
  </si>
  <si>
    <t>Рябчевских Михаил</t>
  </si>
  <si>
    <t>Открытая (05.05.1991)/29</t>
  </si>
  <si>
    <t>74,00</t>
  </si>
  <si>
    <t>190,0</t>
  </si>
  <si>
    <t>210,0</t>
  </si>
  <si>
    <t>ВЕСОВАЯ КАТЕГОРИЯ   82.5</t>
  </si>
  <si>
    <t>Ермаков Никита</t>
  </si>
  <si>
    <t>Юноши 15-19 (04.10.2005)/15</t>
  </si>
  <si>
    <t>77,90</t>
  </si>
  <si>
    <t>85,0</t>
  </si>
  <si>
    <t>Князев Андрей</t>
  </si>
  <si>
    <t>Юноши 15-19 (14.04.2006)/14</t>
  </si>
  <si>
    <t>77,50</t>
  </si>
  <si>
    <t xml:space="preserve">Ижевск/Удмуртия </t>
  </si>
  <si>
    <t>115,0</t>
  </si>
  <si>
    <t>Сироткин Вячеслав</t>
  </si>
  <si>
    <t>Открытая (28.02.1989)/31</t>
  </si>
  <si>
    <t>76,00</t>
  </si>
  <si>
    <t xml:space="preserve">Березники/Пермский край </t>
  </si>
  <si>
    <t>200,0</t>
  </si>
  <si>
    <t>215,0</t>
  </si>
  <si>
    <t>245,0</t>
  </si>
  <si>
    <t>255,0</t>
  </si>
  <si>
    <t>Савинов Евгений</t>
  </si>
  <si>
    <t>Открытая (19.01.1986)/34</t>
  </si>
  <si>
    <t>79,10</t>
  </si>
  <si>
    <t>175,0</t>
  </si>
  <si>
    <t>137,5</t>
  </si>
  <si>
    <t>147,5</t>
  </si>
  <si>
    <t>235,0</t>
  </si>
  <si>
    <t>242,5</t>
  </si>
  <si>
    <t>Орлов Сергей</t>
  </si>
  <si>
    <t>Открытая (25.03.1996)/24</t>
  </si>
  <si>
    <t>81,30</t>
  </si>
  <si>
    <t>152,5</t>
  </si>
  <si>
    <t>Булатов Алексей</t>
  </si>
  <si>
    <t>Открытая (09.01.1986)/34</t>
  </si>
  <si>
    <t>82,30</t>
  </si>
  <si>
    <t>97,5</t>
  </si>
  <si>
    <t>105,0</t>
  </si>
  <si>
    <t>167,5</t>
  </si>
  <si>
    <t>182,5</t>
  </si>
  <si>
    <t>192,5</t>
  </si>
  <si>
    <t>ВЕСОВАЯ КАТЕГОРИЯ   100</t>
  </si>
  <si>
    <t>Дудин Дмитрий</t>
  </si>
  <si>
    <t>Открытая (14.05.1988)/32</t>
  </si>
  <si>
    <t>99,90</t>
  </si>
  <si>
    <t>ВЕСОВАЯ КАТЕГОРИЯ   110</t>
  </si>
  <si>
    <t>Хромов Иван</t>
  </si>
  <si>
    <t>Открытая (17.05.1991)/29</t>
  </si>
  <si>
    <t>107,50</t>
  </si>
  <si>
    <t>250,0</t>
  </si>
  <si>
    <t>260,0</t>
  </si>
  <si>
    <t>ВЕСОВАЯ КАТЕГОРИЯ   125</t>
  </si>
  <si>
    <t>Рогожников Егор</t>
  </si>
  <si>
    <t>Открытая (06.02.1990)/30</t>
  </si>
  <si>
    <t>118,00</t>
  </si>
  <si>
    <t>280,0</t>
  </si>
  <si>
    <t>290,0</t>
  </si>
  <si>
    <t>300,0</t>
  </si>
  <si>
    <t>320,0</t>
  </si>
  <si>
    <t>330,0</t>
  </si>
  <si>
    <t>Шулаков Игорь</t>
  </si>
  <si>
    <t>Открытая (16.08.1980)/40</t>
  </si>
  <si>
    <t>115,20</t>
  </si>
  <si>
    <t>265,0</t>
  </si>
  <si>
    <t>Малышев Павел</t>
  </si>
  <si>
    <t>113,40</t>
  </si>
  <si>
    <t>ВЕСОВАЯ КАТЕГОРИЯ   140</t>
  </si>
  <si>
    <t>Скоркин Роман</t>
  </si>
  <si>
    <t>Открытая (14.04.1986)/34</t>
  </si>
  <si>
    <t>127,00</t>
  </si>
  <si>
    <t>252,5</t>
  </si>
  <si>
    <t>267,5</t>
  </si>
  <si>
    <t>185,0</t>
  </si>
  <si>
    <t>275,0</t>
  </si>
  <si>
    <t>287,5</t>
  </si>
  <si>
    <t>295,0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</si>
  <si>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</si>
  <si>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</si>
  <si>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</si>
  <si>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</si>
  <si>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</si>
  <si>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Сумма </t>
  </si>
  <si>
    <t xml:space="preserve">Wilks </t>
  </si>
  <si>
    <t>75</t>
  </si>
  <si>
    <t>415,0</t>
  </si>
  <si>
    <t>414,0870</t>
  </si>
  <si>
    <t>331,9470</t>
  </si>
  <si>
    <t>52</t>
  </si>
  <si>
    <t>292,9510</t>
  </si>
  <si>
    <t>56</t>
  </si>
  <si>
    <t>197,5</t>
  </si>
  <si>
    <t xml:space="preserve">Мужчины </t>
  </si>
  <si>
    <t>82.5</t>
  </si>
  <si>
    <t>125</t>
  </si>
  <si>
    <t>830,0</t>
  </si>
  <si>
    <t>479,0760</t>
  </si>
  <si>
    <t>605,0</t>
  </si>
  <si>
    <t>427,1905</t>
  </si>
  <si>
    <t>140</t>
  </si>
  <si>
    <t>747,5</t>
  </si>
  <si>
    <t>424,6547</t>
  </si>
  <si>
    <t>1</t>
  </si>
  <si>
    <t>2</t>
  </si>
  <si>
    <t/>
  </si>
  <si>
    <t>3</t>
  </si>
  <si>
    <t>4</t>
  </si>
  <si>
    <t>ВЕСОВАЯ КАТЕГОРИЯ   90</t>
  </si>
  <si>
    <t>Рунтов Сергей</t>
  </si>
  <si>
    <t>88,30</t>
  </si>
  <si>
    <t xml:space="preserve">Чусовой/Пермский край </t>
  </si>
  <si>
    <t>Пшеницын Владимир</t>
  </si>
  <si>
    <t>Открытая (06.05.1982)/38</t>
  </si>
  <si>
    <t>99,10</t>
  </si>
  <si>
    <t xml:space="preserve">Лысьва/Пермский край </t>
  </si>
  <si>
    <t>285,0</t>
  </si>
  <si>
    <t xml:space="preserve">Максимов В. </t>
  </si>
  <si>
    <t>100</t>
  </si>
  <si>
    <t>ВЕСОВАЯ КАТЕГОРИЯ   48</t>
  </si>
  <si>
    <t>Килина Вероника</t>
  </si>
  <si>
    <t>Открытая (09.03.1992)/28</t>
  </si>
  <si>
    <t>47,40</t>
  </si>
  <si>
    <t>55,0</t>
  </si>
  <si>
    <t>Ерофеева Елена</t>
  </si>
  <si>
    <t>Открытая (27.05.1984)/36</t>
  </si>
  <si>
    <t>50,70</t>
  </si>
  <si>
    <t>Ефимова Дарья</t>
  </si>
  <si>
    <t>Открытая (29.10.1985)/35</t>
  </si>
  <si>
    <t>51,60</t>
  </si>
  <si>
    <t>42,5</t>
  </si>
  <si>
    <t>Геташвили Мария</t>
  </si>
  <si>
    <t>Открытая (18.06.1980)/40</t>
  </si>
  <si>
    <t>55,90</t>
  </si>
  <si>
    <t>77,5</t>
  </si>
  <si>
    <t>Сведенцова Татьяна</t>
  </si>
  <si>
    <t>Открытая (03.05.1975)/45</t>
  </si>
  <si>
    <t>53,20</t>
  </si>
  <si>
    <t>67,5</t>
  </si>
  <si>
    <t>72,5</t>
  </si>
  <si>
    <t>ВЕСОВАЯ КАТЕГОРИЯ   60</t>
  </si>
  <si>
    <t>Гаджиева Людмила</t>
  </si>
  <si>
    <t>Открытая (10.02.1971)/49</t>
  </si>
  <si>
    <t>60,00</t>
  </si>
  <si>
    <t>Фомина Алена</t>
  </si>
  <si>
    <t>Открытая (26.08.1988)/32</t>
  </si>
  <si>
    <t>Мочилевская Наталья</t>
  </si>
  <si>
    <t>Открытая (03.03.1986)/34</t>
  </si>
  <si>
    <t>78,30</t>
  </si>
  <si>
    <t>Филимоненко Тимур</t>
  </si>
  <si>
    <t>Юноши 15-19 (19.02.2008)/12</t>
  </si>
  <si>
    <t>55,60</t>
  </si>
  <si>
    <t>ВЕСОВАЯ КАТЕГОРИЯ   67.5</t>
  </si>
  <si>
    <t>Бахарев Кирилл</t>
  </si>
  <si>
    <t>Юноши 15-19 (17.12.2004)/15</t>
  </si>
  <si>
    <t>66,20</t>
  </si>
  <si>
    <t>Киселев Денис</t>
  </si>
  <si>
    <t>67,40</t>
  </si>
  <si>
    <t>Лысцов Семен</t>
  </si>
  <si>
    <t>Юноши 15-19 (16.02.2001)/19</t>
  </si>
  <si>
    <t>72,40</t>
  </si>
  <si>
    <t>Савин Александр</t>
  </si>
  <si>
    <t>Открытая (31.01.1987)/33</t>
  </si>
  <si>
    <t>72,90</t>
  </si>
  <si>
    <t xml:space="preserve">Губаха/Пермский край </t>
  </si>
  <si>
    <t>Новиков Георгий</t>
  </si>
  <si>
    <t>Открытая (23.07.1987)/33</t>
  </si>
  <si>
    <t>74,50</t>
  </si>
  <si>
    <t xml:space="preserve">Соликамск/Пермский край </t>
  </si>
  <si>
    <t>Болков Сергей</t>
  </si>
  <si>
    <t>74,30</t>
  </si>
  <si>
    <t xml:space="preserve">Сячин А. </t>
  </si>
  <si>
    <t>Андерс Егор</t>
  </si>
  <si>
    <t>Юноши 15-19 (23.04.2002)/18</t>
  </si>
  <si>
    <t>77,70</t>
  </si>
  <si>
    <t>Фадеев Борис</t>
  </si>
  <si>
    <t>Открытая (23.04.1986)/34</t>
  </si>
  <si>
    <t>80,00</t>
  </si>
  <si>
    <t>Кушнин Иван</t>
  </si>
  <si>
    <t>Открытая (26.03.1990)/30</t>
  </si>
  <si>
    <t>81,80</t>
  </si>
  <si>
    <t xml:space="preserve">Посёлок Сухая/Пермский край </t>
  </si>
  <si>
    <t>127,5</t>
  </si>
  <si>
    <t>142,5</t>
  </si>
  <si>
    <t>Сарапульцев Вадим</t>
  </si>
  <si>
    <t>80,60</t>
  </si>
  <si>
    <t xml:space="preserve">Кунгур/Пермский край </t>
  </si>
  <si>
    <t>Бахматов Вадим</t>
  </si>
  <si>
    <t>88,60</t>
  </si>
  <si>
    <t>157,5</t>
  </si>
  <si>
    <t>Коротких Александр</t>
  </si>
  <si>
    <t>88,90</t>
  </si>
  <si>
    <t xml:space="preserve">Верещагино/Пермский край </t>
  </si>
  <si>
    <t>Токарев Илья</t>
  </si>
  <si>
    <t>Открытая (28.06.1968)/52</t>
  </si>
  <si>
    <t>89,20</t>
  </si>
  <si>
    <t>162,5</t>
  </si>
  <si>
    <t>Сячин Антон</t>
  </si>
  <si>
    <t>Открытая (20.12.1991)/28</t>
  </si>
  <si>
    <t>85,40</t>
  </si>
  <si>
    <t>Сергеев Игорь</t>
  </si>
  <si>
    <t>Открытая (10.02.1992)/28</t>
  </si>
  <si>
    <t>88,20</t>
  </si>
  <si>
    <t>Тюнин Степан</t>
  </si>
  <si>
    <t>Открытая (29.06.1993)/27</t>
  </si>
  <si>
    <t>89,80</t>
  </si>
  <si>
    <t>Суменков Денис</t>
  </si>
  <si>
    <t>Открытая (24.03.1992)/28</t>
  </si>
  <si>
    <t>88,80</t>
  </si>
  <si>
    <t>Худяков Александр</t>
  </si>
  <si>
    <t>90,00</t>
  </si>
  <si>
    <t>Лузин Сергей</t>
  </si>
  <si>
    <t>89,40</t>
  </si>
  <si>
    <t>Машанов Николай</t>
  </si>
  <si>
    <t>Юноши 15-19 (14.05.2002)/18</t>
  </si>
  <si>
    <t>96,00</t>
  </si>
  <si>
    <t>Некрасов Иван</t>
  </si>
  <si>
    <t>Открытая (18.03.1982)/38</t>
  </si>
  <si>
    <t>98,30</t>
  </si>
  <si>
    <t>187,5</t>
  </si>
  <si>
    <t>Машанов Егор</t>
  </si>
  <si>
    <t>Открытая (17.06.1991)/29</t>
  </si>
  <si>
    <t>93,90</t>
  </si>
  <si>
    <t>Палкин Антон</t>
  </si>
  <si>
    <t>Открытая (07.08.1989)/31</t>
  </si>
  <si>
    <t>90,80</t>
  </si>
  <si>
    <t>Степанов Илья</t>
  </si>
  <si>
    <t>Открытая (27.08.1987)/33</t>
  </si>
  <si>
    <t>96,20</t>
  </si>
  <si>
    <t>Чайкин Виталий</t>
  </si>
  <si>
    <t>Открытая (26.06.1992)/28</t>
  </si>
  <si>
    <t>99,00</t>
  </si>
  <si>
    <t>Вербицкий Роман</t>
  </si>
  <si>
    <t>Открытая (12.08.1995)/25</t>
  </si>
  <si>
    <t>98,00</t>
  </si>
  <si>
    <t>Кириллов Андрей</t>
  </si>
  <si>
    <t>Открытая (29.07.1973)/47</t>
  </si>
  <si>
    <t>105,90</t>
  </si>
  <si>
    <t xml:space="preserve">Киров/Кировская область </t>
  </si>
  <si>
    <t>Крутиков Алексей</t>
  </si>
  <si>
    <t>Открытая (07.05.1993)/27</t>
  </si>
  <si>
    <t>106,70</t>
  </si>
  <si>
    <t>Слободчиков Сергей</t>
  </si>
  <si>
    <t>Открытая (02.06.1986)/34</t>
  </si>
  <si>
    <t>109,00</t>
  </si>
  <si>
    <t>Шамсутдинов Егор</t>
  </si>
  <si>
    <t>103,00</t>
  </si>
  <si>
    <t>Васькив Дмитрий</t>
  </si>
  <si>
    <t>Открытая (13.03.1988)/32</t>
  </si>
  <si>
    <t xml:space="preserve">Результат </t>
  </si>
  <si>
    <t>120,4190</t>
  </si>
  <si>
    <t>94,7910</t>
  </si>
  <si>
    <t>91,3183</t>
  </si>
  <si>
    <t>126,9840</t>
  </si>
  <si>
    <t>110</t>
  </si>
  <si>
    <t>119,1600</t>
  </si>
  <si>
    <t>115,6990</t>
  </si>
  <si>
    <t>Результат</t>
  </si>
  <si>
    <t>5</t>
  </si>
  <si>
    <t>-</t>
  </si>
  <si>
    <t>6</t>
  </si>
  <si>
    <t>Кивелев Иван</t>
  </si>
  <si>
    <t>Открытая (01.01.1991)/29</t>
  </si>
  <si>
    <t>74,40</t>
  </si>
  <si>
    <t>Филимоненко Владимир</t>
  </si>
  <si>
    <t>Открытая (18.10.1981)/39</t>
  </si>
  <si>
    <t>95,10</t>
  </si>
  <si>
    <t>Галкин Владимир</t>
  </si>
  <si>
    <t>97,90</t>
  </si>
  <si>
    <t>315,0</t>
  </si>
  <si>
    <t>Коркодинова Ольга</t>
  </si>
  <si>
    <t>Открытая (13.12.1982)/37</t>
  </si>
  <si>
    <t>55,20</t>
  </si>
  <si>
    <t>Викулина Алина</t>
  </si>
  <si>
    <t>Девушки 15-19 (29.10.2003)/17</t>
  </si>
  <si>
    <t>59,70</t>
  </si>
  <si>
    <t>Князева Ольга</t>
  </si>
  <si>
    <t>Открытая (23.08.1985)/35</t>
  </si>
  <si>
    <t>58,50</t>
  </si>
  <si>
    <t>Смирнов Анатолий</t>
  </si>
  <si>
    <t>Открытая (26.09.1993)/27</t>
  </si>
  <si>
    <t>62,40</t>
  </si>
  <si>
    <t>Щипицин Алексей</t>
  </si>
  <si>
    <t>Открытая (21.03.1991)/29</t>
  </si>
  <si>
    <t>71,10</t>
  </si>
  <si>
    <t xml:space="preserve">Чернушка/Пермский край </t>
  </si>
  <si>
    <t>Демидов Валерий</t>
  </si>
  <si>
    <t>81,10</t>
  </si>
  <si>
    <t>Тимофеев Антон</t>
  </si>
  <si>
    <t>Открытая (29.04.1985)/35</t>
  </si>
  <si>
    <t>98,60</t>
  </si>
  <si>
    <t>Зямилов Александр</t>
  </si>
  <si>
    <t>Открытая (10.01.1995)/25</t>
  </si>
  <si>
    <t>101,60</t>
  </si>
  <si>
    <t>Латыпов Ильнур</t>
  </si>
  <si>
    <t>Открытая (04.12.1980)/39</t>
  </si>
  <si>
    <t>124,30</t>
  </si>
  <si>
    <t>60</t>
  </si>
  <si>
    <t>136,8500</t>
  </si>
  <si>
    <t>108,0245</t>
  </si>
  <si>
    <t>86,2830</t>
  </si>
  <si>
    <t>190,4760</t>
  </si>
  <si>
    <t>181,3660</t>
  </si>
  <si>
    <t>174,0780</t>
  </si>
  <si>
    <t>Косков Сергей</t>
  </si>
  <si>
    <t>95,00</t>
  </si>
  <si>
    <t>Шестаков Андрей</t>
  </si>
  <si>
    <t>134,80</t>
  </si>
  <si>
    <t>172,5</t>
  </si>
  <si>
    <t>Ведерникова Елизавета</t>
  </si>
  <si>
    <t>56,40</t>
  </si>
  <si>
    <t>17,5</t>
  </si>
  <si>
    <t>20,0</t>
  </si>
  <si>
    <t>22,5</t>
  </si>
  <si>
    <t>Лобанов Роман</t>
  </si>
  <si>
    <t>64,70</t>
  </si>
  <si>
    <t>57,5</t>
  </si>
  <si>
    <t>Сулейманов Рифат</t>
  </si>
  <si>
    <t>Открытая (10.03.1992)/28</t>
  </si>
  <si>
    <t>73,70</t>
  </si>
  <si>
    <t>62,5</t>
  </si>
  <si>
    <t>Колясников Кирилл</t>
  </si>
  <si>
    <t>Открытая (30.08.1993)/27</t>
  </si>
  <si>
    <t>80,90</t>
  </si>
  <si>
    <t xml:space="preserve">Краснокамск/Пермский край </t>
  </si>
  <si>
    <t>Козин Николай</t>
  </si>
  <si>
    <t>Открытая (13.04.1996)/24</t>
  </si>
  <si>
    <t>93,70</t>
  </si>
  <si>
    <t>65,0</t>
  </si>
  <si>
    <t>Рудаков Владимир</t>
  </si>
  <si>
    <t>Открытая (28.06.1987)/33</t>
  </si>
  <si>
    <t>Ведерников Петр</t>
  </si>
  <si>
    <t>Открытая (08.07.1981)/39</t>
  </si>
  <si>
    <t>111,70</t>
  </si>
  <si>
    <t xml:space="preserve">Gloss </t>
  </si>
  <si>
    <t>44,9250</t>
  </si>
  <si>
    <t>40,5125</t>
  </si>
  <si>
    <t>34,0590</t>
  </si>
  <si>
    <t>Усков Владислав</t>
  </si>
  <si>
    <t>65,20</t>
  </si>
  <si>
    <t>Исхаков Равил</t>
  </si>
  <si>
    <t>84,70</t>
  </si>
  <si>
    <t>Черноморец Андрей</t>
  </si>
  <si>
    <t>Мастера 70+ (20.06.1946)/74</t>
  </si>
  <si>
    <t>91,40</t>
  </si>
  <si>
    <t>Никонов В.</t>
  </si>
  <si>
    <t>Беляев А.</t>
  </si>
  <si>
    <t>Хабирова В.</t>
  </si>
  <si>
    <t>Шебухов М.</t>
  </si>
  <si>
    <t>Новиков И.</t>
  </si>
  <si>
    <t>Щипицин А.</t>
  </si>
  <si>
    <t>Калашников Е.</t>
  </si>
  <si>
    <t>Бахматов В.</t>
  </si>
  <si>
    <t>Кириллов А.</t>
  </si>
  <si>
    <t>Баландин С.</t>
  </si>
  <si>
    <t>Сиротин В.</t>
  </si>
  <si>
    <t>Рогожников Е.</t>
  </si>
  <si>
    <t>Бахарев О.</t>
  </si>
  <si>
    <t>Шестаков М.</t>
  </si>
  <si>
    <t>Третьяков А.</t>
  </si>
  <si>
    <t>Новинский А.</t>
  </si>
  <si>
    <t xml:space="preserve">Рогожников Е. </t>
  </si>
  <si>
    <t xml:space="preserve">Койков Е. </t>
  </si>
  <si>
    <t>Палкин А.</t>
  </si>
  <si>
    <t xml:space="preserve">Звёздный/Пермский край </t>
  </si>
  <si>
    <t>Весовая категория</t>
  </si>
  <si>
    <t xml:space="preserve">Головизнин Н. </t>
  </si>
  <si>
    <t xml:space="preserve">Ижевск/Республика Удмуртия </t>
  </si>
  <si>
    <t>Мастера 45-49 (19.09.1973)/47</t>
  </si>
  <si>
    <t>Мастера 45-49 (12.03.1974)/46</t>
  </si>
  <si>
    <t>Юниоры 20-23 (20.05.1999)/21</t>
  </si>
  <si>
    <t>Мастера 60-64 (03.01.1957)/63</t>
  </si>
  <si>
    <t>Мастера 45-49 (12.12.1970)/49</t>
  </si>
  <si>
    <t>Мастера 45-49 (03.05.1975)/45</t>
  </si>
  <si>
    <t>Мастера 40-44 (23.02.1980)/40</t>
  </si>
  <si>
    <t>Мастера 40-44 (26.03.1978)/42</t>
  </si>
  <si>
    <t>Мастера 45-49 (07.05.1971)/49</t>
  </si>
  <si>
    <t>Юниоры 20-23 (05.03.1997)/23</t>
  </si>
  <si>
    <t>Юниоры 20-23 (25.12.1997)/22</t>
  </si>
  <si>
    <t>Мастера 40-44 (29.04.1977)/43</t>
  </si>
  <si>
    <t>Мастера 50-54 (28.06.1968)/52</t>
  </si>
  <si>
    <t>Мастера 65-69 (30.04.1954)/66</t>
  </si>
  <si>
    <t>Мастера 40-44 (30.09.1979)/41</t>
  </si>
  <si>
    <t>Мастера 45-49 (19.10.1975)/45</t>
  </si>
  <si>
    <t>Мастера 55-59 (17.03.1963)/57</t>
  </si>
  <si>
    <t>Юниоры 20-23 (17.03.1998)/22</t>
  </si>
  <si>
    <t>Юноши 13-19 (07.07.2003)/17</t>
  </si>
  <si>
    <t>Мастера 40-49 (07.05.1971)/49</t>
  </si>
  <si>
    <t>Девушки 13-19 (23.04.2007)/13</t>
  </si>
  <si>
    <t>Юниоры 20-23 (23.05.1997)/23</t>
  </si>
  <si>
    <t>Мастера 65-69 (19.11.1951)/68</t>
  </si>
  <si>
    <t>Новый Уренгой/ЯНАО</t>
  </si>
  <si>
    <t xml:space="preserve">Лямино/Пермский край </t>
  </si>
  <si>
    <t xml:space="preserve">Филимоненко В. </t>
  </si>
  <si>
    <t xml:space="preserve">Весовая категория </t>
  </si>
  <si>
    <t>Рогожников Евгений</t>
  </si>
  <si>
    <t>Зямилов А.</t>
  </si>
  <si>
    <t xml:space="preserve">Чиркова М. </t>
  </si>
  <si>
    <t xml:space="preserve">Беляев А. </t>
  </si>
  <si>
    <t>Козин Н.</t>
  </si>
  <si>
    <t>Многоповторный жим</t>
  </si>
  <si>
    <t>Командное первенство Открытого Чемпионата Пермского края «Битва за рекорд»</t>
  </si>
  <si>
    <t>Открытый Чемпионат Пермского края «Битва за рекорд»
IPL Пауэрлифтинг без экипировки
Пермь/Пермский край, 7 ноября 2020 года</t>
  </si>
  <si>
    <t>Открытый Чемпионат Пермского края «Битва за рекорд»
IPL Пауэрлифтинг в бинтах
Пермь/Пермский край, 7 ноября 2020 года</t>
  </si>
  <si>
    <t>Открытый Чемпионат Пермского края «Битва за рекорд»
IPL Силовое двоеборье без экипировки
Пермь/Пермский край, 7 ноября 2020 года</t>
  </si>
  <si>
    <t>Открытый Чемпионат Пермского края «Битва за рекорд»
IPL Жим лежа без экипировки
Пермь/Пермский край, 7 ноября 2020 года</t>
  </si>
  <si>
    <t>Открытый Чемпионат Пермского края «Битва за рекорд»
IPL Жим лежа в однослойной экипировке
Пермь/Пермский край, 7 ноября 2020 года</t>
  </si>
  <si>
    <t>Открытый Чемпионат Пермского края «Битва за рекорд»
IPL Жим лежа в многослойной экипировке
Пермь/Пермский край, 7 ноября 2020 года</t>
  </si>
  <si>
    <t>Открытый Чемпионат Пермского края «Битва за рекорд»
IPL Становая тяга без экипировки
Пермь/Пермский край, 7 ноября 2020 года</t>
  </si>
  <si>
    <t>Открытый Чемпионат Пермского края «Битва за рекорд»
СПР Пауэрспорт
Пермь/Пермский край, 7 ноября 2020 года</t>
  </si>
  <si>
    <t>Открытый Чемпионат Пермского края «Битва за рекорд»
СПР Строгий подъем штанги на бицепс
Пермь/Пермский край, 7 ноября 2020 года</t>
  </si>
  <si>
    <t>Открытый Чемпионат Пермского края «Битва за рекорд»
ФЖД Любители двоеборье
Пермь/Пермский край, 7 ноября 2020 года</t>
  </si>
  <si>
    <t>Открытый Чемпионат Пермского края «Битва за рекорд»
ФЖД Военный жим на максимум
Пермь/Пермский край, 7 ноября 2020 года</t>
  </si>
  <si>
    <t>Легенда (222 очка)</t>
  </si>
  <si>
    <t>Тор фитнесс (219 очков)</t>
  </si>
  <si>
    <t>СК Здоровье Ижевск (69 очков)</t>
  </si>
  <si>
    <t>№</t>
  </si>
  <si>
    <t>1 №</t>
  </si>
  <si>
    <t>2 №</t>
  </si>
  <si>
    <t>3 №</t>
  </si>
  <si>
    <t xml:space="preserve"> </t>
  </si>
  <si>
    <t xml:space="preserve">
Дата рождения/Возраст</t>
  </si>
  <si>
    <t>Возрастная группа</t>
  </si>
  <si>
    <t>O</t>
  </si>
  <si>
    <t>M2</t>
  </si>
  <si>
    <t>T</t>
  </si>
  <si>
    <t>J</t>
  </si>
  <si>
    <t>M5</t>
  </si>
  <si>
    <t>M1</t>
  </si>
  <si>
    <t>M3</t>
  </si>
  <si>
    <t>M6</t>
  </si>
  <si>
    <t>M4</t>
  </si>
  <si>
    <t>Жим</t>
  </si>
  <si>
    <t>Тяга</t>
  </si>
  <si>
    <t>M7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</si>
</sst>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  <font>
      <sz val="1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5">
    <pageSetUpPr fitToPage="1"/>
  </sheetPr>
  <dimension ref="A1:U62"/>
  <sheetViews>
    <sheetView workbookViewId="0">
      <selection activeCell="E46" sqref="E46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8.5" style="5" bestFit="1" customWidth="1"/>
    <col min="4" max="4" width="14.83203125" style="5" customWidth="1"/>
    <col min="5" max="5" width="10.5" style="5" bestFit="1" customWidth="1"/>
    <col min="6" max="6" width="27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6.5" style="6" customWidth="1"/>
    <col min="19" max="19" width="7.83203125" style="6" bestFit="1" customWidth="1"/>
    <col min="20" max="20" width="8.5" style="6" bestFit="1" customWidth="1"/>
    <col min="21" max="21" width="17.6640625" style="5" bestFit="1" customWidth="1"/>
    <col min="22" max="16384" width="9.1640625" style="3"/>
  </cols>
  <sheetData>
    <row r="1" spans="1:21" s="2" customFormat="1" ht="29.25" customHeight="1">
      <c r="A1" s="61" t="s">
        <v>480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4"/>
    </row>
    <row r="2" spans="1:21" s="2" customFormat="1" ht="62.25" customHeight="1" thickBot="1">
      <c r="A2" s="65"/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8"/>
    </row>
    <row r="3" spans="1:21" s="1" customFormat="1" ht="12.75" customHeight="1">
      <c r="A3" s="69" t="s">
        <v>494</v>
      </c>
      <c r="B3" s="55" t="s">
        <v>0</v>
      </c>
      <c r="C3" s="71" t="s">
        <v>499</v>
      </c>
      <c r="D3" s="71" t="s">
        <v>8</v>
      </c>
      <c r="E3" s="59" t="s">
        <v>500</v>
      </c>
      <c r="F3" s="59" t="s">
        <v>5</v>
      </c>
      <c r="G3" s="59" t="s">
        <v>9</v>
      </c>
      <c r="H3" s="59"/>
      <c r="I3" s="59"/>
      <c r="J3" s="59"/>
      <c r="K3" s="59" t="s">
        <v>10</v>
      </c>
      <c r="L3" s="59"/>
      <c r="M3" s="59"/>
      <c r="N3" s="59"/>
      <c r="O3" s="59" t="s">
        <v>11</v>
      </c>
      <c r="P3" s="59"/>
      <c r="Q3" s="59"/>
      <c r="R3" s="59"/>
      <c r="S3" s="59" t="s">
        <v>1</v>
      </c>
      <c r="T3" s="59" t="s">
        <v>3</v>
      </c>
      <c r="U3" s="72" t="s">
        <v>2</v>
      </c>
    </row>
    <row r="4" spans="1:21" s="1" customFormat="1" ht="21" customHeight="1" thickBot="1">
      <c r="A4" s="70"/>
      <c r="B4" s="56"/>
      <c r="C4" s="60"/>
      <c r="D4" s="60"/>
      <c r="E4" s="60"/>
      <c r="F4" s="60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0"/>
      <c r="T4" s="60"/>
      <c r="U4" s="73"/>
    </row>
    <row r="5" spans="1:21" ht="16">
      <c r="A5" s="57" t="s">
        <v>12</v>
      </c>
      <c r="B5" s="5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21">
      <c r="A6" s="8" t="s">
        <v>181</v>
      </c>
      <c r="B6" s="7" t="s">
        <v>13</v>
      </c>
      <c r="C6" s="7" t="s">
        <v>14</v>
      </c>
      <c r="D6" s="7" t="s">
        <v>15</v>
      </c>
      <c r="E6" s="7" t="s">
        <v>501</v>
      </c>
      <c r="F6" s="7" t="s">
        <v>16</v>
      </c>
      <c r="G6" s="20" t="s">
        <v>17</v>
      </c>
      <c r="H6" s="20" t="s">
        <v>18</v>
      </c>
      <c r="I6" s="20" t="s">
        <v>19</v>
      </c>
      <c r="J6" s="8"/>
      <c r="K6" s="20" t="s">
        <v>20</v>
      </c>
      <c r="L6" s="20" t="s">
        <v>21</v>
      </c>
      <c r="M6" s="21" t="s">
        <v>22</v>
      </c>
      <c r="N6" s="8"/>
      <c r="O6" s="20" t="s">
        <v>23</v>
      </c>
      <c r="P6" s="21" t="s">
        <v>24</v>
      </c>
      <c r="Q6" s="20" t="s">
        <v>24</v>
      </c>
      <c r="R6" s="8"/>
      <c r="S6" s="8" t="str">
        <f>"235,0"</f>
        <v>235,0</v>
      </c>
      <c r="T6" s="8" t="str">
        <f>"292,9510"</f>
        <v>292,9510</v>
      </c>
      <c r="U6" s="7" t="s">
        <v>439</v>
      </c>
    </row>
    <row r="7" spans="1:21">
      <c r="A7" s="10" t="s">
        <v>182</v>
      </c>
      <c r="B7" s="9" t="s">
        <v>25</v>
      </c>
      <c r="C7" s="9" t="s">
        <v>26</v>
      </c>
      <c r="D7" s="9" t="s">
        <v>27</v>
      </c>
      <c r="E7" s="9" t="s">
        <v>501</v>
      </c>
      <c r="F7" s="9" t="s">
        <v>16</v>
      </c>
      <c r="G7" s="22" t="s">
        <v>28</v>
      </c>
      <c r="H7" s="23" t="s">
        <v>29</v>
      </c>
      <c r="I7" s="23" t="s">
        <v>29</v>
      </c>
      <c r="J7" s="10"/>
      <c r="K7" s="23" t="s">
        <v>22</v>
      </c>
      <c r="L7" s="22" t="s">
        <v>22</v>
      </c>
      <c r="M7" s="23" t="s">
        <v>30</v>
      </c>
      <c r="N7" s="10"/>
      <c r="O7" s="22" t="s">
        <v>28</v>
      </c>
      <c r="P7" s="22" t="s">
        <v>29</v>
      </c>
      <c r="Q7" s="22" t="s">
        <v>31</v>
      </c>
      <c r="R7" s="10"/>
      <c r="S7" s="10" t="str">
        <f>"222,5"</f>
        <v>222,5</v>
      </c>
      <c r="T7" s="10" t="str">
        <f>"277,7912"</f>
        <v>277,7912</v>
      </c>
      <c r="U7" s="9" t="s">
        <v>440</v>
      </c>
    </row>
    <row r="8" spans="1:21">
      <c r="B8" s="5" t="s">
        <v>183</v>
      </c>
    </row>
    <row r="9" spans="1:21" ht="16">
      <c r="A9" s="54" t="s">
        <v>32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</row>
    <row r="10" spans="1:21">
      <c r="A10" s="8" t="s">
        <v>181</v>
      </c>
      <c r="B10" s="7" t="s">
        <v>33</v>
      </c>
      <c r="C10" s="7" t="s">
        <v>34</v>
      </c>
      <c r="D10" s="7" t="s">
        <v>35</v>
      </c>
      <c r="E10" s="7" t="s">
        <v>501</v>
      </c>
      <c r="F10" s="7" t="s">
        <v>16</v>
      </c>
      <c r="G10" s="20" t="s">
        <v>22</v>
      </c>
      <c r="H10" s="20" t="s">
        <v>17</v>
      </c>
      <c r="I10" s="21" t="s">
        <v>18</v>
      </c>
      <c r="J10" s="8"/>
      <c r="K10" s="20" t="s">
        <v>20</v>
      </c>
      <c r="L10" s="20" t="s">
        <v>21</v>
      </c>
      <c r="M10" s="20" t="s">
        <v>36</v>
      </c>
      <c r="N10" s="8"/>
      <c r="O10" s="21" t="s">
        <v>31</v>
      </c>
      <c r="P10" s="20" t="s">
        <v>31</v>
      </c>
      <c r="Q10" s="8"/>
      <c r="R10" s="8"/>
      <c r="S10" s="8" t="str">
        <f>"197,5"</f>
        <v>197,5</v>
      </c>
      <c r="T10" s="8" t="str">
        <f>"236,3482"</f>
        <v>236,3482</v>
      </c>
      <c r="U10" s="7" t="s">
        <v>439</v>
      </c>
    </row>
    <row r="11" spans="1:21">
      <c r="A11" s="10" t="s">
        <v>181</v>
      </c>
      <c r="B11" s="9" t="s">
        <v>33</v>
      </c>
      <c r="C11" s="9" t="s">
        <v>446</v>
      </c>
      <c r="D11" s="9" t="s">
        <v>35</v>
      </c>
      <c r="E11" s="9" t="s">
        <v>502</v>
      </c>
      <c r="F11" s="9" t="s">
        <v>16</v>
      </c>
      <c r="G11" s="22" t="s">
        <v>22</v>
      </c>
      <c r="H11" s="22" t="s">
        <v>17</v>
      </c>
      <c r="I11" s="23" t="s">
        <v>18</v>
      </c>
      <c r="J11" s="10"/>
      <c r="K11" s="22" t="s">
        <v>20</v>
      </c>
      <c r="L11" s="22" t="s">
        <v>21</v>
      </c>
      <c r="M11" s="22" t="s">
        <v>36</v>
      </c>
      <c r="N11" s="10"/>
      <c r="O11" s="23" t="s">
        <v>31</v>
      </c>
      <c r="P11" s="22" t="s">
        <v>31</v>
      </c>
      <c r="Q11" s="10"/>
      <c r="R11" s="10"/>
      <c r="S11" s="10" t="str">
        <f>"197,5"</f>
        <v>197,5</v>
      </c>
      <c r="T11" s="10" t="str">
        <f>"259,0377"</f>
        <v>259,0377</v>
      </c>
      <c r="U11" s="9" t="s">
        <v>439</v>
      </c>
    </row>
    <row r="12" spans="1:21">
      <c r="B12" s="5" t="s">
        <v>183</v>
      </c>
    </row>
    <row r="13" spans="1:21" ht="16">
      <c r="A13" s="54" t="s">
        <v>37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spans="1:21">
      <c r="A14" s="8" t="s">
        <v>181</v>
      </c>
      <c r="B14" s="7" t="s">
        <v>38</v>
      </c>
      <c r="C14" s="7" t="s">
        <v>39</v>
      </c>
      <c r="D14" s="7" t="s">
        <v>40</v>
      </c>
      <c r="E14" s="7" t="s">
        <v>501</v>
      </c>
      <c r="F14" s="7" t="s">
        <v>16</v>
      </c>
      <c r="G14" s="20" t="s">
        <v>41</v>
      </c>
      <c r="H14" s="20" t="s">
        <v>42</v>
      </c>
      <c r="I14" s="20" t="s">
        <v>43</v>
      </c>
      <c r="J14" s="8"/>
      <c r="K14" s="20" t="s">
        <v>19</v>
      </c>
      <c r="L14" s="20" t="s">
        <v>31</v>
      </c>
      <c r="M14" s="20" t="s">
        <v>44</v>
      </c>
      <c r="N14" s="8"/>
      <c r="O14" s="20" t="s">
        <v>42</v>
      </c>
      <c r="P14" s="20" t="s">
        <v>45</v>
      </c>
      <c r="Q14" s="20" t="s">
        <v>46</v>
      </c>
      <c r="R14" s="8"/>
      <c r="S14" s="8" t="str">
        <f>"415,0"</f>
        <v>415,0</v>
      </c>
      <c r="T14" s="8" t="str">
        <f>"414,0870"</f>
        <v>414,0870</v>
      </c>
      <c r="U14" s="7" t="s">
        <v>439</v>
      </c>
    </row>
    <row r="15" spans="1:21">
      <c r="A15" s="10" t="s">
        <v>182</v>
      </c>
      <c r="B15" s="9" t="s">
        <v>47</v>
      </c>
      <c r="C15" s="9" t="s">
        <v>48</v>
      </c>
      <c r="D15" s="9" t="s">
        <v>49</v>
      </c>
      <c r="E15" s="9" t="s">
        <v>501</v>
      </c>
      <c r="F15" s="9" t="s">
        <v>16</v>
      </c>
      <c r="G15" s="22" t="s">
        <v>23</v>
      </c>
      <c r="H15" s="22" t="s">
        <v>24</v>
      </c>
      <c r="I15" s="22" t="s">
        <v>41</v>
      </c>
      <c r="J15" s="10"/>
      <c r="K15" s="22" t="s">
        <v>18</v>
      </c>
      <c r="L15" s="22" t="s">
        <v>50</v>
      </c>
      <c r="M15" s="22" t="s">
        <v>19</v>
      </c>
      <c r="N15" s="10"/>
      <c r="O15" s="22" t="s">
        <v>24</v>
      </c>
      <c r="P15" s="22" t="s">
        <v>41</v>
      </c>
      <c r="Q15" s="22" t="s">
        <v>51</v>
      </c>
      <c r="R15" s="10"/>
      <c r="S15" s="10" t="str">
        <f>"330,0"</f>
        <v>330,0</v>
      </c>
      <c r="T15" s="10" t="str">
        <f>"331,9470"</f>
        <v>331,9470</v>
      </c>
      <c r="U15" s="9" t="s">
        <v>439</v>
      </c>
    </row>
    <row r="16" spans="1:21">
      <c r="B16" s="5" t="s">
        <v>183</v>
      </c>
    </row>
    <row r="17" spans="1:21" ht="16">
      <c r="A17" s="54" t="s">
        <v>37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21">
      <c r="A18" s="8" t="s">
        <v>181</v>
      </c>
      <c r="B18" s="7" t="s">
        <v>52</v>
      </c>
      <c r="C18" s="7" t="s">
        <v>53</v>
      </c>
      <c r="D18" s="7" t="s">
        <v>54</v>
      </c>
      <c r="E18" s="7" t="s">
        <v>503</v>
      </c>
      <c r="F18" s="7" t="s">
        <v>442</v>
      </c>
      <c r="G18" s="20" t="s">
        <v>55</v>
      </c>
      <c r="H18" s="20" t="s">
        <v>56</v>
      </c>
      <c r="I18" s="20" t="s">
        <v>57</v>
      </c>
      <c r="J18" s="8"/>
      <c r="K18" s="21" t="s">
        <v>44</v>
      </c>
      <c r="L18" s="20" t="s">
        <v>44</v>
      </c>
      <c r="M18" s="20" t="s">
        <v>23</v>
      </c>
      <c r="N18" s="8"/>
      <c r="O18" s="20" t="s">
        <v>58</v>
      </c>
      <c r="P18" s="20" t="s">
        <v>55</v>
      </c>
      <c r="Q18" s="21" t="s">
        <v>56</v>
      </c>
      <c r="R18" s="8"/>
      <c r="S18" s="8" t="str">
        <f>"410,0"</f>
        <v>410,0</v>
      </c>
      <c r="T18" s="8" t="str">
        <f>"294,3390"</f>
        <v>294,3390</v>
      </c>
      <c r="U18" s="7" t="s">
        <v>498</v>
      </c>
    </row>
    <row r="19" spans="1:21">
      <c r="A19" s="12" t="s">
        <v>182</v>
      </c>
      <c r="B19" s="11" t="s">
        <v>59</v>
      </c>
      <c r="C19" s="11" t="s">
        <v>60</v>
      </c>
      <c r="D19" s="11" t="s">
        <v>61</v>
      </c>
      <c r="E19" s="11" t="s">
        <v>503</v>
      </c>
      <c r="F19" s="11" t="s">
        <v>16</v>
      </c>
      <c r="G19" s="24" t="s">
        <v>19</v>
      </c>
      <c r="H19" s="24" t="s">
        <v>31</v>
      </c>
      <c r="I19" s="25" t="s">
        <v>23</v>
      </c>
      <c r="J19" s="12"/>
      <c r="K19" s="24" t="s">
        <v>20</v>
      </c>
      <c r="L19" s="24" t="s">
        <v>21</v>
      </c>
      <c r="M19" s="25" t="s">
        <v>22</v>
      </c>
      <c r="N19" s="12"/>
      <c r="O19" s="24" t="s">
        <v>31</v>
      </c>
      <c r="P19" s="24" t="s">
        <v>44</v>
      </c>
      <c r="Q19" s="12"/>
      <c r="R19" s="12"/>
      <c r="S19" s="12" t="str">
        <f>"230,0"</f>
        <v>230,0</v>
      </c>
      <c r="T19" s="12" t="str">
        <f>"173,3050"</f>
        <v>173,3050</v>
      </c>
      <c r="U19" s="11" t="s">
        <v>439</v>
      </c>
    </row>
    <row r="20" spans="1:21">
      <c r="A20" s="12" t="s">
        <v>181</v>
      </c>
      <c r="B20" s="11" t="s">
        <v>62</v>
      </c>
      <c r="C20" s="11" t="s">
        <v>63</v>
      </c>
      <c r="D20" s="11" t="s">
        <v>64</v>
      </c>
      <c r="E20" s="11" t="s">
        <v>501</v>
      </c>
      <c r="F20" s="11" t="s">
        <v>65</v>
      </c>
      <c r="G20" s="24" t="s">
        <v>45</v>
      </c>
      <c r="H20" s="25" t="s">
        <v>46</v>
      </c>
      <c r="I20" s="24" t="s">
        <v>46</v>
      </c>
      <c r="J20" s="12"/>
      <c r="K20" s="24" t="s">
        <v>66</v>
      </c>
      <c r="L20" s="24" t="s">
        <v>67</v>
      </c>
      <c r="M20" s="24" t="s">
        <v>68</v>
      </c>
      <c r="N20" s="12"/>
      <c r="O20" s="24" t="s">
        <v>69</v>
      </c>
      <c r="P20" s="24" t="s">
        <v>70</v>
      </c>
      <c r="Q20" s="25" t="s">
        <v>71</v>
      </c>
      <c r="R20" s="12"/>
      <c r="S20" s="12" t="str">
        <f>"525,0"</f>
        <v>525,0</v>
      </c>
      <c r="T20" s="12" t="str">
        <f>"386,4000"</f>
        <v>386,4000</v>
      </c>
      <c r="U20" s="11" t="s">
        <v>440</v>
      </c>
    </row>
    <row r="21" spans="1:21">
      <c r="A21" s="12" t="s">
        <v>182</v>
      </c>
      <c r="B21" s="11" t="s">
        <v>72</v>
      </c>
      <c r="C21" s="11" t="s">
        <v>73</v>
      </c>
      <c r="D21" s="11" t="s">
        <v>74</v>
      </c>
      <c r="E21" s="11" t="s">
        <v>501</v>
      </c>
      <c r="F21" s="11" t="s">
        <v>16</v>
      </c>
      <c r="G21" s="24" t="s">
        <v>43</v>
      </c>
      <c r="H21" s="24" t="s">
        <v>45</v>
      </c>
      <c r="I21" s="24" t="s">
        <v>46</v>
      </c>
      <c r="J21" s="12"/>
      <c r="K21" s="24" t="s">
        <v>24</v>
      </c>
      <c r="L21" s="24" t="s">
        <v>41</v>
      </c>
      <c r="M21" s="24" t="s">
        <v>68</v>
      </c>
      <c r="N21" s="12"/>
      <c r="O21" s="24" t="s">
        <v>75</v>
      </c>
      <c r="P21" s="24" t="s">
        <v>76</v>
      </c>
      <c r="Q21" s="24" t="s">
        <v>77</v>
      </c>
      <c r="R21" s="12"/>
      <c r="S21" s="12" t="str">
        <f>"500,0"</f>
        <v>500,0</v>
      </c>
      <c r="T21" s="12" t="str">
        <f>"362,4500"</f>
        <v>362,4500</v>
      </c>
      <c r="U21" s="11" t="s">
        <v>433</v>
      </c>
    </row>
    <row r="22" spans="1:21">
      <c r="A22" s="10" t="s">
        <v>184</v>
      </c>
      <c r="B22" s="9" t="s">
        <v>78</v>
      </c>
      <c r="C22" s="9" t="s">
        <v>79</v>
      </c>
      <c r="D22" s="9" t="s">
        <v>80</v>
      </c>
      <c r="E22" s="9" t="s">
        <v>501</v>
      </c>
      <c r="F22" s="9" t="s">
        <v>16</v>
      </c>
      <c r="G22" s="22" t="s">
        <v>46</v>
      </c>
      <c r="H22" s="23" t="s">
        <v>81</v>
      </c>
      <c r="I22" s="23" t="s">
        <v>81</v>
      </c>
      <c r="J22" s="10"/>
      <c r="K22" s="22" t="s">
        <v>23</v>
      </c>
      <c r="L22" s="23" t="s">
        <v>24</v>
      </c>
      <c r="M22" s="22" t="s">
        <v>24</v>
      </c>
      <c r="N22" s="10"/>
      <c r="O22" s="22" t="s">
        <v>46</v>
      </c>
      <c r="P22" s="22" t="s">
        <v>81</v>
      </c>
      <c r="Q22" s="23" t="s">
        <v>82</v>
      </c>
      <c r="R22" s="10"/>
      <c r="S22" s="10" t="str">
        <f>"470,0"</f>
        <v>470,0</v>
      </c>
      <c r="T22" s="10" t="str">
        <f>"338,0710"</f>
        <v>338,0710</v>
      </c>
      <c r="U22" s="9" t="s">
        <v>439</v>
      </c>
    </row>
    <row r="23" spans="1:21">
      <c r="B23" s="5" t="s">
        <v>183</v>
      </c>
    </row>
    <row r="24" spans="1:21" ht="16">
      <c r="A24" s="54" t="s">
        <v>83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</row>
    <row r="25" spans="1:21">
      <c r="A25" s="8" t="s">
        <v>181</v>
      </c>
      <c r="B25" s="7" t="s">
        <v>84</v>
      </c>
      <c r="C25" s="7" t="s">
        <v>85</v>
      </c>
      <c r="D25" s="7" t="s">
        <v>86</v>
      </c>
      <c r="E25" s="7" t="s">
        <v>503</v>
      </c>
      <c r="F25" s="7" t="s">
        <v>16</v>
      </c>
      <c r="G25" s="21" t="s">
        <v>23</v>
      </c>
      <c r="H25" s="20" t="s">
        <v>23</v>
      </c>
      <c r="I25" s="21" t="s">
        <v>24</v>
      </c>
      <c r="J25" s="8"/>
      <c r="K25" s="20" t="s">
        <v>18</v>
      </c>
      <c r="L25" s="20" t="s">
        <v>19</v>
      </c>
      <c r="M25" s="20" t="s">
        <v>87</v>
      </c>
      <c r="N25" s="8"/>
      <c r="O25" s="20" t="s">
        <v>23</v>
      </c>
      <c r="P25" s="20" t="s">
        <v>41</v>
      </c>
      <c r="Q25" s="21" t="s">
        <v>42</v>
      </c>
      <c r="R25" s="8"/>
      <c r="S25" s="8" t="str">
        <f>"305,0"</f>
        <v>305,0</v>
      </c>
      <c r="T25" s="8" t="str">
        <f>"211,8225"</f>
        <v>211,8225</v>
      </c>
      <c r="U25" s="7" t="s">
        <v>439</v>
      </c>
    </row>
    <row r="26" spans="1:21">
      <c r="A26" s="12" t="s">
        <v>182</v>
      </c>
      <c r="B26" s="11" t="s">
        <v>88</v>
      </c>
      <c r="C26" s="11" t="s">
        <v>89</v>
      </c>
      <c r="D26" s="11" t="s">
        <v>90</v>
      </c>
      <c r="E26" s="11" t="s">
        <v>503</v>
      </c>
      <c r="F26" s="11" t="s">
        <v>445</v>
      </c>
      <c r="G26" s="25" t="s">
        <v>19</v>
      </c>
      <c r="H26" s="24" t="s">
        <v>19</v>
      </c>
      <c r="I26" s="24" t="s">
        <v>44</v>
      </c>
      <c r="J26" s="12"/>
      <c r="K26" s="24" t="s">
        <v>17</v>
      </c>
      <c r="L26" s="24" t="s">
        <v>18</v>
      </c>
      <c r="M26" s="25" t="s">
        <v>19</v>
      </c>
      <c r="N26" s="12"/>
      <c r="O26" s="24" t="s">
        <v>23</v>
      </c>
      <c r="P26" s="24" t="s">
        <v>92</v>
      </c>
      <c r="Q26" s="24" t="s">
        <v>51</v>
      </c>
      <c r="R26" s="12"/>
      <c r="S26" s="12" t="str">
        <f>"295,0"</f>
        <v>295,0</v>
      </c>
      <c r="T26" s="12" t="str">
        <f>"205,5855"</f>
        <v>205,5855</v>
      </c>
      <c r="U26" s="11" t="s">
        <v>426</v>
      </c>
    </row>
    <row r="27" spans="1:21">
      <c r="A27" s="12" t="s">
        <v>181</v>
      </c>
      <c r="B27" s="11" t="s">
        <v>93</v>
      </c>
      <c r="C27" s="11" t="s">
        <v>94</v>
      </c>
      <c r="D27" s="11" t="s">
        <v>95</v>
      </c>
      <c r="E27" s="11" t="s">
        <v>501</v>
      </c>
      <c r="F27" s="11" t="s">
        <v>96</v>
      </c>
      <c r="G27" s="24" t="s">
        <v>97</v>
      </c>
      <c r="H27" s="24" t="s">
        <v>82</v>
      </c>
      <c r="I27" s="24" t="s">
        <v>98</v>
      </c>
      <c r="J27" s="12"/>
      <c r="K27" s="25" t="s">
        <v>42</v>
      </c>
      <c r="L27" s="24" t="s">
        <v>55</v>
      </c>
      <c r="M27" s="25" t="s">
        <v>43</v>
      </c>
      <c r="N27" s="12"/>
      <c r="O27" s="24" t="s">
        <v>70</v>
      </c>
      <c r="P27" s="24" t="s">
        <v>99</v>
      </c>
      <c r="Q27" s="25" t="s">
        <v>100</v>
      </c>
      <c r="R27" s="12"/>
      <c r="S27" s="12" t="str">
        <f>"605,0"</f>
        <v>605,0</v>
      </c>
      <c r="T27" s="12" t="str">
        <f>"427,1905"</f>
        <v>427,1905</v>
      </c>
      <c r="U27" s="11" t="s">
        <v>498</v>
      </c>
    </row>
    <row r="28" spans="1:21">
      <c r="A28" s="12" t="s">
        <v>182</v>
      </c>
      <c r="B28" s="11" t="s">
        <v>101</v>
      </c>
      <c r="C28" s="11" t="s">
        <v>102</v>
      </c>
      <c r="D28" s="11" t="s">
        <v>103</v>
      </c>
      <c r="E28" s="11" t="s">
        <v>501</v>
      </c>
      <c r="F28" s="11" t="s">
        <v>16</v>
      </c>
      <c r="G28" s="25" t="s">
        <v>45</v>
      </c>
      <c r="H28" s="24" t="s">
        <v>45</v>
      </c>
      <c r="I28" s="24" t="s">
        <v>104</v>
      </c>
      <c r="J28" s="12"/>
      <c r="K28" s="24" t="s">
        <v>51</v>
      </c>
      <c r="L28" s="24" t="s">
        <v>105</v>
      </c>
      <c r="M28" s="25" t="s">
        <v>106</v>
      </c>
      <c r="N28" s="12"/>
      <c r="O28" s="24" t="s">
        <v>69</v>
      </c>
      <c r="P28" s="24" t="s">
        <v>107</v>
      </c>
      <c r="Q28" s="24" t="s">
        <v>108</v>
      </c>
      <c r="R28" s="12"/>
      <c r="S28" s="12" t="str">
        <f>"555,0"</f>
        <v>555,0</v>
      </c>
      <c r="T28" s="12" t="str">
        <f>"381,6180"</f>
        <v>381,6180</v>
      </c>
      <c r="U28" s="11" t="s">
        <v>441</v>
      </c>
    </row>
    <row r="29" spans="1:21">
      <c r="A29" s="12" t="s">
        <v>184</v>
      </c>
      <c r="B29" s="11" t="s">
        <v>109</v>
      </c>
      <c r="C29" s="11" t="s">
        <v>110</v>
      </c>
      <c r="D29" s="11" t="s">
        <v>111</v>
      </c>
      <c r="E29" s="11" t="s">
        <v>501</v>
      </c>
      <c r="F29" s="11" t="s">
        <v>16</v>
      </c>
      <c r="G29" s="24" t="s">
        <v>43</v>
      </c>
      <c r="H29" s="24" t="s">
        <v>45</v>
      </c>
      <c r="I29" s="24" t="s">
        <v>46</v>
      </c>
      <c r="J29" s="12"/>
      <c r="K29" s="24" t="s">
        <v>42</v>
      </c>
      <c r="L29" s="24" t="s">
        <v>106</v>
      </c>
      <c r="M29" s="24" t="s">
        <v>112</v>
      </c>
      <c r="N29" s="12"/>
      <c r="O29" s="24" t="s">
        <v>81</v>
      </c>
      <c r="P29" s="24" t="s">
        <v>97</v>
      </c>
      <c r="Q29" s="24" t="s">
        <v>82</v>
      </c>
      <c r="R29" s="12"/>
      <c r="S29" s="12" t="str">
        <f>"532,5"</f>
        <v>532,5</v>
      </c>
      <c r="T29" s="12" t="str">
        <f>"359,9167"</f>
        <v>359,9167</v>
      </c>
      <c r="U29" s="11" t="s">
        <v>498</v>
      </c>
    </row>
    <row r="30" spans="1:21">
      <c r="A30" s="10" t="s">
        <v>185</v>
      </c>
      <c r="B30" s="9" t="s">
        <v>113</v>
      </c>
      <c r="C30" s="9" t="s">
        <v>114</v>
      </c>
      <c r="D30" s="9" t="s">
        <v>115</v>
      </c>
      <c r="E30" s="9" t="s">
        <v>501</v>
      </c>
      <c r="F30" s="9" t="s">
        <v>16</v>
      </c>
      <c r="G30" s="22" t="s">
        <v>43</v>
      </c>
      <c r="H30" s="23" t="s">
        <v>56</v>
      </c>
      <c r="I30" s="23" t="s">
        <v>56</v>
      </c>
      <c r="J30" s="10"/>
      <c r="K30" s="22" t="s">
        <v>116</v>
      </c>
      <c r="L30" s="22" t="s">
        <v>117</v>
      </c>
      <c r="M30" s="23" t="s">
        <v>24</v>
      </c>
      <c r="N30" s="10"/>
      <c r="O30" s="22" t="s">
        <v>118</v>
      </c>
      <c r="P30" s="22" t="s">
        <v>119</v>
      </c>
      <c r="Q30" s="23" t="s">
        <v>120</v>
      </c>
      <c r="R30" s="10"/>
      <c r="S30" s="10" t="str">
        <f>"437,5"</f>
        <v>437,5</v>
      </c>
      <c r="T30" s="10" t="str">
        <f>"293,5187"</f>
        <v>293,5187</v>
      </c>
      <c r="U30" s="9" t="s">
        <v>444</v>
      </c>
    </row>
    <row r="31" spans="1:21">
      <c r="B31" s="5" t="s">
        <v>183</v>
      </c>
    </row>
    <row r="32" spans="1:21" ht="16">
      <c r="A32" s="54" t="s">
        <v>121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</row>
    <row r="33" spans="1:21">
      <c r="A33" s="28" t="s">
        <v>181</v>
      </c>
      <c r="B33" s="32" t="s">
        <v>190</v>
      </c>
      <c r="C33" s="32" t="s">
        <v>191</v>
      </c>
      <c r="D33" s="32" t="s">
        <v>192</v>
      </c>
      <c r="E33" s="32" t="s">
        <v>501</v>
      </c>
      <c r="F33" s="32" t="s">
        <v>193</v>
      </c>
      <c r="G33" s="39" t="s">
        <v>99</v>
      </c>
      <c r="H33" s="41" t="s">
        <v>129</v>
      </c>
      <c r="I33" s="39" t="s">
        <v>130</v>
      </c>
      <c r="J33" s="28"/>
      <c r="K33" s="20" t="s">
        <v>43</v>
      </c>
      <c r="L33" s="38" t="s">
        <v>56</v>
      </c>
      <c r="M33" s="38" t="s">
        <v>45</v>
      </c>
      <c r="N33" s="33"/>
      <c r="O33" s="38" t="s">
        <v>194</v>
      </c>
      <c r="P33" s="36" t="s">
        <v>155</v>
      </c>
      <c r="Q33" s="36" t="s">
        <v>155</v>
      </c>
      <c r="R33" s="33"/>
      <c r="S33" s="33" t="str">
        <f>"695,0"</f>
        <v>695,0</v>
      </c>
      <c r="T33" s="33" t="str">
        <f>"424,5060"</f>
        <v>424,5060</v>
      </c>
      <c r="U33" s="29" t="s">
        <v>195</v>
      </c>
    </row>
    <row r="34" spans="1:21">
      <c r="A34" s="30" t="s">
        <v>182</v>
      </c>
      <c r="B34" s="34" t="s">
        <v>122</v>
      </c>
      <c r="C34" s="34" t="s">
        <v>123</v>
      </c>
      <c r="D34" s="34" t="s">
        <v>124</v>
      </c>
      <c r="E34" s="34" t="s">
        <v>501</v>
      </c>
      <c r="F34" s="34" t="s">
        <v>16</v>
      </c>
      <c r="G34" s="40" t="s">
        <v>46</v>
      </c>
      <c r="H34" s="42" t="s">
        <v>81</v>
      </c>
      <c r="I34" s="42" t="s">
        <v>81</v>
      </c>
      <c r="J34" s="30"/>
      <c r="K34" s="22" t="s">
        <v>23</v>
      </c>
      <c r="L34" s="43" t="s">
        <v>41</v>
      </c>
      <c r="M34" s="37" t="s">
        <v>41</v>
      </c>
      <c r="N34" s="35"/>
      <c r="O34" s="37" t="s">
        <v>46</v>
      </c>
      <c r="P34" s="37" t="s">
        <v>81</v>
      </c>
      <c r="Q34" s="37" t="s">
        <v>77</v>
      </c>
      <c r="R34" s="35"/>
      <c r="S34" s="35" t="str">
        <f>"495,0"</f>
        <v>495,0</v>
      </c>
      <c r="T34" s="35" t="str">
        <f>"301,3560"</f>
        <v>301,3560</v>
      </c>
      <c r="U34" s="31" t="s">
        <v>439</v>
      </c>
    </row>
    <row r="35" spans="1:21">
      <c r="B35" s="5" t="s">
        <v>183</v>
      </c>
    </row>
    <row r="36" spans="1:21" ht="16">
      <c r="A36" s="54" t="s">
        <v>125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21">
      <c r="A37" s="14" t="s">
        <v>181</v>
      </c>
      <c r="B37" s="13" t="s">
        <v>126</v>
      </c>
      <c r="C37" s="13" t="s">
        <v>127</v>
      </c>
      <c r="D37" s="13" t="s">
        <v>128</v>
      </c>
      <c r="E37" s="13" t="s">
        <v>501</v>
      </c>
      <c r="F37" s="13" t="s">
        <v>16</v>
      </c>
      <c r="G37" s="26" t="s">
        <v>70</v>
      </c>
      <c r="H37" s="26" t="s">
        <v>71</v>
      </c>
      <c r="I37" s="27" t="s">
        <v>129</v>
      </c>
      <c r="J37" s="14"/>
      <c r="K37" s="26" t="s">
        <v>55</v>
      </c>
      <c r="L37" s="26" t="s">
        <v>43</v>
      </c>
      <c r="M37" s="27" t="s">
        <v>45</v>
      </c>
      <c r="N37" s="14"/>
      <c r="O37" s="26" t="s">
        <v>99</v>
      </c>
      <c r="P37" s="26" t="s">
        <v>129</v>
      </c>
      <c r="Q37" s="26" t="s">
        <v>130</v>
      </c>
      <c r="R37" s="14"/>
      <c r="S37" s="14" t="str">
        <f>"650,0"</f>
        <v>650,0</v>
      </c>
      <c r="T37" s="14" t="str">
        <f>"385,3200"</f>
        <v>385,3200</v>
      </c>
      <c r="U37" s="13" t="s">
        <v>498</v>
      </c>
    </row>
    <row r="38" spans="1:21">
      <c r="B38" s="5" t="s">
        <v>183</v>
      </c>
    </row>
    <row r="39" spans="1:21" ht="16">
      <c r="A39" s="54" t="s">
        <v>131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</row>
    <row r="40" spans="1:21">
      <c r="A40" s="8" t="s">
        <v>181</v>
      </c>
      <c r="B40" s="7" t="s">
        <v>473</v>
      </c>
      <c r="C40" s="7" t="s">
        <v>133</v>
      </c>
      <c r="D40" s="7" t="s">
        <v>134</v>
      </c>
      <c r="E40" s="7" t="s">
        <v>501</v>
      </c>
      <c r="F40" s="7" t="s">
        <v>16</v>
      </c>
      <c r="G40" s="20" t="s">
        <v>130</v>
      </c>
      <c r="H40" s="20" t="s">
        <v>135</v>
      </c>
      <c r="I40" s="21" t="s">
        <v>136</v>
      </c>
      <c r="J40" s="8"/>
      <c r="K40" s="20" t="s">
        <v>97</v>
      </c>
      <c r="L40" s="20" t="s">
        <v>69</v>
      </c>
      <c r="M40" s="21" t="s">
        <v>70</v>
      </c>
      <c r="N40" s="8"/>
      <c r="O40" s="20" t="s">
        <v>137</v>
      </c>
      <c r="P40" s="20" t="s">
        <v>138</v>
      </c>
      <c r="Q40" s="20" t="s">
        <v>139</v>
      </c>
      <c r="R40" s="8"/>
      <c r="S40" s="8" t="str">
        <f>"830,0"</f>
        <v>830,0</v>
      </c>
      <c r="T40" s="8" t="str">
        <f>"479,0760"</f>
        <v>479,0760</v>
      </c>
      <c r="U40" s="7" t="s">
        <v>498</v>
      </c>
    </row>
    <row r="41" spans="1:21">
      <c r="A41" s="12" t="s">
        <v>182</v>
      </c>
      <c r="B41" s="11" t="s">
        <v>140</v>
      </c>
      <c r="C41" s="11" t="s">
        <v>141</v>
      </c>
      <c r="D41" s="11" t="s">
        <v>142</v>
      </c>
      <c r="E41" s="11" t="s">
        <v>501</v>
      </c>
      <c r="F41" s="11" t="s">
        <v>16</v>
      </c>
      <c r="G41" s="25" t="s">
        <v>82</v>
      </c>
      <c r="H41" s="24" t="s">
        <v>69</v>
      </c>
      <c r="I41" s="24" t="s">
        <v>107</v>
      </c>
      <c r="J41" s="12"/>
      <c r="K41" s="24" t="s">
        <v>45</v>
      </c>
      <c r="L41" s="24" t="s">
        <v>57</v>
      </c>
      <c r="M41" s="24" t="s">
        <v>118</v>
      </c>
      <c r="N41" s="12"/>
      <c r="O41" s="24" t="s">
        <v>129</v>
      </c>
      <c r="P41" s="24" t="s">
        <v>130</v>
      </c>
      <c r="Q41" s="24" t="s">
        <v>143</v>
      </c>
      <c r="R41" s="12"/>
      <c r="S41" s="12" t="str">
        <f>"667,5"</f>
        <v>667,5</v>
      </c>
      <c r="T41" s="12" t="str">
        <f>"387,6840"</f>
        <v>387,6840</v>
      </c>
      <c r="U41" s="11" t="s">
        <v>498</v>
      </c>
    </row>
    <row r="42" spans="1:21">
      <c r="A42" s="10" t="s">
        <v>181</v>
      </c>
      <c r="B42" s="9" t="s">
        <v>144</v>
      </c>
      <c r="C42" s="9" t="s">
        <v>447</v>
      </c>
      <c r="D42" s="9" t="s">
        <v>145</v>
      </c>
      <c r="E42" s="9" t="s">
        <v>502</v>
      </c>
      <c r="F42" s="9" t="s">
        <v>96</v>
      </c>
      <c r="G42" s="23" t="s">
        <v>97</v>
      </c>
      <c r="H42" s="22" t="s">
        <v>82</v>
      </c>
      <c r="I42" s="22" t="s">
        <v>69</v>
      </c>
      <c r="J42" s="10"/>
      <c r="K42" s="22" t="s">
        <v>55</v>
      </c>
      <c r="L42" s="22" t="s">
        <v>56</v>
      </c>
      <c r="M42" s="23" t="s">
        <v>57</v>
      </c>
      <c r="N42" s="10"/>
      <c r="O42" s="22" t="s">
        <v>107</v>
      </c>
      <c r="P42" s="22" t="s">
        <v>129</v>
      </c>
      <c r="Q42" s="23" t="s">
        <v>143</v>
      </c>
      <c r="R42" s="10"/>
      <c r="S42" s="10" t="str">
        <f>"625,0"</f>
        <v>625,0</v>
      </c>
      <c r="T42" s="10" t="str">
        <f>"392,9984"</f>
        <v>392,9984</v>
      </c>
      <c r="U42" s="9" t="s">
        <v>498</v>
      </c>
    </row>
    <row r="43" spans="1:21">
      <c r="B43" s="5" t="s">
        <v>183</v>
      </c>
    </row>
    <row r="44" spans="1:21" ht="16">
      <c r="A44" s="54" t="s">
        <v>146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1:21">
      <c r="A45" s="14" t="s">
        <v>181</v>
      </c>
      <c r="B45" s="13" t="s">
        <v>147</v>
      </c>
      <c r="C45" s="13" t="s">
        <v>148</v>
      </c>
      <c r="D45" s="13" t="s">
        <v>149</v>
      </c>
      <c r="E45" s="13" t="s">
        <v>501</v>
      </c>
      <c r="F45" s="13" t="s">
        <v>16</v>
      </c>
      <c r="G45" s="26" t="s">
        <v>71</v>
      </c>
      <c r="H45" s="26" t="s">
        <v>150</v>
      </c>
      <c r="I45" s="26" t="s">
        <v>151</v>
      </c>
      <c r="J45" s="14"/>
      <c r="K45" s="26" t="s">
        <v>46</v>
      </c>
      <c r="L45" s="26" t="s">
        <v>75</v>
      </c>
      <c r="M45" s="26" t="s">
        <v>152</v>
      </c>
      <c r="N45" s="14"/>
      <c r="O45" s="26" t="s">
        <v>153</v>
      </c>
      <c r="P45" s="26" t="s">
        <v>154</v>
      </c>
      <c r="Q45" s="26" t="s">
        <v>155</v>
      </c>
      <c r="R45" s="14"/>
      <c r="S45" s="14" t="str">
        <f>"747,5"</f>
        <v>747,5</v>
      </c>
      <c r="T45" s="14" t="str">
        <f>"424,6547"</f>
        <v>424,6547</v>
      </c>
      <c r="U45" s="13" t="s">
        <v>441</v>
      </c>
    </row>
    <row r="46" spans="1:21">
      <c r="B46" s="5" t="s">
        <v>183</v>
      </c>
    </row>
    <row r="47" spans="1:21">
      <c r="B47" s="5" t="s">
        <v>183</v>
      </c>
    </row>
    <row r="48" spans="1:21">
      <c r="B48" s="5" t="s">
        <v>183</v>
      </c>
    </row>
    <row r="49" spans="2:6" ht="18">
      <c r="B49" s="15" t="s">
        <v>156</v>
      </c>
      <c r="C49" s="15"/>
    </row>
    <row r="50" spans="2:6" ht="16">
      <c r="B50" s="16" t="s">
        <v>157</v>
      </c>
      <c r="C50" s="16"/>
    </row>
    <row r="51" spans="2:6" ht="14">
      <c r="B51" s="17"/>
      <c r="C51" s="18" t="s">
        <v>158</v>
      </c>
    </row>
    <row r="52" spans="2:6" ht="14">
      <c r="B52" s="19" t="s">
        <v>159</v>
      </c>
      <c r="C52" s="19" t="s">
        <v>160</v>
      </c>
      <c r="D52" s="19" t="s">
        <v>443</v>
      </c>
      <c r="E52" s="19" t="s">
        <v>161</v>
      </c>
      <c r="F52" s="19" t="s">
        <v>162</v>
      </c>
    </row>
    <row r="53" spans="2:6">
      <c r="B53" s="5" t="s">
        <v>38</v>
      </c>
      <c r="C53" s="5" t="s">
        <v>158</v>
      </c>
      <c r="D53" s="6" t="s">
        <v>163</v>
      </c>
      <c r="E53" s="6" t="s">
        <v>164</v>
      </c>
      <c r="F53" s="6" t="s">
        <v>165</v>
      </c>
    </row>
    <row r="54" spans="2:6">
      <c r="B54" s="5" t="s">
        <v>47</v>
      </c>
      <c r="C54" s="5" t="s">
        <v>158</v>
      </c>
      <c r="D54" s="6" t="s">
        <v>163</v>
      </c>
      <c r="E54" s="6" t="s">
        <v>139</v>
      </c>
      <c r="F54" s="6" t="s">
        <v>166</v>
      </c>
    </row>
    <row r="55" spans="2:6">
      <c r="B55" s="5" t="s">
        <v>13</v>
      </c>
      <c r="C55" s="5" t="s">
        <v>158</v>
      </c>
      <c r="D55" s="6" t="s">
        <v>167</v>
      </c>
      <c r="E55" s="6" t="s">
        <v>107</v>
      </c>
      <c r="F55" s="6" t="s">
        <v>168</v>
      </c>
    </row>
    <row r="57" spans="2:6" ht="16">
      <c r="B57" s="16" t="s">
        <v>171</v>
      </c>
      <c r="C57" s="16"/>
    </row>
    <row r="58" spans="2:6" ht="14">
      <c r="B58" s="17"/>
      <c r="C58" s="18" t="s">
        <v>158</v>
      </c>
    </row>
    <row r="59" spans="2:6" ht="14">
      <c r="B59" s="19" t="s">
        <v>159</v>
      </c>
      <c r="C59" s="19" t="s">
        <v>160</v>
      </c>
      <c r="D59" s="19" t="s">
        <v>443</v>
      </c>
      <c r="E59" s="19" t="s">
        <v>161</v>
      </c>
      <c r="F59" s="19" t="s">
        <v>162</v>
      </c>
    </row>
    <row r="60" spans="2:6">
      <c r="B60" s="5" t="s">
        <v>434</v>
      </c>
      <c r="C60" s="5" t="s">
        <v>158</v>
      </c>
      <c r="D60" s="6" t="s">
        <v>173</v>
      </c>
      <c r="E60" s="6" t="s">
        <v>174</v>
      </c>
      <c r="F60" s="6" t="s">
        <v>175</v>
      </c>
    </row>
    <row r="61" spans="2:6">
      <c r="B61" s="5" t="s">
        <v>93</v>
      </c>
      <c r="C61" s="5" t="s">
        <v>158</v>
      </c>
      <c r="D61" s="6" t="s">
        <v>172</v>
      </c>
      <c r="E61" s="6" t="s">
        <v>176</v>
      </c>
      <c r="F61" s="6" t="s">
        <v>177</v>
      </c>
    </row>
    <row r="62" spans="2:6">
      <c r="B62" s="5" t="s">
        <v>147</v>
      </c>
      <c r="C62" s="5" t="s">
        <v>158</v>
      </c>
      <c r="D62" s="6" t="s">
        <v>178</v>
      </c>
      <c r="E62" s="6" t="s">
        <v>179</v>
      </c>
      <c r="F62" s="6" t="s">
        <v>180</v>
      </c>
    </row>
  </sheetData>
  <mergeCells count="22"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  <mergeCell ref="A36:R36"/>
    <mergeCell ref="A39:R39"/>
    <mergeCell ref="A44:R44"/>
    <mergeCell ref="B3:B4"/>
    <mergeCell ref="A5:R5"/>
    <mergeCell ref="A9:R9"/>
    <mergeCell ref="A13:R13"/>
    <mergeCell ref="A17:R17"/>
    <mergeCell ref="A24:R24"/>
    <mergeCell ref="E3:E4"/>
    <mergeCell ref="A32:R32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1"/>
  <sheetViews>
    <sheetView workbookViewId="0">
      <selection sqref="A1:O2"/>
    </sheetView>
  </sheetViews>
  <sheetFormatPr baseColWidth="10" defaultColWidth="9.1640625" defaultRowHeight="13"/>
  <cols>
    <col min="1" max="1" width="7.5" style="5" bestFit="1" customWidth="1"/>
    <col min="2" max="2" width="20" style="5" customWidth="1"/>
    <col min="3" max="3" width="28.5" style="5" bestFit="1" customWidth="1"/>
    <col min="4" max="4" width="21.5" style="5" bestFit="1" customWidth="1"/>
    <col min="5" max="5" width="15.1640625" style="5" bestFit="1" customWidth="1"/>
    <col min="6" max="6" width="20.83203125" style="5" bestFit="1" customWidth="1"/>
    <col min="7" max="9" width="5.5" style="6" customWidth="1"/>
    <col min="10" max="10" width="4.83203125" style="6" customWidth="1"/>
    <col min="11" max="11" width="10.83203125" style="6" customWidth="1"/>
    <col min="12" max="12" width="12.5" style="6" customWidth="1"/>
    <col min="13" max="13" width="7.83203125" style="6" bestFit="1" customWidth="1"/>
    <col min="14" max="14" width="9.5" style="6" bestFit="1" customWidth="1"/>
    <col min="15" max="15" width="18.1640625" style="5" customWidth="1"/>
    <col min="16" max="16384" width="9.1640625" style="3"/>
  </cols>
  <sheetData>
    <row r="1" spans="1:15" s="2" customFormat="1" ht="29.25" customHeight="1">
      <c r="A1" s="61" t="s">
        <v>489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</row>
    <row r="2" spans="1:15" s="2" customFormat="1" ht="62.25" customHeight="1" thickBot="1">
      <c r="A2" s="65"/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</row>
    <row r="3" spans="1:15" s="1" customFormat="1" ht="12.75" customHeight="1">
      <c r="A3" s="69" t="s">
        <v>494</v>
      </c>
      <c r="B3" s="55" t="s">
        <v>0</v>
      </c>
      <c r="C3" s="71" t="s">
        <v>499</v>
      </c>
      <c r="D3" s="71" t="s">
        <v>8</v>
      </c>
      <c r="E3" s="59" t="s">
        <v>500</v>
      </c>
      <c r="F3" s="59" t="s">
        <v>5</v>
      </c>
      <c r="G3" s="59" t="s">
        <v>10</v>
      </c>
      <c r="H3" s="59"/>
      <c r="I3" s="59"/>
      <c r="J3" s="59"/>
      <c r="K3" s="59" t="s">
        <v>478</v>
      </c>
      <c r="L3" s="59"/>
      <c r="M3" s="59" t="s">
        <v>1</v>
      </c>
      <c r="N3" s="59" t="s">
        <v>3</v>
      </c>
      <c r="O3" s="72" t="s">
        <v>2</v>
      </c>
    </row>
    <row r="4" spans="1:15" s="1" customFormat="1" ht="21" customHeight="1" thickBot="1">
      <c r="A4" s="70"/>
      <c r="B4" s="56"/>
      <c r="C4" s="60"/>
      <c r="D4" s="60"/>
      <c r="E4" s="60"/>
      <c r="F4" s="60"/>
      <c r="G4" s="4">
        <v>1</v>
      </c>
      <c r="H4" s="4">
        <v>2</v>
      </c>
      <c r="I4" s="4">
        <v>3</v>
      </c>
      <c r="J4" s="4" t="s">
        <v>4</v>
      </c>
      <c r="K4" s="4" t="s">
        <v>6</v>
      </c>
      <c r="L4" s="4" t="s">
        <v>7</v>
      </c>
      <c r="M4" s="60"/>
      <c r="N4" s="60"/>
      <c r="O4" s="73"/>
    </row>
    <row r="5" spans="1:15" ht="16">
      <c r="A5" s="57" t="s">
        <v>186</v>
      </c>
      <c r="B5" s="57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5">
      <c r="A6" s="14" t="s">
        <v>181</v>
      </c>
      <c r="B6" s="13" t="s">
        <v>289</v>
      </c>
      <c r="C6" s="13" t="s">
        <v>459</v>
      </c>
      <c r="D6" s="13" t="s">
        <v>290</v>
      </c>
      <c r="E6" s="13" t="s">
        <v>508</v>
      </c>
      <c r="F6" s="13" t="s">
        <v>16</v>
      </c>
      <c r="G6" s="26" t="s">
        <v>23</v>
      </c>
      <c r="H6" s="26" t="s">
        <v>24</v>
      </c>
      <c r="I6" s="26" t="s">
        <v>41</v>
      </c>
      <c r="J6" s="14"/>
      <c r="K6" s="14" t="s">
        <v>21</v>
      </c>
      <c r="L6" s="52">
        <v>56</v>
      </c>
      <c r="M6" s="14" t="str">
        <f>"176,0"</f>
        <v>176,0</v>
      </c>
      <c r="N6" s="14" t="str">
        <f>"5700,0590"</f>
        <v>5700,0590</v>
      </c>
      <c r="O6" s="13" t="s">
        <v>498</v>
      </c>
    </row>
    <row r="7" spans="1:15">
      <c r="B7" s="5" t="s">
        <v>183</v>
      </c>
    </row>
    <row r="8" spans="1:15">
      <c r="B8" s="5" t="s">
        <v>183</v>
      </c>
    </row>
    <row r="9" spans="1:15">
      <c r="B9" s="5" t="s">
        <v>183</v>
      </c>
    </row>
    <row r="10" spans="1:15">
      <c r="B10" s="5" t="s">
        <v>183</v>
      </c>
    </row>
    <row r="11" spans="1:15">
      <c r="B11" s="5" t="s">
        <v>183</v>
      </c>
    </row>
  </sheetData>
  <mergeCells count="13">
    <mergeCell ref="A5:L5"/>
    <mergeCell ref="B3:B4"/>
    <mergeCell ref="A1:O2"/>
    <mergeCell ref="A3:A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6"/>
  <sheetViews>
    <sheetView tabSelected="1"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83203125" style="5" bestFit="1" customWidth="1"/>
    <col min="3" max="3" width="31.83203125" style="5" bestFit="1" customWidth="1"/>
    <col min="4" max="4" width="21.5" style="5" bestFit="1" customWidth="1"/>
    <col min="5" max="5" width="26.6640625" style="5" bestFit="1" customWidth="1"/>
    <col min="6" max="6" width="21.1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5.5" style="5" bestFit="1" customWidth="1"/>
    <col min="14" max="16384" width="9.1640625" style="3"/>
  </cols>
  <sheetData>
    <row r="1" spans="1:13" s="2" customFormat="1" ht="29.25" customHeight="1">
      <c r="A1" s="61" t="s">
        <v>490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s="2" customFormat="1" ht="62.25" customHeight="1" thickBot="1">
      <c r="A2" s="65"/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s="1" customFormat="1" ht="12.75" customHeight="1">
      <c r="A3" s="69" t="s">
        <v>494</v>
      </c>
      <c r="B3" s="55" t="s">
        <v>0</v>
      </c>
      <c r="C3" s="71" t="s">
        <v>499</v>
      </c>
      <c r="D3" s="71" t="s">
        <v>8</v>
      </c>
      <c r="E3" s="59" t="s">
        <v>500</v>
      </c>
      <c r="F3" s="59" t="s">
        <v>5</v>
      </c>
      <c r="G3" s="59" t="s">
        <v>10</v>
      </c>
      <c r="H3" s="59"/>
      <c r="I3" s="59"/>
      <c r="J3" s="59"/>
      <c r="K3" s="59" t="s">
        <v>335</v>
      </c>
      <c r="L3" s="59" t="s">
        <v>3</v>
      </c>
      <c r="M3" s="72" t="s">
        <v>2</v>
      </c>
    </row>
    <row r="4" spans="1:13" s="1" customFormat="1" ht="21" customHeight="1" thickBot="1">
      <c r="A4" s="70"/>
      <c r="B4" s="56"/>
      <c r="C4" s="60"/>
      <c r="D4" s="60"/>
      <c r="E4" s="60"/>
      <c r="F4" s="60"/>
      <c r="G4" s="4">
        <v>1</v>
      </c>
      <c r="H4" s="4">
        <v>2</v>
      </c>
      <c r="I4" s="4">
        <v>3</v>
      </c>
      <c r="J4" s="4" t="s">
        <v>4</v>
      </c>
      <c r="K4" s="60"/>
      <c r="L4" s="60"/>
      <c r="M4" s="73"/>
    </row>
    <row r="5" spans="1:13" ht="16">
      <c r="A5" s="57" t="s">
        <v>186</v>
      </c>
      <c r="B5" s="57"/>
      <c r="C5" s="58"/>
      <c r="D5" s="58"/>
      <c r="E5" s="58"/>
      <c r="F5" s="58"/>
      <c r="G5" s="58"/>
      <c r="H5" s="58"/>
      <c r="I5" s="58"/>
      <c r="J5" s="58"/>
    </row>
    <row r="6" spans="1:13">
      <c r="A6" s="8" t="s">
        <v>181</v>
      </c>
      <c r="B6" s="7" t="s">
        <v>271</v>
      </c>
      <c r="C6" s="7" t="s">
        <v>272</v>
      </c>
      <c r="D6" s="7" t="s">
        <v>273</v>
      </c>
      <c r="E6" s="7" t="s">
        <v>501</v>
      </c>
      <c r="F6" s="7" t="s">
        <v>264</v>
      </c>
      <c r="G6" s="20" t="s">
        <v>42</v>
      </c>
      <c r="H6" s="20" t="s">
        <v>43</v>
      </c>
      <c r="I6" s="20" t="s">
        <v>45</v>
      </c>
      <c r="J6" s="8"/>
      <c r="K6" s="8" t="str">
        <f>"160,0"</f>
        <v>160,0</v>
      </c>
      <c r="L6" s="28" t="str">
        <f>"102,6080"</f>
        <v>102,6080</v>
      </c>
      <c r="M6" s="7" t="s">
        <v>498</v>
      </c>
    </row>
    <row r="7" spans="1:13">
      <c r="A7" s="12" t="s">
        <v>181</v>
      </c>
      <c r="B7" s="11" t="s">
        <v>271</v>
      </c>
      <c r="C7" s="11" t="s">
        <v>458</v>
      </c>
      <c r="D7" s="11" t="s">
        <v>273</v>
      </c>
      <c r="E7" s="11" t="s">
        <v>507</v>
      </c>
      <c r="F7" s="11" t="s">
        <v>264</v>
      </c>
      <c r="G7" s="24" t="s">
        <v>42</v>
      </c>
      <c r="H7" s="24" t="s">
        <v>43</v>
      </c>
      <c r="I7" s="24" t="s">
        <v>45</v>
      </c>
      <c r="J7" s="12"/>
      <c r="K7" s="12" t="str">
        <f>"160,0"</f>
        <v>160,0</v>
      </c>
      <c r="L7" s="51" t="str">
        <f>"121,7957"</f>
        <v>121,7957</v>
      </c>
      <c r="M7" s="11" t="s">
        <v>498</v>
      </c>
    </row>
    <row r="8" spans="1:13">
      <c r="A8" s="12" t="s">
        <v>181</v>
      </c>
      <c r="B8" s="11" t="s">
        <v>289</v>
      </c>
      <c r="C8" s="11" t="s">
        <v>459</v>
      </c>
      <c r="D8" s="11" t="s">
        <v>290</v>
      </c>
      <c r="E8" s="11" t="s">
        <v>508</v>
      </c>
      <c r="F8" s="11" t="s">
        <v>16</v>
      </c>
      <c r="G8" s="24" t="s">
        <v>23</v>
      </c>
      <c r="H8" s="24" t="s">
        <v>92</v>
      </c>
      <c r="I8" s="24" t="s">
        <v>41</v>
      </c>
      <c r="J8" s="12"/>
      <c r="K8" s="12" t="str">
        <f>"120,0"</f>
        <v>120,0</v>
      </c>
      <c r="L8" s="51" t="str">
        <f>"120,3047"</f>
        <v>120,3047</v>
      </c>
      <c r="M8" s="11" t="s">
        <v>498</v>
      </c>
    </row>
    <row r="9" spans="1:13">
      <c r="A9" s="10" t="s">
        <v>182</v>
      </c>
      <c r="B9" s="9" t="s">
        <v>418</v>
      </c>
      <c r="C9" s="9" t="s">
        <v>468</v>
      </c>
      <c r="D9" s="9" t="s">
        <v>419</v>
      </c>
      <c r="E9" s="9" t="s">
        <v>508</v>
      </c>
      <c r="F9" s="9" t="s">
        <v>16</v>
      </c>
      <c r="G9" s="23" t="s">
        <v>17</v>
      </c>
      <c r="H9" s="22" t="s">
        <v>406</v>
      </c>
      <c r="I9" s="22" t="s">
        <v>18</v>
      </c>
      <c r="J9" s="10"/>
      <c r="K9" s="10" t="str">
        <f>"70,0"</f>
        <v>70,0</v>
      </c>
      <c r="L9" s="30" t="str">
        <f>"75,2718"</f>
        <v>75,2718</v>
      </c>
      <c r="M9" s="9" t="s">
        <v>498</v>
      </c>
    </row>
    <row r="10" spans="1:13">
      <c r="B10" s="5" t="s">
        <v>183</v>
      </c>
    </row>
    <row r="11" spans="1:13" ht="16">
      <c r="A11" s="54" t="s">
        <v>121</v>
      </c>
      <c r="B11" s="54"/>
      <c r="C11" s="54"/>
      <c r="D11" s="54"/>
      <c r="E11" s="54"/>
      <c r="F11" s="54"/>
      <c r="G11" s="54"/>
      <c r="H11" s="54"/>
      <c r="I11" s="54"/>
      <c r="J11" s="54"/>
    </row>
    <row r="12" spans="1:13">
      <c r="A12" s="14" t="s">
        <v>181</v>
      </c>
      <c r="B12" s="13" t="s">
        <v>420</v>
      </c>
      <c r="C12" s="13" t="s">
        <v>421</v>
      </c>
      <c r="D12" s="13" t="s">
        <v>422</v>
      </c>
      <c r="E12" s="13" t="s">
        <v>512</v>
      </c>
      <c r="F12" s="13" t="s">
        <v>16</v>
      </c>
      <c r="G12" s="26" t="s">
        <v>19</v>
      </c>
      <c r="H12" s="26" t="s">
        <v>87</v>
      </c>
      <c r="I12" s="26" t="s">
        <v>31</v>
      </c>
      <c r="J12" s="14"/>
      <c r="K12" s="14" t="str">
        <f>"90,0"</f>
        <v>90,0</v>
      </c>
      <c r="L12" s="14" t="str">
        <f>"106,0479"</f>
        <v>106,0479</v>
      </c>
      <c r="M12" s="13" t="s">
        <v>498</v>
      </c>
    </row>
    <row r="13" spans="1:13">
      <c r="B13" s="5" t="s">
        <v>183</v>
      </c>
    </row>
    <row r="14" spans="1:13">
      <c r="B14" s="5" t="s">
        <v>183</v>
      </c>
    </row>
    <row r="15" spans="1:13">
      <c r="B15" s="5" t="s">
        <v>183</v>
      </c>
    </row>
    <row r="16" spans="1:13">
      <c r="B16" s="5" t="s">
        <v>183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11:J11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59A54-B50B-4D00-A6D0-2B658C673546}">
  <dimension ref="A1:B6"/>
  <sheetViews>
    <sheetView workbookViewId="0">
      <selection activeCell="C1" sqref="A1:XFD3"/>
    </sheetView>
  </sheetViews>
  <sheetFormatPr baseColWidth="10" defaultColWidth="8.83203125" defaultRowHeight="13"/>
  <cols>
    <col min="1" max="1" width="34" customWidth="1"/>
    <col min="2" max="2" width="33.6640625" customWidth="1"/>
    <col min="3" max="3" width="18" customWidth="1"/>
  </cols>
  <sheetData>
    <row r="1" spans="1:2" ht="25" customHeight="1">
      <c r="A1" s="76" t="s">
        <v>479</v>
      </c>
      <c r="B1" s="77"/>
    </row>
    <row r="2" spans="1:2" ht="36" customHeight="1">
      <c r="A2" s="78"/>
      <c r="B2" s="79"/>
    </row>
    <row r="4" spans="1:2">
      <c r="A4" s="53" t="s">
        <v>495</v>
      </c>
      <c r="B4" s="53" t="s">
        <v>491</v>
      </c>
    </row>
    <row r="5" spans="1:2">
      <c r="A5" s="53" t="s">
        <v>496</v>
      </c>
      <c r="B5" s="53" t="s">
        <v>492</v>
      </c>
    </row>
    <row r="6" spans="1:2">
      <c r="A6" s="53" t="s">
        <v>497</v>
      </c>
      <c r="B6" s="53" t="s">
        <v>493</v>
      </c>
    </row>
  </sheetData>
  <mergeCells count="1">
    <mergeCell ref="A1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7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9.6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2.66406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9" style="5" customWidth="1"/>
    <col min="22" max="16384" width="9.1640625" style="3"/>
  </cols>
  <sheetData>
    <row r="1" spans="1:21" s="2" customFormat="1" ht="29.25" customHeight="1">
      <c r="A1" s="61" t="s">
        <v>481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4"/>
    </row>
    <row r="2" spans="1:21" s="2" customFormat="1" ht="62.25" customHeight="1" thickBot="1">
      <c r="A2" s="65"/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8"/>
    </row>
    <row r="3" spans="1:21" s="1" customFormat="1" ht="12.75" customHeight="1">
      <c r="A3" s="69" t="s">
        <v>494</v>
      </c>
      <c r="B3" s="55" t="s">
        <v>0</v>
      </c>
      <c r="C3" s="71" t="s">
        <v>499</v>
      </c>
      <c r="D3" s="71" t="s">
        <v>8</v>
      </c>
      <c r="E3" s="59" t="s">
        <v>500</v>
      </c>
      <c r="F3" s="59" t="s">
        <v>5</v>
      </c>
      <c r="G3" s="59" t="s">
        <v>9</v>
      </c>
      <c r="H3" s="59"/>
      <c r="I3" s="59"/>
      <c r="J3" s="59"/>
      <c r="K3" s="59" t="s">
        <v>10</v>
      </c>
      <c r="L3" s="59"/>
      <c r="M3" s="59"/>
      <c r="N3" s="59"/>
      <c r="O3" s="59" t="s">
        <v>11</v>
      </c>
      <c r="P3" s="59"/>
      <c r="Q3" s="59"/>
      <c r="R3" s="59"/>
      <c r="S3" s="59" t="s">
        <v>1</v>
      </c>
      <c r="T3" s="59" t="s">
        <v>3</v>
      </c>
      <c r="U3" s="72" t="s">
        <v>2</v>
      </c>
    </row>
    <row r="4" spans="1:21" s="1" customFormat="1" ht="21" customHeight="1" thickBot="1">
      <c r="A4" s="70"/>
      <c r="B4" s="56"/>
      <c r="C4" s="60"/>
      <c r="D4" s="60"/>
      <c r="E4" s="60"/>
      <c r="F4" s="60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0"/>
      <c r="T4" s="60"/>
      <c r="U4" s="73"/>
    </row>
    <row r="5" spans="1:21" ht="16">
      <c r="A5" s="57" t="s">
        <v>186</v>
      </c>
      <c r="B5" s="5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21">
      <c r="A6" s="14" t="s">
        <v>181</v>
      </c>
      <c r="B6" s="13" t="s">
        <v>187</v>
      </c>
      <c r="C6" s="13" t="s">
        <v>448</v>
      </c>
      <c r="D6" s="13" t="s">
        <v>188</v>
      </c>
      <c r="E6" s="13" t="s">
        <v>504</v>
      </c>
      <c r="F6" s="13" t="s">
        <v>189</v>
      </c>
      <c r="G6" s="26" t="s">
        <v>45</v>
      </c>
      <c r="H6" s="26" t="s">
        <v>104</v>
      </c>
      <c r="I6" s="26" t="s">
        <v>81</v>
      </c>
      <c r="J6" s="14"/>
      <c r="K6" s="26" t="s">
        <v>117</v>
      </c>
      <c r="L6" s="26" t="s">
        <v>92</v>
      </c>
      <c r="M6" s="27" t="s">
        <v>41</v>
      </c>
      <c r="N6" s="14"/>
      <c r="O6" s="26" t="s">
        <v>45</v>
      </c>
      <c r="P6" s="26" t="s">
        <v>104</v>
      </c>
      <c r="Q6" s="27" t="s">
        <v>81</v>
      </c>
      <c r="R6" s="14"/>
      <c r="S6" s="14" t="str">
        <f>"480,0"</f>
        <v>480,0</v>
      </c>
      <c r="T6" s="14" t="str">
        <f>"309,4560"</f>
        <v>309,4560</v>
      </c>
      <c r="U6" s="13" t="s">
        <v>427</v>
      </c>
    </row>
    <row r="7" spans="1:21">
      <c r="B7" s="5" t="s">
        <v>183</v>
      </c>
    </row>
  </sheetData>
  <mergeCells count="14"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B3:B4"/>
    <mergeCell ref="S3:S4"/>
    <mergeCell ref="T3:T4"/>
    <mergeCell ref="U3:U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25"/>
  <sheetViews>
    <sheetView workbookViewId="0">
      <selection activeCell="E19" sqref="E19"/>
    </sheetView>
  </sheetViews>
  <sheetFormatPr baseColWidth="10" defaultColWidth="9.1640625" defaultRowHeight="13"/>
  <cols>
    <col min="1" max="1" width="7.5" style="5" bestFit="1" customWidth="1"/>
    <col min="2" max="2" width="17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2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15.5" style="5" bestFit="1" customWidth="1"/>
    <col min="18" max="16384" width="9.1640625" style="3"/>
  </cols>
  <sheetData>
    <row r="1" spans="1:17" s="2" customFormat="1" ht="29.25" customHeight="1">
      <c r="A1" s="61" t="s">
        <v>482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/>
    </row>
    <row r="2" spans="1:17" s="2" customFormat="1" ht="62.25" customHeight="1" thickBot="1">
      <c r="A2" s="65"/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</row>
    <row r="3" spans="1:17" s="1" customFormat="1" ht="12.75" customHeight="1">
      <c r="A3" s="69" t="s">
        <v>494</v>
      </c>
      <c r="B3" s="55" t="s">
        <v>0</v>
      </c>
      <c r="C3" s="71" t="s">
        <v>499</v>
      </c>
      <c r="D3" s="71" t="s">
        <v>8</v>
      </c>
      <c r="E3" s="59" t="s">
        <v>500</v>
      </c>
      <c r="F3" s="59" t="s">
        <v>5</v>
      </c>
      <c r="G3" s="59" t="s">
        <v>10</v>
      </c>
      <c r="H3" s="59"/>
      <c r="I3" s="59"/>
      <c r="J3" s="59"/>
      <c r="K3" s="59" t="s">
        <v>11</v>
      </c>
      <c r="L3" s="59"/>
      <c r="M3" s="59"/>
      <c r="N3" s="59"/>
      <c r="O3" s="59" t="s">
        <v>1</v>
      </c>
      <c r="P3" s="59" t="s">
        <v>3</v>
      </c>
      <c r="Q3" s="72" t="s">
        <v>2</v>
      </c>
    </row>
    <row r="4" spans="1:17" s="1" customFormat="1" ht="21" customHeight="1" thickBot="1">
      <c r="A4" s="70"/>
      <c r="B4" s="56"/>
      <c r="C4" s="60"/>
      <c r="D4" s="60"/>
      <c r="E4" s="60"/>
      <c r="F4" s="60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60"/>
      <c r="P4" s="60"/>
      <c r="Q4" s="73"/>
    </row>
    <row r="5" spans="1:17" ht="16">
      <c r="A5" s="57" t="s">
        <v>37</v>
      </c>
      <c r="B5" s="5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7">
      <c r="A6" s="14" t="s">
        <v>181</v>
      </c>
      <c r="B6" s="13" t="s">
        <v>222</v>
      </c>
      <c r="C6" s="13" t="s">
        <v>223</v>
      </c>
      <c r="D6" s="13" t="s">
        <v>80</v>
      </c>
      <c r="E6" s="13" t="s">
        <v>501</v>
      </c>
      <c r="F6" s="13" t="s">
        <v>91</v>
      </c>
      <c r="G6" s="26" t="s">
        <v>20</v>
      </c>
      <c r="H6" s="26" t="s">
        <v>21</v>
      </c>
      <c r="I6" s="27" t="s">
        <v>22</v>
      </c>
      <c r="J6" s="14"/>
      <c r="K6" s="26" t="s">
        <v>31</v>
      </c>
      <c r="L6" s="27" t="s">
        <v>23</v>
      </c>
      <c r="M6" s="27" t="s">
        <v>23</v>
      </c>
      <c r="N6" s="14"/>
      <c r="O6" s="14" t="str">
        <f>"135,0"</f>
        <v>135,0</v>
      </c>
      <c r="P6" s="14" t="str">
        <f>"129,4245"</f>
        <v>129,4245</v>
      </c>
      <c r="Q6" s="13" t="s">
        <v>424</v>
      </c>
    </row>
    <row r="7" spans="1:17">
      <c r="B7" s="5" t="s">
        <v>183</v>
      </c>
    </row>
    <row r="8" spans="1:17" ht="16">
      <c r="A8" s="54" t="s">
        <v>230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7">
      <c r="A9" s="14" t="s">
        <v>181</v>
      </c>
      <c r="B9" s="13" t="s">
        <v>357</v>
      </c>
      <c r="C9" s="13" t="s">
        <v>358</v>
      </c>
      <c r="D9" s="13" t="s">
        <v>359</v>
      </c>
      <c r="E9" s="13" t="s">
        <v>501</v>
      </c>
      <c r="F9" s="13" t="s">
        <v>91</v>
      </c>
      <c r="G9" s="26" t="s">
        <v>17</v>
      </c>
      <c r="H9" s="26" t="s">
        <v>217</v>
      </c>
      <c r="I9" s="26" t="s">
        <v>28</v>
      </c>
      <c r="J9" s="14"/>
      <c r="K9" s="26" t="s">
        <v>23</v>
      </c>
      <c r="L9" s="26" t="s">
        <v>41</v>
      </c>
      <c r="M9" s="26" t="s">
        <v>51</v>
      </c>
      <c r="N9" s="14"/>
      <c r="O9" s="14" t="str">
        <f>"212,5"</f>
        <v>212,5</v>
      </c>
      <c r="P9" s="14" t="str">
        <f>"174,9937"</f>
        <v>174,9937</v>
      </c>
      <c r="Q9" s="13" t="s">
        <v>498</v>
      </c>
    </row>
    <row r="10" spans="1:17">
      <c r="B10" s="5" t="s">
        <v>183</v>
      </c>
    </row>
    <row r="11" spans="1:17" ht="16">
      <c r="A11" s="54" t="s">
        <v>121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2" spans="1:17">
      <c r="A12" s="14" t="s">
        <v>181</v>
      </c>
      <c r="B12" s="13" t="s">
        <v>382</v>
      </c>
      <c r="C12" s="13" t="s">
        <v>449</v>
      </c>
      <c r="D12" s="13" t="s">
        <v>383</v>
      </c>
      <c r="E12" s="13" t="s">
        <v>505</v>
      </c>
      <c r="F12" s="13" t="s">
        <v>65</v>
      </c>
      <c r="G12" s="26" t="s">
        <v>24</v>
      </c>
      <c r="H12" s="26" t="s">
        <v>92</v>
      </c>
      <c r="I12" s="27" t="s">
        <v>41</v>
      </c>
      <c r="J12" s="14"/>
      <c r="K12" s="26" t="s">
        <v>75</v>
      </c>
      <c r="L12" s="26" t="s">
        <v>81</v>
      </c>
      <c r="M12" s="26" t="s">
        <v>170</v>
      </c>
      <c r="N12" s="14"/>
      <c r="O12" s="14" t="str">
        <f>"312,5"</f>
        <v>312,5</v>
      </c>
      <c r="P12" s="14" t="str">
        <f>"285,7312"</f>
        <v>285,7312</v>
      </c>
      <c r="Q12" s="13" t="s">
        <v>498</v>
      </c>
    </row>
    <row r="13" spans="1:17">
      <c r="B13" s="5" t="s">
        <v>183</v>
      </c>
    </row>
    <row r="14" spans="1:17" ht="16">
      <c r="A14" s="54" t="s">
        <v>131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7">
      <c r="A15" s="14" t="s">
        <v>181</v>
      </c>
      <c r="B15" s="13" t="s">
        <v>372</v>
      </c>
      <c r="C15" s="13" t="s">
        <v>373</v>
      </c>
      <c r="D15" s="13" t="s">
        <v>374</v>
      </c>
      <c r="E15" s="13" t="s">
        <v>501</v>
      </c>
      <c r="F15" s="13" t="s">
        <v>193</v>
      </c>
      <c r="G15" s="27" t="s">
        <v>55</v>
      </c>
      <c r="H15" s="26" t="s">
        <v>43</v>
      </c>
      <c r="I15" s="26" t="s">
        <v>56</v>
      </c>
      <c r="J15" s="14"/>
      <c r="K15" s="26" t="s">
        <v>71</v>
      </c>
      <c r="L15" s="26" t="s">
        <v>129</v>
      </c>
      <c r="M15" s="27" t="s">
        <v>130</v>
      </c>
      <c r="N15" s="14"/>
      <c r="O15" s="14" t="str">
        <f>"405,0"</f>
        <v>405,0</v>
      </c>
      <c r="P15" s="14" t="str">
        <f>"231,0525"</f>
        <v>231,0525</v>
      </c>
      <c r="Q15" s="13" t="s">
        <v>498</v>
      </c>
    </row>
    <row r="16" spans="1:17">
      <c r="B16" s="5" t="s">
        <v>183</v>
      </c>
    </row>
    <row r="17" spans="1:17" ht="16">
      <c r="A17" s="54" t="s">
        <v>146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8" spans="1:17">
      <c r="A18" s="14" t="s">
        <v>181</v>
      </c>
      <c r="B18" s="13" t="s">
        <v>384</v>
      </c>
      <c r="C18" s="13" t="s">
        <v>450</v>
      </c>
      <c r="D18" s="13" t="s">
        <v>385</v>
      </c>
      <c r="E18" s="13" t="s">
        <v>502</v>
      </c>
      <c r="F18" s="13" t="s">
        <v>65</v>
      </c>
      <c r="G18" s="26" t="s">
        <v>57</v>
      </c>
      <c r="H18" s="26" t="s">
        <v>46</v>
      </c>
      <c r="I18" s="26" t="s">
        <v>386</v>
      </c>
      <c r="J18" s="14"/>
      <c r="K18" s="26" t="s">
        <v>98</v>
      </c>
      <c r="L18" s="26" t="s">
        <v>70</v>
      </c>
      <c r="M18" s="26" t="s">
        <v>107</v>
      </c>
      <c r="N18" s="14"/>
      <c r="O18" s="14" t="str">
        <f>"407,5"</f>
        <v>407,5</v>
      </c>
      <c r="P18" s="14" t="str">
        <f>"259,2911"</f>
        <v>259,2911</v>
      </c>
      <c r="Q18" s="13" t="s">
        <v>498</v>
      </c>
    </row>
    <row r="19" spans="1:17">
      <c r="B19" s="5" t="s">
        <v>183</v>
      </c>
    </row>
    <row r="20" spans="1:17">
      <c r="B20" s="5" t="s">
        <v>183</v>
      </c>
    </row>
    <row r="21" spans="1:17">
      <c r="B21" s="5" t="s">
        <v>183</v>
      </c>
    </row>
    <row r="22" spans="1:17">
      <c r="B22" s="5" t="s">
        <v>183</v>
      </c>
    </row>
    <row r="23" spans="1:17">
      <c r="B23" s="5" t="s">
        <v>183</v>
      </c>
    </row>
    <row r="24" spans="1:17">
      <c r="B24" s="5" t="s">
        <v>183</v>
      </c>
    </row>
    <row r="25" spans="1:17">
      <c r="B25" s="5" t="s">
        <v>183</v>
      </c>
    </row>
  </sheetData>
  <mergeCells count="17"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A11:N11"/>
    <mergeCell ref="A14:N14"/>
    <mergeCell ref="A17:N17"/>
    <mergeCell ref="B3:B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95"/>
  <sheetViews>
    <sheetView workbookViewId="0">
      <selection activeCell="E79" sqref="E79"/>
    </sheetView>
  </sheetViews>
  <sheetFormatPr baseColWidth="10" defaultColWidth="9.1640625" defaultRowHeight="13"/>
  <cols>
    <col min="1" max="1" width="7.5" style="5" bestFit="1" customWidth="1"/>
    <col min="2" max="2" width="21.6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1" style="5" customWidth="1"/>
    <col min="7" max="9" width="5.5" style="6" customWidth="1"/>
    <col min="10" max="10" width="4.83203125" style="6" customWidth="1"/>
    <col min="11" max="11" width="10.5" style="46" bestFit="1" customWidth="1"/>
    <col min="12" max="12" width="8.5" style="6" bestFit="1" customWidth="1"/>
    <col min="13" max="13" width="25.83203125" style="5" bestFit="1" customWidth="1"/>
    <col min="14" max="16384" width="9.1640625" style="3"/>
  </cols>
  <sheetData>
    <row r="1" spans="1:13" s="2" customFormat="1" ht="29.25" customHeight="1">
      <c r="A1" s="61" t="s">
        <v>483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s="2" customFormat="1" ht="62.25" customHeight="1" thickBot="1">
      <c r="A2" s="65"/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s="1" customFormat="1" ht="12.75" customHeight="1">
      <c r="A3" s="69" t="s">
        <v>494</v>
      </c>
      <c r="B3" s="55" t="s">
        <v>0</v>
      </c>
      <c r="C3" s="71" t="s">
        <v>499</v>
      </c>
      <c r="D3" s="71" t="s">
        <v>8</v>
      </c>
      <c r="E3" s="59" t="s">
        <v>500</v>
      </c>
      <c r="F3" s="59" t="s">
        <v>5</v>
      </c>
      <c r="G3" s="59" t="s">
        <v>10</v>
      </c>
      <c r="H3" s="59"/>
      <c r="I3" s="59"/>
      <c r="J3" s="59"/>
      <c r="K3" s="74" t="s">
        <v>335</v>
      </c>
      <c r="L3" s="59" t="s">
        <v>3</v>
      </c>
      <c r="M3" s="72" t="s">
        <v>2</v>
      </c>
    </row>
    <row r="4" spans="1:13" s="1" customFormat="1" ht="21" customHeight="1" thickBot="1">
      <c r="A4" s="70"/>
      <c r="B4" s="56"/>
      <c r="C4" s="60"/>
      <c r="D4" s="60"/>
      <c r="E4" s="60"/>
      <c r="F4" s="60"/>
      <c r="G4" s="4">
        <v>1</v>
      </c>
      <c r="H4" s="4">
        <v>2</v>
      </c>
      <c r="I4" s="4">
        <v>3</v>
      </c>
      <c r="J4" s="4" t="s">
        <v>4</v>
      </c>
      <c r="K4" s="75"/>
      <c r="L4" s="60"/>
      <c r="M4" s="73"/>
    </row>
    <row r="5" spans="1:13" ht="16">
      <c r="A5" s="57" t="s">
        <v>197</v>
      </c>
      <c r="B5" s="57"/>
      <c r="C5" s="58"/>
      <c r="D5" s="58"/>
      <c r="E5" s="58"/>
      <c r="F5" s="58"/>
      <c r="G5" s="58"/>
      <c r="H5" s="58"/>
      <c r="I5" s="58"/>
      <c r="J5" s="58"/>
    </row>
    <row r="6" spans="1:13">
      <c r="A6" s="14" t="s">
        <v>181</v>
      </c>
      <c r="B6" s="13" t="s">
        <v>198</v>
      </c>
      <c r="C6" s="13" t="s">
        <v>199</v>
      </c>
      <c r="D6" s="13" t="s">
        <v>200</v>
      </c>
      <c r="E6" s="13" t="s">
        <v>501</v>
      </c>
      <c r="F6" s="13" t="s">
        <v>363</v>
      </c>
      <c r="G6" s="26" t="s">
        <v>21</v>
      </c>
      <c r="H6" s="26" t="s">
        <v>22</v>
      </c>
      <c r="I6" s="27" t="s">
        <v>201</v>
      </c>
      <c r="J6" s="14"/>
      <c r="K6" s="47" t="str">
        <f>"50,0"</f>
        <v>50,0</v>
      </c>
      <c r="L6" s="14" t="str">
        <f>"66,8350"</f>
        <v>66,8350</v>
      </c>
      <c r="M6" s="13" t="s">
        <v>428</v>
      </c>
    </row>
    <row r="7" spans="1:13">
      <c r="B7" s="5" t="s">
        <v>183</v>
      </c>
    </row>
    <row r="8" spans="1:13" ht="16">
      <c r="A8" s="54" t="s">
        <v>12</v>
      </c>
      <c r="B8" s="54"/>
      <c r="C8" s="54"/>
      <c r="D8" s="54"/>
      <c r="E8" s="54"/>
      <c r="F8" s="54"/>
      <c r="G8" s="54"/>
      <c r="H8" s="54"/>
      <c r="I8" s="54"/>
      <c r="J8" s="54"/>
    </row>
    <row r="9" spans="1:13">
      <c r="A9" s="8" t="s">
        <v>181</v>
      </c>
      <c r="B9" s="7" t="s">
        <v>202</v>
      </c>
      <c r="C9" s="7" t="s">
        <v>203</v>
      </c>
      <c r="D9" s="7" t="s">
        <v>204</v>
      </c>
      <c r="E9" s="7" t="s">
        <v>501</v>
      </c>
      <c r="F9" s="7" t="s">
        <v>16</v>
      </c>
      <c r="G9" s="20" t="s">
        <v>36</v>
      </c>
      <c r="H9" s="20" t="s">
        <v>22</v>
      </c>
      <c r="I9" s="21" t="s">
        <v>30</v>
      </c>
      <c r="J9" s="8"/>
      <c r="K9" s="48" t="str">
        <f>"50,0"</f>
        <v>50,0</v>
      </c>
      <c r="L9" s="8" t="str">
        <f>"63,5550"</f>
        <v>63,5550</v>
      </c>
      <c r="M9" s="7" t="s">
        <v>429</v>
      </c>
    </row>
    <row r="10" spans="1:13">
      <c r="A10" s="10" t="s">
        <v>182</v>
      </c>
      <c r="B10" s="9" t="s">
        <v>205</v>
      </c>
      <c r="C10" s="9" t="s">
        <v>206</v>
      </c>
      <c r="D10" s="9" t="s">
        <v>207</v>
      </c>
      <c r="E10" s="9" t="s">
        <v>501</v>
      </c>
      <c r="F10" s="9" t="s">
        <v>16</v>
      </c>
      <c r="G10" s="22" t="s">
        <v>208</v>
      </c>
      <c r="H10" s="22" t="s">
        <v>21</v>
      </c>
      <c r="I10" s="23" t="s">
        <v>22</v>
      </c>
      <c r="J10" s="10"/>
      <c r="K10" s="49" t="str">
        <f>"45,0"</f>
        <v>45,0</v>
      </c>
      <c r="L10" s="10" t="str">
        <f>"56,4345"</f>
        <v>56,4345</v>
      </c>
      <c r="M10" s="9" t="s">
        <v>430</v>
      </c>
    </row>
    <row r="11" spans="1:13">
      <c r="B11" s="5" t="s">
        <v>183</v>
      </c>
    </row>
    <row r="12" spans="1:13" ht="16">
      <c r="A12" s="54" t="s">
        <v>32</v>
      </c>
      <c r="B12" s="54"/>
      <c r="C12" s="54"/>
      <c r="D12" s="54"/>
      <c r="E12" s="54"/>
      <c r="F12" s="54"/>
      <c r="G12" s="54"/>
      <c r="H12" s="54"/>
      <c r="I12" s="54"/>
      <c r="J12" s="54"/>
    </row>
    <row r="13" spans="1:13">
      <c r="A13" s="8" t="s">
        <v>181</v>
      </c>
      <c r="B13" s="7" t="s">
        <v>209</v>
      </c>
      <c r="C13" s="7" t="s">
        <v>210</v>
      </c>
      <c r="D13" s="7" t="s">
        <v>211</v>
      </c>
      <c r="E13" s="7" t="s">
        <v>501</v>
      </c>
      <c r="F13" s="7" t="s">
        <v>16</v>
      </c>
      <c r="G13" s="8"/>
      <c r="H13" s="20" t="s">
        <v>212</v>
      </c>
      <c r="I13" s="21" t="s">
        <v>19</v>
      </c>
      <c r="J13" s="8"/>
      <c r="K13" s="48" t="str">
        <f>"77,5"</f>
        <v>77,5</v>
      </c>
      <c r="L13" s="8" t="str">
        <f>"91,3183"</f>
        <v>91,3183</v>
      </c>
      <c r="M13" s="7" t="s">
        <v>432</v>
      </c>
    </row>
    <row r="14" spans="1:13">
      <c r="A14" s="12" t="s">
        <v>182</v>
      </c>
      <c r="B14" s="11" t="s">
        <v>213</v>
      </c>
      <c r="C14" s="11" t="s">
        <v>214</v>
      </c>
      <c r="D14" s="11" t="s">
        <v>215</v>
      </c>
      <c r="E14" s="11" t="s">
        <v>501</v>
      </c>
      <c r="F14" s="11" t="s">
        <v>316</v>
      </c>
      <c r="G14" s="44">
        <v>65</v>
      </c>
      <c r="H14" s="24" t="s">
        <v>216</v>
      </c>
      <c r="I14" s="24" t="s">
        <v>217</v>
      </c>
      <c r="J14" s="12"/>
      <c r="K14" s="50" t="str">
        <f>"72,5"</f>
        <v>72,5</v>
      </c>
      <c r="L14" s="12" t="str">
        <f>"88,7980"</f>
        <v>88,7980</v>
      </c>
      <c r="M14" s="11" t="s">
        <v>431</v>
      </c>
    </row>
    <row r="15" spans="1:13">
      <c r="A15" s="10" t="s">
        <v>181</v>
      </c>
      <c r="B15" s="9" t="s">
        <v>213</v>
      </c>
      <c r="C15" s="9" t="s">
        <v>451</v>
      </c>
      <c r="D15" s="9" t="s">
        <v>215</v>
      </c>
      <c r="E15" s="9" t="s">
        <v>502</v>
      </c>
      <c r="F15" s="11" t="s">
        <v>316</v>
      </c>
      <c r="G15" s="45">
        <v>65</v>
      </c>
      <c r="H15" s="22" t="s">
        <v>216</v>
      </c>
      <c r="I15" s="22" t="s">
        <v>217</v>
      </c>
      <c r="J15" s="10"/>
      <c r="K15" s="49" t="str">
        <f>"72,5"</f>
        <v>72,5</v>
      </c>
      <c r="L15" s="10" t="str">
        <f>"94,1259"</f>
        <v>94,1259</v>
      </c>
      <c r="M15" s="9" t="s">
        <v>431</v>
      </c>
    </row>
    <row r="16" spans="1:13">
      <c r="B16" s="5" t="s">
        <v>183</v>
      </c>
    </row>
    <row r="17" spans="1:13" ht="16">
      <c r="A17" s="54" t="s">
        <v>218</v>
      </c>
      <c r="B17" s="54"/>
      <c r="C17" s="54"/>
      <c r="D17" s="54"/>
      <c r="E17" s="54"/>
      <c r="F17" s="54"/>
      <c r="G17" s="54"/>
      <c r="H17" s="54"/>
      <c r="I17" s="54"/>
      <c r="J17" s="54"/>
    </row>
    <row r="18" spans="1:13">
      <c r="A18" s="14" t="s">
        <v>181</v>
      </c>
      <c r="B18" s="13" t="s">
        <v>219</v>
      </c>
      <c r="C18" s="13" t="s">
        <v>220</v>
      </c>
      <c r="D18" s="13" t="s">
        <v>221</v>
      </c>
      <c r="E18" s="13" t="s">
        <v>501</v>
      </c>
      <c r="F18" s="13" t="s">
        <v>16</v>
      </c>
      <c r="G18" s="26" t="s">
        <v>36</v>
      </c>
      <c r="H18" s="26" t="s">
        <v>30</v>
      </c>
      <c r="I18" s="27" t="s">
        <v>201</v>
      </c>
      <c r="J18" s="14"/>
      <c r="K18" s="47" t="str">
        <f>"52,5"</f>
        <v>52,5</v>
      </c>
      <c r="L18" s="14" t="str">
        <f>"58,5322"</f>
        <v>58,5322</v>
      </c>
      <c r="M18" s="13" t="s">
        <v>433</v>
      </c>
    </row>
    <row r="19" spans="1:13">
      <c r="B19" s="5" t="s">
        <v>183</v>
      </c>
    </row>
    <row r="20" spans="1:13" ht="16">
      <c r="A20" s="54" t="s">
        <v>37</v>
      </c>
      <c r="B20" s="54"/>
      <c r="C20" s="54"/>
      <c r="D20" s="54"/>
      <c r="E20" s="54"/>
      <c r="F20" s="54"/>
      <c r="G20" s="54"/>
      <c r="H20" s="54"/>
      <c r="I20" s="54"/>
      <c r="J20" s="54"/>
    </row>
    <row r="21" spans="1:13">
      <c r="A21" s="8" t="s">
        <v>181</v>
      </c>
      <c r="B21" s="7" t="s">
        <v>38</v>
      </c>
      <c r="C21" s="7" t="s">
        <v>39</v>
      </c>
      <c r="D21" s="7" t="s">
        <v>40</v>
      </c>
      <c r="E21" s="7" t="s">
        <v>501</v>
      </c>
      <c r="F21" s="7" t="s">
        <v>16</v>
      </c>
      <c r="G21" s="20" t="s">
        <v>19</v>
      </c>
      <c r="H21" s="20" t="s">
        <v>31</v>
      </c>
      <c r="I21" s="20" t="s">
        <v>44</v>
      </c>
      <c r="J21" s="8"/>
      <c r="K21" s="48" t="str">
        <f>"95,0"</f>
        <v>95,0</v>
      </c>
      <c r="L21" s="28" t="str">
        <f>"94,7910"</f>
        <v>94,7910</v>
      </c>
      <c r="M21" s="7" t="s">
        <v>434</v>
      </c>
    </row>
    <row r="22" spans="1:13">
      <c r="A22" s="12" t="s">
        <v>182</v>
      </c>
      <c r="B22" s="11" t="s">
        <v>47</v>
      </c>
      <c r="C22" s="11" t="s">
        <v>48</v>
      </c>
      <c r="D22" s="11" t="s">
        <v>49</v>
      </c>
      <c r="E22" s="11" t="s">
        <v>501</v>
      </c>
      <c r="F22" s="11" t="s">
        <v>16</v>
      </c>
      <c r="G22" s="24" t="s">
        <v>18</v>
      </c>
      <c r="H22" s="24" t="s">
        <v>50</v>
      </c>
      <c r="I22" s="24" t="s">
        <v>19</v>
      </c>
      <c r="J22" s="12"/>
      <c r="K22" s="50" t="str">
        <f>"80,0"</f>
        <v>80,0</v>
      </c>
      <c r="L22" s="51" t="str">
        <f>"80,4720"</f>
        <v>80,4720</v>
      </c>
      <c r="M22" s="11" t="s">
        <v>434</v>
      </c>
    </row>
    <row r="23" spans="1:13">
      <c r="A23" s="10" t="s">
        <v>184</v>
      </c>
      <c r="B23" s="9" t="s">
        <v>222</v>
      </c>
      <c r="C23" s="9" t="s">
        <v>223</v>
      </c>
      <c r="D23" s="9" t="s">
        <v>80</v>
      </c>
      <c r="E23" s="9" t="s">
        <v>501</v>
      </c>
      <c r="F23" s="9" t="s">
        <v>445</v>
      </c>
      <c r="G23" s="22" t="s">
        <v>20</v>
      </c>
      <c r="H23" s="22" t="s">
        <v>21</v>
      </c>
      <c r="I23" s="23" t="s">
        <v>22</v>
      </c>
      <c r="J23" s="10"/>
      <c r="K23" s="49" t="str">
        <f>"45,0"</f>
        <v>45,0</v>
      </c>
      <c r="L23" s="30" t="str">
        <f>"43,1415"</f>
        <v>43,1415</v>
      </c>
      <c r="M23" s="9" t="s">
        <v>424</v>
      </c>
    </row>
    <row r="24" spans="1:13">
      <c r="B24" s="5" t="s">
        <v>183</v>
      </c>
    </row>
    <row r="25" spans="1:13" ht="16">
      <c r="A25" s="54" t="s">
        <v>83</v>
      </c>
      <c r="B25" s="54"/>
      <c r="C25" s="54"/>
      <c r="D25" s="54"/>
      <c r="E25" s="54"/>
      <c r="F25" s="54"/>
      <c r="G25" s="54"/>
      <c r="H25" s="54"/>
      <c r="I25" s="54"/>
      <c r="J25" s="54"/>
    </row>
    <row r="26" spans="1:13">
      <c r="A26" s="14" t="s">
        <v>181</v>
      </c>
      <c r="B26" s="13" t="s">
        <v>224</v>
      </c>
      <c r="C26" s="13" t="s">
        <v>225</v>
      </c>
      <c r="D26" s="13" t="s">
        <v>226</v>
      </c>
      <c r="E26" s="13" t="s">
        <v>501</v>
      </c>
      <c r="F26" s="13" t="s">
        <v>16</v>
      </c>
      <c r="G26" s="26" t="s">
        <v>24</v>
      </c>
      <c r="H26" s="26" t="s">
        <v>41</v>
      </c>
      <c r="I26" s="26" t="s">
        <v>51</v>
      </c>
      <c r="J26" s="14"/>
      <c r="K26" s="47" t="str">
        <f>"130,0"</f>
        <v>130,0</v>
      </c>
      <c r="L26" s="14" t="str">
        <f>"120,4190"</f>
        <v>120,4190</v>
      </c>
      <c r="M26" s="13" t="s">
        <v>434</v>
      </c>
    </row>
    <row r="27" spans="1:13">
      <c r="B27" s="5" t="s">
        <v>183</v>
      </c>
    </row>
    <row r="28" spans="1:13" ht="16">
      <c r="A28" s="54" t="s">
        <v>32</v>
      </c>
      <c r="B28" s="54"/>
      <c r="C28" s="54"/>
      <c r="D28" s="54"/>
      <c r="E28" s="54"/>
      <c r="F28" s="54"/>
      <c r="G28" s="54"/>
      <c r="H28" s="54"/>
      <c r="I28" s="54"/>
      <c r="J28" s="54"/>
    </row>
    <row r="29" spans="1:13">
      <c r="A29" s="14" t="s">
        <v>181</v>
      </c>
      <c r="B29" s="13" t="s">
        <v>227</v>
      </c>
      <c r="C29" s="13" t="s">
        <v>228</v>
      </c>
      <c r="D29" s="13" t="s">
        <v>229</v>
      </c>
      <c r="E29" s="13" t="s">
        <v>503</v>
      </c>
      <c r="F29" s="13" t="s">
        <v>65</v>
      </c>
      <c r="G29" s="26" t="s">
        <v>18</v>
      </c>
      <c r="H29" s="26" t="s">
        <v>50</v>
      </c>
      <c r="I29" s="26" t="s">
        <v>212</v>
      </c>
      <c r="J29" s="14"/>
      <c r="K29" s="47" t="str">
        <f>"77,5"</f>
        <v>77,5</v>
      </c>
      <c r="L29" s="14" t="str">
        <f>"71,0520"</f>
        <v>71,0520</v>
      </c>
      <c r="M29" s="13" t="s">
        <v>471</v>
      </c>
    </row>
    <row r="30" spans="1:13">
      <c r="B30" s="5" t="s">
        <v>183</v>
      </c>
    </row>
    <row r="31" spans="1:13" ht="16">
      <c r="A31" s="54" t="s">
        <v>230</v>
      </c>
      <c r="B31" s="54"/>
      <c r="C31" s="54"/>
      <c r="D31" s="54"/>
      <c r="E31" s="54"/>
      <c r="F31" s="54"/>
      <c r="G31" s="54"/>
      <c r="H31" s="54"/>
      <c r="I31" s="54"/>
      <c r="J31" s="54"/>
    </row>
    <row r="32" spans="1:13">
      <c r="A32" s="8" t="s">
        <v>181</v>
      </c>
      <c r="B32" s="7" t="s">
        <v>231</v>
      </c>
      <c r="C32" s="7" t="s">
        <v>232</v>
      </c>
      <c r="D32" s="7" t="s">
        <v>233</v>
      </c>
      <c r="E32" s="7" t="s">
        <v>503</v>
      </c>
      <c r="F32" s="7" t="s">
        <v>16</v>
      </c>
      <c r="G32" s="20" t="s">
        <v>19</v>
      </c>
      <c r="H32" s="20" t="s">
        <v>31</v>
      </c>
      <c r="I32" s="20" t="s">
        <v>116</v>
      </c>
      <c r="J32" s="8"/>
      <c r="K32" s="48" t="str">
        <f>"97,5"</f>
        <v>97,5</v>
      </c>
      <c r="L32" s="8" t="str">
        <f>"76,3620"</f>
        <v>76,3620</v>
      </c>
      <c r="M32" s="7" t="s">
        <v>435</v>
      </c>
    </row>
    <row r="33" spans="1:13">
      <c r="A33" s="10" t="s">
        <v>181</v>
      </c>
      <c r="B33" s="9" t="s">
        <v>234</v>
      </c>
      <c r="C33" s="9" t="s">
        <v>452</v>
      </c>
      <c r="D33" s="9" t="s">
        <v>235</v>
      </c>
      <c r="E33" s="9" t="s">
        <v>506</v>
      </c>
      <c r="F33" s="9" t="s">
        <v>16</v>
      </c>
      <c r="G33" s="22" t="s">
        <v>44</v>
      </c>
      <c r="H33" s="22" t="s">
        <v>23</v>
      </c>
      <c r="I33" s="22" t="s">
        <v>117</v>
      </c>
      <c r="J33" s="10"/>
      <c r="K33" s="49" t="str">
        <f>"105,0"</f>
        <v>105,0</v>
      </c>
      <c r="L33" s="10" t="str">
        <f>"81,0495"</f>
        <v>81,0495</v>
      </c>
      <c r="M33" s="9" t="s">
        <v>432</v>
      </c>
    </row>
    <row r="34" spans="1:13">
      <c r="B34" s="5" t="s">
        <v>183</v>
      </c>
    </row>
    <row r="35" spans="1:13" ht="16">
      <c r="A35" s="54" t="s">
        <v>37</v>
      </c>
      <c r="B35" s="54"/>
      <c r="C35" s="54"/>
      <c r="D35" s="54"/>
      <c r="E35" s="54"/>
      <c r="F35" s="54"/>
      <c r="G35" s="54"/>
      <c r="H35" s="54"/>
      <c r="I35" s="54"/>
      <c r="J35" s="54"/>
    </row>
    <row r="36" spans="1:13">
      <c r="A36" s="8" t="s">
        <v>181</v>
      </c>
      <c r="B36" s="7" t="s">
        <v>236</v>
      </c>
      <c r="C36" s="7" t="s">
        <v>237</v>
      </c>
      <c r="D36" s="7" t="s">
        <v>238</v>
      </c>
      <c r="E36" s="7" t="s">
        <v>503</v>
      </c>
      <c r="F36" s="7" t="s">
        <v>16</v>
      </c>
      <c r="G36" s="20" t="s">
        <v>19</v>
      </c>
      <c r="H36" s="21" t="s">
        <v>31</v>
      </c>
      <c r="I36" s="21" t="s">
        <v>31</v>
      </c>
      <c r="J36" s="8"/>
      <c r="K36" s="48" t="str">
        <f>"80,0"</f>
        <v>80,0</v>
      </c>
      <c r="L36" s="8" t="str">
        <f>"58,4560"</f>
        <v>58,4560</v>
      </c>
      <c r="M36" s="7" t="s">
        <v>498</v>
      </c>
    </row>
    <row r="37" spans="1:13">
      <c r="A37" s="12" t="s">
        <v>181</v>
      </c>
      <c r="B37" s="11" t="s">
        <v>239</v>
      </c>
      <c r="C37" s="11" t="s">
        <v>240</v>
      </c>
      <c r="D37" s="11" t="s">
        <v>241</v>
      </c>
      <c r="E37" s="11" t="s">
        <v>501</v>
      </c>
      <c r="F37" s="11" t="s">
        <v>242</v>
      </c>
      <c r="G37" s="24" t="s">
        <v>68</v>
      </c>
      <c r="H37" s="24" t="s">
        <v>51</v>
      </c>
      <c r="I37" s="25" t="s">
        <v>58</v>
      </c>
      <c r="J37" s="12"/>
      <c r="K37" s="50" t="str">
        <f>"130,0"</f>
        <v>130,0</v>
      </c>
      <c r="L37" s="12" t="str">
        <f>"94,5230"</f>
        <v>94,5230</v>
      </c>
      <c r="M37" s="11" t="s">
        <v>498</v>
      </c>
    </row>
    <row r="38" spans="1:13">
      <c r="A38" s="12" t="s">
        <v>182</v>
      </c>
      <c r="B38" s="11" t="s">
        <v>243</v>
      </c>
      <c r="C38" s="11" t="s">
        <v>244</v>
      </c>
      <c r="D38" s="11" t="s">
        <v>245</v>
      </c>
      <c r="E38" s="11" t="s">
        <v>501</v>
      </c>
      <c r="F38" s="11" t="s">
        <v>246</v>
      </c>
      <c r="G38" s="24" t="s">
        <v>24</v>
      </c>
      <c r="H38" s="25" t="s">
        <v>92</v>
      </c>
      <c r="I38" s="24" t="s">
        <v>92</v>
      </c>
      <c r="J38" s="12"/>
      <c r="K38" s="50" t="str">
        <f>"115,0"</f>
        <v>115,0</v>
      </c>
      <c r="L38" s="12" t="str">
        <f>"82,3285"</f>
        <v>82,3285</v>
      </c>
      <c r="M38" s="11" t="s">
        <v>498</v>
      </c>
    </row>
    <row r="39" spans="1:13">
      <c r="A39" s="10" t="s">
        <v>181</v>
      </c>
      <c r="B39" s="9" t="s">
        <v>247</v>
      </c>
      <c r="C39" s="9" t="s">
        <v>453</v>
      </c>
      <c r="D39" s="9" t="s">
        <v>248</v>
      </c>
      <c r="E39" s="9" t="s">
        <v>506</v>
      </c>
      <c r="F39" s="9" t="s">
        <v>16</v>
      </c>
      <c r="G39" s="22" t="s">
        <v>24</v>
      </c>
      <c r="H39" s="23" t="s">
        <v>92</v>
      </c>
      <c r="I39" s="23" t="s">
        <v>92</v>
      </c>
      <c r="J39" s="10"/>
      <c r="K39" s="49" t="str">
        <f>"110,0"</f>
        <v>110,0</v>
      </c>
      <c r="L39" s="10" t="str">
        <f>"80,0076"</f>
        <v>80,0076</v>
      </c>
      <c r="M39" s="9" t="s">
        <v>249</v>
      </c>
    </row>
    <row r="40" spans="1:13">
      <c r="B40" s="5" t="s">
        <v>183</v>
      </c>
    </row>
    <row r="41" spans="1:13" ht="16">
      <c r="A41" s="54" t="s">
        <v>83</v>
      </c>
      <c r="B41" s="54"/>
      <c r="C41" s="54"/>
      <c r="D41" s="54"/>
      <c r="E41" s="54"/>
      <c r="F41" s="54"/>
      <c r="G41" s="54"/>
      <c r="H41" s="54"/>
      <c r="I41" s="54"/>
      <c r="J41" s="54"/>
    </row>
    <row r="42" spans="1:13">
      <c r="A42" s="8" t="s">
        <v>181</v>
      </c>
      <c r="B42" s="7" t="s">
        <v>250</v>
      </c>
      <c r="C42" s="7" t="s">
        <v>251</v>
      </c>
      <c r="D42" s="7" t="s">
        <v>252</v>
      </c>
      <c r="E42" s="7" t="s">
        <v>503</v>
      </c>
      <c r="F42" s="7" t="s">
        <v>16</v>
      </c>
      <c r="G42" s="21" t="s">
        <v>31</v>
      </c>
      <c r="H42" s="21" t="s">
        <v>31</v>
      </c>
      <c r="I42" s="20" t="s">
        <v>31</v>
      </c>
      <c r="J42" s="8"/>
      <c r="K42" s="48" t="str">
        <f>"90,0"</f>
        <v>90,0</v>
      </c>
      <c r="L42" s="8" t="str">
        <f>"62,6130"</f>
        <v>62,6130</v>
      </c>
      <c r="M42" s="7" t="s">
        <v>436</v>
      </c>
    </row>
    <row r="43" spans="1:13">
      <c r="A43" s="12" t="s">
        <v>181</v>
      </c>
      <c r="B43" s="11" t="s">
        <v>253</v>
      </c>
      <c r="C43" s="11" t="s">
        <v>254</v>
      </c>
      <c r="D43" s="11" t="s">
        <v>255</v>
      </c>
      <c r="E43" s="11" t="s">
        <v>501</v>
      </c>
      <c r="F43" s="11" t="s">
        <v>16</v>
      </c>
      <c r="G43" s="24" t="s">
        <v>42</v>
      </c>
      <c r="H43" s="25" t="s">
        <v>106</v>
      </c>
      <c r="I43" s="24" t="s">
        <v>106</v>
      </c>
      <c r="J43" s="12"/>
      <c r="K43" s="50" t="str">
        <f>"147,5"</f>
        <v>147,5</v>
      </c>
      <c r="L43" s="12" t="str">
        <f>"100,6982"</f>
        <v>100,6982</v>
      </c>
      <c r="M43" s="11" t="s">
        <v>498</v>
      </c>
    </row>
    <row r="44" spans="1:13">
      <c r="A44" s="12" t="s">
        <v>182</v>
      </c>
      <c r="B44" s="11" t="s">
        <v>256</v>
      </c>
      <c r="C44" s="11" t="s">
        <v>257</v>
      </c>
      <c r="D44" s="11" t="s">
        <v>258</v>
      </c>
      <c r="E44" s="11" t="s">
        <v>501</v>
      </c>
      <c r="F44" s="11" t="s">
        <v>259</v>
      </c>
      <c r="G44" s="24" t="s">
        <v>260</v>
      </c>
      <c r="H44" s="24" t="s">
        <v>105</v>
      </c>
      <c r="I44" s="24" t="s">
        <v>261</v>
      </c>
      <c r="J44" s="12"/>
      <c r="K44" s="50" t="str">
        <f>"142,5"</f>
        <v>142,5</v>
      </c>
      <c r="L44" s="12" t="str">
        <f>"95,9595"</f>
        <v>95,9595</v>
      </c>
      <c r="M44" s="11" t="s">
        <v>498</v>
      </c>
    </row>
    <row r="45" spans="1:13">
      <c r="A45" s="10" t="s">
        <v>181</v>
      </c>
      <c r="B45" s="9" t="s">
        <v>262</v>
      </c>
      <c r="C45" s="9" t="s">
        <v>454</v>
      </c>
      <c r="D45" s="9" t="s">
        <v>263</v>
      </c>
      <c r="E45" s="9" t="s">
        <v>502</v>
      </c>
      <c r="F45" s="9" t="s">
        <v>264</v>
      </c>
      <c r="G45" s="22" t="s">
        <v>58</v>
      </c>
      <c r="H45" s="22" t="s">
        <v>42</v>
      </c>
      <c r="I45" s="22" t="s">
        <v>55</v>
      </c>
      <c r="J45" s="10"/>
      <c r="K45" s="49" t="str">
        <f>"145,0"</f>
        <v>145,0</v>
      </c>
      <c r="L45" s="10" t="str">
        <f>"111,5331"</f>
        <v>111,5331</v>
      </c>
      <c r="M45" s="9" t="s">
        <v>498</v>
      </c>
    </row>
    <row r="46" spans="1:13">
      <c r="B46" s="5" t="s">
        <v>183</v>
      </c>
    </row>
    <row r="47" spans="1:13" ht="16">
      <c r="A47" s="54" t="s">
        <v>186</v>
      </c>
      <c r="B47" s="54"/>
      <c r="C47" s="54"/>
      <c r="D47" s="54"/>
      <c r="E47" s="54"/>
      <c r="F47" s="54"/>
      <c r="G47" s="54"/>
      <c r="H47" s="54"/>
      <c r="I47" s="54"/>
      <c r="J47" s="54"/>
    </row>
    <row r="48" spans="1:13">
      <c r="A48" s="8" t="s">
        <v>181</v>
      </c>
      <c r="B48" s="7" t="s">
        <v>265</v>
      </c>
      <c r="C48" s="7" t="s">
        <v>455</v>
      </c>
      <c r="D48" s="7" t="s">
        <v>266</v>
      </c>
      <c r="E48" s="7" t="s">
        <v>504</v>
      </c>
      <c r="F48" s="7" t="s">
        <v>16</v>
      </c>
      <c r="G48" s="20" t="s">
        <v>43</v>
      </c>
      <c r="H48" s="20" t="s">
        <v>56</v>
      </c>
      <c r="I48" s="21" t="s">
        <v>267</v>
      </c>
      <c r="J48" s="8"/>
      <c r="K48" s="48" t="str">
        <f>"155,0"</f>
        <v>155,0</v>
      </c>
      <c r="L48" s="8" t="str">
        <f>"99,7580"</f>
        <v>99,7580</v>
      </c>
      <c r="M48" s="7" t="s">
        <v>498</v>
      </c>
    </row>
    <row r="49" spans="1:13">
      <c r="A49" s="12" t="s">
        <v>182</v>
      </c>
      <c r="B49" s="11" t="s">
        <v>268</v>
      </c>
      <c r="C49" s="11" t="s">
        <v>456</v>
      </c>
      <c r="D49" s="11" t="s">
        <v>269</v>
      </c>
      <c r="E49" s="11" t="s">
        <v>504</v>
      </c>
      <c r="F49" s="11" t="s">
        <v>270</v>
      </c>
      <c r="G49" s="24" t="s">
        <v>260</v>
      </c>
      <c r="H49" s="24" t="s">
        <v>51</v>
      </c>
      <c r="I49" s="24" t="s">
        <v>58</v>
      </c>
      <c r="J49" s="12"/>
      <c r="K49" s="50" t="str">
        <f>"135,0"</f>
        <v>135,0</v>
      </c>
      <c r="L49" s="12" t="str">
        <f>"86,7240"</f>
        <v>86,7240</v>
      </c>
      <c r="M49" s="11" t="s">
        <v>498</v>
      </c>
    </row>
    <row r="50" spans="1:13">
      <c r="A50" s="12" t="s">
        <v>181</v>
      </c>
      <c r="B50" s="11" t="s">
        <v>271</v>
      </c>
      <c r="C50" s="11" t="s">
        <v>272</v>
      </c>
      <c r="D50" s="11" t="s">
        <v>273</v>
      </c>
      <c r="E50" s="11" t="s">
        <v>501</v>
      </c>
      <c r="F50" s="11" t="s">
        <v>264</v>
      </c>
      <c r="G50" s="24" t="s">
        <v>56</v>
      </c>
      <c r="H50" s="24" t="s">
        <v>45</v>
      </c>
      <c r="I50" s="24" t="s">
        <v>274</v>
      </c>
      <c r="J50" s="12"/>
      <c r="K50" s="50" t="str">
        <f>"162,5"</f>
        <v>162,5</v>
      </c>
      <c r="L50" s="12" t="str">
        <f>"104,2113"</f>
        <v>104,2113</v>
      </c>
      <c r="M50" s="11" t="s">
        <v>498</v>
      </c>
    </row>
    <row r="51" spans="1:13">
      <c r="A51" s="12" t="s">
        <v>182</v>
      </c>
      <c r="B51" s="11" t="s">
        <v>275</v>
      </c>
      <c r="C51" s="11" t="s">
        <v>276</v>
      </c>
      <c r="D51" s="11" t="s">
        <v>277</v>
      </c>
      <c r="E51" s="11" t="s">
        <v>501</v>
      </c>
      <c r="F51" s="11" t="s">
        <v>16</v>
      </c>
      <c r="G51" s="24" t="s">
        <v>43</v>
      </c>
      <c r="H51" s="24" t="s">
        <v>56</v>
      </c>
      <c r="I51" s="24" t="s">
        <v>45</v>
      </c>
      <c r="J51" s="12"/>
      <c r="K51" s="50" t="str">
        <f>"160,0"</f>
        <v>160,0</v>
      </c>
      <c r="L51" s="12" t="str">
        <f>"105,0560"</f>
        <v>105,0560</v>
      </c>
      <c r="M51" s="11" t="s">
        <v>498</v>
      </c>
    </row>
    <row r="52" spans="1:13">
      <c r="A52" s="12" t="s">
        <v>184</v>
      </c>
      <c r="B52" s="11" t="s">
        <v>278</v>
      </c>
      <c r="C52" s="11" t="s">
        <v>279</v>
      </c>
      <c r="D52" s="11" t="s">
        <v>280</v>
      </c>
      <c r="E52" s="11" t="s">
        <v>501</v>
      </c>
      <c r="F52" s="11" t="s">
        <v>16</v>
      </c>
      <c r="G52" s="24" t="s">
        <v>106</v>
      </c>
      <c r="H52" s="24" t="s">
        <v>56</v>
      </c>
      <c r="I52" s="24" t="s">
        <v>45</v>
      </c>
      <c r="J52" s="12"/>
      <c r="K52" s="50" t="str">
        <f>"160,0"</f>
        <v>160,0</v>
      </c>
      <c r="L52" s="12" t="str">
        <f>"103,2160"</f>
        <v>103,2160</v>
      </c>
      <c r="M52" s="11" t="s">
        <v>498</v>
      </c>
    </row>
    <row r="53" spans="1:13">
      <c r="A53" s="12" t="s">
        <v>185</v>
      </c>
      <c r="B53" s="11" t="s">
        <v>281</v>
      </c>
      <c r="C53" s="11" t="s">
        <v>282</v>
      </c>
      <c r="D53" s="11" t="s">
        <v>283</v>
      </c>
      <c r="E53" s="11" t="s">
        <v>501</v>
      </c>
      <c r="F53" s="11" t="s">
        <v>469</v>
      </c>
      <c r="G53" s="24" t="s">
        <v>45</v>
      </c>
      <c r="H53" s="25" t="s">
        <v>118</v>
      </c>
      <c r="I53" s="25" t="s">
        <v>118</v>
      </c>
      <c r="J53" s="12"/>
      <c r="K53" s="50" t="str">
        <f>"160,0"</f>
        <v>160,0</v>
      </c>
      <c r="L53" s="12" t="str">
        <f>"102,2560"</f>
        <v>102,2560</v>
      </c>
      <c r="M53" s="11" t="s">
        <v>498</v>
      </c>
    </row>
    <row r="54" spans="1:13">
      <c r="A54" s="12" t="s">
        <v>336</v>
      </c>
      <c r="B54" s="11" t="s">
        <v>284</v>
      </c>
      <c r="C54" s="11" t="s">
        <v>285</v>
      </c>
      <c r="D54" s="11" t="s">
        <v>286</v>
      </c>
      <c r="E54" s="11" t="s">
        <v>501</v>
      </c>
      <c r="F54" s="11" t="s">
        <v>16</v>
      </c>
      <c r="G54" s="24" t="s">
        <v>106</v>
      </c>
      <c r="H54" s="25" t="s">
        <v>56</v>
      </c>
      <c r="I54" s="25" t="s">
        <v>56</v>
      </c>
      <c r="J54" s="12"/>
      <c r="K54" s="50" t="str">
        <f>"147,5"</f>
        <v>147,5</v>
      </c>
      <c r="L54" s="12" t="str">
        <f>"94,8130"</f>
        <v>94,8130</v>
      </c>
      <c r="M54" s="11" t="s">
        <v>425</v>
      </c>
    </row>
    <row r="55" spans="1:13">
      <c r="A55" s="12" t="s">
        <v>181</v>
      </c>
      <c r="B55" s="11" t="s">
        <v>287</v>
      </c>
      <c r="C55" s="11" t="s">
        <v>457</v>
      </c>
      <c r="D55" s="11" t="s">
        <v>288</v>
      </c>
      <c r="E55" s="11" t="s">
        <v>506</v>
      </c>
      <c r="F55" s="11" t="s">
        <v>16</v>
      </c>
      <c r="G55" s="24" t="s">
        <v>43</v>
      </c>
      <c r="H55" s="24" t="s">
        <v>45</v>
      </c>
      <c r="I55" s="24" t="s">
        <v>57</v>
      </c>
      <c r="J55" s="12"/>
      <c r="K55" s="50" t="str">
        <f>"165,0"</f>
        <v>165,0</v>
      </c>
      <c r="L55" s="12" t="str">
        <f>"108,2854"</f>
        <v>108,2854</v>
      </c>
      <c r="M55" s="11" t="s">
        <v>432</v>
      </c>
    </row>
    <row r="56" spans="1:13">
      <c r="A56" s="12" t="s">
        <v>181</v>
      </c>
      <c r="B56" s="11" t="s">
        <v>271</v>
      </c>
      <c r="C56" s="11" t="s">
        <v>458</v>
      </c>
      <c r="D56" s="11" t="s">
        <v>273</v>
      </c>
      <c r="E56" s="11" t="s">
        <v>507</v>
      </c>
      <c r="F56" s="11" t="s">
        <v>264</v>
      </c>
      <c r="G56" s="24" t="s">
        <v>56</v>
      </c>
      <c r="H56" s="24" t="s">
        <v>45</v>
      </c>
      <c r="I56" s="24" t="s">
        <v>274</v>
      </c>
      <c r="J56" s="12"/>
      <c r="K56" s="50" t="str">
        <f>"162,5"</f>
        <v>162,5</v>
      </c>
      <c r="L56" s="12" t="str">
        <f>"123,6988"</f>
        <v>123,6988</v>
      </c>
      <c r="M56" s="11" t="s">
        <v>498</v>
      </c>
    </row>
    <row r="57" spans="1:13">
      <c r="A57" s="10" t="s">
        <v>181</v>
      </c>
      <c r="B57" s="9" t="s">
        <v>289</v>
      </c>
      <c r="C57" s="9" t="s">
        <v>459</v>
      </c>
      <c r="D57" s="9" t="s">
        <v>290</v>
      </c>
      <c r="E57" s="9" t="s">
        <v>508</v>
      </c>
      <c r="F57" s="9" t="s">
        <v>16</v>
      </c>
      <c r="G57" s="22" t="s">
        <v>117</v>
      </c>
      <c r="H57" s="22" t="s">
        <v>92</v>
      </c>
      <c r="I57" s="22" t="s">
        <v>41</v>
      </c>
      <c r="J57" s="10"/>
      <c r="K57" s="49" t="str">
        <f>"120,0"</f>
        <v>120,0</v>
      </c>
      <c r="L57" s="10" t="str">
        <f>"120,3047"</f>
        <v>120,3047</v>
      </c>
      <c r="M57" s="9" t="s">
        <v>498</v>
      </c>
    </row>
    <row r="58" spans="1:13">
      <c r="B58" s="5" t="s">
        <v>183</v>
      </c>
    </row>
    <row r="59" spans="1:13" ht="16">
      <c r="A59" s="54" t="s">
        <v>121</v>
      </c>
      <c r="B59" s="54"/>
      <c r="C59" s="54"/>
      <c r="D59" s="54"/>
      <c r="E59" s="54"/>
      <c r="F59" s="54"/>
      <c r="G59" s="54"/>
      <c r="H59" s="54"/>
      <c r="I59" s="54"/>
      <c r="J59" s="54"/>
    </row>
    <row r="60" spans="1:13">
      <c r="A60" s="8" t="s">
        <v>181</v>
      </c>
      <c r="B60" s="7" t="s">
        <v>291</v>
      </c>
      <c r="C60" s="7" t="s">
        <v>292</v>
      </c>
      <c r="D60" s="7" t="s">
        <v>293</v>
      </c>
      <c r="E60" s="7" t="s">
        <v>503</v>
      </c>
      <c r="F60" s="7" t="s">
        <v>270</v>
      </c>
      <c r="G60" s="20" t="s">
        <v>58</v>
      </c>
      <c r="H60" s="20" t="s">
        <v>261</v>
      </c>
      <c r="I60" s="20" t="s">
        <v>106</v>
      </c>
      <c r="J60" s="8"/>
      <c r="K60" s="48" t="str">
        <f>"147,5"</f>
        <v>147,5</v>
      </c>
      <c r="L60" s="8" t="str">
        <f>"91,3172"</f>
        <v>91,3172</v>
      </c>
      <c r="M60" s="7" t="s">
        <v>498</v>
      </c>
    </row>
    <row r="61" spans="1:13">
      <c r="A61" s="12" t="s">
        <v>181</v>
      </c>
      <c r="B61" s="11" t="s">
        <v>294</v>
      </c>
      <c r="C61" s="11" t="s">
        <v>295</v>
      </c>
      <c r="D61" s="11" t="s">
        <v>296</v>
      </c>
      <c r="E61" s="11" t="s">
        <v>501</v>
      </c>
      <c r="F61" s="11" t="s">
        <v>16</v>
      </c>
      <c r="G61" s="24" t="s">
        <v>119</v>
      </c>
      <c r="H61" s="24" t="s">
        <v>297</v>
      </c>
      <c r="I61" s="25" t="s">
        <v>120</v>
      </c>
      <c r="J61" s="12"/>
      <c r="K61" s="50" t="str">
        <f>"187,5"</f>
        <v>187,5</v>
      </c>
      <c r="L61" s="12" t="str">
        <f>"114,9188"</f>
        <v>114,9188</v>
      </c>
      <c r="M61" s="11" t="s">
        <v>437</v>
      </c>
    </row>
    <row r="62" spans="1:13">
      <c r="A62" s="12" t="s">
        <v>182</v>
      </c>
      <c r="B62" s="11" t="s">
        <v>298</v>
      </c>
      <c r="C62" s="11" t="s">
        <v>299</v>
      </c>
      <c r="D62" s="11" t="s">
        <v>300</v>
      </c>
      <c r="E62" s="11" t="s">
        <v>501</v>
      </c>
      <c r="F62" s="11" t="s">
        <v>270</v>
      </c>
      <c r="G62" s="25" t="s">
        <v>104</v>
      </c>
      <c r="H62" s="24" t="s">
        <v>75</v>
      </c>
      <c r="I62" s="24" t="s">
        <v>152</v>
      </c>
      <c r="J62" s="12"/>
      <c r="K62" s="50" t="str">
        <f>"185,0"</f>
        <v>185,0</v>
      </c>
      <c r="L62" s="12" t="str">
        <f>"115,6990"</f>
        <v>115,6990</v>
      </c>
      <c r="M62" s="11" t="s">
        <v>498</v>
      </c>
    </row>
    <row r="63" spans="1:13">
      <c r="A63" s="12" t="s">
        <v>184</v>
      </c>
      <c r="B63" s="11" t="s">
        <v>301</v>
      </c>
      <c r="C63" s="11" t="s">
        <v>302</v>
      </c>
      <c r="D63" s="11" t="s">
        <v>303</v>
      </c>
      <c r="E63" s="11" t="s">
        <v>501</v>
      </c>
      <c r="F63" s="11" t="s">
        <v>16</v>
      </c>
      <c r="G63" s="24" t="s">
        <v>46</v>
      </c>
      <c r="H63" s="24" t="s">
        <v>75</v>
      </c>
      <c r="I63" s="25" t="s">
        <v>152</v>
      </c>
      <c r="J63" s="12"/>
      <c r="K63" s="50" t="str">
        <f>"180,0"</f>
        <v>180,0</v>
      </c>
      <c r="L63" s="12" t="str">
        <f>"114,4080"</f>
        <v>114,4080</v>
      </c>
      <c r="M63" s="11" t="s">
        <v>498</v>
      </c>
    </row>
    <row r="64" spans="1:13">
      <c r="A64" s="12" t="s">
        <v>185</v>
      </c>
      <c r="B64" s="11" t="s">
        <v>304</v>
      </c>
      <c r="C64" s="11" t="s">
        <v>305</v>
      </c>
      <c r="D64" s="11" t="s">
        <v>306</v>
      </c>
      <c r="E64" s="11" t="s">
        <v>501</v>
      </c>
      <c r="F64" s="11" t="s">
        <v>16</v>
      </c>
      <c r="G64" s="24" t="s">
        <v>43</v>
      </c>
      <c r="H64" s="24" t="s">
        <v>56</v>
      </c>
      <c r="I64" s="24" t="s">
        <v>45</v>
      </c>
      <c r="J64" s="12"/>
      <c r="K64" s="50" t="str">
        <f>"160,0"</f>
        <v>160,0</v>
      </c>
      <c r="L64" s="12" t="str">
        <f>"98,9760"</f>
        <v>98,9760</v>
      </c>
      <c r="M64" s="11" t="s">
        <v>498</v>
      </c>
    </row>
    <row r="65" spans="1:13">
      <c r="A65" s="12" t="s">
        <v>336</v>
      </c>
      <c r="B65" s="11" t="s">
        <v>307</v>
      </c>
      <c r="C65" s="11" t="s">
        <v>308</v>
      </c>
      <c r="D65" s="11" t="s">
        <v>309</v>
      </c>
      <c r="E65" s="11" t="s">
        <v>501</v>
      </c>
      <c r="F65" s="11" t="s">
        <v>16</v>
      </c>
      <c r="G65" s="24" t="s">
        <v>42</v>
      </c>
      <c r="H65" s="24" t="s">
        <v>106</v>
      </c>
      <c r="I65" s="25" t="s">
        <v>112</v>
      </c>
      <c r="J65" s="12"/>
      <c r="K65" s="50" t="str">
        <f>"147,5"</f>
        <v>147,5</v>
      </c>
      <c r="L65" s="12" t="str">
        <f>"90,1373"</f>
        <v>90,1373</v>
      </c>
      <c r="M65" s="11" t="s">
        <v>438</v>
      </c>
    </row>
    <row r="66" spans="1:13">
      <c r="A66" s="10" t="s">
        <v>338</v>
      </c>
      <c r="B66" s="9" t="s">
        <v>310</v>
      </c>
      <c r="C66" s="9" t="s">
        <v>311</v>
      </c>
      <c r="D66" s="9" t="s">
        <v>312</v>
      </c>
      <c r="E66" s="9" t="s">
        <v>501</v>
      </c>
      <c r="F66" s="9" t="s">
        <v>16</v>
      </c>
      <c r="G66" s="22" t="s">
        <v>51</v>
      </c>
      <c r="H66" s="22" t="s">
        <v>58</v>
      </c>
      <c r="I66" s="23" t="s">
        <v>105</v>
      </c>
      <c r="J66" s="10"/>
      <c r="K66" s="49" t="str">
        <f>"135,0"</f>
        <v>135,0</v>
      </c>
      <c r="L66" s="10" t="str">
        <f>"82,8360"</f>
        <v>82,8360</v>
      </c>
      <c r="M66" s="9" t="s">
        <v>498</v>
      </c>
    </row>
    <row r="67" spans="1:13">
      <c r="B67" s="5" t="s">
        <v>183</v>
      </c>
    </row>
    <row r="68" spans="1:13" ht="16">
      <c r="A68" s="54" t="s">
        <v>125</v>
      </c>
      <c r="B68" s="54"/>
      <c r="C68" s="54"/>
      <c r="D68" s="54"/>
      <c r="E68" s="54"/>
      <c r="F68" s="54"/>
      <c r="G68" s="54"/>
      <c r="H68" s="54"/>
      <c r="I68" s="54"/>
      <c r="J68" s="54"/>
    </row>
    <row r="69" spans="1:13">
      <c r="A69" s="8" t="s">
        <v>181</v>
      </c>
      <c r="B69" s="7" t="s">
        <v>313</v>
      </c>
      <c r="C69" s="7" t="s">
        <v>314</v>
      </c>
      <c r="D69" s="7" t="s">
        <v>315</v>
      </c>
      <c r="E69" s="7" t="s">
        <v>501</v>
      </c>
      <c r="F69" s="7" t="s">
        <v>316</v>
      </c>
      <c r="G69" s="20" t="s">
        <v>119</v>
      </c>
      <c r="H69" s="20" t="s">
        <v>120</v>
      </c>
      <c r="I69" s="20" t="s">
        <v>97</v>
      </c>
      <c r="J69" s="8"/>
      <c r="K69" s="48" t="str">
        <f>"200,0"</f>
        <v>200,0</v>
      </c>
      <c r="L69" s="8" t="str">
        <f>"119,1600"</f>
        <v>119,1600</v>
      </c>
      <c r="M69" s="7" t="s">
        <v>498</v>
      </c>
    </row>
    <row r="70" spans="1:13">
      <c r="A70" s="12" t="s">
        <v>182</v>
      </c>
      <c r="B70" s="11" t="s">
        <v>317</v>
      </c>
      <c r="C70" s="11" t="s">
        <v>318</v>
      </c>
      <c r="D70" s="11" t="s">
        <v>319</v>
      </c>
      <c r="E70" s="11" t="s">
        <v>501</v>
      </c>
      <c r="F70" s="11" t="s">
        <v>16</v>
      </c>
      <c r="G70" s="24" t="s">
        <v>152</v>
      </c>
      <c r="H70" s="25" t="s">
        <v>81</v>
      </c>
      <c r="I70" s="25" t="s">
        <v>81</v>
      </c>
      <c r="J70" s="12"/>
      <c r="K70" s="50" t="str">
        <f>"185,0"</f>
        <v>185,0</v>
      </c>
      <c r="L70" s="12" t="str">
        <f>"109,9455"</f>
        <v>109,9455</v>
      </c>
      <c r="M70" s="11" t="s">
        <v>498</v>
      </c>
    </row>
    <row r="71" spans="1:13">
      <c r="A71" s="12" t="s">
        <v>337</v>
      </c>
      <c r="B71" s="11" t="s">
        <v>320</v>
      </c>
      <c r="C71" s="11" t="s">
        <v>321</v>
      </c>
      <c r="D71" s="11" t="s">
        <v>322</v>
      </c>
      <c r="E71" s="11" t="s">
        <v>501</v>
      </c>
      <c r="F71" s="11" t="s">
        <v>16</v>
      </c>
      <c r="G71" s="25" t="s">
        <v>118</v>
      </c>
      <c r="H71" s="25" t="s">
        <v>118</v>
      </c>
      <c r="I71" s="25" t="s">
        <v>118</v>
      </c>
      <c r="J71" s="12"/>
      <c r="K71" s="50">
        <v>0</v>
      </c>
      <c r="L71" s="12" t="str">
        <f>"0,0000"</f>
        <v>0,0000</v>
      </c>
      <c r="M71" s="11" t="s">
        <v>498</v>
      </c>
    </row>
    <row r="72" spans="1:13">
      <c r="A72" s="10" t="s">
        <v>181</v>
      </c>
      <c r="B72" s="9" t="s">
        <v>323</v>
      </c>
      <c r="C72" s="9" t="s">
        <v>460</v>
      </c>
      <c r="D72" s="9" t="s">
        <v>324</v>
      </c>
      <c r="E72" s="9" t="s">
        <v>506</v>
      </c>
      <c r="F72" s="9" t="s">
        <v>16</v>
      </c>
      <c r="G72" s="22" t="s">
        <v>51</v>
      </c>
      <c r="H72" s="22" t="s">
        <v>42</v>
      </c>
      <c r="I72" s="23" t="s">
        <v>43</v>
      </c>
      <c r="J72" s="10"/>
      <c r="K72" s="49" t="str">
        <f>"140,0"</f>
        <v>140,0</v>
      </c>
      <c r="L72" s="10" t="str">
        <f>"84,6592"</f>
        <v>84,6592</v>
      </c>
      <c r="M72" s="9" t="s">
        <v>434</v>
      </c>
    </row>
    <row r="73" spans="1:13">
      <c r="B73" s="5" t="s">
        <v>183</v>
      </c>
    </row>
    <row r="74" spans="1:13" ht="16">
      <c r="A74" s="54" t="s">
        <v>131</v>
      </c>
      <c r="B74" s="54"/>
      <c r="C74" s="54"/>
      <c r="D74" s="54"/>
      <c r="E74" s="54"/>
      <c r="F74" s="54"/>
      <c r="G74" s="54"/>
      <c r="H74" s="54"/>
      <c r="I74" s="54"/>
      <c r="J74" s="54"/>
    </row>
    <row r="75" spans="1:13">
      <c r="A75" s="14" t="s">
        <v>181</v>
      </c>
      <c r="B75" s="13" t="s">
        <v>132</v>
      </c>
      <c r="C75" s="13" t="s">
        <v>133</v>
      </c>
      <c r="D75" s="13" t="s">
        <v>134</v>
      </c>
      <c r="E75" s="13" t="s">
        <v>501</v>
      </c>
      <c r="F75" s="13" t="s">
        <v>16</v>
      </c>
      <c r="G75" s="26" t="s">
        <v>97</v>
      </c>
      <c r="H75" s="26" t="s">
        <v>69</v>
      </c>
      <c r="I75" s="27" t="s">
        <v>70</v>
      </c>
      <c r="J75" s="14"/>
      <c r="K75" s="47" t="str">
        <f>"220,0"</f>
        <v>220,0</v>
      </c>
      <c r="L75" s="14" t="str">
        <f>"126,9840"</f>
        <v>126,9840</v>
      </c>
      <c r="M75" s="13" t="s">
        <v>498</v>
      </c>
    </row>
    <row r="76" spans="1:13">
      <c r="B76" s="5" t="s">
        <v>183</v>
      </c>
    </row>
    <row r="77" spans="1:13" ht="16">
      <c r="A77" s="54" t="s">
        <v>146</v>
      </c>
      <c r="B77" s="54"/>
      <c r="C77" s="54"/>
      <c r="D77" s="54"/>
      <c r="E77" s="54"/>
      <c r="F77" s="54"/>
      <c r="G77" s="54"/>
      <c r="H77" s="54"/>
      <c r="I77" s="54"/>
      <c r="J77" s="54"/>
    </row>
    <row r="78" spans="1:13">
      <c r="A78" s="14" t="s">
        <v>181</v>
      </c>
      <c r="B78" s="13" t="s">
        <v>325</v>
      </c>
      <c r="C78" s="13" t="s">
        <v>326</v>
      </c>
      <c r="D78" s="13" t="s">
        <v>149</v>
      </c>
      <c r="E78" s="13" t="s">
        <v>501</v>
      </c>
      <c r="F78" s="13" t="s">
        <v>470</v>
      </c>
      <c r="G78" s="26" t="s">
        <v>75</v>
      </c>
      <c r="H78" s="26" t="s">
        <v>81</v>
      </c>
      <c r="I78" s="27" t="s">
        <v>97</v>
      </c>
      <c r="J78" s="14"/>
      <c r="K78" s="47" t="str">
        <f>"190,0"</f>
        <v>190,0</v>
      </c>
      <c r="L78" s="14" t="str">
        <f>"107,9390"</f>
        <v>107,9390</v>
      </c>
      <c r="M78" s="13" t="s">
        <v>498</v>
      </c>
    </row>
    <row r="79" spans="1:13">
      <c r="B79" s="5" t="s">
        <v>183</v>
      </c>
    </row>
    <row r="80" spans="1:13">
      <c r="B80" s="5" t="s">
        <v>183</v>
      </c>
    </row>
    <row r="81" spans="2:13">
      <c r="B81" s="5" t="s">
        <v>183</v>
      </c>
    </row>
    <row r="82" spans="2:13" ht="18">
      <c r="B82" s="15" t="s">
        <v>156</v>
      </c>
      <c r="C82" s="15"/>
      <c r="F82" s="6"/>
      <c r="L82" s="5"/>
      <c r="M82" s="3"/>
    </row>
    <row r="83" spans="2:13" ht="16">
      <c r="B83" s="16" t="s">
        <v>157</v>
      </c>
      <c r="C83" s="16"/>
      <c r="F83" s="6"/>
      <c r="L83" s="5"/>
      <c r="M83" s="3"/>
    </row>
    <row r="84" spans="2:13" ht="14">
      <c r="B84" s="17"/>
      <c r="C84" s="18" t="s">
        <v>158</v>
      </c>
      <c r="F84" s="6"/>
      <c r="L84" s="5"/>
      <c r="M84" s="3"/>
    </row>
    <row r="85" spans="2:13" ht="14">
      <c r="B85" s="19" t="s">
        <v>159</v>
      </c>
      <c r="C85" s="19" t="s">
        <v>160</v>
      </c>
      <c r="D85" s="19" t="s">
        <v>472</v>
      </c>
      <c r="E85" s="19" t="s">
        <v>327</v>
      </c>
      <c r="F85" s="19" t="s">
        <v>162</v>
      </c>
    </row>
    <row r="86" spans="2:13">
      <c r="B86" s="5" t="s">
        <v>224</v>
      </c>
      <c r="C86" s="5" t="s">
        <v>158</v>
      </c>
      <c r="D86" s="6" t="s">
        <v>172</v>
      </c>
      <c r="E86" s="6" t="s">
        <v>51</v>
      </c>
      <c r="F86" s="6" t="s">
        <v>328</v>
      </c>
    </row>
    <row r="87" spans="2:13">
      <c r="B87" s="5" t="s">
        <v>38</v>
      </c>
      <c r="C87" s="5" t="s">
        <v>158</v>
      </c>
      <c r="D87" s="6" t="s">
        <v>163</v>
      </c>
      <c r="E87" s="6" t="s">
        <v>44</v>
      </c>
      <c r="F87" s="6" t="s">
        <v>329</v>
      </c>
    </row>
    <row r="88" spans="2:13">
      <c r="B88" s="5" t="s">
        <v>209</v>
      </c>
      <c r="C88" s="5" t="s">
        <v>158</v>
      </c>
      <c r="D88" s="6" t="s">
        <v>169</v>
      </c>
      <c r="E88" s="6" t="s">
        <v>212</v>
      </c>
      <c r="F88" s="6" t="s">
        <v>330</v>
      </c>
    </row>
    <row r="90" spans="2:13" ht="16">
      <c r="B90" s="16" t="s">
        <v>171</v>
      </c>
      <c r="C90" s="16"/>
    </row>
    <row r="91" spans="2:13" ht="14">
      <c r="B91" s="17"/>
      <c r="C91" s="18" t="s">
        <v>158</v>
      </c>
    </row>
    <row r="92" spans="2:13" ht="14">
      <c r="B92" s="19" t="s">
        <v>159</v>
      </c>
      <c r="C92" s="19" t="s">
        <v>160</v>
      </c>
      <c r="D92" s="19" t="s">
        <v>472</v>
      </c>
      <c r="E92" s="19" t="s">
        <v>327</v>
      </c>
      <c r="F92" s="19" t="s">
        <v>162</v>
      </c>
    </row>
    <row r="93" spans="2:13">
      <c r="B93" s="5" t="s">
        <v>132</v>
      </c>
      <c r="C93" s="5" t="s">
        <v>158</v>
      </c>
      <c r="D93" s="6" t="s">
        <v>173</v>
      </c>
      <c r="E93" s="6" t="s">
        <v>69</v>
      </c>
      <c r="F93" s="6" t="s">
        <v>331</v>
      </c>
    </row>
    <row r="94" spans="2:13">
      <c r="B94" s="5" t="s">
        <v>313</v>
      </c>
      <c r="C94" s="5" t="s">
        <v>158</v>
      </c>
      <c r="D94" s="6" t="s">
        <v>332</v>
      </c>
      <c r="E94" s="6" t="s">
        <v>97</v>
      </c>
      <c r="F94" s="6" t="s">
        <v>333</v>
      </c>
    </row>
    <row r="95" spans="2:13">
      <c r="B95" s="5" t="s">
        <v>298</v>
      </c>
      <c r="C95" s="5" t="s">
        <v>158</v>
      </c>
      <c r="D95" s="6" t="s">
        <v>196</v>
      </c>
      <c r="E95" s="6" t="s">
        <v>152</v>
      </c>
      <c r="F95" s="6" t="s">
        <v>334</v>
      </c>
    </row>
  </sheetData>
  <mergeCells count="2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74:J74"/>
    <mergeCell ref="A77:J77"/>
    <mergeCell ref="B3:B4"/>
    <mergeCell ref="A31:J31"/>
    <mergeCell ref="A35:J35"/>
    <mergeCell ref="A41:J41"/>
    <mergeCell ref="A47:J47"/>
    <mergeCell ref="A59:J59"/>
    <mergeCell ref="A68:J68"/>
    <mergeCell ref="A8:J8"/>
    <mergeCell ref="A12:J12"/>
    <mergeCell ref="A17:J17"/>
    <mergeCell ref="A20:J20"/>
    <mergeCell ref="A25:J25"/>
    <mergeCell ref="A28:J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5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2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4.6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5.5" style="5" bestFit="1" customWidth="1"/>
    <col min="14" max="16384" width="9.1640625" style="3"/>
  </cols>
  <sheetData>
    <row r="1" spans="1:13" s="2" customFormat="1" ht="29.25" customHeight="1">
      <c r="A1" s="61" t="s">
        <v>484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s="2" customFormat="1" ht="62.25" customHeight="1" thickBot="1">
      <c r="A2" s="65"/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s="1" customFormat="1" ht="12.75" customHeight="1">
      <c r="A3" s="69" t="s">
        <v>494</v>
      </c>
      <c r="B3" s="55" t="s">
        <v>0</v>
      </c>
      <c r="C3" s="71" t="s">
        <v>499</v>
      </c>
      <c r="D3" s="71" t="s">
        <v>8</v>
      </c>
      <c r="E3" s="59" t="s">
        <v>500</v>
      </c>
      <c r="F3" s="59" t="s">
        <v>5</v>
      </c>
      <c r="G3" s="59" t="s">
        <v>10</v>
      </c>
      <c r="H3" s="59"/>
      <c r="I3" s="59"/>
      <c r="J3" s="59"/>
      <c r="K3" s="59" t="s">
        <v>335</v>
      </c>
      <c r="L3" s="59" t="s">
        <v>3</v>
      </c>
      <c r="M3" s="72" t="s">
        <v>2</v>
      </c>
    </row>
    <row r="4" spans="1:13" s="1" customFormat="1" ht="21" customHeight="1" thickBot="1">
      <c r="A4" s="70"/>
      <c r="B4" s="56"/>
      <c r="C4" s="60"/>
      <c r="D4" s="60"/>
      <c r="E4" s="60"/>
      <c r="F4" s="60"/>
      <c r="G4" s="4">
        <v>1</v>
      </c>
      <c r="H4" s="4">
        <v>2</v>
      </c>
      <c r="I4" s="4">
        <v>3</v>
      </c>
      <c r="J4" s="4" t="s">
        <v>4</v>
      </c>
      <c r="K4" s="60"/>
      <c r="L4" s="60"/>
      <c r="M4" s="73"/>
    </row>
    <row r="5" spans="1:13" ht="16">
      <c r="A5" s="57" t="s">
        <v>37</v>
      </c>
      <c r="B5" s="57"/>
      <c r="C5" s="58"/>
      <c r="D5" s="58"/>
      <c r="E5" s="58"/>
      <c r="F5" s="58"/>
      <c r="G5" s="58"/>
      <c r="H5" s="58"/>
      <c r="I5" s="58"/>
      <c r="J5" s="58"/>
    </row>
    <row r="6" spans="1:13">
      <c r="A6" s="8" t="s">
        <v>181</v>
      </c>
      <c r="B6" s="7" t="s">
        <v>339</v>
      </c>
      <c r="C6" s="7" t="s">
        <v>340</v>
      </c>
      <c r="D6" s="7" t="s">
        <v>341</v>
      </c>
      <c r="E6" s="7" t="s">
        <v>501</v>
      </c>
      <c r="F6" s="7" t="s">
        <v>16</v>
      </c>
      <c r="G6" s="20" t="s">
        <v>75</v>
      </c>
      <c r="H6" s="21" t="s">
        <v>81</v>
      </c>
      <c r="I6" s="21" t="s">
        <v>82</v>
      </c>
      <c r="J6" s="8"/>
      <c r="K6" s="8" t="str">
        <f>"180,0"</f>
        <v>180,0</v>
      </c>
      <c r="L6" s="28" t="str">
        <f>"128,9880"</f>
        <v>128,9880</v>
      </c>
      <c r="M6" s="7" t="s">
        <v>498</v>
      </c>
    </row>
    <row r="7" spans="1:13">
      <c r="A7" s="10" t="s">
        <v>182</v>
      </c>
      <c r="B7" s="9" t="s">
        <v>243</v>
      </c>
      <c r="C7" s="9" t="s">
        <v>244</v>
      </c>
      <c r="D7" s="9" t="s">
        <v>245</v>
      </c>
      <c r="E7" s="9" t="s">
        <v>501</v>
      </c>
      <c r="F7" s="9" t="s">
        <v>246</v>
      </c>
      <c r="G7" s="22" t="s">
        <v>43</v>
      </c>
      <c r="H7" s="23" t="s">
        <v>267</v>
      </c>
      <c r="I7" s="23" t="s">
        <v>45</v>
      </c>
      <c r="J7" s="10"/>
      <c r="K7" s="10" t="str">
        <f>"150,0"</f>
        <v>150,0</v>
      </c>
      <c r="L7" s="30" t="str">
        <f>"107,3850"</f>
        <v>107,3850</v>
      </c>
      <c r="M7" s="9" t="s">
        <v>498</v>
      </c>
    </row>
    <row r="8" spans="1:13">
      <c r="B8" s="5" t="s">
        <v>183</v>
      </c>
    </row>
    <row r="9" spans="1:13" ht="16">
      <c r="A9" s="54" t="s">
        <v>121</v>
      </c>
      <c r="B9" s="54"/>
      <c r="C9" s="54"/>
      <c r="D9" s="54"/>
      <c r="E9" s="54"/>
      <c r="F9" s="54"/>
      <c r="G9" s="54"/>
      <c r="H9" s="54"/>
      <c r="I9" s="54"/>
      <c r="J9" s="54"/>
    </row>
    <row r="10" spans="1:13">
      <c r="A10" s="14" t="s">
        <v>181</v>
      </c>
      <c r="B10" s="13" t="s">
        <v>342</v>
      </c>
      <c r="C10" s="13" t="s">
        <v>343</v>
      </c>
      <c r="D10" s="13" t="s">
        <v>344</v>
      </c>
      <c r="E10" s="13" t="s">
        <v>501</v>
      </c>
      <c r="F10" s="13" t="s">
        <v>65</v>
      </c>
      <c r="G10" s="26" t="s">
        <v>69</v>
      </c>
      <c r="H10" s="26" t="s">
        <v>70</v>
      </c>
      <c r="I10" s="27" t="s">
        <v>71</v>
      </c>
      <c r="J10" s="14"/>
      <c r="K10" s="14" t="str">
        <f>"230,0"</f>
        <v>230,0</v>
      </c>
      <c r="L10" s="14" t="str">
        <f>"142,9910"</f>
        <v>142,9910</v>
      </c>
      <c r="M10" s="13" t="s">
        <v>498</v>
      </c>
    </row>
    <row r="11" spans="1:13">
      <c r="B11" s="5" t="s">
        <v>183</v>
      </c>
    </row>
    <row r="12" spans="1:13">
      <c r="B12" s="5" t="s">
        <v>183</v>
      </c>
    </row>
    <row r="13" spans="1:13">
      <c r="B13" s="5" t="s">
        <v>183</v>
      </c>
    </row>
    <row r="14" spans="1:13">
      <c r="B14" s="5" t="s">
        <v>183</v>
      </c>
    </row>
    <row r="15" spans="1:13">
      <c r="B15" s="5" t="s">
        <v>183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9:J9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2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6.3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0.8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5.5" style="5" bestFit="1" customWidth="1"/>
    <col min="14" max="16384" width="9.1640625" style="3"/>
  </cols>
  <sheetData>
    <row r="1" spans="1:13" s="2" customFormat="1" ht="29.25" customHeight="1">
      <c r="A1" s="61" t="s">
        <v>485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s="2" customFormat="1" ht="62.25" customHeight="1" thickBot="1">
      <c r="A2" s="65"/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s="1" customFormat="1" ht="12.75" customHeight="1">
      <c r="A3" s="69" t="s">
        <v>494</v>
      </c>
      <c r="B3" s="55" t="s">
        <v>0</v>
      </c>
      <c r="C3" s="71" t="s">
        <v>499</v>
      </c>
      <c r="D3" s="71" t="s">
        <v>8</v>
      </c>
      <c r="E3" s="59" t="s">
        <v>500</v>
      </c>
      <c r="F3" s="59" t="s">
        <v>5</v>
      </c>
      <c r="G3" s="59" t="s">
        <v>10</v>
      </c>
      <c r="H3" s="59"/>
      <c r="I3" s="59"/>
      <c r="J3" s="59"/>
      <c r="K3" s="59" t="s">
        <v>335</v>
      </c>
      <c r="L3" s="59" t="s">
        <v>3</v>
      </c>
      <c r="M3" s="72" t="s">
        <v>2</v>
      </c>
    </row>
    <row r="4" spans="1:13" s="1" customFormat="1" ht="21" customHeight="1" thickBot="1">
      <c r="A4" s="70"/>
      <c r="B4" s="56"/>
      <c r="C4" s="60"/>
      <c r="D4" s="60"/>
      <c r="E4" s="60"/>
      <c r="F4" s="60"/>
      <c r="G4" s="4">
        <v>1</v>
      </c>
      <c r="H4" s="4">
        <v>2</v>
      </c>
      <c r="I4" s="4">
        <v>3</v>
      </c>
      <c r="J4" s="4" t="s">
        <v>4</v>
      </c>
      <c r="K4" s="60"/>
      <c r="L4" s="60"/>
      <c r="M4" s="73"/>
    </row>
    <row r="5" spans="1:13" ht="16">
      <c r="A5" s="57" t="s">
        <v>121</v>
      </c>
      <c r="B5" s="57"/>
      <c r="C5" s="58"/>
      <c r="D5" s="58"/>
      <c r="E5" s="58"/>
      <c r="F5" s="58"/>
      <c r="G5" s="58"/>
      <c r="H5" s="58"/>
      <c r="I5" s="58"/>
      <c r="J5" s="58"/>
    </row>
    <row r="6" spans="1:13">
      <c r="A6" s="14" t="s">
        <v>181</v>
      </c>
      <c r="B6" s="13" t="s">
        <v>345</v>
      </c>
      <c r="C6" s="13" t="s">
        <v>461</v>
      </c>
      <c r="D6" s="13" t="s">
        <v>346</v>
      </c>
      <c r="E6" s="13" t="s">
        <v>502</v>
      </c>
      <c r="F6" s="13" t="s">
        <v>16</v>
      </c>
      <c r="G6" s="26" t="s">
        <v>137</v>
      </c>
      <c r="H6" s="26" t="s">
        <v>347</v>
      </c>
      <c r="I6" s="27" t="s">
        <v>139</v>
      </c>
      <c r="J6" s="14"/>
      <c r="K6" s="14" t="str">
        <f>"315,0"</f>
        <v>315,0</v>
      </c>
      <c r="L6" s="14" t="str">
        <f>"204,9812"</f>
        <v>204,9812</v>
      </c>
      <c r="M6" s="13" t="s">
        <v>498</v>
      </c>
    </row>
    <row r="7" spans="1:13">
      <c r="B7" s="5" t="s">
        <v>183</v>
      </c>
    </row>
    <row r="8" spans="1:13">
      <c r="B8" s="5" t="s">
        <v>183</v>
      </c>
    </row>
    <row r="9" spans="1:13">
      <c r="B9" s="5" t="s">
        <v>183</v>
      </c>
    </row>
    <row r="10" spans="1:13">
      <c r="B10" s="5" t="s">
        <v>183</v>
      </c>
    </row>
    <row r="11" spans="1:13">
      <c r="B11" s="5" t="s">
        <v>183</v>
      </c>
    </row>
    <row r="12" spans="1:13">
      <c r="B12" s="5" t="s">
        <v>183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5"/>
  <sheetViews>
    <sheetView topLeftCell="A15" workbookViewId="0">
      <selection activeCell="E38" sqref="E38"/>
    </sheetView>
  </sheetViews>
  <sheetFormatPr baseColWidth="10" defaultColWidth="9.1640625" defaultRowHeight="13"/>
  <cols>
    <col min="1" max="1" width="7.5" style="5" bestFit="1" customWidth="1"/>
    <col min="2" max="2" width="21.6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7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9.1640625" style="5" bestFit="1" customWidth="1"/>
    <col min="14" max="16384" width="9.1640625" style="3"/>
  </cols>
  <sheetData>
    <row r="1" spans="1:13" s="2" customFormat="1" ht="29.25" customHeight="1">
      <c r="A1" s="61" t="s">
        <v>486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s="2" customFormat="1" ht="62.25" customHeight="1" thickBot="1">
      <c r="A2" s="65"/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s="1" customFormat="1" ht="12.75" customHeight="1">
      <c r="A3" s="69" t="s">
        <v>494</v>
      </c>
      <c r="B3" s="55" t="s">
        <v>0</v>
      </c>
      <c r="C3" s="71" t="s">
        <v>499</v>
      </c>
      <c r="D3" s="71" t="s">
        <v>8</v>
      </c>
      <c r="E3" s="59" t="s">
        <v>500</v>
      </c>
      <c r="F3" s="59" t="s">
        <v>5</v>
      </c>
      <c r="G3" s="59" t="s">
        <v>11</v>
      </c>
      <c r="H3" s="59"/>
      <c r="I3" s="59"/>
      <c r="J3" s="59"/>
      <c r="K3" s="59" t="s">
        <v>335</v>
      </c>
      <c r="L3" s="59" t="s">
        <v>3</v>
      </c>
      <c r="M3" s="72" t="s">
        <v>2</v>
      </c>
    </row>
    <row r="4" spans="1:13" s="1" customFormat="1" ht="21" customHeight="1" thickBot="1">
      <c r="A4" s="70"/>
      <c r="B4" s="56"/>
      <c r="C4" s="60"/>
      <c r="D4" s="60"/>
      <c r="E4" s="60"/>
      <c r="F4" s="60"/>
      <c r="G4" s="4">
        <v>1</v>
      </c>
      <c r="H4" s="4">
        <v>2</v>
      </c>
      <c r="I4" s="4">
        <v>3</v>
      </c>
      <c r="J4" s="4" t="s">
        <v>4</v>
      </c>
      <c r="K4" s="60"/>
      <c r="L4" s="60"/>
      <c r="M4" s="73"/>
    </row>
    <row r="5" spans="1:13" ht="16">
      <c r="A5" s="57" t="s">
        <v>32</v>
      </c>
      <c r="B5" s="57"/>
      <c r="C5" s="58"/>
      <c r="D5" s="58"/>
      <c r="E5" s="58"/>
      <c r="F5" s="58"/>
      <c r="G5" s="58"/>
      <c r="H5" s="58"/>
      <c r="I5" s="58"/>
      <c r="J5" s="58"/>
    </row>
    <row r="6" spans="1:13">
      <c r="A6" s="14" t="s">
        <v>181</v>
      </c>
      <c r="B6" s="13" t="s">
        <v>348</v>
      </c>
      <c r="C6" s="13" t="s">
        <v>349</v>
      </c>
      <c r="D6" s="13" t="s">
        <v>350</v>
      </c>
      <c r="E6" s="13" t="s">
        <v>501</v>
      </c>
      <c r="F6" s="13" t="s">
        <v>16</v>
      </c>
      <c r="G6" s="26" t="s">
        <v>23</v>
      </c>
      <c r="H6" s="26" t="s">
        <v>24</v>
      </c>
      <c r="I6" s="26" t="s">
        <v>92</v>
      </c>
      <c r="J6" s="14"/>
      <c r="K6" s="14" t="str">
        <f>"115,0"</f>
        <v>115,0</v>
      </c>
      <c r="L6" s="14" t="str">
        <f>"136,8500"</f>
        <v>136,8500</v>
      </c>
      <c r="M6" s="13" t="s">
        <v>474</v>
      </c>
    </row>
    <row r="7" spans="1:13">
      <c r="B7" s="5" t="s">
        <v>183</v>
      </c>
    </row>
    <row r="8" spans="1:13" ht="16">
      <c r="A8" s="54" t="s">
        <v>218</v>
      </c>
      <c r="B8" s="54"/>
      <c r="C8" s="54"/>
      <c r="D8" s="54"/>
      <c r="E8" s="54"/>
      <c r="F8" s="54"/>
      <c r="G8" s="54"/>
      <c r="H8" s="54"/>
      <c r="I8" s="54"/>
      <c r="J8" s="54"/>
    </row>
    <row r="9" spans="1:13">
      <c r="A9" s="8" t="s">
        <v>181</v>
      </c>
      <c r="B9" s="7" t="s">
        <v>351</v>
      </c>
      <c r="C9" s="7" t="s">
        <v>352</v>
      </c>
      <c r="D9" s="7" t="s">
        <v>353</v>
      </c>
      <c r="E9" s="7" t="s">
        <v>503</v>
      </c>
      <c r="F9" s="7" t="s">
        <v>445</v>
      </c>
      <c r="G9" s="21" t="s">
        <v>117</v>
      </c>
      <c r="H9" s="20" t="s">
        <v>117</v>
      </c>
      <c r="I9" s="21" t="s">
        <v>92</v>
      </c>
      <c r="J9" s="8"/>
      <c r="K9" s="8" t="str">
        <f>"105,0"</f>
        <v>105,0</v>
      </c>
      <c r="L9" s="8" t="str">
        <f>"117,5160"</f>
        <v>117,5160</v>
      </c>
      <c r="M9" s="7" t="s">
        <v>475</v>
      </c>
    </row>
    <row r="10" spans="1:13">
      <c r="A10" s="10" t="s">
        <v>181</v>
      </c>
      <c r="B10" s="9" t="s">
        <v>354</v>
      </c>
      <c r="C10" s="9" t="s">
        <v>355</v>
      </c>
      <c r="D10" s="9" t="s">
        <v>356</v>
      </c>
      <c r="E10" s="9" t="s">
        <v>501</v>
      </c>
      <c r="F10" s="9" t="s">
        <v>445</v>
      </c>
      <c r="G10" s="22" t="s">
        <v>19</v>
      </c>
      <c r="H10" s="22" t="s">
        <v>31</v>
      </c>
      <c r="I10" s="22" t="s">
        <v>44</v>
      </c>
      <c r="J10" s="10"/>
      <c r="K10" s="10" t="str">
        <f>"95,0"</f>
        <v>95,0</v>
      </c>
      <c r="L10" s="10" t="str">
        <f>"108,0245"</f>
        <v>108,0245</v>
      </c>
      <c r="M10" s="9" t="s">
        <v>498</v>
      </c>
    </row>
    <row r="11" spans="1:13">
      <c r="B11" s="5" t="s">
        <v>183</v>
      </c>
    </row>
    <row r="12" spans="1:13" ht="16">
      <c r="A12" s="54" t="s">
        <v>37</v>
      </c>
      <c r="B12" s="54"/>
      <c r="C12" s="54"/>
      <c r="D12" s="54"/>
      <c r="E12" s="54"/>
      <c r="F12" s="54"/>
      <c r="G12" s="54"/>
      <c r="H12" s="54"/>
      <c r="I12" s="54"/>
      <c r="J12" s="54"/>
    </row>
    <row r="13" spans="1:13">
      <c r="A13" s="14" t="s">
        <v>181</v>
      </c>
      <c r="B13" s="13" t="s">
        <v>222</v>
      </c>
      <c r="C13" s="13" t="s">
        <v>223</v>
      </c>
      <c r="D13" s="13" t="s">
        <v>80</v>
      </c>
      <c r="E13" s="13" t="s">
        <v>501</v>
      </c>
      <c r="F13" s="13" t="s">
        <v>445</v>
      </c>
      <c r="G13" s="26" t="s">
        <v>31</v>
      </c>
      <c r="H13" s="27" t="s">
        <v>23</v>
      </c>
      <c r="I13" s="27" t="s">
        <v>23</v>
      </c>
      <c r="J13" s="14"/>
      <c r="K13" s="14" t="str">
        <f>"90,0"</f>
        <v>90,0</v>
      </c>
      <c r="L13" s="14" t="str">
        <f>"86,2830"</f>
        <v>86,2830</v>
      </c>
      <c r="M13" s="13" t="s">
        <v>476</v>
      </c>
    </row>
    <row r="14" spans="1:13">
      <c r="B14" s="5" t="s">
        <v>183</v>
      </c>
    </row>
    <row r="15" spans="1:13" ht="16">
      <c r="A15" s="54" t="s">
        <v>230</v>
      </c>
      <c r="B15" s="54"/>
      <c r="C15" s="54"/>
      <c r="D15" s="54"/>
      <c r="E15" s="54"/>
      <c r="F15" s="54"/>
      <c r="G15" s="54"/>
      <c r="H15" s="54"/>
      <c r="I15" s="54"/>
      <c r="J15" s="54"/>
    </row>
    <row r="16" spans="1:13">
      <c r="A16" s="14" t="s">
        <v>181</v>
      </c>
      <c r="B16" s="13" t="s">
        <v>357</v>
      </c>
      <c r="C16" s="13" t="s">
        <v>358</v>
      </c>
      <c r="D16" s="13" t="s">
        <v>359</v>
      </c>
      <c r="E16" s="13" t="s">
        <v>501</v>
      </c>
      <c r="F16" s="13" t="s">
        <v>445</v>
      </c>
      <c r="G16" s="26" t="s">
        <v>23</v>
      </c>
      <c r="H16" s="26" t="s">
        <v>41</v>
      </c>
      <c r="I16" s="26" t="s">
        <v>51</v>
      </c>
      <c r="J16" s="14"/>
      <c r="K16" s="14" t="str">
        <f>"130,0"</f>
        <v>130,0</v>
      </c>
      <c r="L16" s="14" t="str">
        <f>"107,0550"</f>
        <v>107,0550</v>
      </c>
      <c r="M16" s="13" t="s">
        <v>498</v>
      </c>
    </row>
    <row r="17" spans="1:13">
      <c r="B17" s="5" t="s">
        <v>183</v>
      </c>
    </row>
    <row r="18" spans="1:13" ht="16">
      <c r="A18" s="54" t="s">
        <v>37</v>
      </c>
      <c r="B18" s="54"/>
      <c r="C18" s="54"/>
      <c r="D18" s="54"/>
      <c r="E18" s="54"/>
      <c r="F18" s="54"/>
      <c r="G18" s="54"/>
      <c r="H18" s="54"/>
      <c r="I18" s="54"/>
      <c r="J18" s="54"/>
    </row>
    <row r="19" spans="1:13">
      <c r="A19" s="8" t="s">
        <v>181</v>
      </c>
      <c r="B19" s="7" t="s">
        <v>62</v>
      </c>
      <c r="C19" s="7" t="s">
        <v>63</v>
      </c>
      <c r="D19" s="7" t="s">
        <v>64</v>
      </c>
      <c r="E19" s="7" t="s">
        <v>501</v>
      </c>
      <c r="F19" s="7" t="s">
        <v>65</v>
      </c>
      <c r="G19" s="20" t="s">
        <v>69</v>
      </c>
      <c r="H19" s="20" t="s">
        <v>70</v>
      </c>
      <c r="I19" s="21" t="s">
        <v>71</v>
      </c>
      <c r="J19" s="8"/>
      <c r="K19" s="8" t="str">
        <f>"230,0"</f>
        <v>230,0</v>
      </c>
      <c r="L19" s="8" t="str">
        <f>"169,2800"</f>
        <v>169,2800</v>
      </c>
      <c r="M19" s="7" t="s">
        <v>440</v>
      </c>
    </row>
    <row r="20" spans="1:13">
      <c r="A20" s="10" t="s">
        <v>182</v>
      </c>
      <c r="B20" s="9" t="s">
        <v>360</v>
      </c>
      <c r="C20" s="9" t="s">
        <v>361</v>
      </c>
      <c r="D20" s="9" t="s">
        <v>362</v>
      </c>
      <c r="E20" s="9" t="s">
        <v>501</v>
      </c>
      <c r="F20" s="9" t="s">
        <v>363</v>
      </c>
      <c r="G20" s="22" t="s">
        <v>97</v>
      </c>
      <c r="H20" s="22" t="s">
        <v>82</v>
      </c>
      <c r="I20" s="23" t="s">
        <v>69</v>
      </c>
      <c r="J20" s="10"/>
      <c r="K20" s="10" t="str">
        <f>"210,0"</f>
        <v>210,0</v>
      </c>
      <c r="L20" s="10" t="str">
        <f>"155,5260"</f>
        <v>155,5260</v>
      </c>
      <c r="M20" s="9" t="s">
        <v>498</v>
      </c>
    </row>
    <row r="21" spans="1:13">
      <c r="B21" s="5" t="s">
        <v>183</v>
      </c>
    </row>
    <row r="22" spans="1:13" ht="16">
      <c r="A22" s="54" t="s">
        <v>83</v>
      </c>
      <c r="B22" s="54"/>
      <c r="C22" s="54"/>
      <c r="D22" s="54"/>
      <c r="E22" s="54"/>
      <c r="F22" s="54"/>
      <c r="G22" s="54"/>
      <c r="H22" s="54"/>
      <c r="I22" s="54"/>
      <c r="J22" s="54"/>
    </row>
    <row r="23" spans="1:13">
      <c r="A23" s="8" t="s">
        <v>181</v>
      </c>
      <c r="B23" s="7" t="s">
        <v>88</v>
      </c>
      <c r="C23" s="7" t="s">
        <v>89</v>
      </c>
      <c r="D23" s="7" t="s">
        <v>90</v>
      </c>
      <c r="E23" s="7" t="s">
        <v>503</v>
      </c>
      <c r="F23" s="7" t="s">
        <v>445</v>
      </c>
      <c r="G23" s="20" t="s">
        <v>23</v>
      </c>
      <c r="H23" s="20" t="s">
        <v>92</v>
      </c>
      <c r="I23" s="20" t="s">
        <v>51</v>
      </c>
      <c r="J23" s="8"/>
      <c r="K23" s="8" t="str">
        <f>"130,0"</f>
        <v>130,0</v>
      </c>
      <c r="L23" s="8" t="str">
        <f>"90,5970"</f>
        <v>90,5970</v>
      </c>
      <c r="M23" s="7" t="s">
        <v>426</v>
      </c>
    </row>
    <row r="24" spans="1:13">
      <c r="A24" s="10" t="s">
        <v>181</v>
      </c>
      <c r="B24" s="9" t="s">
        <v>364</v>
      </c>
      <c r="C24" s="9" t="s">
        <v>462</v>
      </c>
      <c r="D24" s="9" t="s">
        <v>365</v>
      </c>
      <c r="E24" s="9" t="s">
        <v>509</v>
      </c>
      <c r="F24" s="9" t="s">
        <v>16</v>
      </c>
      <c r="G24" s="22" t="s">
        <v>46</v>
      </c>
      <c r="H24" s="22" t="s">
        <v>75</v>
      </c>
      <c r="I24" s="22" t="s">
        <v>81</v>
      </c>
      <c r="J24" s="10"/>
      <c r="K24" s="10" t="str">
        <f>"190,0"</f>
        <v>190,0</v>
      </c>
      <c r="L24" s="10" t="str">
        <f>"166,8085"</f>
        <v>166,8085</v>
      </c>
      <c r="M24" s="9" t="s">
        <v>423</v>
      </c>
    </row>
    <row r="25" spans="1:13">
      <c r="B25" s="5" t="s">
        <v>183</v>
      </c>
    </row>
    <row r="26" spans="1:13" ht="16">
      <c r="A26" s="54" t="s">
        <v>121</v>
      </c>
      <c r="B26" s="54"/>
      <c r="C26" s="54"/>
      <c r="D26" s="54"/>
      <c r="E26" s="54"/>
      <c r="F26" s="54"/>
      <c r="G26" s="54"/>
      <c r="H26" s="54"/>
      <c r="I26" s="54"/>
      <c r="J26" s="54"/>
    </row>
    <row r="27" spans="1:13">
      <c r="A27" s="8" t="s">
        <v>181</v>
      </c>
      <c r="B27" s="7" t="s">
        <v>298</v>
      </c>
      <c r="C27" s="7" t="s">
        <v>299</v>
      </c>
      <c r="D27" s="7" t="s">
        <v>300</v>
      </c>
      <c r="E27" s="7" t="s">
        <v>501</v>
      </c>
      <c r="F27" s="7" t="s">
        <v>270</v>
      </c>
      <c r="G27" s="21" t="s">
        <v>135</v>
      </c>
      <c r="H27" s="20" t="s">
        <v>135</v>
      </c>
      <c r="I27" s="20" t="s">
        <v>136</v>
      </c>
      <c r="J27" s="8"/>
      <c r="K27" s="8" t="str">
        <f>"290,0"</f>
        <v>290,0</v>
      </c>
      <c r="L27" s="28" t="str">
        <f>"181,3660"</f>
        <v>181,3660</v>
      </c>
      <c r="M27" s="7" t="s">
        <v>498</v>
      </c>
    </row>
    <row r="28" spans="1:13">
      <c r="A28" s="12" t="s">
        <v>182</v>
      </c>
      <c r="B28" s="11" t="s">
        <v>190</v>
      </c>
      <c r="C28" s="11" t="s">
        <v>191</v>
      </c>
      <c r="D28" s="11" t="s">
        <v>192</v>
      </c>
      <c r="E28" s="11" t="s">
        <v>501</v>
      </c>
      <c r="F28" s="11" t="s">
        <v>193</v>
      </c>
      <c r="G28" s="24" t="s">
        <v>194</v>
      </c>
      <c r="H28" s="25" t="s">
        <v>155</v>
      </c>
      <c r="I28" s="25" t="s">
        <v>155</v>
      </c>
      <c r="J28" s="12"/>
      <c r="K28" s="12" t="str">
        <f>"285,0"</f>
        <v>285,0</v>
      </c>
      <c r="L28" s="51" t="str">
        <f>"174,0780"</f>
        <v>174,0780</v>
      </c>
      <c r="M28" s="11" t="s">
        <v>195</v>
      </c>
    </row>
    <row r="29" spans="1:13">
      <c r="A29" s="10" t="s">
        <v>184</v>
      </c>
      <c r="B29" s="9" t="s">
        <v>366</v>
      </c>
      <c r="C29" s="9" t="s">
        <v>367</v>
      </c>
      <c r="D29" s="9" t="s">
        <v>368</v>
      </c>
      <c r="E29" s="9" t="s">
        <v>501</v>
      </c>
      <c r="F29" s="9" t="s">
        <v>16</v>
      </c>
      <c r="G29" s="22" t="s">
        <v>76</v>
      </c>
      <c r="H29" s="22" t="s">
        <v>77</v>
      </c>
      <c r="I29" s="23" t="s">
        <v>98</v>
      </c>
      <c r="J29" s="10"/>
      <c r="K29" s="10" t="str">
        <f>"205,0"</f>
        <v>205,0</v>
      </c>
      <c r="L29" s="30" t="str">
        <f>"125,4805"</f>
        <v>125,4805</v>
      </c>
      <c r="M29" s="9" t="s">
        <v>427</v>
      </c>
    </row>
    <row r="30" spans="1:13">
      <c r="B30" s="5" t="s">
        <v>183</v>
      </c>
    </row>
    <row r="31" spans="1:13" ht="16">
      <c r="A31" s="54" t="s">
        <v>125</v>
      </c>
      <c r="B31" s="54"/>
      <c r="C31" s="54"/>
      <c r="D31" s="54"/>
      <c r="E31" s="54"/>
      <c r="F31" s="54"/>
      <c r="G31" s="54"/>
      <c r="H31" s="54"/>
      <c r="I31" s="54"/>
      <c r="J31" s="54"/>
    </row>
    <row r="32" spans="1:13">
      <c r="A32" s="14" t="s">
        <v>181</v>
      </c>
      <c r="B32" s="13" t="s">
        <v>369</v>
      </c>
      <c r="C32" s="13" t="s">
        <v>370</v>
      </c>
      <c r="D32" s="13" t="s">
        <v>371</v>
      </c>
      <c r="E32" s="13" t="s">
        <v>501</v>
      </c>
      <c r="F32" s="13" t="s">
        <v>16</v>
      </c>
      <c r="G32" s="27" t="s">
        <v>97</v>
      </c>
      <c r="H32" s="26" t="s">
        <v>69</v>
      </c>
      <c r="I32" s="26" t="s">
        <v>129</v>
      </c>
      <c r="J32" s="14"/>
      <c r="K32" s="14" t="str">
        <f>"250,0"</f>
        <v>250,0</v>
      </c>
      <c r="L32" s="14" t="str">
        <f>"151,2000"</f>
        <v>151,2000</v>
      </c>
      <c r="M32" s="13" t="s">
        <v>498</v>
      </c>
    </row>
    <row r="33" spans="1:13">
      <c r="B33" s="5" t="s">
        <v>183</v>
      </c>
    </row>
    <row r="34" spans="1:13" ht="16">
      <c r="A34" s="54" t="s">
        <v>131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3">
      <c r="A35" s="8" t="s">
        <v>181</v>
      </c>
      <c r="B35" s="7" t="s">
        <v>132</v>
      </c>
      <c r="C35" s="7" t="s">
        <v>133</v>
      </c>
      <c r="D35" s="7" t="s">
        <v>134</v>
      </c>
      <c r="E35" s="7" t="s">
        <v>501</v>
      </c>
      <c r="F35" s="7" t="s">
        <v>16</v>
      </c>
      <c r="G35" s="20" t="s">
        <v>137</v>
      </c>
      <c r="H35" s="20" t="s">
        <v>138</v>
      </c>
      <c r="I35" s="20" t="s">
        <v>139</v>
      </c>
      <c r="J35" s="8"/>
      <c r="K35" s="8" t="str">
        <f>"330,0"</f>
        <v>330,0</v>
      </c>
      <c r="L35" s="28" t="str">
        <f>"190,4760"</f>
        <v>190,4760</v>
      </c>
      <c r="M35" s="7" t="s">
        <v>498</v>
      </c>
    </row>
    <row r="36" spans="1:13">
      <c r="A36" s="12" t="s">
        <v>182</v>
      </c>
      <c r="B36" s="11" t="s">
        <v>140</v>
      </c>
      <c r="C36" s="11" t="s">
        <v>141</v>
      </c>
      <c r="D36" s="11" t="s">
        <v>142</v>
      </c>
      <c r="E36" s="11" t="s">
        <v>501</v>
      </c>
      <c r="F36" s="11" t="s">
        <v>16</v>
      </c>
      <c r="G36" s="24" t="s">
        <v>129</v>
      </c>
      <c r="H36" s="24" t="s">
        <v>130</v>
      </c>
      <c r="I36" s="24" t="s">
        <v>143</v>
      </c>
      <c r="J36" s="12"/>
      <c r="K36" s="12" t="str">
        <f>"265,0"</f>
        <v>265,0</v>
      </c>
      <c r="L36" s="51" t="str">
        <f>"153,9120"</f>
        <v>153,9120</v>
      </c>
      <c r="M36" s="11" t="s">
        <v>498</v>
      </c>
    </row>
    <row r="37" spans="1:13">
      <c r="A37" s="10" t="s">
        <v>184</v>
      </c>
      <c r="B37" s="9" t="s">
        <v>372</v>
      </c>
      <c r="C37" s="9" t="s">
        <v>373</v>
      </c>
      <c r="D37" s="9" t="s">
        <v>374</v>
      </c>
      <c r="E37" s="9" t="s">
        <v>501</v>
      </c>
      <c r="F37" s="9" t="s">
        <v>193</v>
      </c>
      <c r="G37" s="22" t="s">
        <v>71</v>
      </c>
      <c r="H37" s="22" t="s">
        <v>129</v>
      </c>
      <c r="I37" s="23" t="s">
        <v>130</v>
      </c>
      <c r="J37" s="10"/>
      <c r="K37" s="10" t="str">
        <f>"250,0"</f>
        <v>250,0</v>
      </c>
      <c r="L37" s="30" t="str">
        <f>"142,6250"</f>
        <v>142,6250</v>
      </c>
      <c r="M37" s="9" t="s">
        <v>498</v>
      </c>
    </row>
    <row r="38" spans="1:13">
      <c r="B38" s="5" t="s">
        <v>183</v>
      </c>
    </row>
    <row r="39" spans="1:13">
      <c r="B39" s="5" t="s">
        <v>183</v>
      </c>
    </row>
    <row r="40" spans="1:13">
      <c r="B40" s="5" t="s">
        <v>183</v>
      </c>
    </row>
    <row r="41" spans="1:13" ht="18">
      <c r="B41" s="15" t="s">
        <v>156</v>
      </c>
      <c r="C41" s="15"/>
      <c r="F41" s="6"/>
      <c r="L41" s="5"/>
      <c r="M41" s="3"/>
    </row>
    <row r="42" spans="1:13" ht="16">
      <c r="B42" s="16" t="s">
        <v>157</v>
      </c>
      <c r="C42" s="16"/>
      <c r="F42" s="6"/>
      <c r="L42" s="5"/>
      <c r="M42" s="3"/>
    </row>
    <row r="43" spans="1:13" ht="14">
      <c r="B43" s="17"/>
      <c r="C43" s="18" t="s">
        <v>158</v>
      </c>
      <c r="F43" s="6"/>
      <c r="L43" s="5"/>
      <c r="M43" s="3"/>
    </row>
    <row r="44" spans="1:13" ht="14">
      <c r="B44" s="19" t="s">
        <v>159</v>
      </c>
      <c r="C44" s="19" t="s">
        <v>160</v>
      </c>
      <c r="D44" s="19" t="s">
        <v>443</v>
      </c>
      <c r="E44" s="19" t="s">
        <v>327</v>
      </c>
      <c r="F44" s="19" t="s">
        <v>162</v>
      </c>
    </row>
    <row r="45" spans="1:13">
      <c r="B45" s="5" t="s">
        <v>348</v>
      </c>
      <c r="C45" s="5" t="s">
        <v>158</v>
      </c>
      <c r="D45" s="6" t="s">
        <v>169</v>
      </c>
      <c r="E45" s="6" t="s">
        <v>92</v>
      </c>
      <c r="F45" s="6" t="s">
        <v>376</v>
      </c>
    </row>
    <row r="46" spans="1:13">
      <c r="B46" s="5" t="s">
        <v>354</v>
      </c>
      <c r="C46" s="5" t="s">
        <v>158</v>
      </c>
      <c r="D46" s="6" t="s">
        <v>375</v>
      </c>
      <c r="E46" s="6" t="s">
        <v>44</v>
      </c>
      <c r="F46" s="6" t="s">
        <v>377</v>
      </c>
    </row>
    <row r="47" spans="1:13">
      <c r="B47" s="5" t="s">
        <v>222</v>
      </c>
      <c r="C47" s="5" t="s">
        <v>158</v>
      </c>
      <c r="D47" s="6" t="s">
        <v>163</v>
      </c>
      <c r="E47" s="6" t="s">
        <v>31</v>
      </c>
      <c r="F47" s="6" t="s">
        <v>378</v>
      </c>
    </row>
    <row r="49" spans="2:14" ht="16">
      <c r="B49" s="16" t="s">
        <v>171</v>
      </c>
      <c r="C49" s="16"/>
    </row>
    <row r="50" spans="2:14" ht="14">
      <c r="B50" s="17"/>
      <c r="C50" s="18" t="s">
        <v>158</v>
      </c>
    </row>
    <row r="51" spans="2:14" ht="14">
      <c r="B51" s="19" t="s">
        <v>159</v>
      </c>
      <c r="C51" s="19" t="s">
        <v>160</v>
      </c>
      <c r="D51" s="19" t="s">
        <v>443</v>
      </c>
      <c r="E51" s="19" t="s">
        <v>327</v>
      </c>
      <c r="F51" s="19" t="s">
        <v>162</v>
      </c>
    </row>
    <row r="52" spans="2:14">
      <c r="B52" s="5" t="s">
        <v>132</v>
      </c>
      <c r="C52" s="5" t="s">
        <v>158</v>
      </c>
      <c r="D52" s="6" t="s">
        <v>173</v>
      </c>
      <c r="E52" s="6" t="s">
        <v>139</v>
      </c>
      <c r="F52" s="6" t="s">
        <v>379</v>
      </c>
    </row>
    <row r="53" spans="2:14">
      <c r="B53" s="5" t="s">
        <v>298</v>
      </c>
      <c r="C53" s="5" t="s">
        <v>158</v>
      </c>
      <c r="D53" s="6" t="s">
        <v>196</v>
      </c>
      <c r="E53" s="6" t="s">
        <v>136</v>
      </c>
      <c r="F53" s="6" t="s">
        <v>380</v>
      </c>
    </row>
    <row r="54" spans="2:14">
      <c r="B54" s="5" t="s">
        <v>190</v>
      </c>
      <c r="C54" s="5" t="s">
        <v>158</v>
      </c>
      <c r="D54" s="6" t="s">
        <v>196</v>
      </c>
      <c r="E54" s="6" t="s">
        <v>194</v>
      </c>
      <c r="F54" s="6" t="s">
        <v>381</v>
      </c>
    </row>
    <row r="55" spans="2:14">
      <c r="B55" s="5" t="s">
        <v>183</v>
      </c>
      <c r="G55" s="5"/>
      <c r="M55" s="6"/>
      <c r="N55" s="5"/>
    </row>
  </sheetData>
  <mergeCells count="20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26:J26"/>
    <mergeCell ref="A31:J31"/>
    <mergeCell ref="A34:J34"/>
    <mergeCell ref="B3:B4"/>
    <mergeCell ref="A8:J8"/>
    <mergeCell ref="A12:J12"/>
    <mergeCell ref="A15:J15"/>
    <mergeCell ref="A18:J18"/>
    <mergeCell ref="A22:J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21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8.8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7" style="5" bestFit="1" customWidth="1"/>
    <col min="7" max="9" width="4.5" style="6" customWidth="1"/>
    <col min="10" max="10" width="4.83203125" style="6" customWidth="1"/>
    <col min="11" max="13" width="4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15.5" style="5" bestFit="1" customWidth="1"/>
    <col min="18" max="16384" width="9.1640625" style="3"/>
  </cols>
  <sheetData>
    <row r="1" spans="1:17" s="2" customFormat="1" ht="29.25" customHeight="1">
      <c r="A1" s="61" t="s">
        <v>487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/>
    </row>
    <row r="2" spans="1:17" s="2" customFormat="1" ht="62.25" customHeight="1" thickBot="1">
      <c r="A2" s="65"/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</row>
    <row r="3" spans="1:17" s="1" customFormat="1" ht="12.75" customHeight="1">
      <c r="A3" s="69" t="s">
        <v>494</v>
      </c>
      <c r="B3" s="55" t="s">
        <v>0</v>
      </c>
      <c r="C3" s="71" t="s">
        <v>499</v>
      </c>
      <c r="D3" s="71" t="s">
        <v>8</v>
      </c>
      <c r="E3" s="59" t="s">
        <v>500</v>
      </c>
      <c r="F3" s="59" t="s">
        <v>5</v>
      </c>
      <c r="G3" s="59" t="s">
        <v>510</v>
      </c>
      <c r="H3" s="59"/>
      <c r="I3" s="59"/>
      <c r="J3" s="59"/>
      <c r="K3" s="59" t="s">
        <v>511</v>
      </c>
      <c r="L3" s="59"/>
      <c r="M3" s="59"/>
      <c r="N3" s="59"/>
      <c r="O3" s="59" t="s">
        <v>1</v>
      </c>
      <c r="P3" s="59" t="s">
        <v>3</v>
      </c>
      <c r="Q3" s="72" t="s">
        <v>2</v>
      </c>
    </row>
    <row r="4" spans="1:17" s="1" customFormat="1" ht="21" customHeight="1" thickBot="1">
      <c r="A4" s="70"/>
      <c r="B4" s="56"/>
      <c r="C4" s="60"/>
      <c r="D4" s="60"/>
      <c r="E4" s="60"/>
      <c r="F4" s="60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60"/>
      <c r="P4" s="60"/>
      <c r="Q4" s="73"/>
    </row>
    <row r="5" spans="1:17" ht="16">
      <c r="A5" s="57" t="s">
        <v>230</v>
      </c>
      <c r="B5" s="5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7">
      <c r="A6" s="14" t="s">
        <v>181</v>
      </c>
      <c r="B6" s="13" t="s">
        <v>416</v>
      </c>
      <c r="C6" s="13" t="s">
        <v>463</v>
      </c>
      <c r="D6" s="13" t="s">
        <v>417</v>
      </c>
      <c r="E6" s="13" t="s">
        <v>504</v>
      </c>
      <c r="F6" s="13" t="s">
        <v>16</v>
      </c>
      <c r="G6" s="26" t="s">
        <v>201</v>
      </c>
      <c r="H6" s="27" t="s">
        <v>398</v>
      </c>
      <c r="I6" s="27" t="s">
        <v>398</v>
      </c>
      <c r="J6" s="14"/>
      <c r="K6" s="26" t="s">
        <v>22</v>
      </c>
      <c r="L6" s="26" t="s">
        <v>30</v>
      </c>
      <c r="M6" s="27" t="s">
        <v>394</v>
      </c>
      <c r="N6" s="14"/>
      <c r="O6" s="14" t="str">
        <f>"107,5"</f>
        <v>107,5</v>
      </c>
      <c r="P6" s="14" t="str">
        <f>"82,9040"</f>
        <v>82,9040</v>
      </c>
      <c r="Q6" s="13" t="s">
        <v>498</v>
      </c>
    </row>
    <row r="7" spans="1:17">
      <c r="B7" s="5" t="s">
        <v>183</v>
      </c>
    </row>
    <row r="8" spans="1:17" ht="16">
      <c r="A8" s="54" t="s">
        <v>37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7">
      <c r="A9" s="14" t="s">
        <v>181</v>
      </c>
      <c r="B9" s="13" t="s">
        <v>52</v>
      </c>
      <c r="C9" s="13" t="s">
        <v>464</v>
      </c>
      <c r="D9" s="13" t="s">
        <v>54</v>
      </c>
      <c r="E9" s="13" t="s">
        <v>503</v>
      </c>
      <c r="F9" s="13" t="s">
        <v>442</v>
      </c>
      <c r="G9" s="26" t="s">
        <v>406</v>
      </c>
      <c r="H9" s="26" t="s">
        <v>18</v>
      </c>
      <c r="I9" s="27" t="s">
        <v>217</v>
      </c>
      <c r="J9" s="14"/>
      <c r="K9" s="26" t="s">
        <v>21</v>
      </c>
      <c r="L9" s="26" t="s">
        <v>30</v>
      </c>
      <c r="M9" s="27"/>
      <c r="N9" s="14"/>
      <c r="O9" s="14" t="str">
        <f>"122,5"</f>
        <v>122,5</v>
      </c>
      <c r="P9" s="14" t="str">
        <f>"85,0150"</f>
        <v>85,0150</v>
      </c>
      <c r="Q9" s="13" t="s">
        <v>498</v>
      </c>
    </row>
    <row r="10" spans="1:17">
      <c r="B10" s="5" t="s">
        <v>183</v>
      </c>
    </row>
    <row r="11" spans="1:17" ht="16">
      <c r="A11" s="54" t="s">
        <v>83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2" spans="1:17">
      <c r="A12" s="14" t="s">
        <v>181</v>
      </c>
      <c r="B12" s="13" t="s">
        <v>262</v>
      </c>
      <c r="C12" s="13" t="s">
        <v>465</v>
      </c>
      <c r="D12" s="13" t="s">
        <v>263</v>
      </c>
      <c r="E12" s="13" t="s">
        <v>506</v>
      </c>
      <c r="F12" s="13" t="s">
        <v>264</v>
      </c>
      <c r="G12" s="26" t="s">
        <v>19</v>
      </c>
      <c r="H12" s="27" t="s">
        <v>87</v>
      </c>
      <c r="I12" s="26" t="s">
        <v>29</v>
      </c>
      <c r="J12" s="14"/>
      <c r="K12" s="26" t="s">
        <v>201</v>
      </c>
      <c r="L12" s="27" t="s">
        <v>17</v>
      </c>
      <c r="M12" s="27" t="s">
        <v>17</v>
      </c>
      <c r="N12" s="14"/>
      <c r="O12" s="14" t="str">
        <f>"142,5"</f>
        <v>142,5</v>
      </c>
      <c r="P12" s="14" t="str">
        <f>"103,8053"</f>
        <v>103,8053</v>
      </c>
      <c r="Q12" s="13" t="s">
        <v>498</v>
      </c>
    </row>
    <row r="13" spans="1:17">
      <c r="B13" s="5" t="s">
        <v>183</v>
      </c>
    </row>
    <row r="14" spans="1:17">
      <c r="B14" s="5" t="s">
        <v>183</v>
      </c>
    </row>
    <row r="15" spans="1:17">
      <c r="B15" s="5" t="s">
        <v>183</v>
      </c>
    </row>
    <row r="16" spans="1:17">
      <c r="B16" s="5" t="s">
        <v>183</v>
      </c>
    </row>
    <row r="17" spans="2:2">
      <c r="B17" s="5" t="s">
        <v>183</v>
      </c>
    </row>
    <row r="18" spans="2:2">
      <c r="B18" s="5" t="s">
        <v>183</v>
      </c>
    </row>
    <row r="19" spans="2:2">
      <c r="B19" s="5" t="s">
        <v>183</v>
      </c>
    </row>
    <row r="20" spans="2:2">
      <c r="B20" s="5" t="s">
        <v>183</v>
      </c>
    </row>
    <row r="21" spans="2:2">
      <c r="B21" s="5" t="s">
        <v>183</v>
      </c>
    </row>
  </sheetData>
  <mergeCells count="15"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A11:N11"/>
    <mergeCell ref="B3:B4"/>
    <mergeCell ref="O3:O4"/>
    <mergeCell ref="P3:P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9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2.1640625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26.83203125" style="5" customWidth="1"/>
    <col min="7" max="7" width="4.6640625" style="6" customWidth="1"/>
    <col min="8" max="9" width="4.5" style="6" customWidth="1"/>
    <col min="10" max="10" width="4.83203125" style="6" customWidth="1"/>
    <col min="11" max="11" width="10.5" style="46" bestFit="1" customWidth="1"/>
    <col min="12" max="12" width="7.5" style="6" bestFit="1" customWidth="1"/>
    <col min="13" max="13" width="17.6640625" style="5" bestFit="1" customWidth="1"/>
    <col min="14" max="16384" width="9.1640625" style="3"/>
  </cols>
  <sheetData>
    <row r="1" spans="1:13" s="2" customFormat="1" ht="29.25" customHeight="1">
      <c r="A1" s="61" t="s">
        <v>488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s="2" customFormat="1" ht="62.25" customHeight="1" thickBot="1">
      <c r="A2" s="65"/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s="1" customFormat="1" ht="12.75" customHeight="1">
      <c r="A3" s="69" t="s">
        <v>494</v>
      </c>
      <c r="B3" s="55" t="s">
        <v>0</v>
      </c>
      <c r="C3" s="71" t="s">
        <v>499</v>
      </c>
      <c r="D3" s="71" t="s">
        <v>8</v>
      </c>
      <c r="E3" s="59" t="s">
        <v>500</v>
      </c>
      <c r="F3" s="59" t="s">
        <v>5</v>
      </c>
      <c r="G3" s="59" t="s">
        <v>510</v>
      </c>
      <c r="H3" s="59"/>
      <c r="I3" s="59"/>
      <c r="J3" s="59"/>
      <c r="K3" s="74" t="s">
        <v>335</v>
      </c>
      <c r="L3" s="59" t="s">
        <v>3</v>
      </c>
      <c r="M3" s="72" t="s">
        <v>2</v>
      </c>
    </row>
    <row r="4" spans="1:13" s="1" customFormat="1" ht="21" customHeight="1" thickBot="1">
      <c r="A4" s="70"/>
      <c r="B4" s="56"/>
      <c r="C4" s="60"/>
      <c r="D4" s="60"/>
      <c r="E4" s="60"/>
      <c r="F4" s="60"/>
      <c r="G4" s="4">
        <v>1</v>
      </c>
      <c r="H4" s="4">
        <v>2</v>
      </c>
      <c r="I4" s="4">
        <v>3</v>
      </c>
      <c r="J4" s="4" t="s">
        <v>4</v>
      </c>
      <c r="K4" s="75"/>
      <c r="L4" s="60"/>
      <c r="M4" s="73"/>
    </row>
    <row r="5" spans="1:13" ht="16">
      <c r="A5" s="57" t="s">
        <v>218</v>
      </c>
      <c r="B5" s="57"/>
      <c r="C5" s="58"/>
      <c r="D5" s="58"/>
      <c r="E5" s="58"/>
      <c r="F5" s="58"/>
      <c r="G5" s="58"/>
      <c r="H5" s="58"/>
      <c r="I5" s="58"/>
      <c r="J5" s="58"/>
    </row>
    <row r="6" spans="1:13">
      <c r="A6" s="14" t="s">
        <v>181</v>
      </c>
      <c r="B6" s="13" t="s">
        <v>387</v>
      </c>
      <c r="C6" s="13" t="s">
        <v>466</v>
      </c>
      <c r="D6" s="13" t="s">
        <v>388</v>
      </c>
      <c r="E6" s="13" t="s">
        <v>503</v>
      </c>
      <c r="F6" s="13" t="s">
        <v>16</v>
      </c>
      <c r="G6" s="26" t="s">
        <v>389</v>
      </c>
      <c r="H6" s="26" t="s">
        <v>390</v>
      </c>
      <c r="I6" s="27" t="s">
        <v>391</v>
      </c>
      <c r="J6" s="14"/>
      <c r="K6" s="47" t="str">
        <f>"20,0"</f>
        <v>20,0</v>
      </c>
      <c r="L6" s="14" t="str">
        <f>"20,7600"</f>
        <v>20,7600</v>
      </c>
      <c r="M6" s="13" t="s">
        <v>498</v>
      </c>
    </row>
    <row r="7" spans="1:13">
      <c r="B7" s="5" t="s">
        <v>183</v>
      </c>
    </row>
    <row r="8" spans="1:13" ht="16">
      <c r="A8" s="54" t="s">
        <v>230</v>
      </c>
      <c r="B8" s="54"/>
      <c r="C8" s="54"/>
      <c r="D8" s="54"/>
      <c r="E8" s="54"/>
      <c r="F8" s="54"/>
      <c r="G8" s="54"/>
      <c r="H8" s="54"/>
      <c r="I8" s="54"/>
      <c r="J8" s="54"/>
    </row>
    <row r="9" spans="1:13">
      <c r="A9" s="14" t="s">
        <v>181</v>
      </c>
      <c r="B9" s="13" t="s">
        <v>392</v>
      </c>
      <c r="C9" s="13" t="s">
        <v>467</v>
      </c>
      <c r="D9" s="13" t="s">
        <v>393</v>
      </c>
      <c r="E9" s="13" t="s">
        <v>504</v>
      </c>
      <c r="F9" s="13" t="s">
        <v>16</v>
      </c>
      <c r="G9" s="26" t="s">
        <v>21</v>
      </c>
      <c r="H9" s="26" t="s">
        <v>394</v>
      </c>
      <c r="I9" s="26" t="s">
        <v>17</v>
      </c>
      <c r="J9" s="14"/>
      <c r="K9" s="47" t="str">
        <f>"60,0"</f>
        <v>60,0</v>
      </c>
      <c r="L9" s="14" t="str">
        <f>"46,5870"</f>
        <v>46,5870</v>
      </c>
      <c r="M9" s="13" t="s">
        <v>498</v>
      </c>
    </row>
    <row r="10" spans="1:13">
      <c r="B10" s="5" t="s">
        <v>183</v>
      </c>
    </row>
    <row r="11" spans="1:13" ht="16">
      <c r="A11" s="54" t="s">
        <v>37</v>
      </c>
      <c r="B11" s="54"/>
      <c r="C11" s="54"/>
      <c r="D11" s="54"/>
      <c r="E11" s="54"/>
      <c r="F11" s="54"/>
      <c r="G11" s="54"/>
      <c r="H11" s="54"/>
      <c r="I11" s="54"/>
      <c r="J11" s="54"/>
    </row>
    <row r="12" spans="1:13">
      <c r="A12" s="14" t="s">
        <v>181</v>
      </c>
      <c r="B12" s="13" t="s">
        <v>395</v>
      </c>
      <c r="C12" s="13" t="s">
        <v>396</v>
      </c>
      <c r="D12" s="13" t="s">
        <v>397</v>
      </c>
      <c r="E12" s="13" t="s">
        <v>501</v>
      </c>
      <c r="F12" s="13" t="s">
        <v>16</v>
      </c>
      <c r="G12" s="26" t="s">
        <v>208</v>
      </c>
      <c r="H12" s="26" t="s">
        <v>36</v>
      </c>
      <c r="I12" s="27" t="s">
        <v>22</v>
      </c>
      <c r="J12" s="14"/>
      <c r="K12" s="47" t="str">
        <f>"47,5"</f>
        <v>47,5</v>
      </c>
      <c r="L12" s="14" t="str">
        <f>"33,1336"</f>
        <v>33,1336</v>
      </c>
      <c r="M12" s="13" t="s">
        <v>477</v>
      </c>
    </row>
    <row r="13" spans="1:13">
      <c r="B13" s="5" t="s">
        <v>183</v>
      </c>
    </row>
    <row r="14" spans="1:13" ht="16">
      <c r="A14" s="54" t="s">
        <v>83</v>
      </c>
      <c r="B14" s="54"/>
      <c r="C14" s="54"/>
      <c r="D14" s="54"/>
      <c r="E14" s="54"/>
      <c r="F14" s="54"/>
      <c r="G14" s="54"/>
      <c r="H14" s="54"/>
      <c r="I14" s="54"/>
      <c r="J14" s="54"/>
    </row>
    <row r="15" spans="1:13">
      <c r="A15" s="8" t="s">
        <v>181</v>
      </c>
      <c r="B15" s="7" t="s">
        <v>256</v>
      </c>
      <c r="C15" s="7" t="s">
        <v>257</v>
      </c>
      <c r="D15" s="7" t="s">
        <v>258</v>
      </c>
      <c r="E15" s="7" t="s">
        <v>501</v>
      </c>
      <c r="F15" s="7" t="s">
        <v>259</v>
      </c>
      <c r="G15" s="20" t="s">
        <v>22</v>
      </c>
      <c r="H15" s="20" t="s">
        <v>201</v>
      </c>
      <c r="I15" s="20" t="s">
        <v>398</v>
      </c>
      <c r="J15" s="8"/>
      <c r="K15" s="48" t="str">
        <f>"62,5"</f>
        <v>62,5</v>
      </c>
      <c r="L15" s="8" t="str">
        <f>"40,5125"</f>
        <v>40,5125</v>
      </c>
      <c r="M15" s="7" t="s">
        <v>498</v>
      </c>
    </row>
    <row r="16" spans="1:13">
      <c r="A16" s="10" t="s">
        <v>337</v>
      </c>
      <c r="B16" s="9" t="s">
        <v>399</v>
      </c>
      <c r="C16" s="9" t="s">
        <v>400</v>
      </c>
      <c r="D16" s="9" t="s">
        <v>401</v>
      </c>
      <c r="E16" s="9" t="s">
        <v>501</v>
      </c>
      <c r="F16" s="9" t="s">
        <v>402</v>
      </c>
      <c r="G16" s="23" t="s">
        <v>18</v>
      </c>
      <c r="H16" s="23" t="s">
        <v>18</v>
      </c>
      <c r="I16" s="23" t="s">
        <v>18</v>
      </c>
      <c r="J16" s="10"/>
      <c r="K16" s="49">
        <v>0</v>
      </c>
      <c r="L16" s="10" t="str">
        <f>"0,0000"</f>
        <v>0,0000</v>
      </c>
      <c r="M16" s="9" t="s">
        <v>498</v>
      </c>
    </row>
    <row r="17" spans="1:13">
      <c r="B17" s="5" t="s">
        <v>183</v>
      </c>
    </row>
    <row r="18" spans="1:13" ht="16">
      <c r="A18" s="54" t="s">
        <v>186</v>
      </c>
      <c r="B18" s="54"/>
      <c r="C18" s="54"/>
      <c r="D18" s="54"/>
      <c r="E18" s="54"/>
      <c r="F18" s="54"/>
      <c r="G18" s="54"/>
      <c r="H18" s="54"/>
      <c r="I18" s="54"/>
      <c r="J18" s="54"/>
    </row>
    <row r="19" spans="1:13">
      <c r="A19" s="14" t="s">
        <v>181</v>
      </c>
      <c r="B19" s="13" t="s">
        <v>284</v>
      </c>
      <c r="C19" s="13" t="s">
        <v>285</v>
      </c>
      <c r="D19" s="13" t="s">
        <v>286</v>
      </c>
      <c r="E19" s="13" t="s">
        <v>501</v>
      </c>
      <c r="F19" s="13" t="s">
        <v>16</v>
      </c>
      <c r="G19" s="26" t="s">
        <v>20</v>
      </c>
      <c r="H19" s="26" t="s">
        <v>22</v>
      </c>
      <c r="I19" s="26" t="s">
        <v>201</v>
      </c>
      <c r="J19" s="14"/>
      <c r="K19" s="47" t="str">
        <f>"55,0"</f>
        <v>55,0</v>
      </c>
      <c r="L19" s="14" t="str">
        <f>"33,9048"</f>
        <v>33,9048</v>
      </c>
      <c r="M19" s="13" t="s">
        <v>425</v>
      </c>
    </row>
    <row r="20" spans="1:13">
      <c r="B20" s="5" t="s">
        <v>183</v>
      </c>
    </row>
    <row r="21" spans="1:13" ht="16">
      <c r="A21" s="54" t="s">
        <v>121</v>
      </c>
      <c r="B21" s="54"/>
      <c r="C21" s="54"/>
      <c r="D21" s="54"/>
      <c r="E21" s="54"/>
      <c r="F21" s="54"/>
      <c r="G21" s="54"/>
      <c r="H21" s="54"/>
      <c r="I21" s="54"/>
      <c r="J21" s="54"/>
    </row>
    <row r="22" spans="1:13">
      <c r="A22" s="14" t="s">
        <v>181</v>
      </c>
      <c r="B22" s="13" t="s">
        <v>403</v>
      </c>
      <c r="C22" s="13" t="s">
        <v>404</v>
      </c>
      <c r="D22" s="13" t="s">
        <v>405</v>
      </c>
      <c r="E22" s="13" t="s">
        <v>501</v>
      </c>
      <c r="F22" s="13" t="s">
        <v>16</v>
      </c>
      <c r="G22" s="26" t="s">
        <v>406</v>
      </c>
      <c r="H22" s="26" t="s">
        <v>18</v>
      </c>
      <c r="I22" s="26" t="s">
        <v>50</v>
      </c>
      <c r="J22" s="14"/>
      <c r="K22" s="47" t="str">
        <f>"75,0"</f>
        <v>75,0</v>
      </c>
      <c r="L22" s="14" t="str">
        <f>"44,9250"</f>
        <v>44,9250</v>
      </c>
      <c r="M22" s="13" t="s">
        <v>498</v>
      </c>
    </row>
    <row r="23" spans="1:13">
      <c r="B23" s="5" t="s">
        <v>183</v>
      </c>
    </row>
    <row r="24" spans="1:13" ht="16">
      <c r="A24" s="54" t="s">
        <v>125</v>
      </c>
      <c r="B24" s="54"/>
      <c r="C24" s="54"/>
      <c r="D24" s="54"/>
      <c r="E24" s="54"/>
      <c r="F24" s="54"/>
      <c r="G24" s="54"/>
      <c r="H24" s="54"/>
      <c r="I24" s="54"/>
      <c r="J24" s="54"/>
    </row>
    <row r="25" spans="1:13">
      <c r="A25" s="14" t="s">
        <v>181</v>
      </c>
      <c r="B25" s="13" t="s">
        <v>407</v>
      </c>
      <c r="C25" s="13" t="s">
        <v>408</v>
      </c>
      <c r="D25" s="13" t="s">
        <v>319</v>
      </c>
      <c r="E25" s="13" t="s">
        <v>501</v>
      </c>
      <c r="F25" s="13" t="s">
        <v>16</v>
      </c>
      <c r="G25" s="26" t="s">
        <v>22</v>
      </c>
      <c r="H25" s="26" t="s">
        <v>17</v>
      </c>
      <c r="I25" s="27" t="s">
        <v>217</v>
      </c>
      <c r="J25" s="14"/>
      <c r="K25" s="47" t="str">
        <f>"60,0"</f>
        <v>60,0</v>
      </c>
      <c r="L25" s="14" t="str">
        <f>"34,0590"</f>
        <v>34,0590</v>
      </c>
      <c r="M25" s="13" t="s">
        <v>498</v>
      </c>
    </row>
    <row r="26" spans="1:13">
      <c r="B26" s="5" t="s">
        <v>183</v>
      </c>
    </row>
    <row r="27" spans="1:13" ht="16">
      <c r="A27" s="54" t="s">
        <v>131</v>
      </c>
      <c r="B27" s="54"/>
      <c r="C27" s="54"/>
      <c r="D27" s="54"/>
      <c r="E27" s="54"/>
      <c r="F27" s="54"/>
      <c r="G27" s="54"/>
      <c r="H27" s="54"/>
      <c r="I27" s="54"/>
      <c r="J27" s="54"/>
    </row>
    <row r="28" spans="1:13">
      <c r="A28" s="14" t="s">
        <v>181</v>
      </c>
      <c r="B28" s="13" t="s">
        <v>409</v>
      </c>
      <c r="C28" s="13" t="s">
        <v>410</v>
      </c>
      <c r="D28" s="13" t="s">
        <v>411</v>
      </c>
      <c r="E28" s="13" t="s">
        <v>501</v>
      </c>
      <c r="F28" s="13" t="s">
        <v>16</v>
      </c>
      <c r="G28" s="26" t="s">
        <v>17</v>
      </c>
      <c r="H28" s="27" t="s">
        <v>406</v>
      </c>
      <c r="I28" s="27" t="s">
        <v>216</v>
      </c>
      <c r="J28" s="14"/>
      <c r="K28" s="47" t="str">
        <f>"60,0"</f>
        <v>60,0</v>
      </c>
      <c r="L28" s="14" t="str">
        <f>"33,6120"</f>
        <v>33,6120</v>
      </c>
      <c r="M28" s="13" t="s">
        <v>498</v>
      </c>
    </row>
    <row r="29" spans="1:13">
      <c r="B29" s="5" t="s">
        <v>183</v>
      </c>
    </row>
    <row r="30" spans="1:13">
      <c r="B30" s="5" t="s">
        <v>183</v>
      </c>
    </row>
    <row r="31" spans="1:13">
      <c r="B31" s="5" t="s">
        <v>183</v>
      </c>
    </row>
    <row r="32" spans="1:13" ht="18">
      <c r="B32" s="15" t="s">
        <v>156</v>
      </c>
      <c r="C32" s="15"/>
      <c r="F32" s="6"/>
      <c r="L32" s="5"/>
      <c r="M32" s="3"/>
    </row>
    <row r="33" spans="2:14" ht="16">
      <c r="B33" s="16" t="s">
        <v>171</v>
      </c>
      <c r="C33" s="16"/>
    </row>
    <row r="34" spans="2:14" ht="14">
      <c r="B34" s="17"/>
      <c r="C34" s="18" t="s">
        <v>158</v>
      </c>
    </row>
    <row r="35" spans="2:14" ht="14">
      <c r="B35" s="19" t="s">
        <v>159</v>
      </c>
      <c r="C35" s="19" t="s">
        <v>160</v>
      </c>
      <c r="D35" s="19" t="s">
        <v>472</v>
      </c>
      <c r="E35" s="19" t="s">
        <v>327</v>
      </c>
      <c r="F35" s="19" t="s">
        <v>412</v>
      </c>
    </row>
    <row r="36" spans="2:14">
      <c r="B36" s="5" t="s">
        <v>403</v>
      </c>
      <c r="C36" s="5" t="s">
        <v>158</v>
      </c>
      <c r="D36" s="6" t="s">
        <v>196</v>
      </c>
      <c r="E36" s="6" t="s">
        <v>50</v>
      </c>
      <c r="F36" s="6" t="s">
        <v>413</v>
      </c>
    </row>
    <row r="37" spans="2:14">
      <c r="B37" s="5" t="s">
        <v>256</v>
      </c>
      <c r="C37" s="5" t="s">
        <v>158</v>
      </c>
      <c r="D37" s="6" t="s">
        <v>172</v>
      </c>
      <c r="E37" s="6" t="s">
        <v>398</v>
      </c>
      <c r="F37" s="6" t="s">
        <v>414</v>
      </c>
    </row>
    <row r="38" spans="2:14">
      <c r="B38" s="5" t="s">
        <v>407</v>
      </c>
      <c r="C38" s="5" t="s">
        <v>158</v>
      </c>
      <c r="D38" s="6" t="s">
        <v>332</v>
      </c>
      <c r="E38" s="6" t="s">
        <v>17</v>
      </c>
      <c r="F38" s="6" t="s">
        <v>415</v>
      </c>
    </row>
    <row r="39" spans="2:14">
      <c r="B39" s="5" t="s">
        <v>183</v>
      </c>
      <c r="G39" s="5"/>
      <c r="M39" s="6"/>
      <c r="N39" s="5"/>
    </row>
  </sheetData>
  <mergeCells count="19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27:J27"/>
    <mergeCell ref="B3:B4"/>
    <mergeCell ref="A8:J8"/>
    <mergeCell ref="A11:J11"/>
    <mergeCell ref="A14:J14"/>
    <mergeCell ref="A18:J18"/>
    <mergeCell ref="A21:J21"/>
    <mergeCell ref="A24:J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IPL ПЛ без экипировки</vt:lpstr>
      <vt:lpstr>IPL ПЛ в бинтах</vt:lpstr>
      <vt:lpstr>IPL Двоеборье без экип</vt:lpstr>
      <vt:lpstr>IPL Жим без экипировки</vt:lpstr>
      <vt:lpstr>IPL Жим однослой</vt:lpstr>
      <vt:lpstr>IPL Жим многослой</vt:lpstr>
      <vt:lpstr>IPL Тяга без экипировки</vt:lpstr>
      <vt:lpstr>СПР Пауэрспорт</vt:lpstr>
      <vt:lpstr>СПР Подъем на бицепс</vt:lpstr>
      <vt:lpstr>ФЖД ЖД Любители</vt:lpstr>
      <vt:lpstr>ФЖД Военный жим на макс.</vt:lpstr>
      <vt:lpstr>Командное первенство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2020-11-13T16:53:37Z</dcterms:modified>
</cp:coreProperties>
</file>