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Октябрь/"/>
    </mc:Choice>
  </mc:AlternateContent>
  <xr:revisionPtr revIDLastSave="0" documentId="13_ncr:1_{3FE45792-B4D1-E949-8669-9991A0B408B3}" xr6:coauthVersionLast="45" xr6:coauthVersionMax="45" xr10:uidLastSave="{00000000-0000-0000-0000-000000000000}"/>
  <bookViews>
    <workbookView xWindow="480" yWindow="460" windowWidth="27940" windowHeight="15340" firstSheet="19" activeTab="24" xr2:uid="{00000000-000D-0000-FFFF-FFFF00000000}"/>
  </bookViews>
  <sheets>
    <sheet name="IPL ПЛ без экипировки ДК" sheetId="7" r:id="rId1"/>
    <sheet name="IPL ПЛ без экипировки" sheetId="6" r:id="rId2"/>
    <sheet name="IPL ПЛ в бинтах ДК" sheetId="9" r:id="rId3"/>
    <sheet name="IPL ПЛ в бинтах" sheetId="8" r:id="rId4"/>
    <sheet name="IPL Двоеборье без экип ДК" sheetId="20" r:id="rId5"/>
    <sheet name="IPL Двоеборье без экип" sheetId="19" r:id="rId6"/>
    <sheet name="IPL Присед без экипировки ДК" sheetId="17" r:id="rId7"/>
    <sheet name="IPL Присед без экипировки" sheetId="16" r:id="rId8"/>
    <sheet name="IPL Жим без экипировки ДК" sheetId="11" r:id="rId9"/>
    <sheet name="IPL Жим без экипировки" sheetId="10" r:id="rId10"/>
    <sheet name="IPL Жим однослой" sheetId="12" r:id="rId11"/>
    <sheet name="СПР Жим софт однопетельная ДК" sheetId="26" r:id="rId12"/>
    <sheet name="СПР Жим софт однопетельная" sheetId="46" r:id="rId13"/>
    <sheet name="WRPF Жим софт однопетельная ДК" sheetId="25" r:id="rId14"/>
    <sheet name="WRPF Жим софт однопетельная" sheetId="47" r:id="rId15"/>
    <sheet name="WRPF Военный жим ДК" sheetId="39" r:id="rId16"/>
    <sheet name="WRPF Военный жим" sheetId="38" r:id="rId17"/>
    <sheet name="СПР Жим СФО" sheetId="27" r:id="rId18"/>
    <sheet name="IPL Тяга без экипировки ДК" sheetId="15" r:id="rId19"/>
    <sheet name="IPL Тяга без экипировки" sheetId="14" r:id="rId20"/>
    <sheet name="СПР Пауэрспорт ДК" sheetId="42" r:id="rId21"/>
    <sheet name="WRPF Подъем на бицепс ДК" sheetId="23" r:id="rId22"/>
    <sheet name="WRPF Подъем на бицепс" sheetId="21" r:id="rId23"/>
    <sheet name="WRPF Экст.подъем на бицепс ДК" sheetId="24" r:id="rId24"/>
    <sheet name="WRPF Экст. подъем на бицепс" sheetId="22" r:id="rId2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7" l="1"/>
  <c r="K6" i="47"/>
  <c r="L12" i="46"/>
  <c r="K12" i="46"/>
  <c r="L9" i="46"/>
  <c r="K9" i="46"/>
  <c r="L6" i="46"/>
  <c r="K6" i="46"/>
  <c r="L19" i="22" l="1"/>
  <c r="K19" i="22"/>
  <c r="L9" i="10"/>
  <c r="K9" i="10"/>
  <c r="L9" i="38"/>
  <c r="K9" i="38"/>
  <c r="Q7" i="42"/>
  <c r="Q6" i="42"/>
  <c r="P6" i="42"/>
  <c r="L17" i="39"/>
  <c r="K17" i="39"/>
  <c r="L14" i="39"/>
  <c r="K14" i="39"/>
  <c r="L11" i="39"/>
  <c r="K11" i="39"/>
  <c r="L10" i="39"/>
  <c r="K10" i="39"/>
  <c r="L9" i="39"/>
  <c r="K9" i="39"/>
  <c r="L6" i="39"/>
  <c r="K6" i="39"/>
  <c r="L12" i="38"/>
  <c r="K12" i="38"/>
  <c r="L6" i="38"/>
  <c r="K6" i="38"/>
  <c r="L25" i="27"/>
  <c r="K25" i="27"/>
  <c r="L22" i="27"/>
  <c r="K22" i="27"/>
  <c r="L19" i="27"/>
  <c r="K19" i="27"/>
  <c r="L18" i="27"/>
  <c r="K18" i="27"/>
  <c r="L15" i="27"/>
  <c r="K15" i="27"/>
  <c r="L14" i="27"/>
  <c r="K14" i="27"/>
  <c r="L13" i="27"/>
  <c r="K13" i="27"/>
  <c r="L10" i="27"/>
  <c r="K10" i="27"/>
  <c r="L9" i="27"/>
  <c r="K9" i="27"/>
  <c r="L6" i="27"/>
  <c r="K6" i="27"/>
  <c r="L6" i="26"/>
  <c r="K6" i="26"/>
  <c r="L6" i="25"/>
  <c r="K6" i="25"/>
  <c r="L14" i="24"/>
  <c r="K14" i="24"/>
  <c r="L13" i="24"/>
  <c r="K13" i="24"/>
  <c r="L10" i="24"/>
  <c r="K10" i="24"/>
  <c r="L9" i="24"/>
  <c r="K9" i="24"/>
  <c r="L6" i="24"/>
  <c r="K6" i="24"/>
  <c r="L38" i="23"/>
  <c r="K38" i="23"/>
  <c r="L35" i="23"/>
  <c r="K35" i="23"/>
  <c r="L32" i="23"/>
  <c r="K32" i="23"/>
  <c r="L31" i="23"/>
  <c r="K31" i="23"/>
  <c r="L30" i="23"/>
  <c r="K30" i="23"/>
  <c r="L27" i="23"/>
  <c r="K27" i="23"/>
  <c r="L26" i="23"/>
  <c r="K26" i="23"/>
  <c r="L23" i="23"/>
  <c r="K23" i="23"/>
  <c r="L22" i="23"/>
  <c r="K22" i="23"/>
  <c r="L19" i="23"/>
  <c r="K19" i="23"/>
  <c r="L18" i="23"/>
  <c r="K18" i="23"/>
  <c r="L15" i="23"/>
  <c r="K15" i="23"/>
  <c r="L12" i="23"/>
  <c r="K12" i="23"/>
  <c r="L9" i="23"/>
  <c r="K9" i="23"/>
  <c r="L6" i="23"/>
  <c r="K6" i="23"/>
  <c r="L16" i="22"/>
  <c r="K16" i="22"/>
  <c r="L13" i="22"/>
  <c r="K13" i="22"/>
  <c r="L10" i="22"/>
  <c r="K10" i="22"/>
  <c r="L7" i="22"/>
  <c r="K7" i="22"/>
  <c r="L6" i="22"/>
  <c r="K6" i="22"/>
  <c r="L9" i="21"/>
  <c r="K9" i="21"/>
  <c r="L6" i="21"/>
  <c r="K6" i="21"/>
  <c r="P7" i="20"/>
  <c r="O7" i="20"/>
  <c r="P6" i="20"/>
  <c r="O6" i="20"/>
  <c r="P6" i="19"/>
  <c r="O6" i="19"/>
  <c r="L6" i="17"/>
  <c r="K6" i="17"/>
  <c r="L9" i="16"/>
  <c r="K9" i="16"/>
  <c r="L6" i="16"/>
  <c r="K6" i="16"/>
  <c r="L32" i="15"/>
  <c r="K32" i="15"/>
  <c r="L31" i="15"/>
  <c r="K31" i="15"/>
  <c r="L30" i="15"/>
  <c r="K30" i="15"/>
  <c r="L27" i="15"/>
  <c r="K27" i="15"/>
  <c r="L24" i="15"/>
  <c r="K24" i="15"/>
  <c r="L23" i="15"/>
  <c r="K23" i="15"/>
  <c r="L22" i="15"/>
  <c r="K22" i="15"/>
  <c r="L21" i="15"/>
  <c r="K21" i="15"/>
  <c r="L20" i="15"/>
  <c r="K20" i="15"/>
  <c r="L17" i="15"/>
  <c r="K17" i="15"/>
  <c r="L16" i="15"/>
  <c r="K16" i="15"/>
  <c r="L13" i="15"/>
  <c r="K13" i="15"/>
  <c r="L10" i="15"/>
  <c r="K10" i="15"/>
  <c r="L9" i="15"/>
  <c r="K9" i="15"/>
  <c r="L6" i="15"/>
  <c r="K6" i="15"/>
  <c r="L24" i="14"/>
  <c r="K24" i="14"/>
  <c r="L23" i="14"/>
  <c r="K23" i="14"/>
  <c r="L22" i="14"/>
  <c r="K22" i="14"/>
  <c r="L19" i="14"/>
  <c r="K19" i="14"/>
  <c r="L16" i="14"/>
  <c r="K16" i="14"/>
  <c r="L15" i="14"/>
  <c r="K15" i="14"/>
  <c r="L12" i="14"/>
  <c r="K12" i="14"/>
  <c r="L9" i="14"/>
  <c r="K9" i="14"/>
  <c r="L6" i="14"/>
  <c r="K6" i="14"/>
  <c r="L6" i="12"/>
  <c r="K6" i="12"/>
  <c r="L36" i="11"/>
  <c r="L33" i="11"/>
  <c r="K33" i="11"/>
  <c r="L32" i="11"/>
  <c r="K32" i="11"/>
  <c r="L31" i="11"/>
  <c r="K31" i="11"/>
  <c r="L30" i="11"/>
  <c r="K30" i="11"/>
  <c r="L27" i="11"/>
  <c r="K27" i="11"/>
  <c r="L26" i="11"/>
  <c r="L25" i="11"/>
  <c r="K25" i="11"/>
  <c r="L24" i="11"/>
  <c r="K24" i="11"/>
  <c r="L23" i="11"/>
  <c r="K23" i="11"/>
  <c r="L20" i="11"/>
  <c r="K20" i="11"/>
  <c r="L17" i="11"/>
  <c r="L16" i="11"/>
  <c r="L13" i="11"/>
  <c r="K13" i="11"/>
  <c r="L10" i="11"/>
  <c r="K10" i="11"/>
  <c r="L7" i="11"/>
  <c r="K7" i="11"/>
  <c r="L6" i="11"/>
  <c r="L20" i="10"/>
  <c r="K20" i="10"/>
  <c r="L17" i="10"/>
  <c r="K17" i="10"/>
  <c r="L16" i="10"/>
  <c r="K16" i="10"/>
  <c r="L13" i="10"/>
  <c r="K13" i="10"/>
  <c r="L12" i="10"/>
  <c r="K12" i="10"/>
  <c r="L6" i="10"/>
  <c r="K6" i="10"/>
  <c r="T6" i="9"/>
  <c r="S6" i="9"/>
  <c r="T6" i="8"/>
  <c r="S6" i="8"/>
  <c r="T17" i="7"/>
  <c r="S17" i="7"/>
  <c r="T14" i="7"/>
  <c r="T13" i="7"/>
  <c r="S13" i="7"/>
  <c r="T12" i="7"/>
  <c r="S12" i="7"/>
  <c r="T9" i="7"/>
  <c r="S9" i="7"/>
  <c r="T6" i="7"/>
  <c r="S6" i="7"/>
  <c r="T12" i="6"/>
  <c r="S12" i="6"/>
  <c r="T9" i="6"/>
  <c r="S9" i="6"/>
  <c r="T6" i="6"/>
  <c r="S6" i="6"/>
</calcChain>
</file>

<file path=xl/sharedStrings.xml><?xml version="1.0" encoding="utf-8"?>
<sst xmlns="http://schemas.openxmlformats.org/spreadsheetml/2006/main" count="1622" uniqueCount="470">
  <si>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</si>
  <si>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</si>
  <si>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</si>
  <si>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</si>
  <si>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</si>
  <si>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</si>
  <si>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</si>
  <si>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</si>
  <si>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</si>
  <si>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</si>
  <si>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</si>
  <si>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</si>
  <si>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67.5</t>
  </si>
  <si>
    <t>66,20</t>
  </si>
  <si>
    <t xml:space="preserve">Самарская область </t>
  </si>
  <si>
    <t>130,0</t>
  </si>
  <si>
    <t>140,0</t>
  </si>
  <si>
    <t>145,0</t>
  </si>
  <si>
    <t>100,0</t>
  </si>
  <si>
    <t>105,0</t>
  </si>
  <si>
    <t>110,0</t>
  </si>
  <si>
    <t>150,0</t>
  </si>
  <si>
    <t>162,5</t>
  </si>
  <si>
    <t xml:space="preserve">Смирнов Антон </t>
  </si>
  <si>
    <t>ВЕСОВАЯ КАТЕГОРИЯ   100</t>
  </si>
  <si>
    <t>Открытая (12.09.1998)/26</t>
  </si>
  <si>
    <t>96,40</t>
  </si>
  <si>
    <t>220,0</t>
  </si>
  <si>
    <t>240,0</t>
  </si>
  <si>
    <t>245,0</t>
  </si>
  <si>
    <t>155,0</t>
  </si>
  <si>
    <t>165,0</t>
  </si>
  <si>
    <t>167,5</t>
  </si>
  <si>
    <t>270,0</t>
  </si>
  <si>
    <t>275,0</t>
  </si>
  <si>
    <t>ВЕСОВАЯ КАТЕГОРИЯ   110</t>
  </si>
  <si>
    <t>Открытая (07.06.1985)/39</t>
  </si>
  <si>
    <t>107,30</t>
  </si>
  <si>
    <t>225,0</t>
  </si>
  <si>
    <t>235,0</t>
  </si>
  <si>
    <t>242,5</t>
  </si>
  <si>
    <t>125,0</t>
  </si>
  <si>
    <t>135,0</t>
  </si>
  <si>
    <t>250,0</t>
  </si>
  <si>
    <t>272,5</t>
  </si>
  <si>
    <t>290,0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</si>
  <si>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</si>
  <si>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</si>
  <si>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</si>
  <si>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</si>
  <si>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67.5</t>
  </si>
  <si>
    <t xml:space="preserve">Мужчины </t>
  </si>
  <si>
    <t>1</t>
  </si>
  <si>
    <t>Егорова Ольга</t>
  </si>
  <si>
    <t>Сергеев Александр</t>
  </si>
  <si>
    <t>Смирнов Антон</t>
  </si>
  <si>
    <t>ВЕСОВАЯ КАТЕГОРИЯ   60</t>
  </si>
  <si>
    <t>59,10</t>
  </si>
  <si>
    <t>87,5</t>
  </si>
  <si>
    <t>90,0</t>
  </si>
  <si>
    <t>92,5</t>
  </si>
  <si>
    <t>47,5</t>
  </si>
  <si>
    <t>50,0</t>
  </si>
  <si>
    <t>52,5</t>
  </si>
  <si>
    <t>85,0</t>
  </si>
  <si>
    <t>ВЕСОВАЯ КАТЕГОРИЯ   75</t>
  </si>
  <si>
    <t>Открытая (30.05.2007)/17</t>
  </si>
  <si>
    <t>71,20</t>
  </si>
  <si>
    <t>147,5</t>
  </si>
  <si>
    <t>95,0</t>
  </si>
  <si>
    <t>ВЕСОВАЯ КАТЕГОРИЯ   90</t>
  </si>
  <si>
    <t>Юноши 15-19 (25.08.2006)/18</t>
  </si>
  <si>
    <t>89,20</t>
  </si>
  <si>
    <t>120,0</t>
  </si>
  <si>
    <t>127,5</t>
  </si>
  <si>
    <t>261,0</t>
  </si>
  <si>
    <t xml:space="preserve">Тресков Виктор </t>
  </si>
  <si>
    <t>Юноши 15-19 (05.07.2007)/17</t>
  </si>
  <si>
    <t>88,90</t>
  </si>
  <si>
    <t>170,0</t>
  </si>
  <si>
    <t>115,0</t>
  </si>
  <si>
    <t>185,0</t>
  </si>
  <si>
    <t>195,0</t>
  </si>
  <si>
    <t>202,5</t>
  </si>
  <si>
    <t>Открытая (09.10.1975)/49</t>
  </si>
  <si>
    <t>90,00</t>
  </si>
  <si>
    <t>60,0</t>
  </si>
  <si>
    <t xml:space="preserve"> </t>
  </si>
  <si>
    <t>Юноши 15-19 (22.09.2008)/16</t>
  </si>
  <si>
    <t>93,40</t>
  </si>
  <si>
    <t>152,5</t>
  </si>
  <si>
    <t>102,5</t>
  </si>
  <si>
    <t>160,0</t>
  </si>
  <si>
    <t xml:space="preserve">Гатауллин Тимур </t>
  </si>
  <si>
    <t xml:space="preserve">Юноши </t>
  </si>
  <si>
    <t xml:space="preserve">Юноши 15-19 </t>
  </si>
  <si>
    <t>75</t>
  </si>
  <si>
    <t>Филиппова Виктория</t>
  </si>
  <si>
    <t>Зверев Артем</t>
  </si>
  <si>
    <t>Аверьяков Андрей</t>
  </si>
  <si>
    <t>2</t>
  </si>
  <si>
    <t>Соколов Михаил</t>
  </si>
  <si>
    <t>-</t>
  </si>
  <si>
    <t>Губанов Евгений</t>
  </si>
  <si>
    <t>Макарычев Арсений</t>
  </si>
  <si>
    <t>ВЕСОВАЯ КАТЕГОРИЯ   82.5</t>
  </si>
  <si>
    <t>Открытая (20.06.1994)/30</t>
  </si>
  <si>
    <t>81,40</t>
  </si>
  <si>
    <t>200,0</t>
  </si>
  <si>
    <t>230,0</t>
  </si>
  <si>
    <t xml:space="preserve">Литвинов Александр </t>
  </si>
  <si>
    <t>Воронцов Кирилл</t>
  </si>
  <si>
    <t>Открытая (31.12.1989)/34</t>
  </si>
  <si>
    <t>58,30</t>
  </si>
  <si>
    <t>117,5</t>
  </si>
  <si>
    <t xml:space="preserve">Захаров Никита </t>
  </si>
  <si>
    <t>Кузнецова Евгения</t>
  </si>
  <si>
    <t>74,00</t>
  </si>
  <si>
    <t>Открытая (15.10.1980)/44</t>
  </si>
  <si>
    <t>98,60</t>
  </si>
  <si>
    <t>180,0</t>
  </si>
  <si>
    <t xml:space="preserve">Трухтанов Павел </t>
  </si>
  <si>
    <t>Юноши 15-19 (19.02.2010)/14</t>
  </si>
  <si>
    <t>110,00</t>
  </si>
  <si>
    <t>Открытая (27.03.1993)/31</t>
  </si>
  <si>
    <t>107,50</t>
  </si>
  <si>
    <t>ВЕСОВАЯ КАТЕГОРИЯ   125</t>
  </si>
  <si>
    <t>Открытая (05.02.1990)/34</t>
  </si>
  <si>
    <t>117,60</t>
  </si>
  <si>
    <t>187,5</t>
  </si>
  <si>
    <t>192,5</t>
  </si>
  <si>
    <t xml:space="preserve">Результат </t>
  </si>
  <si>
    <t>Результат</t>
  </si>
  <si>
    <t>Губанов Александр</t>
  </si>
  <si>
    <t>Мирзахметов Вадим</t>
  </si>
  <si>
    <t>Баусов Кирилл</t>
  </si>
  <si>
    <t>Длужевский Сергей</t>
  </si>
  <si>
    <t>Потапов Денис</t>
  </si>
  <si>
    <t>ВЕСОВАЯ КАТЕГОРИЯ   56</t>
  </si>
  <si>
    <t>54,00</t>
  </si>
  <si>
    <t>62,5</t>
  </si>
  <si>
    <t>67,5</t>
  </si>
  <si>
    <t>Открытая (29.07.1996)/28</t>
  </si>
  <si>
    <t>55,30</t>
  </si>
  <si>
    <t>55,0</t>
  </si>
  <si>
    <t>57,5</t>
  </si>
  <si>
    <t>Юноши 15-19 (22.05.2011)/13</t>
  </si>
  <si>
    <t>53,70</t>
  </si>
  <si>
    <t>42,5</t>
  </si>
  <si>
    <t>Открытая (13.06.2000)/24</t>
  </si>
  <si>
    <t>67,00</t>
  </si>
  <si>
    <t>Юноши 15-19 (19.05.2009)/15</t>
  </si>
  <si>
    <t>72,00</t>
  </si>
  <si>
    <t>Юноши 15-19 (29.09.2008)/16</t>
  </si>
  <si>
    <t>75,00</t>
  </si>
  <si>
    <t>Открытая (03.07.1993)/31</t>
  </si>
  <si>
    <t>79,80</t>
  </si>
  <si>
    <t>Открытая (08.05.1976)/48</t>
  </si>
  <si>
    <t>88,40</t>
  </si>
  <si>
    <t>172,5</t>
  </si>
  <si>
    <t>175,0</t>
  </si>
  <si>
    <t xml:space="preserve">Кучин Игорь </t>
  </si>
  <si>
    <t>Открытая (14.08.1991)/33</t>
  </si>
  <si>
    <t>88,50</t>
  </si>
  <si>
    <t>Открытая (30.11.2000)/23</t>
  </si>
  <si>
    <t>88,30</t>
  </si>
  <si>
    <t>Открытая (27.10.1980)/43</t>
  </si>
  <si>
    <t>92,30</t>
  </si>
  <si>
    <t>177,5</t>
  </si>
  <si>
    <t>Открытая (25.09.1992)/32</t>
  </si>
  <si>
    <t>98,50</t>
  </si>
  <si>
    <t xml:space="preserve">Гераймас Александр </t>
  </si>
  <si>
    <t>97,10</t>
  </si>
  <si>
    <t>137,5</t>
  </si>
  <si>
    <t>94,00</t>
  </si>
  <si>
    <t>Юноши 15-19 (04.08.2007)/17</t>
  </si>
  <si>
    <t>108,80</t>
  </si>
  <si>
    <t>56</t>
  </si>
  <si>
    <t>Назырова Юлия</t>
  </si>
  <si>
    <t>Романычева Анастасия</t>
  </si>
  <si>
    <t>Садыков Айнур</t>
  </si>
  <si>
    <t>Павлов Павел</t>
  </si>
  <si>
    <t>Земляков Максим</t>
  </si>
  <si>
    <t>Кунах Виктор</t>
  </si>
  <si>
    <t>Род Агний</t>
  </si>
  <si>
    <t>Плотников Герман</t>
  </si>
  <si>
    <t>Турланов Батырхан</t>
  </si>
  <si>
    <t>Гусаров Владислав</t>
  </si>
  <si>
    <t>Калашников Александр</t>
  </si>
  <si>
    <t>Турланов Берик</t>
  </si>
  <si>
    <t>Гераймас Александр</t>
  </si>
  <si>
    <t>Севрюков Николай</t>
  </si>
  <si>
    <t>Дудочкин Артём</t>
  </si>
  <si>
    <t>Открытая (17.06.1982)/42</t>
  </si>
  <si>
    <t>87,90</t>
  </si>
  <si>
    <t>Яковлев Максим</t>
  </si>
  <si>
    <t>66,40</t>
  </si>
  <si>
    <t>75,0</t>
  </si>
  <si>
    <t>Юноши 15-19 (18.09.2006)/18</t>
  </si>
  <si>
    <t>65,80</t>
  </si>
  <si>
    <t>210,0</t>
  </si>
  <si>
    <t>Открытая (01.06.1989)/35</t>
  </si>
  <si>
    <t>74,20</t>
  </si>
  <si>
    <t>Юноши 15-19 (31.10.2006)/17</t>
  </si>
  <si>
    <t>79,50</t>
  </si>
  <si>
    <t>160,0o</t>
  </si>
  <si>
    <t>170,0o</t>
  </si>
  <si>
    <t>177,5o</t>
  </si>
  <si>
    <t>320,0</t>
  </si>
  <si>
    <t>350,0</t>
  </si>
  <si>
    <t>360,0</t>
  </si>
  <si>
    <t>105,20</t>
  </si>
  <si>
    <t>205,0</t>
  </si>
  <si>
    <t>Кнутова Татьяна</t>
  </si>
  <si>
    <t>Каракулов Глеб</t>
  </si>
  <si>
    <t>Хван Григорий</t>
  </si>
  <si>
    <t>Дороднов Игорь</t>
  </si>
  <si>
    <t>Новлянский Виктор</t>
  </si>
  <si>
    <t>Девушки 15-19 (28.10.2007)/16</t>
  </si>
  <si>
    <t>58,60</t>
  </si>
  <si>
    <t>71,70</t>
  </si>
  <si>
    <t>69,40</t>
  </si>
  <si>
    <t>97,5</t>
  </si>
  <si>
    <t xml:space="preserve">Хомяков Виталий </t>
  </si>
  <si>
    <t xml:space="preserve">Михеев Дмитрий </t>
  </si>
  <si>
    <t>Юноши 15-19 (20.11.2007)/16</t>
  </si>
  <si>
    <t>53,60</t>
  </si>
  <si>
    <t xml:space="preserve">Мамонов Демьян </t>
  </si>
  <si>
    <t>Юноши 15-19 (23.04.2008)/16</t>
  </si>
  <si>
    <t>64,80</t>
  </si>
  <si>
    <t>Юноши 15-19 (11.08.2010)/14</t>
  </si>
  <si>
    <t>65,70</t>
  </si>
  <si>
    <t xml:space="preserve">Мигалев Даниил </t>
  </si>
  <si>
    <t>Юноши 15-19 (11.02.2006)/18</t>
  </si>
  <si>
    <t>73,00</t>
  </si>
  <si>
    <t>Юноши 15-19 (10.01.2006)/18</t>
  </si>
  <si>
    <t>73,50</t>
  </si>
  <si>
    <t>182,5</t>
  </si>
  <si>
    <t>207,5</t>
  </si>
  <si>
    <t>Юноши 15-19 (21.08.2009)/15</t>
  </si>
  <si>
    <t>68,70</t>
  </si>
  <si>
    <t>Открытая (10.03.2010)/14</t>
  </si>
  <si>
    <t>70,40</t>
  </si>
  <si>
    <t>Открытая (17.09.1985)/39</t>
  </si>
  <si>
    <t>73,80</t>
  </si>
  <si>
    <t>Юноши 15-19 (04.01.2010)/14</t>
  </si>
  <si>
    <t>82,50</t>
  </si>
  <si>
    <t>190,0</t>
  </si>
  <si>
    <t>89,40</t>
  </si>
  <si>
    <t>80,0</t>
  </si>
  <si>
    <t>Белобородова Олеся</t>
  </si>
  <si>
    <t>Крылова Ксения</t>
  </si>
  <si>
    <t>Реутова Гелена</t>
  </si>
  <si>
    <t>Михеев Дмитрий</t>
  </si>
  <si>
    <t>Мамонов Демьян</t>
  </si>
  <si>
    <t>Маркуев Саид-Магомед</t>
  </si>
  <si>
    <t>Мигалев Даниил</t>
  </si>
  <si>
    <t>Дмитриев Дмитрий</t>
  </si>
  <si>
    <t>3</t>
  </si>
  <si>
    <t>Малов Тимофей</t>
  </si>
  <si>
    <t>Чемоданов Евгений</t>
  </si>
  <si>
    <t>Толеп Канат</t>
  </si>
  <si>
    <t>Бабий Илья</t>
  </si>
  <si>
    <t>Бычковский Арсений</t>
  </si>
  <si>
    <t>Открытая (07.12.1985)/38</t>
  </si>
  <si>
    <t>64,90</t>
  </si>
  <si>
    <t>Найденова Евгения</t>
  </si>
  <si>
    <t>Юноши 15-19 (16.04.2006)/18</t>
  </si>
  <si>
    <t>85,80</t>
  </si>
  <si>
    <t>212,5</t>
  </si>
  <si>
    <t>Юноши 15-19 (17.12.2005)/18</t>
  </si>
  <si>
    <t>107,5</t>
  </si>
  <si>
    <t>Карташов Григорий</t>
  </si>
  <si>
    <t>Львов Иван</t>
  </si>
  <si>
    <t>59,00</t>
  </si>
  <si>
    <t>32,5</t>
  </si>
  <si>
    <t>35,0</t>
  </si>
  <si>
    <t>Открытая (06.01.1971)/53</t>
  </si>
  <si>
    <t>95,30</t>
  </si>
  <si>
    <t>65,0</t>
  </si>
  <si>
    <t>70,0</t>
  </si>
  <si>
    <t>77,5</t>
  </si>
  <si>
    <t>Нагорная Дарья</t>
  </si>
  <si>
    <t>Тресков Виктор</t>
  </si>
  <si>
    <t>58,80</t>
  </si>
  <si>
    <t>Открытая (03.04.1999)/25</t>
  </si>
  <si>
    <t>57,30</t>
  </si>
  <si>
    <t>62,30</t>
  </si>
  <si>
    <t>72,5</t>
  </si>
  <si>
    <t>Открытая (23.09.1999)/25</t>
  </si>
  <si>
    <t>72,40</t>
  </si>
  <si>
    <t>79,40</t>
  </si>
  <si>
    <t xml:space="preserve">Синельник Александр </t>
  </si>
  <si>
    <t>Лемдьянов Александр</t>
  </si>
  <si>
    <t>Соколицкий Вадим</t>
  </si>
  <si>
    <t>Коршиков Алексей</t>
  </si>
  <si>
    <t>Беднов Данил</t>
  </si>
  <si>
    <t>Кабанов Александр</t>
  </si>
  <si>
    <t>ВЕСОВАЯ КАТЕГОРИЯ   44</t>
  </si>
  <si>
    <t>44,00</t>
  </si>
  <si>
    <t>22,5</t>
  </si>
  <si>
    <t>25,0</t>
  </si>
  <si>
    <t>26,0</t>
  </si>
  <si>
    <t>54,90</t>
  </si>
  <si>
    <t>Открытая (18.11.1999)/24</t>
  </si>
  <si>
    <t>55,40</t>
  </si>
  <si>
    <t>45,0</t>
  </si>
  <si>
    <t>66,70</t>
  </si>
  <si>
    <t>48,0</t>
  </si>
  <si>
    <t>71,60</t>
  </si>
  <si>
    <t>Открытая (01.06.1990)/34</t>
  </si>
  <si>
    <t>79,60</t>
  </si>
  <si>
    <t>Мастера 60+ (07.09.1963)/61</t>
  </si>
  <si>
    <t>80,40</t>
  </si>
  <si>
    <t>89,30</t>
  </si>
  <si>
    <t>82,5</t>
  </si>
  <si>
    <t>84,70</t>
  </si>
  <si>
    <t>Открытая (28.12.1994)/29</t>
  </si>
  <si>
    <t>93,00</t>
  </si>
  <si>
    <t>103,00</t>
  </si>
  <si>
    <t>Сухинина Мария</t>
  </si>
  <si>
    <t>Курбатова Елизавета</t>
  </si>
  <si>
    <t>Федотов Никита</t>
  </si>
  <si>
    <t>Беляков Олег</t>
  </si>
  <si>
    <t>Спиридонов Никита</t>
  </si>
  <si>
    <t>Павлов Дмитрий</t>
  </si>
  <si>
    <t>Семенов Андрей</t>
  </si>
  <si>
    <t>Лосев Аркадий</t>
  </si>
  <si>
    <t>Крылов Кирилл</t>
  </si>
  <si>
    <t>Вязовкин Максим</t>
  </si>
  <si>
    <t>Хомяков Семён</t>
  </si>
  <si>
    <t>Открытая (22.06.1986)/38</t>
  </si>
  <si>
    <t>80,60</t>
  </si>
  <si>
    <t>87,00</t>
  </si>
  <si>
    <t>Мамедов Руслан</t>
  </si>
  <si>
    <t>Вилисов Артём</t>
  </si>
  <si>
    <t>78,0</t>
  </si>
  <si>
    <t>142,5</t>
  </si>
  <si>
    <t xml:space="preserve">Замятин Игорь </t>
  </si>
  <si>
    <t>Открытая (14.10.1988)/36</t>
  </si>
  <si>
    <t>109,10</t>
  </si>
  <si>
    <t>310,0</t>
  </si>
  <si>
    <t>332,5</t>
  </si>
  <si>
    <t>Замятина Наталья</t>
  </si>
  <si>
    <t>Синельник Александр</t>
  </si>
  <si>
    <t>Открытая (19.06.1987)/37</t>
  </si>
  <si>
    <t>76,00</t>
  </si>
  <si>
    <t>20,0</t>
  </si>
  <si>
    <t>30,0</t>
  </si>
  <si>
    <t>Открытая (07.12.1990)/33</t>
  </si>
  <si>
    <t>64,00</t>
  </si>
  <si>
    <t>Мастера 40-49 (31.03.1980)/44</t>
  </si>
  <si>
    <t>66,00</t>
  </si>
  <si>
    <t>Открытая (17.09.1974)/50</t>
  </si>
  <si>
    <t>157,5</t>
  </si>
  <si>
    <t>Открытая (31.01.1989)/35</t>
  </si>
  <si>
    <t>72,50</t>
  </si>
  <si>
    <t>Мастера 50-59 (17.09.1974)/50</t>
  </si>
  <si>
    <t>Открытая (19.07.1998)/26</t>
  </si>
  <si>
    <t>84,60</t>
  </si>
  <si>
    <t>Открытая (31.05.1985)/39</t>
  </si>
  <si>
    <t>88,00</t>
  </si>
  <si>
    <t>Мастера 50-59 (30.03.1970)/54</t>
  </si>
  <si>
    <t>93,20</t>
  </si>
  <si>
    <t>Мастера 40-49 (15.11.1977)/46</t>
  </si>
  <si>
    <t>124,00</t>
  </si>
  <si>
    <t>Куприянова Екатерина</t>
  </si>
  <si>
    <t>Худошин Дмитрий</t>
  </si>
  <si>
    <t>Воровкин Максим</t>
  </si>
  <si>
    <t>Гугняков Александр</t>
  </si>
  <si>
    <t>Бургазов Константин</t>
  </si>
  <si>
    <t>Комисаров Александр</t>
  </si>
  <si>
    <t>Лобанов Юрий</t>
  </si>
  <si>
    <t>Исаев Андрей</t>
  </si>
  <si>
    <t>Титов Андрей</t>
  </si>
  <si>
    <t>Открытая (09.02.1991)/33</t>
  </si>
  <si>
    <t>109,00</t>
  </si>
  <si>
    <t>Семин Сергей</t>
  </si>
  <si>
    <t>Открытая (27.07.1969)/55</t>
  </si>
  <si>
    <t xml:space="preserve">Варакина Екатерина </t>
  </si>
  <si>
    <t>Мастера 50-59 (27.07.1969)/55</t>
  </si>
  <si>
    <t>Мастера 60-69 (07.09.1963)/61</t>
  </si>
  <si>
    <t>Колесник Виталий</t>
  </si>
  <si>
    <t>Открытая (03.07.1987)/37</t>
  </si>
  <si>
    <t>89,00</t>
  </si>
  <si>
    <t>Чернов Антон</t>
  </si>
  <si>
    <t>Казахстан, Уральск</t>
  </si>
  <si>
    <t>Всероссийский турнир
СПР Пауэрспорт ДК
Самара/Самарская область, 26 октября 2024 года</t>
  </si>
  <si>
    <t>Всероссийский турнир
WRPF Военный жим лежа с ДК
Самара/Самарская область, 26 октября 2024 года</t>
  </si>
  <si>
    <t>Всероссийский турнир
WRPF Военный жим лежа
Самара/Самарская область, 26 октября 2024 года</t>
  </si>
  <si>
    <t>Всероссийский турнир
СПР Жим лежа среди спортсменов с физическими особенностями
Самара/Самарская область, 26 октября 2024 года</t>
  </si>
  <si>
    <t>Всероссийский турнир
СПР Жим лежа в однопетельной софт экипировке ДК
Самара/Самарская область, 26 октября 2024 года</t>
  </si>
  <si>
    <t>Всероссийский турнир
СПР Жим лежа в однопетельной софт экипировке
Самара/Самарская область, 26 октября 2024 года</t>
  </si>
  <si>
    <t>Всероссийский турнир
WRPF Экстремальный подъем штанги на бицепс ДК
Самара/Самарская область, 26 октября 2024 года</t>
  </si>
  <si>
    <t>Всероссийский турнир
WRPF Строгий подъем штанги на бицепс ДК
Самара/Самарская область, 26 октября 2024 года</t>
  </si>
  <si>
    <t>Всероссийский турнир
WRPF Экстремальный подъем штанги на бицепс
Самара/Самарская область, 26 октября 2024 года</t>
  </si>
  <si>
    <t>Всероссийский турнир
WRPF Строгий подъем штанги на бицепс
Самара/Самарская область, 26 октября 2024 года</t>
  </si>
  <si>
    <t>Казахстан, Атырау</t>
  </si>
  <si>
    <t>Кубок Европы
IPL Пауэрлифтинг без экипировки ДК
Самара/Самарская область, 26 октября 2024 года</t>
  </si>
  <si>
    <t>Юниорки 20-23 (31.07.2002)/22</t>
  </si>
  <si>
    <t>Мастера 45-49 (14.03.1975)/49</t>
  </si>
  <si>
    <t>Мастера 50-54 (16.06.1972)/52</t>
  </si>
  <si>
    <t>Юниорки 20-23 (20.06.2001)/23</t>
  </si>
  <si>
    <t>Мастера 45-49 (08.05.1976)/48</t>
  </si>
  <si>
    <t>Мастера 40-44 (13.08.1982)/42</t>
  </si>
  <si>
    <t>Мастера 55-59 (06.02.1966)/58</t>
  </si>
  <si>
    <t>Мастера 70-74 (06.02.1951)/73</t>
  </si>
  <si>
    <t>Мастера 40-44 (15.10.1980)/44</t>
  </si>
  <si>
    <t>Девушки 13-19 (19.04.2005)/19</t>
  </si>
  <si>
    <t>Мастера 40-49 (14.04.1980)/44</t>
  </si>
  <si>
    <t>Мастера 50-59 (06.02.1966)/58</t>
  </si>
  <si>
    <t>Юниорки 20-23 (13.05.2002)/22</t>
  </si>
  <si>
    <t>Юниорки 20-23 (11.03.2001)/23</t>
  </si>
  <si>
    <t>Юниоры 20-23 (29.06.2004)/20</t>
  </si>
  <si>
    <t>Мастера 45-49 (09.10.1975)/49</t>
  </si>
  <si>
    <t>Мастера 55-59 (01.11.1965)/58</t>
  </si>
  <si>
    <t>Юниорки 20-23 (30.10.2001)/22</t>
  </si>
  <si>
    <t>Юниорки 20-23 (21.01.2001)/23</t>
  </si>
  <si>
    <t>Мастера 50-59 (17.07.1970)/54</t>
  </si>
  <si>
    <t>Юноши 13-19 (17.10.2005)/19</t>
  </si>
  <si>
    <t>Юноши 13-19 (29.09.2008)/16</t>
  </si>
  <si>
    <t>Юноши 13-19 (09.01.2010)/14</t>
  </si>
  <si>
    <t>Юниоры 20-23 (30.11.2000)/23</t>
  </si>
  <si>
    <t>Юниоры 20-23 (30.07.2002)/22</t>
  </si>
  <si>
    <t>Юниоры 20-23 (17.12.2003)/20</t>
  </si>
  <si>
    <t>Юноши 13-19 (19.06.2007)/17</t>
  </si>
  <si>
    <t>Юноши 13-19 (28.10.2008)/15</t>
  </si>
  <si>
    <t>Юноши 13-19 (24.06.2006)/18</t>
  </si>
  <si>
    <t>Мастера 40-49 (10.06.1979)/45</t>
  </si>
  <si>
    <t>Кубок Европы
IPL Пауэрлифтинг без экипировки
Самара/Самарская область, 26 октября 2024 года</t>
  </si>
  <si>
    <t>Кубок Европы
IPL Пауэрлифтинг в бинтах ДК
Самара/Самарская область, 26 октября 2024 года</t>
  </si>
  <si>
    <t>Кубок Европы
IPL Пауэрлифтинг в бинтах
Самара/Самарская область, 26 октября 2024 года</t>
  </si>
  <si>
    <t>Кубок Европы
IPL Силовое двоеборье без экипировки ДК
Самара/Самарская область, 26 октября 2024 года</t>
  </si>
  <si>
    <t>Кубок Европы
IPL Силовое двоеборье без экипировки
Самара/Самарская область, 26 октября 2024 года</t>
  </si>
  <si>
    <t>Кубок Европы
IPL Присед без экипировки ДК
Самара/Самарская область, 26 октября 2024 года</t>
  </si>
  <si>
    <t>Кубок Европы
IPL Присед без экипировки
Самара/Самарская область, 26 октября 2024 года</t>
  </si>
  <si>
    <t>Кубок Европы
IPL Жим лежа без экипировки ДК
Самара/Самарская область, 26 октября 2024 года</t>
  </si>
  <si>
    <t>Кубок Европы
IPL Жим лежа без экипировки
Самара/Самарская область, 26 октября 2024 года</t>
  </si>
  <si>
    <t>Кубок Европы
IPL Жим лежа в однослойной экипировке
Самара/Самарская область, 26 октября 2024 года</t>
  </si>
  <si>
    <t>Кубок Европы
IPL Становая тяга без экипировки ДК
Самара/Самарская область, 26 октября 2024 года</t>
  </si>
  <si>
    <t>Кубок Европы
IPL Становая тяга без экипировки
Самара/Самарская область, 26 октября 2024 года</t>
  </si>
  <si>
    <t>Всероссийский турнир
WRPF Жим лежа в однопетельной софт экипировке
Самара/Самарская область, 26 октября 2024 года</t>
  </si>
  <si>
    <t>Всероссийский турнир
WRPF Жим лежа в однопетельной софт экипировке ДК
Самара/Самарская область, 26 октября 2024 года</t>
  </si>
  <si>
    <t>Девушки 17-19 (19.04.2005)/19</t>
  </si>
  <si>
    <t>жим</t>
  </si>
  <si>
    <t>№</t>
  </si>
  <si>
    <t>Самарская область, Самара</t>
  </si>
  <si>
    <t>Оренбургская область, Бузулук</t>
  </si>
  <si>
    <t>Челябинская область, Трёхгорный</t>
  </si>
  <si>
    <t xml:space="preserve">Республика Татарстан, Набережные Челны </t>
  </si>
  <si>
    <t>Самарская область, Жигулёвск</t>
  </si>
  <si>
    <t>Республика Татарстан, Набережные Челны</t>
  </si>
  <si>
    <t>Самарская область, Сызрань</t>
  </si>
  <si>
    <t>Пензенская область, Пенза</t>
  </si>
  <si>
    <t>Самарская область, Новокуйбышевск</t>
  </si>
  <si>
    <t>Самарская область, Тольятти</t>
  </si>
  <si>
    <t>Москва</t>
  </si>
  <si>
    <t>Самарская область, Алексеевка</t>
  </si>
  <si>
    <t>тяга</t>
  </si>
  <si>
    <t xml:space="preserve">
Дата рождения/Возраст</t>
  </si>
  <si>
    <t>Возрастная группа</t>
  </si>
  <si>
    <t>J</t>
  </si>
  <si>
    <t>O</t>
  </si>
  <si>
    <t>T</t>
  </si>
  <si>
    <t>M2</t>
  </si>
  <si>
    <t>M3</t>
  </si>
  <si>
    <t>M1</t>
  </si>
  <si>
    <t>M4</t>
  </si>
  <si>
    <t>M7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</si>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</sst>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17"/>
  <sheetViews>
    <sheetView workbookViewId="0">
      <selection activeCell="E18" sqref="E18"/>
    </sheetView>
  </sheetViews>
  <sheetFormatPr baseColWidth="10" defaultColWidth="9.1640625" defaultRowHeight="13"/>
  <cols>
    <col min="1" max="1" width="7.5" style="6" bestFit="1" customWidth="1"/>
    <col min="2" max="2" width="19.3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2.83203125" style="6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21" bestFit="1" customWidth="1"/>
    <col min="20" max="20" width="8.5" style="8" bestFit="1" customWidth="1"/>
    <col min="21" max="21" width="22.6640625" style="6" customWidth="1"/>
    <col min="22" max="16384" width="9.1640625" style="3"/>
  </cols>
  <sheetData>
    <row r="1" spans="1:21" s="2" customFormat="1" ht="29" customHeight="1">
      <c r="A1" s="53" t="s">
        <v>398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65" t="s">
        <v>11</v>
      </c>
      <c r="P3" s="65"/>
      <c r="Q3" s="65"/>
      <c r="R3" s="65"/>
      <c r="S3" s="70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">
        <v>1</v>
      </c>
      <c r="P4" s="4">
        <v>2</v>
      </c>
      <c r="Q4" s="4">
        <v>3</v>
      </c>
      <c r="R4" s="4" t="s">
        <v>5</v>
      </c>
      <c r="S4" s="71"/>
      <c r="T4" s="48"/>
      <c r="U4" s="50"/>
    </row>
    <row r="5" spans="1:21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3" t="s">
        <v>52</v>
      </c>
      <c r="B6" s="12" t="s">
        <v>97</v>
      </c>
      <c r="C6" s="12" t="s">
        <v>399</v>
      </c>
      <c r="D6" s="12" t="s">
        <v>57</v>
      </c>
      <c r="E6" s="13" t="s">
        <v>461</v>
      </c>
      <c r="F6" s="12" t="s">
        <v>446</v>
      </c>
      <c r="G6" s="22" t="s">
        <v>58</v>
      </c>
      <c r="H6" s="22" t="s">
        <v>59</v>
      </c>
      <c r="I6" s="22" t="s">
        <v>60</v>
      </c>
      <c r="J6" s="23"/>
      <c r="K6" s="22" t="s">
        <v>61</v>
      </c>
      <c r="L6" s="22" t="s">
        <v>62</v>
      </c>
      <c r="M6" s="24" t="s">
        <v>63</v>
      </c>
      <c r="N6" s="23"/>
      <c r="O6" s="22" t="s">
        <v>64</v>
      </c>
      <c r="P6" s="22" t="s">
        <v>59</v>
      </c>
      <c r="Q6" s="22" t="s">
        <v>60</v>
      </c>
      <c r="R6" s="23"/>
      <c r="S6" s="43" t="str">
        <f>"235,0"</f>
        <v>235,0</v>
      </c>
      <c r="T6" s="14" t="str">
        <f>"265,1035"</f>
        <v>265,1035</v>
      </c>
      <c r="U6" s="12"/>
    </row>
    <row r="8" spans="1:21" ht="16">
      <c r="A8" s="66" t="s">
        <v>65</v>
      </c>
      <c r="B8" s="66"/>
      <c r="C8" s="66"/>
      <c r="D8" s="66"/>
      <c r="E8" s="67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23" t="s">
        <v>52</v>
      </c>
      <c r="B9" s="12" t="s">
        <v>98</v>
      </c>
      <c r="C9" s="12" t="s">
        <v>66</v>
      </c>
      <c r="D9" s="12" t="s">
        <v>67</v>
      </c>
      <c r="E9" s="13" t="s">
        <v>462</v>
      </c>
      <c r="F9" s="12" t="s">
        <v>447</v>
      </c>
      <c r="G9" s="22" t="s">
        <v>42</v>
      </c>
      <c r="H9" s="22" t="s">
        <v>16</v>
      </c>
      <c r="I9" s="22" t="s">
        <v>68</v>
      </c>
      <c r="J9" s="23"/>
      <c r="K9" s="22" t="s">
        <v>69</v>
      </c>
      <c r="L9" s="24" t="s">
        <v>18</v>
      </c>
      <c r="M9" s="22" t="s">
        <v>18</v>
      </c>
      <c r="N9" s="23"/>
      <c r="O9" s="24" t="s">
        <v>21</v>
      </c>
      <c r="P9" s="24" t="s">
        <v>21</v>
      </c>
      <c r="Q9" s="22" t="s">
        <v>21</v>
      </c>
      <c r="R9" s="23"/>
      <c r="S9" s="43" t="str">
        <f>"397,5"</f>
        <v>397,5</v>
      </c>
      <c r="T9" s="14" t="str">
        <f>"294,0705"</f>
        <v>294,0705</v>
      </c>
      <c r="U9" s="12"/>
    </row>
    <row r="11" spans="1:21" ht="16">
      <c r="A11" s="66" t="s">
        <v>70</v>
      </c>
      <c r="B11" s="66"/>
      <c r="C11" s="66"/>
      <c r="D11" s="66"/>
      <c r="E11" s="67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36" t="s">
        <v>52</v>
      </c>
      <c r="B12" s="25" t="s">
        <v>99</v>
      </c>
      <c r="C12" s="25" t="s">
        <v>71</v>
      </c>
      <c r="D12" s="25" t="s">
        <v>72</v>
      </c>
      <c r="E12" s="26" t="s">
        <v>463</v>
      </c>
      <c r="F12" s="25" t="s">
        <v>446</v>
      </c>
      <c r="G12" s="34" t="s">
        <v>15</v>
      </c>
      <c r="H12" s="34" t="s">
        <v>16</v>
      </c>
      <c r="I12" s="35" t="s">
        <v>68</v>
      </c>
      <c r="J12" s="36"/>
      <c r="K12" s="34" t="s">
        <v>73</v>
      </c>
      <c r="L12" s="34" t="s">
        <v>41</v>
      </c>
      <c r="M12" s="35" t="s">
        <v>74</v>
      </c>
      <c r="N12" s="36"/>
      <c r="O12" s="35" t="s">
        <v>43</v>
      </c>
      <c r="P12" s="34" t="s">
        <v>43</v>
      </c>
      <c r="Q12" s="35" t="s">
        <v>75</v>
      </c>
      <c r="R12" s="36"/>
      <c r="S12" s="44" t="str">
        <f>"515,0"</f>
        <v>515,0</v>
      </c>
      <c r="T12" s="27" t="str">
        <f>"330,2695"</f>
        <v>330,2695</v>
      </c>
      <c r="U12" s="25" t="s">
        <v>76</v>
      </c>
    </row>
    <row r="13" spans="1:21">
      <c r="A13" s="39" t="s">
        <v>100</v>
      </c>
      <c r="B13" s="28" t="s">
        <v>101</v>
      </c>
      <c r="C13" s="28" t="s">
        <v>77</v>
      </c>
      <c r="D13" s="28" t="s">
        <v>78</v>
      </c>
      <c r="E13" s="29" t="s">
        <v>463</v>
      </c>
      <c r="F13" s="28" t="s">
        <v>446</v>
      </c>
      <c r="G13" s="37" t="s">
        <v>31</v>
      </c>
      <c r="H13" s="37" t="s">
        <v>79</v>
      </c>
      <c r="I13" s="38" t="s">
        <v>79</v>
      </c>
      <c r="J13" s="39"/>
      <c r="K13" s="38" t="s">
        <v>20</v>
      </c>
      <c r="L13" s="38" t="s">
        <v>80</v>
      </c>
      <c r="M13" s="38" t="s">
        <v>73</v>
      </c>
      <c r="N13" s="39"/>
      <c r="O13" s="38" t="s">
        <v>81</v>
      </c>
      <c r="P13" s="38" t="s">
        <v>82</v>
      </c>
      <c r="Q13" s="38" t="s">
        <v>83</v>
      </c>
      <c r="R13" s="39"/>
      <c r="S13" s="45" t="str">
        <f>"492,5"</f>
        <v>492,5</v>
      </c>
      <c r="T13" s="30" t="str">
        <f>"316,3820"</f>
        <v>316,3820</v>
      </c>
      <c r="U13" s="28"/>
    </row>
    <row r="14" spans="1:21">
      <c r="A14" s="42" t="s">
        <v>102</v>
      </c>
      <c r="B14" s="31" t="s">
        <v>103</v>
      </c>
      <c r="C14" s="31" t="s">
        <v>84</v>
      </c>
      <c r="D14" s="31" t="s">
        <v>85</v>
      </c>
      <c r="E14" s="32" t="s">
        <v>462</v>
      </c>
      <c r="F14" s="31" t="s">
        <v>446</v>
      </c>
      <c r="G14" s="40" t="s">
        <v>18</v>
      </c>
      <c r="H14" s="41" t="s">
        <v>73</v>
      </c>
      <c r="I14" s="41" t="s">
        <v>15</v>
      </c>
      <c r="J14" s="42"/>
      <c r="K14" s="40" t="s">
        <v>86</v>
      </c>
      <c r="L14" s="40" t="s">
        <v>86</v>
      </c>
      <c r="M14" s="40" t="s">
        <v>86</v>
      </c>
      <c r="N14" s="42"/>
      <c r="O14" s="40"/>
      <c r="P14" s="42"/>
      <c r="Q14" s="42"/>
      <c r="R14" s="42"/>
      <c r="S14" s="46">
        <v>0</v>
      </c>
      <c r="T14" s="33" t="str">
        <f>"0,0000"</f>
        <v>0,0000</v>
      </c>
      <c r="U14" s="31" t="s">
        <v>87</v>
      </c>
    </row>
    <row r="16" spans="1:21" ht="16">
      <c r="A16" s="66" t="s">
        <v>24</v>
      </c>
      <c r="B16" s="66"/>
      <c r="C16" s="66"/>
      <c r="D16" s="66"/>
      <c r="E16" s="67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21">
      <c r="A17" s="23" t="s">
        <v>52</v>
      </c>
      <c r="B17" s="12" t="s">
        <v>104</v>
      </c>
      <c r="C17" s="12" t="s">
        <v>88</v>
      </c>
      <c r="D17" s="12" t="s">
        <v>89</v>
      </c>
      <c r="E17" s="13" t="s">
        <v>463</v>
      </c>
      <c r="F17" s="12" t="s">
        <v>446</v>
      </c>
      <c r="G17" s="22" t="s">
        <v>15</v>
      </c>
      <c r="H17" s="22" t="s">
        <v>16</v>
      </c>
      <c r="I17" s="22" t="s">
        <v>90</v>
      </c>
      <c r="J17" s="23"/>
      <c r="K17" s="22" t="s">
        <v>59</v>
      </c>
      <c r="L17" s="22" t="s">
        <v>69</v>
      </c>
      <c r="M17" s="24" t="s">
        <v>91</v>
      </c>
      <c r="N17" s="23"/>
      <c r="O17" s="22" t="s">
        <v>30</v>
      </c>
      <c r="P17" s="22" t="s">
        <v>92</v>
      </c>
      <c r="Q17" s="22" t="s">
        <v>31</v>
      </c>
      <c r="R17" s="23"/>
      <c r="S17" s="43" t="str">
        <f>"412,5"</f>
        <v>412,5</v>
      </c>
      <c r="T17" s="14" t="str">
        <f>"258,5963"</f>
        <v>258,5963</v>
      </c>
      <c r="U17" s="12" t="s">
        <v>93</v>
      </c>
    </row>
  </sheetData>
  <mergeCells count="17">
    <mergeCell ref="A8:R8"/>
    <mergeCell ref="A11:R11"/>
    <mergeCell ref="A16:R16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0"/>
  <sheetViews>
    <sheetView workbookViewId="0">
      <selection activeCell="E21" sqref="E21"/>
    </sheetView>
  </sheetViews>
  <sheetFormatPr baseColWidth="10" defaultColWidth="9.1640625" defaultRowHeight="13"/>
  <cols>
    <col min="1" max="1" width="7.5" style="6" bestFit="1" customWidth="1"/>
    <col min="2" max="2" width="19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3" t="s">
        <v>437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65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133</v>
      </c>
      <c r="C6" s="12" t="s">
        <v>406</v>
      </c>
      <c r="D6" s="12" t="s">
        <v>117</v>
      </c>
      <c r="E6" s="13" t="s">
        <v>468</v>
      </c>
      <c r="F6" s="12" t="s">
        <v>446</v>
      </c>
      <c r="G6" s="22" t="s">
        <v>59</v>
      </c>
      <c r="H6" s="24" t="s">
        <v>69</v>
      </c>
      <c r="I6" s="24" t="s">
        <v>69</v>
      </c>
      <c r="J6" s="23"/>
      <c r="K6" s="14" t="str">
        <f>"90,0"</f>
        <v>90,0</v>
      </c>
      <c r="L6" s="14" t="str">
        <f>"117,8213"</f>
        <v>117,8213</v>
      </c>
      <c r="M6" s="12"/>
    </row>
    <row r="7" spans="1:13">
      <c r="K7" s="21"/>
    </row>
    <row r="8" spans="1:13" ht="16">
      <c r="A8" s="66" t="s">
        <v>70</v>
      </c>
      <c r="B8" s="66"/>
      <c r="C8" s="66"/>
      <c r="D8" s="66"/>
      <c r="E8" s="67"/>
      <c r="F8" s="66"/>
      <c r="G8" s="66"/>
      <c r="H8" s="66"/>
      <c r="I8" s="66"/>
      <c r="J8" s="66"/>
      <c r="K8" s="21"/>
    </row>
    <row r="9" spans="1:13">
      <c r="A9" s="23" t="s">
        <v>52</v>
      </c>
      <c r="B9" s="12" t="s">
        <v>186</v>
      </c>
      <c r="C9" s="12" t="s">
        <v>162</v>
      </c>
      <c r="D9" s="12" t="s">
        <v>163</v>
      </c>
      <c r="E9" s="13" t="s">
        <v>462</v>
      </c>
      <c r="F9" s="12" t="s">
        <v>386</v>
      </c>
      <c r="G9" s="22" t="s">
        <v>90</v>
      </c>
      <c r="H9" s="22" t="s">
        <v>92</v>
      </c>
      <c r="I9" s="24" t="s">
        <v>31</v>
      </c>
      <c r="J9" s="23"/>
      <c r="K9" s="43" t="str">
        <f>"160,0"</f>
        <v>160,0</v>
      </c>
      <c r="L9" s="14" t="str">
        <f>"103,0400"</f>
        <v>103,0400</v>
      </c>
      <c r="M9" s="12"/>
    </row>
    <row r="11" spans="1:13" ht="16">
      <c r="A11" s="66" t="s">
        <v>24</v>
      </c>
      <c r="B11" s="66"/>
      <c r="C11" s="66"/>
      <c r="D11" s="66"/>
      <c r="E11" s="67"/>
      <c r="F11" s="66"/>
      <c r="G11" s="66"/>
      <c r="H11" s="66"/>
      <c r="I11" s="66"/>
      <c r="J11" s="66"/>
    </row>
    <row r="12" spans="1:13">
      <c r="A12" s="36" t="s">
        <v>52</v>
      </c>
      <c r="B12" s="25" t="s">
        <v>134</v>
      </c>
      <c r="C12" s="25" t="s">
        <v>118</v>
      </c>
      <c r="D12" s="25" t="s">
        <v>119</v>
      </c>
      <c r="E12" s="26" t="s">
        <v>462</v>
      </c>
      <c r="F12" s="25" t="s">
        <v>446</v>
      </c>
      <c r="G12" s="34" t="s">
        <v>22</v>
      </c>
      <c r="H12" s="34" t="s">
        <v>79</v>
      </c>
      <c r="I12" s="34" t="s">
        <v>120</v>
      </c>
      <c r="J12" s="36"/>
      <c r="K12" s="27" t="str">
        <f>"180,0"</f>
        <v>180,0</v>
      </c>
      <c r="L12" s="27" t="str">
        <f>"110,1780"</f>
        <v>110,1780</v>
      </c>
      <c r="M12" s="25" t="s">
        <v>121</v>
      </c>
    </row>
    <row r="13" spans="1:13">
      <c r="A13" s="42" t="s">
        <v>52</v>
      </c>
      <c r="B13" s="31" t="s">
        <v>134</v>
      </c>
      <c r="C13" s="31" t="s">
        <v>407</v>
      </c>
      <c r="D13" s="31" t="s">
        <v>119</v>
      </c>
      <c r="E13" s="32" t="s">
        <v>466</v>
      </c>
      <c r="F13" s="31" t="s">
        <v>446</v>
      </c>
      <c r="G13" s="41" t="s">
        <v>22</v>
      </c>
      <c r="H13" s="41" t="s">
        <v>79</v>
      </c>
      <c r="I13" s="41" t="s">
        <v>120</v>
      </c>
      <c r="J13" s="42"/>
      <c r="K13" s="33" t="str">
        <f>"180,0"</f>
        <v>180,0</v>
      </c>
      <c r="L13" s="33" t="str">
        <f>"115,0258"</f>
        <v>115,0258</v>
      </c>
      <c r="M13" s="31" t="s">
        <v>121</v>
      </c>
    </row>
    <row r="15" spans="1:13" ht="16">
      <c r="A15" s="66" t="s">
        <v>35</v>
      </c>
      <c r="B15" s="66"/>
      <c r="C15" s="66"/>
      <c r="D15" s="66"/>
      <c r="E15" s="67"/>
      <c r="F15" s="66"/>
      <c r="G15" s="66"/>
      <c r="H15" s="66"/>
      <c r="I15" s="66"/>
      <c r="J15" s="66"/>
    </row>
    <row r="16" spans="1:13">
      <c r="A16" s="36" t="s">
        <v>52</v>
      </c>
      <c r="B16" s="25" t="s">
        <v>135</v>
      </c>
      <c r="C16" s="25" t="s">
        <v>122</v>
      </c>
      <c r="D16" s="25" t="s">
        <v>123</v>
      </c>
      <c r="E16" s="26" t="s">
        <v>463</v>
      </c>
      <c r="F16" s="25" t="s">
        <v>446</v>
      </c>
      <c r="G16" s="34" t="s">
        <v>59</v>
      </c>
      <c r="H16" s="34" t="s">
        <v>69</v>
      </c>
      <c r="I16" s="34" t="s">
        <v>18</v>
      </c>
      <c r="J16" s="36"/>
      <c r="K16" s="27" t="str">
        <f>"100,0"</f>
        <v>100,0</v>
      </c>
      <c r="L16" s="27" t="str">
        <f>"58,8500"</f>
        <v>58,8500</v>
      </c>
      <c r="M16" s="25"/>
    </row>
    <row r="17" spans="1:13">
      <c r="A17" s="42" t="s">
        <v>52</v>
      </c>
      <c r="B17" s="31" t="s">
        <v>136</v>
      </c>
      <c r="C17" s="31" t="s">
        <v>124</v>
      </c>
      <c r="D17" s="31" t="s">
        <v>125</v>
      </c>
      <c r="E17" s="32" t="s">
        <v>462</v>
      </c>
      <c r="F17" s="31" t="s">
        <v>397</v>
      </c>
      <c r="G17" s="41" t="s">
        <v>27</v>
      </c>
      <c r="H17" s="41" t="s">
        <v>109</v>
      </c>
      <c r="I17" s="40" t="s">
        <v>28</v>
      </c>
      <c r="J17" s="42"/>
      <c r="K17" s="33" t="str">
        <f>"230,0"</f>
        <v>230,0</v>
      </c>
      <c r="L17" s="33" t="str">
        <f>"136,3440"</f>
        <v>136,3440</v>
      </c>
      <c r="M17" s="31"/>
    </row>
    <row r="19" spans="1:13" ht="16">
      <c r="A19" s="66" t="s">
        <v>126</v>
      </c>
      <c r="B19" s="66"/>
      <c r="C19" s="66"/>
      <c r="D19" s="66"/>
      <c r="E19" s="67"/>
      <c r="F19" s="66"/>
      <c r="G19" s="66"/>
      <c r="H19" s="66"/>
      <c r="I19" s="66"/>
      <c r="J19" s="66"/>
    </row>
    <row r="20" spans="1:13">
      <c r="A20" s="23" t="s">
        <v>52</v>
      </c>
      <c r="B20" s="12" t="s">
        <v>137</v>
      </c>
      <c r="C20" s="12" t="s">
        <v>127</v>
      </c>
      <c r="D20" s="12" t="s">
        <v>128</v>
      </c>
      <c r="E20" s="13" t="s">
        <v>462</v>
      </c>
      <c r="F20" s="12" t="s">
        <v>446</v>
      </c>
      <c r="G20" s="22" t="s">
        <v>129</v>
      </c>
      <c r="H20" s="24" t="s">
        <v>130</v>
      </c>
      <c r="I20" s="24" t="s">
        <v>130</v>
      </c>
      <c r="J20" s="23"/>
      <c r="K20" s="14" t="str">
        <f>"187,5"</f>
        <v>187,5</v>
      </c>
      <c r="L20" s="14" t="str">
        <f>"108,3188"</f>
        <v>108,3188</v>
      </c>
      <c r="M20" s="12"/>
    </row>
  </sheetData>
  <mergeCells count="16">
    <mergeCell ref="A11:J11"/>
    <mergeCell ref="A15:J15"/>
    <mergeCell ref="A19:J19"/>
    <mergeCell ref="B3:B4"/>
    <mergeCell ref="K3:K4"/>
    <mergeCell ref="A8:J8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5.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3" t="s">
        <v>438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70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195</v>
      </c>
      <c r="C6" s="12" t="s">
        <v>193</v>
      </c>
      <c r="D6" s="12" t="s">
        <v>194</v>
      </c>
      <c r="E6" s="13" t="s">
        <v>462</v>
      </c>
      <c r="F6" s="12" t="s">
        <v>446</v>
      </c>
      <c r="G6" s="22" t="s">
        <v>79</v>
      </c>
      <c r="H6" s="24" t="s">
        <v>120</v>
      </c>
      <c r="I6" s="22" t="s">
        <v>120</v>
      </c>
      <c r="J6" s="23"/>
      <c r="K6" s="14" t="str">
        <f>"180,0"</f>
        <v>180,0</v>
      </c>
      <c r="L6" s="14" t="str">
        <f>"116,3340"</f>
        <v>116,3340</v>
      </c>
      <c r="M6" s="12" t="s">
        <v>121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3" t="s">
        <v>391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282</v>
      </c>
      <c r="C6" s="12" t="s">
        <v>408</v>
      </c>
      <c r="D6" s="12" t="s">
        <v>274</v>
      </c>
      <c r="E6" s="13" t="s">
        <v>463</v>
      </c>
      <c r="F6" s="12" t="s">
        <v>446</v>
      </c>
      <c r="G6" s="22" t="s">
        <v>336</v>
      </c>
      <c r="H6" s="22" t="s">
        <v>315</v>
      </c>
      <c r="I6" s="24" t="s">
        <v>64</v>
      </c>
      <c r="J6" s="23"/>
      <c r="K6" s="14" t="str">
        <f>"82,5"</f>
        <v>82,5</v>
      </c>
      <c r="L6" s="14" t="str">
        <f>"82,5825"</f>
        <v>82,5825</v>
      </c>
      <c r="M6" s="12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4576-6BED-1546-B900-74101146A6D3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3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3" t="s">
        <v>392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282</v>
      </c>
      <c r="C6" s="12" t="s">
        <v>408</v>
      </c>
      <c r="D6" s="12" t="s">
        <v>274</v>
      </c>
      <c r="E6" s="13" t="s">
        <v>463</v>
      </c>
      <c r="F6" s="12" t="s">
        <v>446</v>
      </c>
      <c r="G6" s="22" t="s">
        <v>336</v>
      </c>
      <c r="H6" s="22" t="s">
        <v>315</v>
      </c>
      <c r="I6" s="24" t="s">
        <v>64</v>
      </c>
      <c r="J6" s="23"/>
      <c r="K6" s="14" t="str">
        <f>"82,5"</f>
        <v>82,5</v>
      </c>
      <c r="L6" s="14" t="str">
        <f>"82,5825"</f>
        <v>82,5825</v>
      </c>
      <c r="M6" s="12"/>
    </row>
    <row r="8" spans="1:13" ht="16">
      <c r="A8" s="66" t="s">
        <v>65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23" t="s">
        <v>52</v>
      </c>
      <c r="B9" s="12" t="s">
        <v>343</v>
      </c>
      <c r="C9" s="12" t="s">
        <v>409</v>
      </c>
      <c r="D9" s="12" t="s">
        <v>309</v>
      </c>
      <c r="E9" s="13" t="s">
        <v>466</v>
      </c>
      <c r="F9" s="12" t="s">
        <v>446</v>
      </c>
      <c r="G9" s="22" t="s">
        <v>15</v>
      </c>
      <c r="H9" s="22" t="s">
        <v>42</v>
      </c>
      <c r="I9" s="22" t="s">
        <v>337</v>
      </c>
      <c r="J9" s="23"/>
      <c r="K9" s="14" t="str">
        <f>"142,5"</f>
        <v>142,5</v>
      </c>
      <c r="L9" s="14" t="str">
        <f>"128,2432"</f>
        <v>128,2432</v>
      </c>
      <c r="M9" s="12" t="s">
        <v>338</v>
      </c>
    </row>
    <row r="11" spans="1:13" ht="16">
      <c r="A11" s="66" t="s">
        <v>35</v>
      </c>
      <c r="B11" s="66"/>
      <c r="C11" s="66"/>
      <c r="D11" s="66"/>
      <c r="E11" s="67"/>
      <c r="F11" s="66"/>
      <c r="G11" s="66"/>
      <c r="H11" s="66"/>
      <c r="I11" s="66"/>
      <c r="J11" s="66"/>
    </row>
    <row r="12" spans="1:13">
      <c r="A12" s="23" t="s">
        <v>52</v>
      </c>
      <c r="B12" s="12" t="s">
        <v>344</v>
      </c>
      <c r="C12" s="12" t="s">
        <v>339</v>
      </c>
      <c r="D12" s="12" t="s">
        <v>340</v>
      </c>
      <c r="E12" s="13" t="s">
        <v>462</v>
      </c>
      <c r="F12" s="12" t="s">
        <v>453</v>
      </c>
      <c r="G12" s="22" t="s">
        <v>341</v>
      </c>
      <c r="H12" s="24" t="s">
        <v>342</v>
      </c>
      <c r="I12" s="24" t="s">
        <v>342</v>
      </c>
      <c r="J12" s="23"/>
      <c r="K12" s="14" t="str">
        <f>"310,0"</f>
        <v>310,0</v>
      </c>
      <c r="L12" s="14" t="str">
        <f>"174,7780"</f>
        <v>174,7780</v>
      </c>
      <c r="M12" s="12"/>
    </row>
  </sheetData>
  <mergeCells count="14">
    <mergeCell ref="M3:M4"/>
    <mergeCell ref="A5:J5"/>
    <mergeCell ref="A8:J8"/>
    <mergeCell ref="A11:J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0.3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3" t="s">
        <v>442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282</v>
      </c>
      <c r="C6" s="12" t="s">
        <v>443</v>
      </c>
      <c r="D6" s="12" t="s">
        <v>274</v>
      </c>
      <c r="E6" s="13" t="s">
        <v>469</v>
      </c>
      <c r="F6" s="12" t="s">
        <v>446</v>
      </c>
      <c r="G6" s="22" t="s">
        <v>336</v>
      </c>
      <c r="H6" s="22" t="s">
        <v>315</v>
      </c>
      <c r="I6" s="24" t="s">
        <v>64</v>
      </c>
      <c r="J6" s="23"/>
      <c r="K6" s="14" t="str">
        <f>"82,5"</f>
        <v>82,5</v>
      </c>
      <c r="L6" s="14" t="str">
        <f>"82,5825"</f>
        <v>82,5825</v>
      </c>
      <c r="M6" s="12"/>
    </row>
  </sheetData>
  <mergeCells count="12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6DDD-ED02-4A46-93A9-22DB859DEA74}">
  <dimension ref="A1:M6"/>
  <sheetViews>
    <sheetView workbookViewId="0">
      <selection activeCell="F10" sqref="F10"/>
    </sheetView>
  </sheetViews>
  <sheetFormatPr baseColWidth="10" defaultColWidth="9.1640625" defaultRowHeight="13"/>
  <cols>
    <col min="1" max="1" width="7.5" style="6" bestFit="1" customWidth="1"/>
    <col min="2" max="2" width="20.3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3" t="s">
        <v>441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5">
        <v>1</v>
      </c>
      <c r="H4" s="5">
        <v>2</v>
      </c>
      <c r="I4" s="5">
        <v>3</v>
      </c>
      <c r="J4" s="5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282</v>
      </c>
      <c r="C6" s="12" t="s">
        <v>443</v>
      </c>
      <c r="D6" s="12" t="s">
        <v>274</v>
      </c>
      <c r="E6" s="13" t="s">
        <v>469</v>
      </c>
      <c r="F6" s="12" t="s">
        <v>446</v>
      </c>
      <c r="G6" s="22" t="s">
        <v>336</v>
      </c>
      <c r="H6" s="22" t="s">
        <v>315</v>
      </c>
      <c r="I6" s="24" t="s">
        <v>64</v>
      </c>
      <c r="J6" s="23"/>
      <c r="K6" s="14" t="str">
        <f>"82,5"</f>
        <v>82,5</v>
      </c>
      <c r="L6" s="14" t="str">
        <f>"82,5825"</f>
        <v>82,5825</v>
      </c>
      <c r="M6" s="12"/>
    </row>
  </sheetData>
  <mergeCells count="12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6" bestFit="1" customWidth="1"/>
    <col min="2" max="2" width="18.1640625" style="6" bestFit="1" customWidth="1"/>
    <col min="3" max="3" width="27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9.5" style="6" bestFit="1" customWidth="1"/>
    <col min="14" max="16384" width="9.1640625" style="3"/>
  </cols>
  <sheetData>
    <row r="1" spans="1:13" s="2" customFormat="1" ht="29" customHeight="1">
      <c r="A1" s="53" t="s">
        <v>388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138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322</v>
      </c>
      <c r="C6" s="12" t="s">
        <v>304</v>
      </c>
      <c r="D6" s="12" t="s">
        <v>305</v>
      </c>
      <c r="E6" s="13" t="s">
        <v>462</v>
      </c>
      <c r="F6" s="12" t="s">
        <v>446</v>
      </c>
      <c r="G6" s="22" t="s">
        <v>64</v>
      </c>
      <c r="H6" s="22" t="s">
        <v>59</v>
      </c>
      <c r="I6" s="24" t="s">
        <v>18</v>
      </c>
      <c r="J6" s="23"/>
      <c r="K6" s="14" t="str">
        <f>"90,0"</f>
        <v>90,0</v>
      </c>
      <c r="L6" s="14" t="str">
        <f>"82,8000"</f>
        <v>82,8000</v>
      </c>
      <c r="M6" s="12" t="s">
        <v>87</v>
      </c>
    </row>
    <row r="8" spans="1:13" ht="16">
      <c r="A8" s="66" t="s">
        <v>105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36" t="s">
        <v>102</v>
      </c>
      <c r="B9" s="25" t="s">
        <v>382</v>
      </c>
      <c r="C9" s="25" t="s">
        <v>378</v>
      </c>
      <c r="D9" s="25" t="s">
        <v>107</v>
      </c>
      <c r="E9" s="26" t="s">
        <v>462</v>
      </c>
      <c r="F9" s="25" t="s">
        <v>446</v>
      </c>
      <c r="G9" s="35" t="s">
        <v>17</v>
      </c>
      <c r="H9" s="35" t="s">
        <v>17</v>
      </c>
      <c r="I9" s="36"/>
      <c r="J9" s="36"/>
      <c r="K9" s="27" t="str">
        <f>"0.00"</f>
        <v>0.00</v>
      </c>
      <c r="L9" s="27" t="str">
        <f>"0,0000"</f>
        <v>0,0000</v>
      </c>
      <c r="M9" s="25" t="s">
        <v>379</v>
      </c>
    </row>
    <row r="10" spans="1:13">
      <c r="A10" s="39" t="s">
        <v>102</v>
      </c>
      <c r="B10" s="28" t="s">
        <v>382</v>
      </c>
      <c r="C10" s="28" t="s">
        <v>380</v>
      </c>
      <c r="D10" s="28" t="s">
        <v>107</v>
      </c>
      <c r="E10" s="29" t="s">
        <v>464</v>
      </c>
      <c r="F10" s="28" t="s">
        <v>446</v>
      </c>
      <c r="G10" s="37" t="s">
        <v>17</v>
      </c>
      <c r="H10" s="37" t="s">
        <v>17</v>
      </c>
      <c r="I10" s="39"/>
      <c r="J10" s="39"/>
      <c r="K10" s="30" t="str">
        <f>"0.00"</f>
        <v>0.00</v>
      </c>
      <c r="L10" s="30" t="str">
        <f>"0,0000"</f>
        <v>0,0000</v>
      </c>
      <c r="M10" s="28" t="s">
        <v>379</v>
      </c>
    </row>
    <row r="11" spans="1:13">
      <c r="A11" s="42" t="s">
        <v>52</v>
      </c>
      <c r="B11" s="31" t="s">
        <v>326</v>
      </c>
      <c r="C11" s="31" t="s">
        <v>381</v>
      </c>
      <c r="D11" s="31" t="s">
        <v>313</v>
      </c>
      <c r="E11" s="32" t="s">
        <v>465</v>
      </c>
      <c r="F11" s="31" t="s">
        <v>446</v>
      </c>
      <c r="G11" s="41" t="s">
        <v>69</v>
      </c>
      <c r="H11" s="41" t="s">
        <v>91</v>
      </c>
      <c r="I11" s="41" t="s">
        <v>20</v>
      </c>
      <c r="J11" s="42"/>
      <c r="K11" s="33" t="str">
        <f>"110,0"</f>
        <v>110,0</v>
      </c>
      <c r="L11" s="33" t="str">
        <f>"105,5611"</f>
        <v>105,5611</v>
      </c>
      <c r="M11" s="31" t="s">
        <v>121</v>
      </c>
    </row>
    <row r="13" spans="1:13" ht="16">
      <c r="A13" s="66" t="s">
        <v>70</v>
      </c>
      <c r="B13" s="66"/>
      <c r="C13" s="66"/>
      <c r="D13" s="66"/>
      <c r="E13" s="67"/>
      <c r="F13" s="66"/>
      <c r="G13" s="66"/>
      <c r="H13" s="66"/>
      <c r="I13" s="66"/>
      <c r="J13" s="66"/>
    </row>
    <row r="14" spans="1:13">
      <c r="A14" s="23" t="s">
        <v>52</v>
      </c>
      <c r="B14" s="12" t="s">
        <v>186</v>
      </c>
      <c r="C14" s="12" t="s">
        <v>162</v>
      </c>
      <c r="D14" s="12" t="s">
        <v>163</v>
      </c>
      <c r="E14" s="13" t="s">
        <v>462</v>
      </c>
      <c r="F14" s="12" t="s">
        <v>386</v>
      </c>
      <c r="G14" s="22" t="s">
        <v>30</v>
      </c>
      <c r="H14" s="24" t="s">
        <v>92</v>
      </c>
      <c r="I14" s="23"/>
      <c r="J14" s="23"/>
      <c r="K14" s="14" t="str">
        <f>"155,0"</f>
        <v>155,0</v>
      </c>
      <c r="L14" s="14" t="str">
        <f>"99,8200"</f>
        <v>99,8200</v>
      </c>
      <c r="M14" s="12"/>
    </row>
    <row r="16" spans="1:13" ht="16">
      <c r="A16" s="66" t="s">
        <v>24</v>
      </c>
      <c r="B16" s="66"/>
      <c r="C16" s="66"/>
      <c r="D16" s="66"/>
      <c r="E16" s="67"/>
      <c r="F16" s="66"/>
      <c r="G16" s="66"/>
      <c r="H16" s="66"/>
      <c r="I16" s="66"/>
      <c r="J16" s="66"/>
    </row>
    <row r="17" spans="1:13">
      <c r="A17" s="23" t="s">
        <v>52</v>
      </c>
      <c r="B17" s="12" t="s">
        <v>189</v>
      </c>
      <c r="C17" s="12" t="s">
        <v>169</v>
      </c>
      <c r="D17" s="12" t="s">
        <v>170</v>
      </c>
      <c r="E17" s="13" t="s">
        <v>462</v>
      </c>
      <c r="F17" s="12" t="s">
        <v>386</v>
      </c>
      <c r="G17" s="22" t="s">
        <v>20</v>
      </c>
      <c r="H17" s="22" t="s">
        <v>41</v>
      </c>
      <c r="I17" s="22" t="s">
        <v>15</v>
      </c>
      <c r="J17" s="23"/>
      <c r="K17" s="14" t="str">
        <f>"130,0"</f>
        <v>130,0</v>
      </c>
      <c r="L17" s="14" t="str">
        <f>"79,5990"</f>
        <v>79,5990</v>
      </c>
      <c r="M17" s="12" t="s">
        <v>87</v>
      </c>
    </row>
  </sheetData>
  <mergeCells count="15">
    <mergeCell ref="A8:J8"/>
    <mergeCell ref="A13:J13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6" bestFit="1" customWidth="1"/>
    <col min="2" max="2" width="21" style="6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9.6640625" style="6" bestFit="1" customWidth="1"/>
    <col min="14" max="16384" width="9.1640625" style="3"/>
  </cols>
  <sheetData>
    <row r="1" spans="1:13" s="2" customFormat="1" ht="29" customHeight="1">
      <c r="A1" s="53" t="s">
        <v>389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105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111</v>
      </c>
      <c r="C6" s="12" t="s">
        <v>106</v>
      </c>
      <c r="D6" s="12" t="s">
        <v>107</v>
      </c>
      <c r="E6" s="13" t="s">
        <v>462</v>
      </c>
      <c r="F6" s="12" t="s">
        <v>397</v>
      </c>
      <c r="G6" s="22" t="s">
        <v>42</v>
      </c>
      <c r="H6" s="22" t="s">
        <v>68</v>
      </c>
      <c r="I6" s="22" t="s">
        <v>30</v>
      </c>
      <c r="J6" s="23"/>
      <c r="K6" s="14" t="str">
        <f>"155,0"</f>
        <v>155,0</v>
      </c>
      <c r="L6" s="14" t="str">
        <f>"104,6870"</f>
        <v>104,6870</v>
      </c>
      <c r="M6" s="12" t="s">
        <v>110</v>
      </c>
    </row>
    <row r="8" spans="1:13" ht="16">
      <c r="A8" s="66" t="s">
        <v>70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23" t="s">
        <v>52</v>
      </c>
      <c r="B9" s="12" t="s">
        <v>186</v>
      </c>
      <c r="C9" s="12" t="s">
        <v>162</v>
      </c>
      <c r="D9" s="12" t="s">
        <v>163</v>
      </c>
      <c r="E9" s="13" t="s">
        <v>462</v>
      </c>
      <c r="F9" s="12" t="s">
        <v>386</v>
      </c>
      <c r="G9" s="22" t="s">
        <v>30</v>
      </c>
      <c r="H9" s="24" t="s">
        <v>92</v>
      </c>
      <c r="I9" s="23"/>
      <c r="J9" s="23"/>
      <c r="K9" s="14" t="str">
        <f>"155,0"</f>
        <v>155,0</v>
      </c>
      <c r="L9" s="14" t="str">
        <f>"99,8200"</f>
        <v>99,8200</v>
      </c>
      <c r="M9" s="12"/>
    </row>
    <row r="11" spans="1:13" ht="16">
      <c r="A11" s="66" t="s">
        <v>35</v>
      </c>
      <c r="B11" s="66"/>
      <c r="C11" s="66"/>
      <c r="D11" s="66"/>
      <c r="E11" s="67"/>
      <c r="F11" s="66"/>
      <c r="G11" s="66"/>
      <c r="H11" s="66"/>
      <c r="I11" s="66"/>
      <c r="J11" s="66"/>
    </row>
    <row r="12" spans="1:13">
      <c r="A12" s="23" t="s">
        <v>52</v>
      </c>
      <c r="B12" s="12" t="s">
        <v>377</v>
      </c>
      <c r="C12" s="12" t="s">
        <v>375</v>
      </c>
      <c r="D12" s="12" t="s">
        <v>376</v>
      </c>
      <c r="E12" s="13" t="s">
        <v>462</v>
      </c>
      <c r="F12" s="12" t="s">
        <v>446</v>
      </c>
      <c r="G12" s="22" t="s">
        <v>31</v>
      </c>
      <c r="H12" s="24" t="s">
        <v>79</v>
      </c>
      <c r="I12" s="24" t="s">
        <v>79</v>
      </c>
      <c r="J12" s="23"/>
      <c r="K12" s="14" t="str">
        <f>"165,0"</f>
        <v>165,0</v>
      </c>
      <c r="L12" s="14" t="str">
        <f>"97,3830"</f>
        <v>97,3830</v>
      </c>
      <c r="M12" s="12"/>
    </row>
  </sheetData>
  <mergeCells count="14">
    <mergeCell ref="A11:J11"/>
    <mergeCell ref="B3:B4"/>
    <mergeCell ref="K3:K4"/>
    <mergeCell ref="L3:L4"/>
    <mergeCell ref="M3:M4"/>
    <mergeCell ref="A5:J5"/>
    <mergeCell ref="A8:J8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5"/>
  <sheetViews>
    <sheetView workbookViewId="0">
      <selection activeCell="E26" sqref="E26"/>
    </sheetView>
  </sheetViews>
  <sheetFormatPr baseColWidth="10" defaultColWidth="9.1640625" defaultRowHeight="13"/>
  <cols>
    <col min="1" max="1" width="7.5" style="6" bestFit="1" customWidth="1"/>
    <col min="2" max="2" width="20.83203125" style="6" bestFit="1" customWidth="1"/>
    <col min="3" max="3" width="27.5" style="6" bestFit="1" customWidth="1"/>
    <col min="4" max="4" width="21.5" style="6" bestFit="1" customWidth="1"/>
    <col min="5" max="5" width="10.5" style="7" bestFit="1" customWidth="1"/>
    <col min="6" max="6" width="38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3" t="s">
        <v>390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105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366</v>
      </c>
      <c r="C6" s="12" t="s">
        <v>345</v>
      </c>
      <c r="D6" s="12" t="s">
        <v>346</v>
      </c>
      <c r="E6" s="13" t="s">
        <v>462</v>
      </c>
      <c r="F6" s="12" t="s">
        <v>446</v>
      </c>
      <c r="G6" s="22" t="s">
        <v>347</v>
      </c>
      <c r="H6" s="24" t="s">
        <v>348</v>
      </c>
      <c r="I6" s="24" t="s">
        <v>276</v>
      </c>
      <c r="J6" s="23"/>
      <c r="K6" s="14" t="str">
        <f>"20,0"</f>
        <v>20,0</v>
      </c>
      <c r="L6" s="14" t="str">
        <f>"16,5770"</f>
        <v>16,5770</v>
      </c>
      <c r="M6" s="12"/>
    </row>
    <row r="8" spans="1:13" ht="16">
      <c r="A8" s="66" t="s">
        <v>12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36" t="s">
        <v>52</v>
      </c>
      <c r="B9" s="25" t="s">
        <v>367</v>
      </c>
      <c r="C9" s="25" t="s">
        <v>349</v>
      </c>
      <c r="D9" s="25" t="s">
        <v>350</v>
      </c>
      <c r="E9" s="26" t="s">
        <v>462</v>
      </c>
      <c r="F9" s="25" t="s">
        <v>446</v>
      </c>
      <c r="G9" s="34" t="s">
        <v>19</v>
      </c>
      <c r="H9" s="35" t="s">
        <v>20</v>
      </c>
      <c r="I9" s="36"/>
      <c r="J9" s="36"/>
      <c r="K9" s="27" t="str">
        <f>"105,0"</f>
        <v>105,0</v>
      </c>
      <c r="L9" s="27" t="str">
        <f>"82,3305"</f>
        <v>82,3305</v>
      </c>
      <c r="M9" s="25"/>
    </row>
    <row r="10" spans="1:13">
      <c r="A10" s="42" t="s">
        <v>52</v>
      </c>
      <c r="B10" s="31" t="s">
        <v>368</v>
      </c>
      <c r="C10" s="31" t="s">
        <v>351</v>
      </c>
      <c r="D10" s="31" t="s">
        <v>352</v>
      </c>
      <c r="E10" s="32" t="s">
        <v>466</v>
      </c>
      <c r="F10" s="31" t="s">
        <v>454</v>
      </c>
      <c r="G10" s="41" t="s">
        <v>280</v>
      </c>
      <c r="H10" s="41" t="s">
        <v>197</v>
      </c>
      <c r="I10" s="41" t="s">
        <v>281</v>
      </c>
      <c r="J10" s="42"/>
      <c r="K10" s="33" t="str">
        <f>"77,5"</f>
        <v>77,5</v>
      </c>
      <c r="L10" s="33" t="str">
        <f>"61,6752"</f>
        <v>61,6752</v>
      </c>
      <c r="M10" s="31"/>
    </row>
    <row r="12" spans="1:13" ht="16">
      <c r="A12" s="66" t="s">
        <v>65</v>
      </c>
      <c r="B12" s="66"/>
      <c r="C12" s="66"/>
      <c r="D12" s="66"/>
      <c r="E12" s="67"/>
      <c r="F12" s="66"/>
      <c r="G12" s="66"/>
      <c r="H12" s="66"/>
      <c r="I12" s="66"/>
      <c r="J12" s="66"/>
    </row>
    <row r="13" spans="1:13">
      <c r="A13" s="36" t="s">
        <v>52</v>
      </c>
      <c r="B13" s="25" t="s">
        <v>369</v>
      </c>
      <c r="C13" s="25" t="s">
        <v>353</v>
      </c>
      <c r="D13" s="25" t="s">
        <v>152</v>
      </c>
      <c r="E13" s="26" t="s">
        <v>462</v>
      </c>
      <c r="F13" s="25" t="s">
        <v>446</v>
      </c>
      <c r="G13" s="34" t="s">
        <v>21</v>
      </c>
      <c r="H13" s="34" t="s">
        <v>30</v>
      </c>
      <c r="I13" s="34" t="s">
        <v>354</v>
      </c>
      <c r="J13" s="36"/>
      <c r="K13" s="27" t="str">
        <f>"157,5"</f>
        <v>157,5</v>
      </c>
      <c r="L13" s="27" t="str">
        <f>"111,8565"</f>
        <v>111,8565</v>
      </c>
      <c r="M13" s="25"/>
    </row>
    <row r="14" spans="1:13">
      <c r="A14" s="39" t="s">
        <v>100</v>
      </c>
      <c r="B14" s="28" t="s">
        <v>370</v>
      </c>
      <c r="C14" s="28" t="s">
        <v>355</v>
      </c>
      <c r="D14" s="28" t="s">
        <v>356</v>
      </c>
      <c r="E14" s="29" t="s">
        <v>462</v>
      </c>
      <c r="F14" s="28" t="s">
        <v>446</v>
      </c>
      <c r="G14" s="38" t="s">
        <v>62</v>
      </c>
      <c r="H14" s="38" t="s">
        <v>86</v>
      </c>
      <c r="I14" s="37" t="s">
        <v>279</v>
      </c>
      <c r="J14" s="39"/>
      <c r="K14" s="30" t="str">
        <f>"60,0"</f>
        <v>60,0</v>
      </c>
      <c r="L14" s="30" t="str">
        <f>"42,3840"</f>
        <v>42,3840</v>
      </c>
      <c r="M14" s="28"/>
    </row>
    <row r="15" spans="1:13">
      <c r="A15" s="42" t="s">
        <v>52</v>
      </c>
      <c r="B15" s="31" t="s">
        <v>369</v>
      </c>
      <c r="C15" s="31" t="s">
        <v>357</v>
      </c>
      <c r="D15" s="31" t="s">
        <v>152</v>
      </c>
      <c r="E15" s="32" t="s">
        <v>464</v>
      </c>
      <c r="F15" s="31" t="s">
        <v>446</v>
      </c>
      <c r="G15" s="41" t="s">
        <v>21</v>
      </c>
      <c r="H15" s="41" t="s">
        <v>30</v>
      </c>
      <c r="I15" s="41" t="s">
        <v>354</v>
      </c>
      <c r="J15" s="42"/>
      <c r="K15" s="33" t="str">
        <f>"157,5"</f>
        <v>157,5</v>
      </c>
      <c r="L15" s="33" t="str">
        <f>"126,3978"</f>
        <v>126,3978</v>
      </c>
      <c r="M15" s="31"/>
    </row>
    <row r="17" spans="1:13" ht="16">
      <c r="A17" s="66" t="s">
        <v>70</v>
      </c>
      <c r="B17" s="66"/>
      <c r="C17" s="66"/>
      <c r="D17" s="66"/>
      <c r="E17" s="67"/>
      <c r="F17" s="66"/>
      <c r="G17" s="66"/>
      <c r="H17" s="66"/>
      <c r="I17" s="66"/>
      <c r="J17" s="66"/>
    </row>
    <row r="18" spans="1:13">
      <c r="A18" s="36" t="s">
        <v>52</v>
      </c>
      <c r="B18" s="25" t="s">
        <v>371</v>
      </c>
      <c r="C18" s="25" t="s">
        <v>358</v>
      </c>
      <c r="D18" s="25" t="s">
        <v>359</v>
      </c>
      <c r="E18" s="26" t="s">
        <v>462</v>
      </c>
      <c r="F18" s="25" t="s">
        <v>446</v>
      </c>
      <c r="G18" s="34" t="s">
        <v>249</v>
      </c>
      <c r="H18" s="34" t="s">
        <v>64</v>
      </c>
      <c r="I18" s="34" t="s">
        <v>60</v>
      </c>
      <c r="J18" s="36"/>
      <c r="K18" s="27" t="str">
        <f>"92,5"</f>
        <v>92,5</v>
      </c>
      <c r="L18" s="27" t="str">
        <f>"58,6866"</f>
        <v>58,6866</v>
      </c>
      <c r="M18" s="25" t="s">
        <v>93</v>
      </c>
    </row>
    <row r="19" spans="1:13">
      <c r="A19" s="42" t="s">
        <v>100</v>
      </c>
      <c r="B19" s="31" t="s">
        <v>372</v>
      </c>
      <c r="C19" s="31" t="s">
        <v>360</v>
      </c>
      <c r="D19" s="31" t="s">
        <v>361</v>
      </c>
      <c r="E19" s="32" t="s">
        <v>462</v>
      </c>
      <c r="F19" s="31" t="s">
        <v>446</v>
      </c>
      <c r="G19" s="41" t="s">
        <v>59</v>
      </c>
      <c r="H19" s="41" t="s">
        <v>60</v>
      </c>
      <c r="I19" s="40" t="s">
        <v>69</v>
      </c>
      <c r="J19" s="42"/>
      <c r="K19" s="33" t="str">
        <f>"92,5"</f>
        <v>92,5</v>
      </c>
      <c r="L19" s="33" t="str">
        <f>"57,3223"</f>
        <v>57,3223</v>
      </c>
      <c r="M19" s="31"/>
    </row>
    <row r="21" spans="1:13" ht="16">
      <c r="A21" s="66" t="s">
        <v>24</v>
      </c>
      <c r="B21" s="66"/>
      <c r="C21" s="66"/>
      <c r="D21" s="66"/>
      <c r="E21" s="67"/>
      <c r="F21" s="66"/>
      <c r="G21" s="66"/>
      <c r="H21" s="66"/>
      <c r="I21" s="66"/>
      <c r="J21" s="66"/>
    </row>
    <row r="22" spans="1:13">
      <c r="A22" s="23" t="s">
        <v>52</v>
      </c>
      <c r="B22" s="12" t="s">
        <v>373</v>
      </c>
      <c r="C22" s="12" t="s">
        <v>362</v>
      </c>
      <c r="D22" s="12" t="s">
        <v>363</v>
      </c>
      <c r="E22" s="13" t="s">
        <v>464</v>
      </c>
      <c r="F22" s="12" t="s">
        <v>454</v>
      </c>
      <c r="G22" s="22" t="s">
        <v>60</v>
      </c>
      <c r="H22" s="24" t="s">
        <v>18</v>
      </c>
      <c r="I22" s="22" t="s">
        <v>18</v>
      </c>
      <c r="J22" s="23"/>
      <c r="K22" s="14" t="str">
        <f>"100,0"</f>
        <v>100,0</v>
      </c>
      <c r="L22" s="14" t="str">
        <f>"72,3183"</f>
        <v>72,3183</v>
      </c>
      <c r="M22" s="12"/>
    </row>
    <row r="24" spans="1:13" ht="16">
      <c r="A24" s="66" t="s">
        <v>126</v>
      </c>
      <c r="B24" s="66"/>
      <c r="C24" s="66"/>
      <c r="D24" s="66"/>
      <c r="E24" s="67"/>
      <c r="F24" s="66"/>
      <c r="G24" s="66"/>
      <c r="H24" s="66"/>
      <c r="I24" s="66"/>
      <c r="J24" s="66"/>
    </row>
    <row r="25" spans="1:13">
      <c r="A25" s="23" t="s">
        <v>52</v>
      </c>
      <c r="B25" s="12" t="s">
        <v>374</v>
      </c>
      <c r="C25" s="12" t="s">
        <v>364</v>
      </c>
      <c r="D25" s="12" t="s">
        <v>365</v>
      </c>
      <c r="E25" s="13" t="s">
        <v>466</v>
      </c>
      <c r="F25" s="12" t="s">
        <v>454</v>
      </c>
      <c r="G25" s="22" t="s">
        <v>249</v>
      </c>
      <c r="H25" s="22" t="s">
        <v>59</v>
      </c>
      <c r="I25" s="24" t="s">
        <v>69</v>
      </c>
      <c r="J25" s="23"/>
      <c r="K25" s="14" t="str">
        <f>"90,0"</f>
        <v>90,0</v>
      </c>
      <c r="L25" s="14" t="str">
        <f>"52,5392"</f>
        <v>52,5392</v>
      </c>
      <c r="M25" s="12"/>
    </row>
  </sheetData>
  <mergeCells count="17">
    <mergeCell ref="A24:J24"/>
    <mergeCell ref="A5:J5"/>
    <mergeCell ref="A8:J8"/>
    <mergeCell ref="A12:J12"/>
    <mergeCell ref="A17:J17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43"/>
  <sheetViews>
    <sheetView workbookViewId="0">
      <selection activeCell="E33" sqref="E33"/>
    </sheetView>
  </sheetViews>
  <sheetFormatPr baseColWidth="10" defaultColWidth="9.1640625" defaultRowHeight="13"/>
  <cols>
    <col min="1" max="1" width="7.5" style="6" bestFit="1" customWidth="1"/>
    <col min="2" max="2" width="22.16406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6.1640625" style="6" customWidth="1"/>
    <col min="7" max="9" width="5.6640625" style="11" bestFit="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6.5" style="6" bestFit="1" customWidth="1"/>
    <col min="14" max="16384" width="9.1640625" style="3"/>
  </cols>
  <sheetData>
    <row r="1" spans="1:13" s="2" customFormat="1" ht="29" customHeight="1">
      <c r="A1" s="53" t="s">
        <v>439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11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250</v>
      </c>
      <c r="C6" s="12" t="s">
        <v>218</v>
      </c>
      <c r="D6" s="12" t="s">
        <v>219</v>
      </c>
      <c r="E6" s="13" t="s">
        <v>463</v>
      </c>
      <c r="F6" s="12" t="s">
        <v>397</v>
      </c>
      <c r="G6" s="22" t="s">
        <v>20</v>
      </c>
      <c r="H6" s="22" t="s">
        <v>80</v>
      </c>
      <c r="I6" s="23"/>
      <c r="J6" s="23"/>
      <c r="K6" s="14" t="str">
        <f>"115,0"</f>
        <v>115,0</v>
      </c>
      <c r="L6" s="14" t="str">
        <f>"130,5825"</f>
        <v>130,5825</v>
      </c>
      <c r="M6" s="12"/>
    </row>
    <row r="8" spans="1:13" ht="16">
      <c r="A8" s="66" t="s">
        <v>65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36" t="s">
        <v>52</v>
      </c>
      <c r="B9" s="25" t="s">
        <v>251</v>
      </c>
      <c r="C9" s="25" t="s">
        <v>411</v>
      </c>
      <c r="D9" s="25" t="s">
        <v>220</v>
      </c>
      <c r="E9" s="26" t="s">
        <v>461</v>
      </c>
      <c r="F9" s="25" t="s">
        <v>446</v>
      </c>
      <c r="G9" s="34" t="s">
        <v>19</v>
      </c>
      <c r="H9" s="35" t="s">
        <v>80</v>
      </c>
      <c r="I9" s="35" t="s">
        <v>80</v>
      </c>
      <c r="J9" s="36"/>
      <c r="K9" s="27" t="str">
        <f>"105,0"</f>
        <v>105,0</v>
      </c>
      <c r="L9" s="27" t="str">
        <f>"102,7740"</f>
        <v>102,7740</v>
      </c>
      <c r="M9" s="25"/>
    </row>
    <row r="10" spans="1:13">
      <c r="A10" s="42" t="s">
        <v>100</v>
      </c>
      <c r="B10" s="31" t="s">
        <v>252</v>
      </c>
      <c r="C10" s="31" t="s">
        <v>412</v>
      </c>
      <c r="D10" s="31" t="s">
        <v>221</v>
      </c>
      <c r="E10" s="32" t="s">
        <v>461</v>
      </c>
      <c r="F10" s="31" t="s">
        <v>446</v>
      </c>
      <c r="G10" s="40" t="s">
        <v>60</v>
      </c>
      <c r="H10" s="41" t="s">
        <v>60</v>
      </c>
      <c r="I10" s="41" t="s">
        <v>222</v>
      </c>
      <c r="J10" s="42"/>
      <c r="K10" s="33" t="str">
        <f>"97,5"</f>
        <v>97,5</v>
      </c>
      <c r="L10" s="33" t="str">
        <f>"97,5780"</f>
        <v>97,5780</v>
      </c>
      <c r="M10" s="31" t="s">
        <v>223</v>
      </c>
    </row>
    <row r="12" spans="1:13" ht="16">
      <c r="A12" s="66" t="s">
        <v>138</v>
      </c>
      <c r="B12" s="66"/>
      <c r="C12" s="66"/>
      <c r="D12" s="66"/>
      <c r="E12" s="67"/>
      <c r="F12" s="66"/>
      <c r="G12" s="66"/>
      <c r="H12" s="66"/>
      <c r="I12" s="66"/>
      <c r="J12" s="66"/>
    </row>
    <row r="13" spans="1:13">
      <c r="A13" s="23" t="s">
        <v>52</v>
      </c>
      <c r="B13" s="12" t="s">
        <v>253</v>
      </c>
      <c r="C13" s="12" t="s">
        <v>225</v>
      </c>
      <c r="D13" s="12" t="s">
        <v>226</v>
      </c>
      <c r="E13" s="13" t="s">
        <v>463</v>
      </c>
      <c r="F13" s="12" t="s">
        <v>446</v>
      </c>
      <c r="G13" s="22" t="s">
        <v>17</v>
      </c>
      <c r="H13" s="22" t="s">
        <v>30</v>
      </c>
      <c r="I13" s="22" t="s">
        <v>31</v>
      </c>
      <c r="J13" s="23"/>
      <c r="K13" s="14" t="str">
        <f>"165,0"</f>
        <v>165,0</v>
      </c>
      <c r="L13" s="14" t="str">
        <f>"156,9150"</f>
        <v>156,9150</v>
      </c>
      <c r="M13" s="12"/>
    </row>
    <row r="15" spans="1:13" ht="16">
      <c r="A15" s="66" t="s">
        <v>12</v>
      </c>
      <c r="B15" s="66"/>
      <c r="C15" s="66"/>
      <c r="D15" s="66"/>
      <c r="E15" s="67"/>
      <c r="F15" s="66"/>
      <c r="G15" s="66"/>
      <c r="H15" s="66"/>
      <c r="I15" s="66"/>
      <c r="J15" s="66"/>
    </row>
    <row r="16" spans="1:13">
      <c r="A16" s="36" t="s">
        <v>52</v>
      </c>
      <c r="B16" s="25" t="s">
        <v>254</v>
      </c>
      <c r="C16" s="25" t="s">
        <v>228</v>
      </c>
      <c r="D16" s="25" t="s">
        <v>229</v>
      </c>
      <c r="E16" s="26" t="s">
        <v>463</v>
      </c>
      <c r="F16" s="25" t="s">
        <v>455</v>
      </c>
      <c r="G16" s="34" t="s">
        <v>160</v>
      </c>
      <c r="H16" s="35" t="s">
        <v>81</v>
      </c>
      <c r="I16" s="35" t="s">
        <v>81</v>
      </c>
      <c r="J16" s="36"/>
      <c r="K16" s="27" t="str">
        <f>"175,0"</f>
        <v>175,0</v>
      </c>
      <c r="L16" s="27" t="str">
        <f>"139,5275"</f>
        <v>139,5275</v>
      </c>
      <c r="M16" s="25" t="s">
        <v>76</v>
      </c>
    </row>
    <row r="17" spans="1:13">
      <c r="A17" s="42" t="s">
        <v>100</v>
      </c>
      <c r="B17" s="31" t="s">
        <v>255</v>
      </c>
      <c r="C17" s="31" t="s">
        <v>230</v>
      </c>
      <c r="D17" s="31" t="s">
        <v>231</v>
      </c>
      <c r="E17" s="32" t="s">
        <v>463</v>
      </c>
      <c r="F17" s="31" t="s">
        <v>446</v>
      </c>
      <c r="G17" s="40" t="s">
        <v>17</v>
      </c>
      <c r="H17" s="41" t="s">
        <v>21</v>
      </c>
      <c r="I17" s="40" t="s">
        <v>22</v>
      </c>
      <c r="J17" s="42"/>
      <c r="K17" s="33" t="str">
        <f>"150,0"</f>
        <v>150,0</v>
      </c>
      <c r="L17" s="33" t="str">
        <f>"118,2150"</f>
        <v>118,2150</v>
      </c>
      <c r="M17" s="31" t="s">
        <v>87</v>
      </c>
    </row>
    <row r="19" spans="1:13" ht="16">
      <c r="A19" s="66" t="s">
        <v>65</v>
      </c>
      <c r="B19" s="66"/>
      <c r="C19" s="66"/>
      <c r="D19" s="66"/>
      <c r="E19" s="67"/>
      <c r="F19" s="66"/>
      <c r="G19" s="66"/>
      <c r="H19" s="66"/>
      <c r="I19" s="66"/>
      <c r="J19" s="66"/>
    </row>
    <row r="20" spans="1:13">
      <c r="A20" s="36" t="s">
        <v>52</v>
      </c>
      <c r="B20" s="25" t="s">
        <v>256</v>
      </c>
      <c r="C20" s="25" t="s">
        <v>233</v>
      </c>
      <c r="D20" s="25" t="s">
        <v>234</v>
      </c>
      <c r="E20" s="26" t="s">
        <v>463</v>
      </c>
      <c r="F20" s="25" t="s">
        <v>456</v>
      </c>
      <c r="G20" s="34" t="s">
        <v>31</v>
      </c>
      <c r="H20" s="34" t="s">
        <v>160</v>
      </c>
      <c r="I20" s="34" t="s">
        <v>237</v>
      </c>
      <c r="J20" s="36"/>
      <c r="K20" s="27" t="str">
        <f>"182.50o"</f>
        <v>182.50o</v>
      </c>
      <c r="L20" s="27" t="str">
        <f>"132,5680"</f>
        <v>132,5680</v>
      </c>
      <c r="M20" s="25"/>
    </row>
    <row r="21" spans="1:13">
      <c r="A21" s="39" t="s">
        <v>100</v>
      </c>
      <c r="B21" s="28" t="s">
        <v>257</v>
      </c>
      <c r="C21" s="28" t="s">
        <v>235</v>
      </c>
      <c r="D21" s="28" t="s">
        <v>236</v>
      </c>
      <c r="E21" s="29" t="s">
        <v>463</v>
      </c>
      <c r="F21" s="28" t="s">
        <v>446</v>
      </c>
      <c r="G21" s="37" t="s">
        <v>237</v>
      </c>
      <c r="H21" s="38" t="s">
        <v>237</v>
      </c>
      <c r="I21" s="37" t="s">
        <v>238</v>
      </c>
      <c r="J21" s="39"/>
      <c r="K21" s="30" t="str">
        <f>"182,5"</f>
        <v>182,5</v>
      </c>
      <c r="L21" s="30" t="str">
        <f>"131,9110"</f>
        <v>131,9110</v>
      </c>
      <c r="M21" s="28"/>
    </row>
    <row r="22" spans="1:13">
      <c r="A22" s="39" t="s">
        <v>258</v>
      </c>
      <c r="B22" s="28" t="s">
        <v>259</v>
      </c>
      <c r="C22" s="28" t="s">
        <v>239</v>
      </c>
      <c r="D22" s="28" t="s">
        <v>240</v>
      </c>
      <c r="E22" s="29" t="s">
        <v>463</v>
      </c>
      <c r="F22" s="28" t="s">
        <v>446</v>
      </c>
      <c r="G22" s="38" t="s">
        <v>21</v>
      </c>
      <c r="H22" s="38" t="s">
        <v>92</v>
      </c>
      <c r="I22" s="37" t="s">
        <v>79</v>
      </c>
      <c r="J22" s="39"/>
      <c r="K22" s="30" t="str">
        <f>"160,0"</f>
        <v>160,0</v>
      </c>
      <c r="L22" s="30" t="str">
        <f>"121,6480"</f>
        <v>121,6480</v>
      </c>
      <c r="M22" s="28"/>
    </row>
    <row r="23" spans="1:13">
      <c r="A23" s="39" t="s">
        <v>52</v>
      </c>
      <c r="B23" s="28" t="s">
        <v>260</v>
      </c>
      <c r="C23" s="28" t="s">
        <v>241</v>
      </c>
      <c r="D23" s="28" t="s">
        <v>242</v>
      </c>
      <c r="E23" s="29" t="s">
        <v>462</v>
      </c>
      <c r="F23" s="28" t="s">
        <v>446</v>
      </c>
      <c r="G23" s="38" t="s">
        <v>92</v>
      </c>
      <c r="H23" s="38" t="s">
        <v>79</v>
      </c>
      <c r="I23" s="37" t="s">
        <v>237</v>
      </c>
      <c r="J23" s="39"/>
      <c r="K23" s="30" t="str">
        <f>"170,0"</f>
        <v>170,0</v>
      </c>
      <c r="L23" s="30" t="str">
        <f>"126,8370"</f>
        <v>126,8370</v>
      </c>
      <c r="M23" s="28"/>
    </row>
    <row r="24" spans="1:13">
      <c r="A24" s="42" t="s">
        <v>100</v>
      </c>
      <c r="B24" s="31" t="s">
        <v>261</v>
      </c>
      <c r="C24" s="31" t="s">
        <v>243</v>
      </c>
      <c r="D24" s="31" t="s">
        <v>244</v>
      </c>
      <c r="E24" s="32" t="s">
        <v>462</v>
      </c>
      <c r="F24" s="31" t="s">
        <v>397</v>
      </c>
      <c r="G24" s="41" t="s">
        <v>15</v>
      </c>
      <c r="H24" s="41" t="s">
        <v>16</v>
      </c>
      <c r="I24" s="40" t="s">
        <v>21</v>
      </c>
      <c r="J24" s="42"/>
      <c r="K24" s="33" t="str">
        <f>"140,0"</f>
        <v>140,0</v>
      </c>
      <c r="L24" s="33" t="str">
        <f>"100,8980"</f>
        <v>100,8980</v>
      </c>
      <c r="M24" s="31" t="s">
        <v>87</v>
      </c>
    </row>
    <row r="26" spans="1:13" ht="16">
      <c r="A26" s="66" t="s">
        <v>105</v>
      </c>
      <c r="B26" s="66"/>
      <c r="C26" s="66"/>
      <c r="D26" s="66"/>
      <c r="E26" s="67"/>
      <c r="F26" s="66"/>
      <c r="G26" s="66"/>
      <c r="H26" s="66"/>
      <c r="I26" s="66"/>
      <c r="J26" s="66"/>
    </row>
    <row r="27" spans="1:13">
      <c r="A27" s="23" t="s">
        <v>52</v>
      </c>
      <c r="B27" s="12" t="s">
        <v>262</v>
      </c>
      <c r="C27" s="12" t="s">
        <v>245</v>
      </c>
      <c r="D27" s="12" t="s">
        <v>246</v>
      </c>
      <c r="E27" s="13" t="s">
        <v>463</v>
      </c>
      <c r="F27" s="12" t="s">
        <v>446</v>
      </c>
      <c r="G27" s="22" t="s">
        <v>79</v>
      </c>
      <c r="H27" s="22" t="s">
        <v>120</v>
      </c>
      <c r="I27" s="22" t="s">
        <v>247</v>
      </c>
      <c r="J27" s="23"/>
      <c r="K27" s="14" t="str">
        <f>"190,0"</f>
        <v>190,0</v>
      </c>
      <c r="L27" s="14" t="str">
        <f>"127,2810"</f>
        <v>127,2810</v>
      </c>
      <c r="M27" s="12"/>
    </row>
    <row r="29" spans="1:13" ht="16">
      <c r="A29" s="66" t="s">
        <v>70</v>
      </c>
      <c r="B29" s="66"/>
      <c r="C29" s="66"/>
      <c r="D29" s="66"/>
      <c r="E29" s="67"/>
      <c r="F29" s="66"/>
      <c r="G29" s="66"/>
      <c r="H29" s="66"/>
      <c r="I29" s="66"/>
      <c r="J29" s="66"/>
    </row>
    <row r="30" spans="1:13">
      <c r="A30" s="36" t="s">
        <v>52</v>
      </c>
      <c r="B30" s="25" t="s">
        <v>101</v>
      </c>
      <c r="C30" s="25" t="s">
        <v>77</v>
      </c>
      <c r="D30" s="25" t="s">
        <v>78</v>
      </c>
      <c r="E30" s="26" t="s">
        <v>463</v>
      </c>
      <c r="F30" s="25" t="s">
        <v>446</v>
      </c>
      <c r="G30" s="34" t="s">
        <v>81</v>
      </c>
      <c r="H30" s="34" t="s">
        <v>82</v>
      </c>
      <c r="I30" s="34" t="s">
        <v>83</v>
      </c>
      <c r="J30" s="36"/>
      <c r="K30" s="27" t="str">
        <f>"202,5"</f>
        <v>202,5</v>
      </c>
      <c r="L30" s="27" t="str">
        <f>"130,0860"</f>
        <v>130,0860</v>
      </c>
      <c r="M30" s="25"/>
    </row>
    <row r="31" spans="1:13">
      <c r="A31" s="39" t="s">
        <v>52</v>
      </c>
      <c r="B31" s="28" t="s">
        <v>263</v>
      </c>
      <c r="C31" s="28" t="s">
        <v>413</v>
      </c>
      <c r="D31" s="28" t="s">
        <v>248</v>
      </c>
      <c r="E31" s="29" t="s">
        <v>461</v>
      </c>
      <c r="F31" s="28" t="s">
        <v>455</v>
      </c>
      <c r="G31" s="38" t="s">
        <v>130</v>
      </c>
      <c r="H31" s="37" t="s">
        <v>83</v>
      </c>
      <c r="I31" s="38" t="s">
        <v>83</v>
      </c>
      <c r="J31" s="39"/>
      <c r="K31" s="30" t="str">
        <f>"202,5"</f>
        <v>202,5</v>
      </c>
      <c r="L31" s="30" t="str">
        <f>"129,7215"</f>
        <v>129,7215</v>
      </c>
      <c r="M31" s="28"/>
    </row>
    <row r="32" spans="1:13">
      <c r="A32" s="42" t="s">
        <v>52</v>
      </c>
      <c r="B32" s="31" t="s">
        <v>103</v>
      </c>
      <c r="C32" s="31" t="s">
        <v>414</v>
      </c>
      <c r="D32" s="31" t="s">
        <v>85</v>
      </c>
      <c r="E32" s="32" t="s">
        <v>464</v>
      </c>
      <c r="F32" s="31" t="s">
        <v>446</v>
      </c>
      <c r="G32" s="41" t="s">
        <v>249</v>
      </c>
      <c r="H32" s="41" t="s">
        <v>18</v>
      </c>
      <c r="I32" s="41" t="s">
        <v>73</v>
      </c>
      <c r="J32" s="42"/>
      <c r="K32" s="33" t="str">
        <f>"120,0"</f>
        <v>120,0</v>
      </c>
      <c r="L32" s="33" t="str">
        <f>"86,7203"</f>
        <v>86,7203</v>
      </c>
      <c r="M32" s="31" t="s">
        <v>87</v>
      </c>
    </row>
    <row r="34" spans="2:13" ht="16">
      <c r="F34" s="9"/>
      <c r="G34" s="6"/>
      <c r="K34" s="11"/>
      <c r="M34" s="8"/>
    </row>
    <row r="35" spans="2:13">
      <c r="G35" s="6"/>
      <c r="K35" s="11"/>
      <c r="M35" s="8"/>
    </row>
    <row r="36" spans="2:13" ht="18">
      <c r="B36" s="10" t="s">
        <v>8</v>
      </c>
      <c r="C36" s="10"/>
      <c r="G36" s="3"/>
      <c r="K36" s="11"/>
      <c r="M36" s="8"/>
    </row>
    <row r="37" spans="2:13" ht="16">
      <c r="B37" s="15" t="s">
        <v>51</v>
      </c>
      <c r="C37" s="15"/>
      <c r="G37" s="3"/>
      <c r="K37" s="11"/>
      <c r="M37" s="8"/>
    </row>
    <row r="38" spans="2:13" ht="14">
      <c r="B38" s="16"/>
      <c r="C38" s="17" t="s">
        <v>94</v>
      </c>
      <c r="G38" s="3"/>
      <c r="K38" s="11"/>
      <c r="M38" s="8"/>
    </row>
    <row r="39" spans="2:13" ht="14">
      <c r="B39" s="18" t="s">
        <v>46</v>
      </c>
      <c r="C39" s="18" t="s">
        <v>47</v>
      </c>
      <c r="D39" s="18" t="s">
        <v>48</v>
      </c>
      <c r="E39" s="19" t="s">
        <v>131</v>
      </c>
      <c r="F39" s="18" t="s">
        <v>49</v>
      </c>
      <c r="G39" s="3"/>
      <c r="K39" s="11"/>
      <c r="M39" s="8"/>
    </row>
    <row r="40" spans="2:13">
      <c r="B40" s="6" t="s">
        <v>224</v>
      </c>
      <c r="C40" s="6" t="s">
        <v>95</v>
      </c>
      <c r="D40" s="11" t="s">
        <v>177</v>
      </c>
      <c r="E40" s="21">
        <v>165</v>
      </c>
      <c r="F40" s="20">
        <v>156.91499590873701</v>
      </c>
      <c r="G40" s="3"/>
      <c r="K40" s="11"/>
      <c r="M40" s="8"/>
    </row>
    <row r="41" spans="2:13">
      <c r="B41" s="6" t="s">
        <v>227</v>
      </c>
      <c r="C41" s="6" t="s">
        <v>95</v>
      </c>
      <c r="D41" s="11" t="s">
        <v>50</v>
      </c>
      <c r="E41" s="21">
        <v>175</v>
      </c>
      <c r="F41" s="20">
        <v>139.52749669551801</v>
      </c>
      <c r="G41" s="3"/>
      <c r="K41" s="11"/>
      <c r="M41" s="8"/>
    </row>
    <row r="42" spans="2:13">
      <c r="B42" s="6" t="s">
        <v>232</v>
      </c>
      <c r="C42" s="6" t="s">
        <v>95</v>
      </c>
      <c r="D42" s="11" t="s">
        <v>96</v>
      </c>
      <c r="E42" s="21">
        <v>182.5</v>
      </c>
      <c r="F42" s="20">
        <v>132.56800323724701</v>
      </c>
      <c r="G42" s="3"/>
      <c r="K42" s="11"/>
      <c r="M42" s="8"/>
    </row>
    <row r="43" spans="2:13">
      <c r="E43" s="6"/>
      <c r="F43" s="7"/>
      <c r="G43" s="6"/>
      <c r="K43" s="11"/>
      <c r="M43" s="8"/>
    </row>
  </sheetData>
  <mergeCells count="18">
    <mergeCell ref="A29:J29"/>
    <mergeCell ref="K3:K4"/>
    <mergeCell ref="L3:L4"/>
    <mergeCell ref="M3:M4"/>
    <mergeCell ref="A5:J5"/>
    <mergeCell ref="B3:B4"/>
    <mergeCell ref="A8:J8"/>
    <mergeCell ref="A12:J12"/>
    <mergeCell ref="A15:J15"/>
    <mergeCell ref="A19:J19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12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18.1640625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5.33203125" style="6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8" bestFit="1" customWidth="1"/>
    <col min="20" max="20" width="8.5" style="8" bestFit="1" customWidth="1"/>
    <col min="21" max="21" width="15.6640625" style="6" bestFit="1" customWidth="1"/>
    <col min="22" max="16384" width="9.1640625" style="3"/>
  </cols>
  <sheetData>
    <row r="1" spans="1:21" s="2" customFormat="1" ht="29" customHeight="1">
      <c r="A1" s="53" t="s">
        <v>429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65" t="s">
        <v>11</v>
      </c>
      <c r="P3" s="65"/>
      <c r="Q3" s="65"/>
      <c r="R3" s="65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">
        <v>1</v>
      </c>
      <c r="P4" s="4">
        <v>2</v>
      </c>
      <c r="Q4" s="4">
        <v>3</v>
      </c>
      <c r="R4" s="4" t="s">
        <v>5</v>
      </c>
      <c r="S4" s="48"/>
      <c r="T4" s="48"/>
      <c r="U4" s="50"/>
    </row>
    <row r="5" spans="1:21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3" t="s">
        <v>52</v>
      </c>
      <c r="B6" s="12" t="s">
        <v>53</v>
      </c>
      <c r="C6" s="12" t="s">
        <v>400</v>
      </c>
      <c r="D6" s="12" t="s">
        <v>13</v>
      </c>
      <c r="E6" s="13" t="s">
        <v>464</v>
      </c>
      <c r="F6" s="12" t="s">
        <v>446</v>
      </c>
      <c r="G6" s="22" t="s">
        <v>15</v>
      </c>
      <c r="H6" s="22" t="s">
        <v>16</v>
      </c>
      <c r="I6" s="22" t="s">
        <v>17</v>
      </c>
      <c r="J6" s="23"/>
      <c r="K6" s="22" t="s">
        <v>18</v>
      </c>
      <c r="L6" s="22" t="s">
        <v>19</v>
      </c>
      <c r="M6" s="24" t="s">
        <v>20</v>
      </c>
      <c r="N6" s="23"/>
      <c r="O6" s="22" t="s">
        <v>21</v>
      </c>
      <c r="P6" s="24" t="s">
        <v>22</v>
      </c>
      <c r="Q6" s="23"/>
      <c r="R6" s="23"/>
      <c r="S6" s="14" t="str">
        <f>"400,0"</f>
        <v>400,0</v>
      </c>
      <c r="T6" s="14" t="str">
        <f>"468,6933"</f>
        <v>468,6933</v>
      </c>
      <c r="U6" s="12" t="s">
        <v>23</v>
      </c>
    </row>
    <row r="8" spans="1:21" ht="16">
      <c r="A8" s="66" t="s">
        <v>24</v>
      </c>
      <c r="B8" s="66"/>
      <c r="C8" s="66"/>
      <c r="D8" s="66"/>
      <c r="E8" s="67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23" t="s">
        <v>52</v>
      </c>
      <c r="B9" s="12" t="s">
        <v>54</v>
      </c>
      <c r="C9" s="12" t="s">
        <v>25</v>
      </c>
      <c r="D9" s="12" t="s">
        <v>26</v>
      </c>
      <c r="E9" s="13" t="s">
        <v>462</v>
      </c>
      <c r="F9" s="12" t="s">
        <v>446</v>
      </c>
      <c r="G9" s="22" t="s">
        <v>27</v>
      </c>
      <c r="H9" s="22" t="s">
        <v>28</v>
      </c>
      <c r="I9" s="24" t="s">
        <v>29</v>
      </c>
      <c r="J9" s="23"/>
      <c r="K9" s="22" t="s">
        <v>30</v>
      </c>
      <c r="L9" s="22" t="s">
        <v>31</v>
      </c>
      <c r="M9" s="22" t="s">
        <v>32</v>
      </c>
      <c r="N9" s="23"/>
      <c r="O9" s="22" t="s">
        <v>29</v>
      </c>
      <c r="P9" s="22" t="s">
        <v>33</v>
      </c>
      <c r="Q9" s="24" t="s">
        <v>34</v>
      </c>
      <c r="R9" s="23"/>
      <c r="S9" s="14" t="str">
        <f>"677,5"</f>
        <v>677,5</v>
      </c>
      <c r="T9" s="14" t="str">
        <f>"418,6950"</f>
        <v>418,6950</v>
      </c>
      <c r="U9" s="12"/>
    </row>
    <row r="11" spans="1:21" ht="16">
      <c r="A11" s="66" t="s">
        <v>35</v>
      </c>
      <c r="B11" s="66"/>
      <c r="C11" s="66"/>
      <c r="D11" s="66"/>
      <c r="E11" s="67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23" t="s">
        <v>52</v>
      </c>
      <c r="B12" s="12" t="s">
        <v>55</v>
      </c>
      <c r="C12" s="12" t="s">
        <v>36</v>
      </c>
      <c r="D12" s="12" t="s">
        <v>37</v>
      </c>
      <c r="E12" s="13" t="s">
        <v>462</v>
      </c>
      <c r="F12" s="12" t="s">
        <v>448</v>
      </c>
      <c r="G12" s="22" t="s">
        <v>38</v>
      </c>
      <c r="H12" s="22" t="s">
        <v>39</v>
      </c>
      <c r="I12" s="22" t="s">
        <v>40</v>
      </c>
      <c r="J12" s="23"/>
      <c r="K12" s="22" t="s">
        <v>41</v>
      </c>
      <c r="L12" s="22" t="s">
        <v>42</v>
      </c>
      <c r="M12" s="22" t="s">
        <v>16</v>
      </c>
      <c r="N12" s="23"/>
      <c r="O12" s="22" t="s">
        <v>43</v>
      </c>
      <c r="P12" s="22" t="s">
        <v>44</v>
      </c>
      <c r="Q12" s="22" t="s">
        <v>45</v>
      </c>
      <c r="R12" s="23"/>
      <c r="S12" s="14" t="str">
        <f>"672,5"</f>
        <v>672,5</v>
      </c>
      <c r="T12" s="14" t="str">
        <f>"398,9270"</f>
        <v>398,9270</v>
      </c>
      <c r="U12" s="12"/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5" style="6" bestFit="1" customWidth="1"/>
    <col min="2" max="2" width="21.5" style="6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5.33203125" style="6" bestFit="1" customWidth="1"/>
    <col min="7" max="9" width="6.664062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20" style="6" bestFit="1" customWidth="1"/>
    <col min="14" max="16384" width="9.1640625" style="3"/>
  </cols>
  <sheetData>
    <row r="1" spans="1:13" s="2" customFormat="1" ht="29" customHeight="1">
      <c r="A1" s="53" t="s">
        <v>440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11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213</v>
      </c>
      <c r="C6" s="12" t="s">
        <v>401</v>
      </c>
      <c r="D6" s="12" t="s">
        <v>196</v>
      </c>
      <c r="E6" s="13" t="s">
        <v>465</v>
      </c>
      <c r="F6" s="12" t="s">
        <v>446</v>
      </c>
      <c r="G6" s="22" t="s">
        <v>79</v>
      </c>
      <c r="H6" s="22" t="s">
        <v>160</v>
      </c>
      <c r="I6" s="22" t="s">
        <v>120</v>
      </c>
      <c r="J6" s="23"/>
      <c r="K6" s="14" t="str">
        <f>"180,0"</f>
        <v>180,0</v>
      </c>
      <c r="L6" s="14" t="str">
        <f>"220,6680"</f>
        <v>220,6680</v>
      </c>
      <c r="M6" s="12" t="s">
        <v>121</v>
      </c>
    </row>
    <row r="8" spans="1:13" ht="16">
      <c r="A8" s="66" t="s">
        <v>12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23" t="s">
        <v>52</v>
      </c>
      <c r="B9" s="12" t="s">
        <v>214</v>
      </c>
      <c r="C9" s="12" t="s">
        <v>198</v>
      </c>
      <c r="D9" s="12" t="s">
        <v>199</v>
      </c>
      <c r="E9" s="13" t="s">
        <v>463</v>
      </c>
      <c r="F9" s="12" t="s">
        <v>397</v>
      </c>
      <c r="G9" s="22" t="s">
        <v>200</v>
      </c>
      <c r="H9" s="24" t="s">
        <v>27</v>
      </c>
      <c r="I9" s="24" t="s">
        <v>27</v>
      </c>
      <c r="J9" s="23"/>
      <c r="K9" s="14" t="str">
        <f>"210,0"</f>
        <v>210,0</v>
      </c>
      <c r="L9" s="14" t="str">
        <f>"165,3120"</f>
        <v>165,3120</v>
      </c>
      <c r="M9" s="12"/>
    </row>
    <row r="11" spans="1:13" ht="16">
      <c r="A11" s="66" t="s">
        <v>65</v>
      </c>
      <c r="B11" s="66"/>
      <c r="C11" s="66"/>
      <c r="D11" s="66"/>
      <c r="E11" s="67"/>
      <c r="F11" s="66"/>
      <c r="G11" s="66"/>
      <c r="H11" s="66"/>
      <c r="I11" s="66"/>
      <c r="J11" s="66"/>
    </row>
    <row r="12" spans="1:13">
      <c r="A12" s="23" t="s">
        <v>52</v>
      </c>
      <c r="B12" s="12" t="s">
        <v>215</v>
      </c>
      <c r="C12" s="12" t="s">
        <v>201</v>
      </c>
      <c r="D12" s="12" t="s">
        <v>202</v>
      </c>
      <c r="E12" s="13" t="s">
        <v>462</v>
      </c>
      <c r="F12" s="12" t="s">
        <v>397</v>
      </c>
      <c r="G12" s="24" t="s">
        <v>200</v>
      </c>
      <c r="H12" s="22" t="s">
        <v>200</v>
      </c>
      <c r="I12" s="24" t="s">
        <v>27</v>
      </c>
      <c r="J12" s="23"/>
      <c r="K12" s="14" t="str">
        <f>"210,0"</f>
        <v>210,0</v>
      </c>
      <c r="L12" s="14" t="str">
        <f>"150,7590"</f>
        <v>150,7590</v>
      </c>
      <c r="M12" s="12"/>
    </row>
    <row r="14" spans="1:13" ht="16">
      <c r="A14" s="66" t="s">
        <v>105</v>
      </c>
      <c r="B14" s="66"/>
      <c r="C14" s="66"/>
      <c r="D14" s="66"/>
      <c r="E14" s="67"/>
      <c r="F14" s="66"/>
      <c r="G14" s="66"/>
      <c r="H14" s="66"/>
      <c r="I14" s="66"/>
      <c r="J14" s="66"/>
    </row>
    <row r="15" spans="1:13">
      <c r="A15" s="36" t="s">
        <v>52</v>
      </c>
      <c r="B15" s="25" t="s">
        <v>216</v>
      </c>
      <c r="C15" s="25" t="s">
        <v>203</v>
      </c>
      <c r="D15" s="25" t="s">
        <v>204</v>
      </c>
      <c r="E15" s="26" t="s">
        <v>463</v>
      </c>
      <c r="F15" s="25" t="s">
        <v>456</v>
      </c>
      <c r="G15" s="34" t="s">
        <v>205</v>
      </c>
      <c r="H15" s="34" t="s">
        <v>206</v>
      </c>
      <c r="I15" s="34" t="s">
        <v>207</v>
      </c>
      <c r="J15" s="36"/>
      <c r="K15" s="27" t="str">
        <f>"177.50o"</f>
        <v>177.50o</v>
      </c>
      <c r="L15" s="27" t="str">
        <f>"121,6585"</f>
        <v>121,6585</v>
      </c>
      <c r="M15" s="25"/>
    </row>
    <row r="16" spans="1:13">
      <c r="A16" s="42" t="s">
        <v>52</v>
      </c>
      <c r="B16" s="31" t="s">
        <v>111</v>
      </c>
      <c r="C16" s="31" t="s">
        <v>106</v>
      </c>
      <c r="D16" s="31" t="s">
        <v>107</v>
      </c>
      <c r="E16" s="32" t="s">
        <v>462</v>
      </c>
      <c r="F16" s="31" t="s">
        <v>397</v>
      </c>
      <c r="G16" s="41" t="s">
        <v>109</v>
      </c>
      <c r="H16" s="40" t="s">
        <v>43</v>
      </c>
      <c r="I16" s="40" t="s">
        <v>43</v>
      </c>
      <c r="J16" s="42"/>
      <c r="K16" s="33" t="str">
        <f>"230,0"</f>
        <v>230,0</v>
      </c>
      <c r="L16" s="33" t="str">
        <f>"155,3420"</f>
        <v>155,3420</v>
      </c>
      <c r="M16" s="31" t="s">
        <v>110</v>
      </c>
    </row>
    <row r="18" spans="1:13" ht="16">
      <c r="A18" s="66" t="s">
        <v>70</v>
      </c>
      <c r="B18" s="66"/>
      <c r="C18" s="66"/>
      <c r="D18" s="66"/>
      <c r="E18" s="67"/>
      <c r="F18" s="66"/>
      <c r="G18" s="66"/>
      <c r="H18" s="66"/>
      <c r="I18" s="66"/>
      <c r="J18" s="66"/>
    </row>
    <row r="19" spans="1:13">
      <c r="A19" s="23" t="s">
        <v>52</v>
      </c>
      <c r="B19" s="12" t="s">
        <v>99</v>
      </c>
      <c r="C19" s="12" t="s">
        <v>71</v>
      </c>
      <c r="D19" s="12" t="s">
        <v>72</v>
      </c>
      <c r="E19" s="13" t="s">
        <v>463</v>
      </c>
      <c r="F19" s="12" t="s">
        <v>446</v>
      </c>
      <c r="G19" s="24" t="s">
        <v>43</v>
      </c>
      <c r="H19" s="22" t="s">
        <v>43</v>
      </c>
      <c r="I19" s="24" t="s">
        <v>75</v>
      </c>
      <c r="J19" s="23"/>
      <c r="K19" s="14" t="str">
        <f>"250,0"</f>
        <v>250,0</v>
      </c>
      <c r="L19" s="14" t="str">
        <f>"160,3250"</f>
        <v>160,3250</v>
      </c>
      <c r="M19" s="12" t="s">
        <v>76</v>
      </c>
    </row>
    <row r="21" spans="1:13" ht="16">
      <c r="A21" s="66" t="s">
        <v>35</v>
      </c>
      <c r="B21" s="66"/>
      <c r="C21" s="66"/>
      <c r="D21" s="66"/>
      <c r="E21" s="67"/>
      <c r="F21" s="66"/>
      <c r="G21" s="66"/>
      <c r="H21" s="66"/>
      <c r="I21" s="66"/>
      <c r="J21" s="66"/>
    </row>
    <row r="22" spans="1:13">
      <c r="A22" s="36" t="s">
        <v>52</v>
      </c>
      <c r="B22" s="25" t="s">
        <v>136</v>
      </c>
      <c r="C22" s="25" t="s">
        <v>124</v>
      </c>
      <c r="D22" s="25" t="s">
        <v>125</v>
      </c>
      <c r="E22" s="26" t="s">
        <v>462</v>
      </c>
      <c r="F22" s="25" t="s">
        <v>397</v>
      </c>
      <c r="G22" s="34" t="s">
        <v>208</v>
      </c>
      <c r="H22" s="34" t="s">
        <v>209</v>
      </c>
      <c r="I22" s="35" t="s">
        <v>210</v>
      </c>
      <c r="J22" s="36"/>
      <c r="K22" s="27" t="str">
        <f>"350,0"</f>
        <v>350,0</v>
      </c>
      <c r="L22" s="27" t="str">
        <f>"207,4800"</f>
        <v>207,4800</v>
      </c>
      <c r="M22" s="25"/>
    </row>
    <row r="23" spans="1:13">
      <c r="A23" s="39" t="s">
        <v>100</v>
      </c>
      <c r="B23" s="28" t="s">
        <v>55</v>
      </c>
      <c r="C23" s="28" t="s">
        <v>36</v>
      </c>
      <c r="D23" s="28" t="s">
        <v>37</v>
      </c>
      <c r="E23" s="29" t="s">
        <v>462</v>
      </c>
      <c r="F23" s="28" t="s">
        <v>448</v>
      </c>
      <c r="G23" s="38" t="s">
        <v>43</v>
      </c>
      <c r="H23" s="38" t="s">
        <v>44</v>
      </c>
      <c r="I23" s="38" t="s">
        <v>45</v>
      </c>
      <c r="J23" s="39"/>
      <c r="K23" s="30" t="str">
        <f>"290,0"</f>
        <v>290,0</v>
      </c>
      <c r="L23" s="30" t="str">
        <f>"172,0280"</f>
        <v>172,0280</v>
      </c>
      <c r="M23" s="28"/>
    </row>
    <row r="24" spans="1:13">
      <c r="A24" s="42" t="s">
        <v>52</v>
      </c>
      <c r="B24" s="31" t="s">
        <v>217</v>
      </c>
      <c r="C24" s="31" t="s">
        <v>415</v>
      </c>
      <c r="D24" s="31" t="s">
        <v>211</v>
      </c>
      <c r="E24" s="32" t="s">
        <v>467</v>
      </c>
      <c r="F24" s="31" t="s">
        <v>446</v>
      </c>
      <c r="G24" s="41" t="s">
        <v>108</v>
      </c>
      <c r="H24" s="41" t="s">
        <v>212</v>
      </c>
      <c r="I24" s="42"/>
      <c r="J24" s="42"/>
      <c r="K24" s="33" t="str">
        <f>"205,0"</f>
        <v>205,0</v>
      </c>
      <c r="L24" s="33" t="str">
        <f>"161,8472"</f>
        <v>161,8472</v>
      </c>
      <c r="M24" s="31" t="s">
        <v>171</v>
      </c>
    </row>
  </sheetData>
  <mergeCells count="17">
    <mergeCell ref="A21:J21"/>
    <mergeCell ref="A5:J5"/>
    <mergeCell ref="A8:J8"/>
    <mergeCell ref="A11:J11"/>
    <mergeCell ref="A14:J14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"/>
  <sheetViews>
    <sheetView workbookViewId="0">
      <selection activeCell="E8" sqref="E8"/>
    </sheetView>
  </sheetViews>
  <sheetFormatPr baseColWidth="10" defaultColWidth="9.1640625" defaultRowHeight="13"/>
  <cols>
    <col min="1" max="1" width="7.5" style="6" bestFit="1" customWidth="1"/>
    <col min="2" max="2" width="18.3320312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22.6640625" style="6" customWidth="1"/>
    <col min="7" max="7" width="30.33203125" style="6" bestFit="1" customWidth="1"/>
    <col min="8" max="10" width="4.5" style="11" customWidth="1"/>
    <col min="11" max="11" width="4.83203125" style="11" customWidth="1"/>
    <col min="12" max="14" width="4.5" style="11" customWidth="1"/>
    <col min="15" max="15" width="4.83203125" style="11" customWidth="1"/>
    <col min="16" max="16" width="7.83203125" style="21" bestFit="1" customWidth="1"/>
    <col min="17" max="17" width="7.5" style="8" bestFit="1" customWidth="1"/>
    <col min="18" max="18" width="15.6640625" style="6" bestFit="1" customWidth="1"/>
    <col min="19" max="16384" width="9.1640625" style="3"/>
  </cols>
  <sheetData>
    <row r="1" spans="1:18" s="2" customFormat="1" ht="29" customHeight="1">
      <c r="A1" s="53" t="s">
        <v>387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</row>
    <row r="3" spans="1:18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4</v>
      </c>
      <c r="G3" s="65" t="s">
        <v>6</v>
      </c>
      <c r="H3" s="65" t="s">
        <v>444</v>
      </c>
      <c r="I3" s="65"/>
      <c r="J3" s="65"/>
      <c r="K3" s="65"/>
      <c r="L3" s="65" t="s">
        <v>458</v>
      </c>
      <c r="M3" s="65"/>
      <c r="N3" s="65"/>
      <c r="O3" s="65"/>
      <c r="P3" s="70" t="s">
        <v>1</v>
      </c>
      <c r="Q3" s="47" t="s">
        <v>3</v>
      </c>
      <c r="R3" s="49" t="s">
        <v>2</v>
      </c>
    </row>
    <row r="4" spans="1:18" s="1" customFormat="1" ht="21" customHeight="1" thickBot="1">
      <c r="A4" s="62"/>
      <c r="B4" s="69"/>
      <c r="C4" s="64"/>
      <c r="D4" s="64"/>
      <c r="E4" s="48"/>
      <c r="F4" s="64"/>
      <c r="G4" s="64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71"/>
      <c r="Q4" s="48"/>
      <c r="R4" s="50"/>
    </row>
    <row r="5" spans="1:18" ht="16">
      <c r="A5" s="51" t="s">
        <v>70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8">
      <c r="A6" s="36" t="s">
        <v>52</v>
      </c>
      <c r="B6" s="25" t="s">
        <v>385</v>
      </c>
      <c r="C6" s="25" t="s">
        <v>383</v>
      </c>
      <c r="D6" s="25" t="s">
        <v>384</v>
      </c>
      <c r="E6" s="26" t="s">
        <v>462</v>
      </c>
      <c r="F6" s="25" t="s">
        <v>14</v>
      </c>
      <c r="G6" s="25" t="s">
        <v>446</v>
      </c>
      <c r="H6" s="34" t="s">
        <v>249</v>
      </c>
      <c r="I6" s="34" t="s">
        <v>64</v>
      </c>
      <c r="J6" s="35" t="s">
        <v>59</v>
      </c>
      <c r="K6" s="36"/>
      <c r="L6" s="34" t="s">
        <v>279</v>
      </c>
      <c r="M6" s="34" t="s">
        <v>280</v>
      </c>
      <c r="N6" s="35" t="s">
        <v>197</v>
      </c>
      <c r="O6" s="36"/>
      <c r="P6" s="44" t="str">
        <f>"155,0"</f>
        <v>155,0</v>
      </c>
      <c r="Q6" s="27" t="str">
        <f>"95,4335"</f>
        <v>95,4335</v>
      </c>
      <c r="R6" s="25"/>
    </row>
    <row r="7" spans="1:18">
      <c r="A7" s="42" t="s">
        <v>102</v>
      </c>
      <c r="B7" s="31" t="s">
        <v>187</v>
      </c>
      <c r="C7" s="31" t="s">
        <v>164</v>
      </c>
      <c r="D7" s="31" t="s">
        <v>165</v>
      </c>
      <c r="E7" s="32" t="s">
        <v>462</v>
      </c>
      <c r="F7" s="31" t="s">
        <v>14</v>
      </c>
      <c r="G7" s="31" t="s">
        <v>446</v>
      </c>
      <c r="H7" s="41" t="s">
        <v>59</v>
      </c>
      <c r="I7" s="40" t="s">
        <v>69</v>
      </c>
      <c r="J7" s="40" t="s">
        <v>69</v>
      </c>
      <c r="K7" s="42"/>
      <c r="L7" s="40" t="s">
        <v>281</v>
      </c>
      <c r="M7" s="40" t="s">
        <v>315</v>
      </c>
      <c r="N7" s="40" t="s">
        <v>315</v>
      </c>
      <c r="O7" s="42"/>
      <c r="P7" s="46">
        <v>0</v>
      </c>
      <c r="Q7" s="33" t="str">
        <f>"0,0000"</f>
        <v>0,0000</v>
      </c>
      <c r="R7" s="31"/>
    </row>
  </sheetData>
  <mergeCells count="14">
    <mergeCell ref="A5:O5"/>
    <mergeCell ref="B3:B4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R3:R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8"/>
  <sheetViews>
    <sheetView topLeftCell="A6" workbookViewId="0">
      <selection activeCell="E39" sqref="E39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42.8320312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23.5" style="6" customWidth="1"/>
    <col min="14" max="16384" width="9.1640625" style="3"/>
  </cols>
  <sheetData>
    <row r="1" spans="1:13" s="2" customFormat="1" ht="29" customHeight="1">
      <c r="A1" s="53" t="s">
        <v>394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444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298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320</v>
      </c>
      <c r="C6" s="12" t="s">
        <v>416</v>
      </c>
      <c r="D6" s="12" t="s">
        <v>299</v>
      </c>
      <c r="E6" s="13" t="s">
        <v>461</v>
      </c>
      <c r="F6" s="12" t="s">
        <v>446</v>
      </c>
      <c r="G6" s="22" t="s">
        <v>300</v>
      </c>
      <c r="H6" s="22" t="s">
        <v>301</v>
      </c>
      <c r="I6" s="24" t="s">
        <v>302</v>
      </c>
      <c r="J6" s="23"/>
      <c r="K6" s="14" t="str">
        <f>"25,0"</f>
        <v>25,0</v>
      </c>
      <c r="L6" s="14" t="str">
        <f>"31,4500"</f>
        <v>31,4500</v>
      </c>
      <c r="M6" s="12"/>
    </row>
    <row r="8" spans="1:13" ht="16">
      <c r="A8" s="66" t="s">
        <v>138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23" t="s">
        <v>52</v>
      </c>
      <c r="B9" s="12" t="s">
        <v>321</v>
      </c>
      <c r="C9" s="12" t="s">
        <v>417</v>
      </c>
      <c r="D9" s="12" t="s">
        <v>303</v>
      </c>
      <c r="E9" s="13" t="s">
        <v>461</v>
      </c>
      <c r="F9" s="12" t="s">
        <v>446</v>
      </c>
      <c r="G9" s="22" t="s">
        <v>300</v>
      </c>
      <c r="H9" s="24" t="s">
        <v>301</v>
      </c>
      <c r="I9" s="24" t="s">
        <v>301</v>
      </c>
      <c r="J9" s="23"/>
      <c r="K9" s="14" t="str">
        <f>"22,5"</f>
        <v>22,5</v>
      </c>
      <c r="L9" s="14" t="str">
        <f>"23,8635"</f>
        <v>23,8635</v>
      </c>
      <c r="M9" s="12"/>
    </row>
    <row r="11" spans="1:13" ht="16">
      <c r="A11" s="66" t="s">
        <v>56</v>
      </c>
      <c r="B11" s="66"/>
      <c r="C11" s="66"/>
      <c r="D11" s="66"/>
      <c r="E11" s="67"/>
      <c r="F11" s="66"/>
      <c r="G11" s="66"/>
      <c r="H11" s="66"/>
      <c r="I11" s="66"/>
      <c r="J11" s="66"/>
    </row>
    <row r="12" spans="1:13">
      <c r="A12" s="23" t="s">
        <v>52</v>
      </c>
      <c r="B12" s="12" t="s">
        <v>282</v>
      </c>
      <c r="C12" s="12" t="s">
        <v>408</v>
      </c>
      <c r="D12" s="12" t="s">
        <v>274</v>
      </c>
      <c r="E12" s="13" t="s">
        <v>463</v>
      </c>
      <c r="F12" s="12" t="s">
        <v>446</v>
      </c>
      <c r="G12" s="22" t="s">
        <v>275</v>
      </c>
      <c r="H12" s="24" t="s">
        <v>276</v>
      </c>
      <c r="I12" s="24" t="s">
        <v>276</v>
      </c>
      <c r="J12" s="23"/>
      <c r="K12" s="14" t="str">
        <f>"32,5"</f>
        <v>32,5</v>
      </c>
      <c r="L12" s="14" t="str">
        <f>"32,5325"</f>
        <v>32,5325</v>
      </c>
      <c r="M12" s="12"/>
    </row>
    <row r="14" spans="1:13" ht="16">
      <c r="A14" s="66" t="s">
        <v>138</v>
      </c>
      <c r="B14" s="66"/>
      <c r="C14" s="66"/>
      <c r="D14" s="66"/>
      <c r="E14" s="67"/>
      <c r="F14" s="66"/>
      <c r="G14" s="66"/>
      <c r="H14" s="66"/>
      <c r="I14" s="66"/>
      <c r="J14" s="66"/>
    </row>
    <row r="15" spans="1:13">
      <c r="A15" s="23" t="s">
        <v>52</v>
      </c>
      <c r="B15" s="12" t="s">
        <v>322</v>
      </c>
      <c r="C15" s="12" t="s">
        <v>304</v>
      </c>
      <c r="D15" s="12" t="s">
        <v>305</v>
      </c>
      <c r="E15" s="13" t="s">
        <v>462</v>
      </c>
      <c r="F15" s="12" t="s">
        <v>446</v>
      </c>
      <c r="G15" s="22" t="s">
        <v>148</v>
      </c>
      <c r="H15" s="22" t="s">
        <v>306</v>
      </c>
      <c r="I15" s="24" t="s">
        <v>61</v>
      </c>
      <c r="J15" s="23"/>
      <c r="K15" s="14" t="str">
        <f>"45,0"</f>
        <v>45,0</v>
      </c>
      <c r="L15" s="14" t="str">
        <f>"40,6192"</f>
        <v>40,6192</v>
      </c>
      <c r="M15" s="12" t="s">
        <v>87</v>
      </c>
    </row>
    <row r="17" spans="1:13" ht="16">
      <c r="A17" s="66" t="s">
        <v>12</v>
      </c>
      <c r="B17" s="66"/>
      <c r="C17" s="66"/>
      <c r="D17" s="66"/>
      <c r="E17" s="67"/>
      <c r="F17" s="66"/>
      <c r="G17" s="66"/>
      <c r="H17" s="66"/>
      <c r="I17" s="66"/>
      <c r="J17" s="66"/>
    </row>
    <row r="18" spans="1:13">
      <c r="A18" s="36" t="s">
        <v>52</v>
      </c>
      <c r="B18" s="25" t="s">
        <v>181</v>
      </c>
      <c r="C18" s="25" t="s">
        <v>149</v>
      </c>
      <c r="D18" s="25" t="s">
        <v>150</v>
      </c>
      <c r="E18" s="26" t="s">
        <v>462</v>
      </c>
      <c r="F18" s="25" t="s">
        <v>450</v>
      </c>
      <c r="G18" s="34" t="s">
        <v>144</v>
      </c>
      <c r="H18" s="34" t="s">
        <v>86</v>
      </c>
      <c r="I18" s="34" t="s">
        <v>140</v>
      </c>
      <c r="J18" s="36"/>
      <c r="K18" s="27" t="str">
        <f>"62,5"</f>
        <v>62,5</v>
      </c>
      <c r="L18" s="27" t="str">
        <f>"47,0719"</f>
        <v>47,0719</v>
      </c>
      <c r="M18" s="25"/>
    </row>
    <row r="19" spans="1:13">
      <c r="A19" s="42" t="s">
        <v>52</v>
      </c>
      <c r="B19" s="31" t="s">
        <v>323</v>
      </c>
      <c r="C19" s="31" t="s">
        <v>418</v>
      </c>
      <c r="D19" s="31" t="s">
        <v>307</v>
      </c>
      <c r="E19" s="32" t="s">
        <v>464</v>
      </c>
      <c r="F19" s="31" t="s">
        <v>446</v>
      </c>
      <c r="G19" s="41" t="s">
        <v>148</v>
      </c>
      <c r="H19" s="41" t="s">
        <v>306</v>
      </c>
      <c r="I19" s="41" t="s">
        <v>308</v>
      </c>
      <c r="J19" s="42"/>
      <c r="K19" s="33" t="str">
        <f>"48,0"</f>
        <v>48,0</v>
      </c>
      <c r="L19" s="33" t="str">
        <f>"43,6965"</f>
        <v>43,6965</v>
      </c>
      <c r="M19" s="31" t="s">
        <v>121</v>
      </c>
    </row>
    <row r="21" spans="1:13" ht="16">
      <c r="A21" s="66" t="s">
        <v>65</v>
      </c>
      <c r="B21" s="66"/>
      <c r="C21" s="66"/>
      <c r="D21" s="66"/>
      <c r="E21" s="67"/>
      <c r="F21" s="66"/>
      <c r="G21" s="66"/>
      <c r="H21" s="66"/>
      <c r="I21" s="66"/>
      <c r="J21" s="66"/>
    </row>
    <row r="22" spans="1:13">
      <c r="A22" s="36" t="s">
        <v>52</v>
      </c>
      <c r="B22" s="25" t="s">
        <v>324</v>
      </c>
      <c r="C22" s="25" t="s">
        <v>419</v>
      </c>
      <c r="D22" s="25" t="s">
        <v>309</v>
      </c>
      <c r="E22" s="26" t="s">
        <v>463</v>
      </c>
      <c r="F22" s="25" t="s">
        <v>446</v>
      </c>
      <c r="G22" s="34" t="s">
        <v>63</v>
      </c>
      <c r="H22" s="34" t="s">
        <v>145</v>
      </c>
      <c r="I22" s="35" t="s">
        <v>140</v>
      </c>
      <c r="J22" s="36"/>
      <c r="K22" s="27" t="str">
        <f>"57,5"</f>
        <v>57,5</v>
      </c>
      <c r="L22" s="27" t="str">
        <f>"41,0119"</f>
        <v>41,0119</v>
      </c>
      <c r="M22" s="25" t="s">
        <v>93</v>
      </c>
    </row>
    <row r="23" spans="1:13">
      <c r="A23" s="42" t="s">
        <v>100</v>
      </c>
      <c r="B23" s="31" t="s">
        <v>183</v>
      </c>
      <c r="C23" s="31" t="s">
        <v>420</v>
      </c>
      <c r="D23" s="31" t="s">
        <v>154</v>
      </c>
      <c r="E23" s="32" t="s">
        <v>463</v>
      </c>
      <c r="F23" s="31" t="s">
        <v>451</v>
      </c>
      <c r="G23" s="41" t="s">
        <v>275</v>
      </c>
      <c r="H23" s="41" t="s">
        <v>306</v>
      </c>
      <c r="I23" s="41" t="s">
        <v>62</v>
      </c>
      <c r="J23" s="42"/>
      <c r="K23" s="33" t="str">
        <f>"50,0"</f>
        <v>50,0</v>
      </c>
      <c r="L23" s="33" t="str">
        <f>"34,4275"</f>
        <v>34,4275</v>
      </c>
      <c r="M23" s="31"/>
    </row>
    <row r="25" spans="1:13" ht="16">
      <c r="A25" s="66" t="s">
        <v>105</v>
      </c>
      <c r="B25" s="66"/>
      <c r="C25" s="66"/>
      <c r="D25" s="66"/>
      <c r="E25" s="67"/>
      <c r="F25" s="66"/>
      <c r="G25" s="66"/>
      <c r="H25" s="66"/>
      <c r="I25" s="66"/>
      <c r="J25" s="66"/>
    </row>
    <row r="26" spans="1:13">
      <c r="A26" s="36" t="s">
        <v>52</v>
      </c>
      <c r="B26" s="25" t="s">
        <v>325</v>
      </c>
      <c r="C26" s="25" t="s">
        <v>310</v>
      </c>
      <c r="D26" s="25" t="s">
        <v>311</v>
      </c>
      <c r="E26" s="26" t="s">
        <v>462</v>
      </c>
      <c r="F26" s="25" t="s">
        <v>446</v>
      </c>
      <c r="G26" s="34" t="s">
        <v>62</v>
      </c>
      <c r="H26" s="35" t="s">
        <v>144</v>
      </c>
      <c r="I26" s="34" t="s">
        <v>144</v>
      </c>
      <c r="J26" s="36"/>
      <c r="K26" s="27" t="str">
        <f>"55,0"</f>
        <v>55,0</v>
      </c>
      <c r="L26" s="27" t="str">
        <f>"36,3027"</f>
        <v>36,3027</v>
      </c>
      <c r="M26" s="25"/>
    </row>
    <row r="27" spans="1:13">
      <c r="A27" s="42" t="s">
        <v>52</v>
      </c>
      <c r="B27" s="31" t="s">
        <v>326</v>
      </c>
      <c r="C27" s="31" t="s">
        <v>312</v>
      </c>
      <c r="D27" s="31" t="s">
        <v>313</v>
      </c>
      <c r="E27" s="32" t="s">
        <v>465</v>
      </c>
      <c r="F27" s="31" t="s">
        <v>446</v>
      </c>
      <c r="G27" s="41" t="s">
        <v>144</v>
      </c>
      <c r="H27" s="40" t="s">
        <v>86</v>
      </c>
      <c r="I27" s="42"/>
      <c r="J27" s="42"/>
      <c r="K27" s="33" t="str">
        <f>"55,0"</f>
        <v>55,0</v>
      </c>
      <c r="L27" s="33" t="str">
        <f>"49,2590"</f>
        <v>49,2590</v>
      </c>
      <c r="M27" s="31" t="s">
        <v>121</v>
      </c>
    </row>
    <row r="29" spans="1:13" ht="16">
      <c r="A29" s="66" t="s">
        <v>70</v>
      </c>
      <c r="B29" s="66"/>
      <c r="C29" s="66"/>
      <c r="D29" s="66"/>
      <c r="E29" s="67"/>
      <c r="F29" s="66"/>
      <c r="G29" s="66"/>
      <c r="H29" s="66"/>
      <c r="I29" s="66"/>
      <c r="J29" s="66"/>
    </row>
    <row r="30" spans="1:13">
      <c r="A30" s="36" t="s">
        <v>52</v>
      </c>
      <c r="B30" s="25" t="s">
        <v>327</v>
      </c>
      <c r="C30" s="25" t="s">
        <v>421</v>
      </c>
      <c r="D30" s="25" t="s">
        <v>314</v>
      </c>
      <c r="E30" s="26" t="s">
        <v>463</v>
      </c>
      <c r="F30" s="25" t="s">
        <v>453</v>
      </c>
      <c r="G30" s="34" t="s">
        <v>306</v>
      </c>
      <c r="H30" s="34" t="s">
        <v>62</v>
      </c>
      <c r="I30" s="35" t="s">
        <v>144</v>
      </c>
      <c r="J30" s="36"/>
      <c r="K30" s="27" t="str">
        <f>"50,0"</f>
        <v>50,0</v>
      </c>
      <c r="L30" s="27" t="str">
        <f>"30,7275"</f>
        <v>30,7275</v>
      </c>
      <c r="M30" s="25"/>
    </row>
    <row r="31" spans="1:13">
      <c r="A31" s="39" t="s">
        <v>52</v>
      </c>
      <c r="B31" s="28" t="s">
        <v>187</v>
      </c>
      <c r="C31" s="28" t="s">
        <v>422</v>
      </c>
      <c r="D31" s="28" t="s">
        <v>165</v>
      </c>
      <c r="E31" s="29" t="s">
        <v>461</v>
      </c>
      <c r="F31" s="28" t="s">
        <v>446</v>
      </c>
      <c r="G31" s="38" t="s">
        <v>281</v>
      </c>
      <c r="H31" s="37" t="s">
        <v>315</v>
      </c>
      <c r="I31" s="38" t="s">
        <v>315</v>
      </c>
      <c r="J31" s="39"/>
      <c r="K31" s="30" t="str">
        <f>"82,5"</f>
        <v>82,5</v>
      </c>
      <c r="L31" s="30" t="str">
        <f>"51,0221"</f>
        <v>51,0221</v>
      </c>
      <c r="M31" s="28"/>
    </row>
    <row r="32" spans="1:13">
      <c r="A32" s="42" t="s">
        <v>100</v>
      </c>
      <c r="B32" s="31" t="s">
        <v>328</v>
      </c>
      <c r="C32" s="31" t="s">
        <v>423</v>
      </c>
      <c r="D32" s="31" t="s">
        <v>316</v>
      </c>
      <c r="E32" s="32" t="s">
        <v>461</v>
      </c>
      <c r="F32" s="31" t="s">
        <v>446</v>
      </c>
      <c r="G32" s="41" t="s">
        <v>141</v>
      </c>
      <c r="H32" s="40" t="s">
        <v>288</v>
      </c>
      <c r="I32" s="40" t="s">
        <v>288</v>
      </c>
      <c r="J32" s="42"/>
      <c r="K32" s="33" t="str">
        <f>"67,5"</f>
        <v>67,5</v>
      </c>
      <c r="L32" s="33" t="str">
        <f>"42,7950"</f>
        <v>42,7950</v>
      </c>
      <c r="M32" s="31"/>
    </row>
    <row r="34" spans="1:13" ht="16">
      <c r="A34" s="66" t="s">
        <v>24</v>
      </c>
      <c r="B34" s="66"/>
      <c r="C34" s="66"/>
      <c r="D34" s="66"/>
      <c r="E34" s="67"/>
      <c r="F34" s="66"/>
      <c r="G34" s="66"/>
      <c r="H34" s="66"/>
      <c r="I34" s="66"/>
      <c r="J34" s="66"/>
    </row>
    <row r="35" spans="1:13">
      <c r="A35" s="23" t="s">
        <v>52</v>
      </c>
      <c r="B35" s="12" t="s">
        <v>329</v>
      </c>
      <c r="C35" s="12" t="s">
        <v>317</v>
      </c>
      <c r="D35" s="12" t="s">
        <v>318</v>
      </c>
      <c r="E35" s="13" t="s">
        <v>462</v>
      </c>
      <c r="F35" s="12" t="s">
        <v>446</v>
      </c>
      <c r="G35" s="22" t="s">
        <v>279</v>
      </c>
      <c r="H35" s="22" t="s">
        <v>288</v>
      </c>
      <c r="I35" s="24" t="s">
        <v>249</v>
      </c>
      <c r="J35" s="23"/>
      <c r="K35" s="14" t="str">
        <f>"72,5"</f>
        <v>72,5</v>
      </c>
      <c r="L35" s="14" t="str">
        <f>"43,5943"</f>
        <v>43,5943</v>
      </c>
      <c r="M35" s="12" t="s">
        <v>87</v>
      </c>
    </row>
    <row r="37" spans="1:13" ht="16">
      <c r="A37" s="66" t="s">
        <v>35</v>
      </c>
      <c r="B37" s="66"/>
      <c r="C37" s="66"/>
      <c r="D37" s="66"/>
      <c r="E37" s="67"/>
      <c r="F37" s="66"/>
      <c r="G37" s="66"/>
      <c r="H37" s="66"/>
      <c r="I37" s="66"/>
      <c r="J37" s="66"/>
    </row>
    <row r="38" spans="1:13">
      <c r="A38" s="23" t="s">
        <v>52</v>
      </c>
      <c r="B38" s="12" t="s">
        <v>330</v>
      </c>
      <c r="C38" s="12" t="s">
        <v>424</v>
      </c>
      <c r="D38" s="12" t="s">
        <v>319</v>
      </c>
      <c r="E38" s="13" t="s">
        <v>461</v>
      </c>
      <c r="F38" s="12" t="s">
        <v>446</v>
      </c>
      <c r="G38" s="24" t="s">
        <v>280</v>
      </c>
      <c r="H38" s="22" t="s">
        <v>280</v>
      </c>
      <c r="I38" s="22" t="s">
        <v>197</v>
      </c>
      <c r="J38" s="23"/>
      <c r="K38" s="14" t="str">
        <f>"75,0"</f>
        <v>75,0</v>
      </c>
      <c r="L38" s="14" t="str">
        <f>"43,0950"</f>
        <v>43,0950</v>
      </c>
      <c r="M38" s="12" t="s">
        <v>93</v>
      </c>
    </row>
  </sheetData>
  <mergeCells count="21">
    <mergeCell ref="A29:J29"/>
    <mergeCell ref="A34:J34"/>
    <mergeCell ref="A37:J37"/>
    <mergeCell ref="B3:B4"/>
    <mergeCell ref="A8:J8"/>
    <mergeCell ref="A11:J11"/>
    <mergeCell ref="A14:J14"/>
    <mergeCell ref="A17:J17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8.6640625" style="6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33.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3" t="s">
        <v>396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444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282</v>
      </c>
      <c r="C6" s="12" t="s">
        <v>408</v>
      </c>
      <c r="D6" s="12" t="s">
        <v>274</v>
      </c>
      <c r="E6" s="13" t="s">
        <v>463</v>
      </c>
      <c r="F6" s="12" t="s">
        <v>446</v>
      </c>
      <c r="G6" s="22" t="s">
        <v>275</v>
      </c>
      <c r="H6" s="24" t="s">
        <v>276</v>
      </c>
      <c r="I6" s="24" t="s">
        <v>276</v>
      </c>
      <c r="J6" s="23"/>
      <c r="K6" s="14" t="str">
        <f>"32,5"</f>
        <v>32,5</v>
      </c>
      <c r="L6" s="14" t="str">
        <f>"32,5325"</f>
        <v>32,5325</v>
      </c>
      <c r="M6" s="12"/>
    </row>
    <row r="8" spans="1:13" ht="16">
      <c r="A8" s="66" t="s">
        <v>24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23" t="s">
        <v>52</v>
      </c>
      <c r="B9" s="12" t="s">
        <v>283</v>
      </c>
      <c r="C9" s="12" t="s">
        <v>277</v>
      </c>
      <c r="D9" s="12" t="s">
        <v>278</v>
      </c>
      <c r="E9" s="13" t="s">
        <v>462</v>
      </c>
      <c r="F9" s="12" t="s">
        <v>457</v>
      </c>
      <c r="G9" s="22" t="s">
        <v>279</v>
      </c>
      <c r="H9" s="22" t="s">
        <v>280</v>
      </c>
      <c r="I9" s="24" t="s">
        <v>281</v>
      </c>
      <c r="J9" s="23"/>
      <c r="K9" s="14" t="str">
        <f>"70,0"</f>
        <v>70,0</v>
      </c>
      <c r="L9" s="14" t="str">
        <f>"41,5800"</f>
        <v>41,5800</v>
      </c>
      <c r="M9" s="12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4"/>
  <sheetViews>
    <sheetView workbookViewId="0">
      <selection activeCell="D21" sqref="D21"/>
    </sheetView>
  </sheetViews>
  <sheetFormatPr baseColWidth="10" defaultColWidth="9.1640625" defaultRowHeight="13"/>
  <cols>
    <col min="1" max="1" width="7.5" style="6" bestFit="1" customWidth="1"/>
    <col min="2" max="2" width="18.1640625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2.83203125" style="6" bestFit="1" customWidth="1"/>
    <col min="7" max="8" width="4.5" style="11" customWidth="1"/>
    <col min="9" max="9" width="5.5" style="11" customWidth="1"/>
    <col min="10" max="10" width="4.83203125" style="11" customWidth="1"/>
    <col min="11" max="11" width="7.83203125" style="8" bestFit="1" customWidth="1"/>
    <col min="12" max="12" width="7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3" t="s">
        <v>393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444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105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334</v>
      </c>
      <c r="C6" s="12" t="s">
        <v>331</v>
      </c>
      <c r="D6" s="12" t="s">
        <v>332</v>
      </c>
      <c r="E6" s="13" t="s">
        <v>462</v>
      </c>
      <c r="F6" s="12" t="s">
        <v>386</v>
      </c>
      <c r="G6" s="22" t="s">
        <v>197</v>
      </c>
      <c r="H6" s="24" t="s">
        <v>58</v>
      </c>
      <c r="I6" s="24" t="s">
        <v>58</v>
      </c>
      <c r="J6" s="23"/>
      <c r="K6" s="14" t="str">
        <f>"75,0"</f>
        <v>75,0</v>
      </c>
      <c r="L6" s="14" t="str">
        <f>"49,0875"</f>
        <v>49,0875</v>
      </c>
      <c r="M6" s="12"/>
    </row>
    <row r="8" spans="1:13" ht="16">
      <c r="A8" s="66" t="s">
        <v>70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36" t="s">
        <v>52</v>
      </c>
      <c r="B9" s="25" t="s">
        <v>335</v>
      </c>
      <c r="C9" s="25" t="s">
        <v>425</v>
      </c>
      <c r="D9" s="25" t="s">
        <v>333</v>
      </c>
      <c r="E9" s="26" t="s">
        <v>463</v>
      </c>
      <c r="F9" s="25" t="s">
        <v>446</v>
      </c>
      <c r="G9" s="34" t="s">
        <v>197</v>
      </c>
      <c r="H9" s="34" t="s">
        <v>315</v>
      </c>
      <c r="I9" s="34" t="s">
        <v>58</v>
      </c>
      <c r="J9" s="34" t="s">
        <v>59</v>
      </c>
      <c r="K9" s="27" t="str">
        <f>"87,5"</f>
        <v>87,5</v>
      </c>
      <c r="L9" s="27" t="str">
        <f>"54,5869"</f>
        <v>54,5869</v>
      </c>
      <c r="M9" s="25"/>
    </row>
    <row r="10" spans="1:13">
      <c r="A10" s="42" t="s">
        <v>52</v>
      </c>
      <c r="B10" s="31" t="s">
        <v>186</v>
      </c>
      <c r="C10" s="31" t="s">
        <v>162</v>
      </c>
      <c r="D10" s="31" t="s">
        <v>163</v>
      </c>
      <c r="E10" s="32" t="s">
        <v>462</v>
      </c>
      <c r="F10" s="31" t="s">
        <v>386</v>
      </c>
      <c r="G10" s="41" t="s">
        <v>64</v>
      </c>
      <c r="H10" s="41" t="s">
        <v>69</v>
      </c>
      <c r="I10" s="40" t="s">
        <v>222</v>
      </c>
      <c r="J10" s="42"/>
      <c r="K10" s="33" t="str">
        <f>"95,0"</f>
        <v>95,0</v>
      </c>
      <c r="L10" s="33" t="str">
        <f>"58,6815"</f>
        <v>58,6815</v>
      </c>
      <c r="M10" s="31"/>
    </row>
    <row r="12" spans="1:13" ht="16">
      <c r="A12" s="66" t="s">
        <v>24</v>
      </c>
      <c r="B12" s="66"/>
      <c r="C12" s="66"/>
      <c r="D12" s="66"/>
      <c r="E12" s="67"/>
      <c r="F12" s="66"/>
      <c r="G12" s="66"/>
      <c r="H12" s="66"/>
      <c r="I12" s="66"/>
      <c r="J12" s="66"/>
    </row>
    <row r="13" spans="1:13">
      <c r="A13" s="36" t="s">
        <v>52</v>
      </c>
      <c r="B13" s="25" t="s">
        <v>189</v>
      </c>
      <c r="C13" s="25" t="s">
        <v>169</v>
      </c>
      <c r="D13" s="25" t="s">
        <v>170</v>
      </c>
      <c r="E13" s="26" t="s">
        <v>462</v>
      </c>
      <c r="F13" s="25" t="s">
        <v>386</v>
      </c>
      <c r="G13" s="34" t="s">
        <v>249</v>
      </c>
      <c r="H13" s="34" t="s">
        <v>59</v>
      </c>
      <c r="I13" s="35" t="s">
        <v>19</v>
      </c>
      <c r="J13" s="36"/>
      <c r="K13" s="27" t="str">
        <f>"90,0"</f>
        <v>90,0</v>
      </c>
      <c r="L13" s="27" t="str">
        <f>"52,6545"</f>
        <v>52,6545</v>
      </c>
      <c r="M13" s="25" t="s">
        <v>87</v>
      </c>
    </row>
    <row r="14" spans="1:13">
      <c r="A14" s="42" t="s">
        <v>52</v>
      </c>
      <c r="B14" s="31" t="s">
        <v>191</v>
      </c>
      <c r="C14" s="31" t="s">
        <v>410</v>
      </c>
      <c r="D14" s="31" t="s">
        <v>174</v>
      </c>
      <c r="E14" s="32" t="s">
        <v>464</v>
      </c>
      <c r="F14" s="31" t="s">
        <v>447</v>
      </c>
      <c r="G14" s="41" t="s">
        <v>59</v>
      </c>
      <c r="H14" s="41" t="s">
        <v>69</v>
      </c>
      <c r="I14" s="41" t="s">
        <v>91</v>
      </c>
      <c r="J14" s="42"/>
      <c r="K14" s="33" t="str">
        <f>"102,5"</f>
        <v>102,5</v>
      </c>
      <c r="L14" s="33" t="str">
        <f>"79,1318"</f>
        <v>79,1318</v>
      </c>
      <c r="M14" s="31" t="s">
        <v>93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9"/>
  <sheetViews>
    <sheetView tabSelected="1" workbookViewId="0">
      <selection activeCell="E20" sqref="E20"/>
    </sheetView>
  </sheetViews>
  <sheetFormatPr baseColWidth="10" defaultColWidth="9.1640625" defaultRowHeight="13"/>
  <cols>
    <col min="1" max="1" width="7.5" style="6" bestFit="1" customWidth="1"/>
    <col min="2" max="2" width="20.83203125" style="6" bestFit="1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2.83203125" style="6" bestFit="1" customWidth="1"/>
    <col min="7" max="9" width="4.5" style="11" customWidth="1"/>
    <col min="10" max="10" width="4.83203125" style="11" customWidth="1"/>
    <col min="11" max="11" width="10.5" style="8" bestFit="1" customWidth="1"/>
    <col min="12" max="12" width="7.5" style="8" bestFit="1" customWidth="1"/>
    <col min="13" max="13" width="20.83203125" style="6" bestFit="1" customWidth="1"/>
    <col min="14" max="16384" width="9.1640625" style="3"/>
  </cols>
  <sheetData>
    <row r="1" spans="1:13" s="2" customFormat="1" ht="29" customHeight="1">
      <c r="A1" s="53" t="s">
        <v>395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444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6" t="s">
        <v>52</v>
      </c>
      <c r="B6" s="25" t="s">
        <v>293</v>
      </c>
      <c r="C6" s="25" t="s">
        <v>426</v>
      </c>
      <c r="D6" s="25" t="s">
        <v>284</v>
      </c>
      <c r="E6" s="26" t="s">
        <v>463</v>
      </c>
      <c r="F6" s="25" t="s">
        <v>446</v>
      </c>
      <c r="G6" s="34" t="s">
        <v>279</v>
      </c>
      <c r="H6" s="34" t="s">
        <v>280</v>
      </c>
      <c r="I6" s="35" t="s">
        <v>197</v>
      </c>
      <c r="J6" s="36"/>
      <c r="K6" s="27" t="str">
        <f>"70,0"</f>
        <v>70,0</v>
      </c>
      <c r="L6" s="27" t="str">
        <f>"59,4650"</f>
        <v>59,4650</v>
      </c>
      <c r="M6" s="25"/>
    </row>
    <row r="7" spans="1:13">
      <c r="A7" s="42" t="s">
        <v>52</v>
      </c>
      <c r="B7" s="31" t="s">
        <v>294</v>
      </c>
      <c r="C7" s="31" t="s">
        <v>285</v>
      </c>
      <c r="D7" s="31" t="s">
        <v>286</v>
      </c>
      <c r="E7" s="32" t="s">
        <v>462</v>
      </c>
      <c r="F7" s="31" t="s">
        <v>386</v>
      </c>
      <c r="G7" s="41" t="s">
        <v>279</v>
      </c>
      <c r="H7" s="41" t="s">
        <v>197</v>
      </c>
      <c r="I7" s="40" t="s">
        <v>249</v>
      </c>
      <c r="J7" s="42"/>
      <c r="K7" s="33" t="str">
        <f>"75,0"</f>
        <v>75,0</v>
      </c>
      <c r="L7" s="33" t="str">
        <f>"65,3850"</f>
        <v>65,3850</v>
      </c>
      <c r="M7" s="31" t="s">
        <v>87</v>
      </c>
    </row>
    <row r="9" spans="1:13" ht="16">
      <c r="A9" s="66" t="s">
        <v>12</v>
      </c>
      <c r="B9" s="66"/>
      <c r="C9" s="66"/>
      <c r="D9" s="66"/>
      <c r="E9" s="67"/>
      <c r="F9" s="66"/>
      <c r="G9" s="66"/>
      <c r="H9" s="66"/>
      <c r="I9" s="66"/>
      <c r="J9" s="66"/>
    </row>
    <row r="10" spans="1:13">
      <c r="A10" s="23" t="s">
        <v>52</v>
      </c>
      <c r="B10" s="12" t="s">
        <v>295</v>
      </c>
      <c r="C10" s="12" t="s">
        <v>427</v>
      </c>
      <c r="D10" s="12" t="s">
        <v>287</v>
      </c>
      <c r="E10" s="13" t="s">
        <v>463</v>
      </c>
      <c r="F10" s="12" t="s">
        <v>447</v>
      </c>
      <c r="G10" s="22" t="s">
        <v>279</v>
      </c>
      <c r="H10" s="22" t="s">
        <v>280</v>
      </c>
      <c r="I10" s="22" t="s">
        <v>288</v>
      </c>
      <c r="J10" s="23"/>
      <c r="K10" s="14" t="str">
        <f>"72,5"</f>
        <v>72,5</v>
      </c>
      <c r="L10" s="14" t="str">
        <f>"58,2610"</f>
        <v>58,2610</v>
      </c>
      <c r="M10" s="12"/>
    </row>
    <row r="12" spans="1:13" ht="16">
      <c r="A12" s="66" t="s">
        <v>65</v>
      </c>
      <c r="B12" s="66"/>
      <c r="C12" s="66"/>
      <c r="D12" s="66"/>
      <c r="E12" s="67"/>
      <c r="F12" s="66"/>
      <c r="G12" s="66"/>
      <c r="H12" s="66"/>
      <c r="I12" s="66"/>
      <c r="J12" s="66"/>
    </row>
    <row r="13" spans="1:13">
      <c r="A13" s="23" t="s">
        <v>52</v>
      </c>
      <c r="B13" s="12" t="s">
        <v>296</v>
      </c>
      <c r="C13" s="12" t="s">
        <v>289</v>
      </c>
      <c r="D13" s="12" t="s">
        <v>290</v>
      </c>
      <c r="E13" s="13" t="s">
        <v>462</v>
      </c>
      <c r="F13" s="12" t="s">
        <v>386</v>
      </c>
      <c r="G13" s="22" t="s">
        <v>280</v>
      </c>
      <c r="H13" s="22" t="s">
        <v>249</v>
      </c>
      <c r="I13" s="24" t="s">
        <v>59</v>
      </c>
      <c r="J13" s="23"/>
      <c r="K13" s="14" t="str">
        <f>"80,0"</f>
        <v>80,0</v>
      </c>
      <c r="L13" s="14" t="str">
        <f>"56,5680"</f>
        <v>56,5680</v>
      </c>
      <c r="M13" s="12"/>
    </row>
    <row r="15" spans="1:13" ht="16">
      <c r="A15" s="66" t="s">
        <v>105</v>
      </c>
      <c r="B15" s="66"/>
      <c r="C15" s="66"/>
      <c r="D15" s="66"/>
      <c r="E15" s="67"/>
      <c r="F15" s="66"/>
      <c r="G15" s="66"/>
      <c r="H15" s="66"/>
      <c r="I15" s="66"/>
      <c r="J15" s="66"/>
    </row>
    <row r="16" spans="1:13">
      <c r="A16" s="23" t="s">
        <v>52</v>
      </c>
      <c r="B16" s="12" t="s">
        <v>297</v>
      </c>
      <c r="C16" s="12" t="s">
        <v>428</v>
      </c>
      <c r="D16" s="12" t="s">
        <v>291</v>
      </c>
      <c r="E16" s="13" t="s">
        <v>466</v>
      </c>
      <c r="F16" s="12" t="s">
        <v>453</v>
      </c>
      <c r="G16" s="22" t="s">
        <v>279</v>
      </c>
      <c r="H16" s="24" t="s">
        <v>280</v>
      </c>
      <c r="I16" s="22" t="s">
        <v>197</v>
      </c>
      <c r="J16" s="23"/>
      <c r="K16" s="14" t="str">
        <f>"75,0"</f>
        <v>75,0</v>
      </c>
      <c r="L16" s="14" t="str">
        <f>"52,3174"</f>
        <v>52,3174</v>
      </c>
      <c r="M16" s="12" t="s">
        <v>292</v>
      </c>
    </row>
    <row r="18" spans="1:13" ht="16">
      <c r="A18" s="66" t="s">
        <v>70</v>
      </c>
      <c r="B18" s="66"/>
      <c r="C18" s="66"/>
      <c r="D18" s="66"/>
      <c r="E18" s="67"/>
      <c r="F18" s="66"/>
      <c r="G18" s="66"/>
      <c r="H18" s="66"/>
      <c r="I18" s="66"/>
      <c r="J18" s="66"/>
    </row>
    <row r="19" spans="1:13">
      <c r="A19" s="23" t="s">
        <v>52</v>
      </c>
      <c r="B19" s="12" t="s">
        <v>186</v>
      </c>
      <c r="C19" s="12" t="s">
        <v>162</v>
      </c>
      <c r="D19" s="12" t="s">
        <v>163</v>
      </c>
      <c r="E19" s="13" t="s">
        <v>462</v>
      </c>
      <c r="F19" s="12" t="s">
        <v>386</v>
      </c>
      <c r="G19" s="22" t="s">
        <v>64</v>
      </c>
      <c r="H19" s="22" t="s">
        <v>69</v>
      </c>
      <c r="I19" s="24" t="s">
        <v>222</v>
      </c>
      <c r="J19" s="23"/>
      <c r="K19" s="14" t="str">
        <f>"95,0"</f>
        <v>95,0</v>
      </c>
      <c r="L19" s="14" t="str">
        <f>"58,6815"</f>
        <v>58,6815</v>
      </c>
      <c r="M19" s="12"/>
    </row>
  </sheetData>
  <mergeCells count="16">
    <mergeCell ref="A18:J18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6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17.8320312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5.5" style="11" customWidth="1"/>
    <col min="10" max="10" width="4.83203125" style="11" customWidth="1"/>
    <col min="11" max="13" width="4.5" style="11" customWidth="1"/>
    <col min="14" max="14" width="4.83203125" style="11" customWidth="1"/>
    <col min="15" max="15" width="4.5" style="11" customWidth="1"/>
    <col min="16" max="16" width="5.5" style="11" customWidth="1"/>
    <col min="17" max="17" width="4.6640625" style="11" customWidth="1"/>
    <col min="18" max="18" width="4.83203125" style="11" customWidth="1"/>
    <col min="19" max="19" width="7.83203125" style="8" bestFit="1" customWidth="1"/>
    <col min="20" max="20" width="8.5" style="8" bestFit="1" customWidth="1"/>
    <col min="21" max="21" width="15.33203125" style="6" bestFit="1" customWidth="1"/>
    <col min="22" max="16384" width="9.1640625" style="3"/>
  </cols>
  <sheetData>
    <row r="1" spans="1:21" s="2" customFormat="1" ht="29" customHeight="1">
      <c r="A1" s="53" t="s">
        <v>430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65" t="s">
        <v>11</v>
      </c>
      <c r="P3" s="65"/>
      <c r="Q3" s="65"/>
      <c r="R3" s="65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">
        <v>1</v>
      </c>
      <c r="P4" s="4">
        <v>2</v>
      </c>
      <c r="Q4" s="4">
        <v>3</v>
      </c>
      <c r="R4" s="4" t="s">
        <v>5</v>
      </c>
      <c r="S4" s="48"/>
      <c r="T4" s="48"/>
      <c r="U4" s="50"/>
    </row>
    <row r="5" spans="1:21" ht="16">
      <c r="A5" s="51" t="s">
        <v>56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3" t="s">
        <v>52</v>
      </c>
      <c r="B6" s="12" t="s">
        <v>116</v>
      </c>
      <c r="C6" s="12" t="s">
        <v>112</v>
      </c>
      <c r="D6" s="12" t="s">
        <v>113</v>
      </c>
      <c r="E6" s="13" t="s">
        <v>462</v>
      </c>
      <c r="F6" s="12" t="s">
        <v>446</v>
      </c>
      <c r="G6" s="24" t="s">
        <v>20</v>
      </c>
      <c r="H6" s="22" t="s">
        <v>20</v>
      </c>
      <c r="I6" s="24" t="s">
        <v>114</v>
      </c>
      <c r="J6" s="23"/>
      <c r="K6" s="22" t="s">
        <v>61</v>
      </c>
      <c r="L6" s="24" t="s">
        <v>63</v>
      </c>
      <c r="M6" s="22" t="s">
        <v>63</v>
      </c>
      <c r="N6" s="23"/>
      <c r="O6" s="22" t="s">
        <v>69</v>
      </c>
      <c r="P6" s="24" t="s">
        <v>91</v>
      </c>
      <c r="Q6" s="23"/>
      <c r="R6" s="23"/>
      <c r="S6" s="14" t="str">
        <f>"257,5"</f>
        <v>257,5</v>
      </c>
      <c r="T6" s="14" t="str">
        <f>"293,5758"</f>
        <v>293,5758</v>
      </c>
      <c r="U6" s="12" t="s">
        <v>115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6.164062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17.33203125" style="6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8" bestFit="1" customWidth="1"/>
    <col min="20" max="20" width="8.5" style="8" bestFit="1" customWidth="1"/>
    <col min="21" max="21" width="19.6640625" style="6" bestFit="1" customWidth="1"/>
    <col min="22" max="16384" width="9.1640625" style="3"/>
  </cols>
  <sheetData>
    <row r="1" spans="1:21" s="2" customFormat="1" ht="29" customHeight="1">
      <c r="A1" s="53" t="s">
        <v>431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9</v>
      </c>
      <c r="H3" s="65"/>
      <c r="I3" s="65"/>
      <c r="J3" s="65"/>
      <c r="K3" s="65" t="s">
        <v>10</v>
      </c>
      <c r="L3" s="65"/>
      <c r="M3" s="65"/>
      <c r="N3" s="65"/>
      <c r="O3" s="65" t="s">
        <v>11</v>
      </c>
      <c r="P3" s="65"/>
      <c r="Q3" s="65"/>
      <c r="R3" s="65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">
        <v>1</v>
      </c>
      <c r="P4" s="4">
        <v>2</v>
      </c>
      <c r="Q4" s="4">
        <v>3</v>
      </c>
      <c r="R4" s="4" t="s">
        <v>5</v>
      </c>
      <c r="S4" s="48"/>
      <c r="T4" s="48"/>
      <c r="U4" s="50"/>
    </row>
    <row r="5" spans="1:21" ht="16">
      <c r="A5" s="51" t="s">
        <v>105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3" t="s">
        <v>52</v>
      </c>
      <c r="B6" s="12" t="s">
        <v>111</v>
      </c>
      <c r="C6" s="12" t="s">
        <v>106</v>
      </c>
      <c r="D6" s="12" t="s">
        <v>107</v>
      </c>
      <c r="E6" s="13" t="s">
        <v>462</v>
      </c>
      <c r="F6" s="12" t="s">
        <v>397</v>
      </c>
      <c r="G6" s="22" t="s">
        <v>108</v>
      </c>
      <c r="H6" s="22" t="s">
        <v>38</v>
      </c>
      <c r="I6" s="24" t="s">
        <v>28</v>
      </c>
      <c r="J6" s="23"/>
      <c r="K6" s="22" t="s">
        <v>17</v>
      </c>
      <c r="L6" s="22" t="s">
        <v>30</v>
      </c>
      <c r="M6" s="22" t="s">
        <v>31</v>
      </c>
      <c r="N6" s="23"/>
      <c r="O6" s="22" t="s">
        <v>109</v>
      </c>
      <c r="P6" s="24" t="s">
        <v>43</v>
      </c>
      <c r="Q6" s="24" t="s">
        <v>43</v>
      </c>
      <c r="R6" s="23"/>
      <c r="S6" s="14" t="str">
        <f>"620,0"</f>
        <v>620,0</v>
      </c>
      <c r="T6" s="14" t="str">
        <f>"418,7480"</f>
        <v>418,7480</v>
      </c>
      <c r="U6" s="12" t="s">
        <v>110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7"/>
  <sheetViews>
    <sheetView workbookViewId="0">
      <selection activeCell="E8" sqref="E8"/>
    </sheetView>
  </sheetViews>
  <sheetFormatPr baseColWidth="10" defaultColWidth="9.1640625" defaultRowHeight="13"/>
  <cols>
    <col min="1" max="1" width="7.5" style="6" bestFit="1" customWidth="1"/>
    <col min="2" max="2" width="18" style="6" bestFit="1" customWidth="1"/>
    <col min="3" max="3" width="26.5" style="6" bestFit="1" customWidth="1"/>
    <col min="4" max="4" width="21.5" style="6" bestFit="1" customWidth="1"/>
    <col min="5" max="5" width="10.5" style="7" bestFit="1" customWidth="1"/>
    <col min="6" max="6" width="43.1640625" style="6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5" width="7.83203125" style="8" bestFit="1" customWidth="1"/>
    <col min="16" max="16" width="8.5" style="8" bestFit="1" customWidth="1"/>
    <col min="17" max="17" width="15.6640625" style="6" bestFit="1" customWidth="1"/>
    <col min="18" max="16384" width="9.1640625" style="3"/>
  </cols>
  <sheetData>
    <row r="1" spans="1:17" s="2" customFormat="1" ht="29" customHeight="1">
      <c r="A1" s="53" t="s">
        <v>432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65" t="s">
        <v>11</v>
      </c>
      <c r="L3" s="65"/>
      <c r="M3" s="65"/>
      <c r="N3" s="65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8"/>
      <c r="P4" s="48"/>
      <c r="Q4" s="50"/>
    </row>
    <row r="5" spans="1:17" ht="16">
      <c r="A5" s="51" t="s">
        <v>70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36" t="s">
        <v>52</v>
      </c>
      <c r="B6" s="25" t="s">
        <v>272</v>
      </c>
      <c r="C6" s="25" t="s">
        <v>267</v>
      </c>
      <c r="D6" s="25" t="s">
        <v>268</v>
      </c>
      <c r="E6" s="26" t="s">
        <v>463</v>
      </c>
      <c r="F6" s="25" t="s">
        <v>446</v>
      </c>
      <c r="G6" s="34" t="s">
        <v>20</v>
      </c>
      <c r="H6" s="34" t="s">
        <v>80</v>
      </c>
      <c r="I6" s="36"/>
      <c r="J6" s="36"/>
      <c r="K6" s="34" t="s">
        <v>108</v>
      </c>
      <c r="L6" s="34" t="s">
        <v>269</v>
      </c>
      <c r="M6" s="35" t="s">
        <v>27</v>
      </c>
      <c r="N6" s="36"/>
      <c r="O6" s="27" t="str">
        <f>"327,5"</f>
        <v>327,5</v>
      </c>
      <c r="P6" s="27" t="str">
        <f>"214,4798"</f>
        <v>214,4798</v>
      </c>
      <c r="Q6" s="25"/>
    </row>
    <row r="7" spans="1:17">
      <c r="A7" s="42" t="s">
        <v>100</v>
      </c>
      <c r="B7" s="31" t="s">
        <v>273</v>
      </c>
      <c r="C7" s="31" t="s">
        <v>270</v>
      </c>
      <c r="D7" s="31" t="s">
        <v>72</v>
      </c>
      <c r="E7" s="32" t="s">
        <v>463</v>
      </c>
      <c r="F7" s="31" t="s">
        <v>449</v>
      </c>
      <c r="G7" s="41" t="s">
        <v>18</v>
      </c>
      <c r="H7" s="40" t="s">
        <v>271</v>
      </c>
      <c r="I7" s="40" t="s">
        <v>271</v>
      </c>
      <c r="J7" s="42"/>
      <c r="K7" s="41" t="s">
        <v>15</v>
      </c>
      <c r="L7" s="41" t="s">
        <v>92</v>
      </c>
      <c r="M7" s="40" t="s">
        <v>247</v>
      </c>
      <c r="N7" s="42"/>
      <c r="O7" s="33" t="str">
        <f>"260,0"</f>
        <v>260,0</v>
      </c>
      <c r="P7" s="33" t="str">
        <f>"166,7380"</f>
        <v>166,7380</v>
      </c>
      <c r="Q7" s="31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20.1640625" style="6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9" width="4.5" style="11" customWidth="1"/>
    <col min="10" max="10" width="4.83203125" style="11" customWidth="1"/>
    <col min="11" max="13" width="5.5" style="11" customWidth="1"/>
    <col min="14" max="14" width="4.83203125" style="11" customWidth="1"/>
    <col min="15" max="15" width="7.83203125" style="8" bestFit="1" customWidth="1"/>
    <col min="16" max="16" width="8.5" style="8" bestFit="1" customWidth="1"/>
    <col min="17" max="17" width="16.33203125" style="6" bestFit="1" customWidth="1"/>
    <col min="18" max="16384" width="9.1640625" style="3"/>
  </cols>
  <sheetData>
    <row r="1" spans="1:17" s="2" customFormat="1" ht="29" customHeight="1">
      <c r="A1" s="53" t="s">
        <v>433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65" t="s">
        <v>11</v>
      </c>
      <c r="L3" s="65"/>
      <c r="M3" s="65"/>
      <c r="N3" s="65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">
        <v>1</v>
      </c>
      <c r="L4" s="4">
        <v>2</v>
      </c>
      <c r="M4" s="4">
        <v>3</v>
      </c>
      <c r="N4" s="4" t="s">
        <v>5</v>
      </c>
      <c r="O4" s="48"/>
      <c r="P4" s="48"/>
      <c r="Q4" s="50"/>
    </row>
    <row r="5" spans="1:17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23" t="s">
        <v>52</v>
      </c>
      <c r="B6" s="12" t="s">
        <v>213</v>
      </c>
      <c r="C6" s="12" t="s">
        <v>401</v>
      </c>
      <c r="D6" s="12" t="s">
        <v>196</v>
      </c>
      <c r="E6" s="13" t="s">
        <v>465</v>
      </c>
      <c r="F6" s="12" t="s">
        <v>446</v>
      </c>
      <c r="G6" s="22" t="s">
        <v>197</v>
      </c>
      <c r="H6" s="24" t="s">
        <v>64</v>
      </c>
      <c r="I6" s="24" t="s">
        <v>58</v>
      </c>
      <c r="J6" s="23"/>
      <c r="K6" s="22" t="s">
        <v>79</v>
      </c>
      <c r="L6" s="22" t="s">
        <v>160</v>
      </c>
      <c r="M6" s="22" t="s">
        <v>120</v>
      </c>
      <c r="N6" s="23"/>
      <c r="O6" s="14" t="str">
        <f>"255,0"</f>
        <v>255,0</v>
      </c>
      <c r="P6" s="14" t="str">
        <f>"312,6131"</f>
        <v>312,6131</v>
      </c>
      <c r="Q6" s="12" t="s">
        <v>121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18.33203125" style="6" bestFit="1" customWidth="1"/>
    <col min="3" max="3" width="26.33203125" style="6" bestFit="1" customWidth="1"/>
    <col min="4" max="4" width="21.5" style="6" bestFit="1" customWidth="1"/>
    <col min="5" max="5" width="10.5" style="7" bestFit="1" customWidth="1"/>
    <col min="6" max="6" width="30.33203125" style="6" bestFit="1" customWidth="1"/>
    <col min="7" max="8" width="4.5" style="11" customWidth="1"/>
    <col min="9" max="9" width="5.5" style="11" customWidth="1"/>
    <col min="10" max="10" width="4.83203125" style="11" customWidth="1"/>
    <col min="11" max="11" width="10.5" style="8" bestFit="1" customWidth="1"/>
    <col min="12" max="12" width="8.5" style="8" bestFit="1" customWidth="1"/>
    <col min="13" max="13" width="17.5" style="6" bestFit="1" customWidth="1"/>
    <col min="14" max="16384" width="9.1640625" style="3"/>
  </cols>
  <sheetData>
    <row r="1" spans="1:13" s="2" customFormat="1" ht="29" customHeight="1">
      <c r="A1" s="53" t="s">
        <v>434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9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266</v>
      </c>
      <c r="C6" s="12" t="s">
        <v>264</v>
      </c>
      <c r="D6" s="12" t="s">
        <v>265</v>
      </c>
      <c r="E6" s="13" t="s">
        <v>462</v>
      </c>
      <c r="F6" s="12" t="s">
        <v>446</v>
      </c>
      <c r="G6" s="22" t="s">
        <v>59</v>
      </c>
      <c r="H6" s="22" t="s">
        <v>69</v>
      </c>
      <c r="I6" s="22" t="s">
        <v>18</v>
      </c>
      <c r="J6" s="23"/>
      <c r="K6" s="14" t="str">
        <f>"100,0"</f>
        <v>100,0</v>
      </c>
      <c r="L6" s="14" t="str">
        <f>"105,0300"</f>
        <v>105,0300</v>
      </c>
      <c r="M6" s="12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8.33203125" style="6" customWidth="1"/>
    <col min="3" max="3" width="28.5" style="6" bestFit="1" customWidth="1"/>
    <col min="4" max="4" width="21.5" style="6" bestFit="1" customWidth="1"/>
    <col min="5" max="5" width="10.5" style="7" bestFit="1" customWidth="1"/>
    <col min="6" max="6" width="35.33203125" style="6" bestFit="1" customWidth="1"/>
    <col min="7" max="9" width="5.5" style="11" customWidth="1"/>
    <col min="10" max="10" width="4.83203125" style="11" customWidth="1"/>
    <col min="11" max="11" width="10.5" style="8" bestFit="1" customWidth="1"/>
    <col min="12" max="12" width="8.6640625" style="8" bestFit="1" customWidth="1"/>
    <col min="13" max="13" width="15.6640625" style="6" bestFit="1" customWidth="1"/>
    <col min="14" max="16384" width="9.1640625" style="3"/>
  </cols>
  <sheetData>
    <row r="1" spans="1:13" s="2" customFormat="1" ht="29" customHeight="1">
      <c r="A1" s="53" t="s">
        <v>435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9</v>
      </c>
      <c r="H3" s="65"/>
      <c r="I3" s="65"/>
      <c r="J3" s="65"/>
      <c r="K3" s="47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48"/>
      <c r="L4" s="48"/>
      <c r="M4" s="50"/>
    </row>
    <row r="5" spans="1:13" ht="16">
      <c r="A5" s="51" t="s">
        <v>12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3" t="s">
        <v>52</v>
      </c>
      <c r="B6" s="12" t="s">
        <v>53</v>
      </c>
      <c r="C6" s="12" t="s">
        <v>400</v>
      </c>
      <c r="D6" s="12" t="s">
        <v>13</v>
      </c>
      <c r="E6" s="13" t="s">
        <v>464</v>
      </c>
      <c r="F6" s="12" t="s">
        <v>446</v>
      </c>
      <c r="G6" s="22" t="s">
        <v>15</v>
      </c>
      <c r="H6" s="22" t="s">
        <v>16</v>
      </c>
      <c r="I6" s="22" t="s">
        <v>17</v>
      </c>
      <c r="J6" s="23"/>
      <c r="K6" s="14" t="str">
        <f>"145,0"</f>
        <v>145,0</v>
      </c>
      <c r="L6" s="14" t="str">
        <f>"169,9013"</f>
        <v>169,9013</v>
      </c>
      <c r="M6" s="12" t="s">
        <v>23</v>
      </c>
    </row>
    <row r="8" spans="1:13" ht="16">
      <c r="A8" s="66" t="s">
        <v>35</v>
      </c>
      <c r="B8" s="66"/>
      <c r="C8" s="66"/>
      <c r="D8" s="66"/>
      <c r="E8" s="67"/>
      <c r="F8" s="66"/>
      <c r="G8" s="66"/>
      <c r="H8" s="66"/>
      <c r="I8" s="66"/>
      <c r="J8" s="66"/>
    </row>
    <row r="9" spans="1:13">
      <c r="A9" s="23" t="s">
        <v>52</v>
      </c>
      <c r="B9" s="12" t="s">
        <v>55</v>
      </c>
      <c r="C9" s="12" t="s">
        <v>36</v>
      </c>
      <c r="D9" s="12" t="s">
        <v>37</v>
      </c>
      <c r="E9" s="13" t="s">
        <v>462</v>
      </c>
      <c r="F9" s="12" t="s">
        <v>448</v>
      </c>
      <c r="G9" s="22" t="s">
        <v>38</v>
      </c>
      <c r="H9" s="22" t="s">
        <v>39</v>
      </c>
      <c r="I9" s="22" t="s">
        <v>40</v>
      </c>
      <c r="J9" s="23"/>
      <c r="K9" s="14" t="str">
        <f>"242,5"</f>
        <v>242,5</v>
      </c>
      <c r="L9" s="14" t="str">
        <f>"143,8510"</f>
        <v>143,8510</v>
      </c>
      <c r="M9" s="12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36"/>
  <sheetViews>
    <sheetView topLeftCell="A14" workbookViewId="0">
      <selection activeCell="F44" sqref="F44"/>
    </sheetView>
  </sheetViews>
  <sheetFormatPr baseColWidth="10" defaultColWidth="9.1640625" defaultRowHeight="13"/>
  <cols>
    <col min="1" max="1" width="7.5" style="6" bestFit="1" customWidth="1"/>
    <col min="2" max="2" width="21.83203125" style="6" bestFit="1" customWidth="1"/>
    <col min="3" max="3" width="29" style="6" bestFit="1" customWidth="1"/>
    <col min="4" max="4" width="21.5" style="6" bestFit="1" customWidth="1"/>
    <col min="5" max="5" width="10.5" style="7" bestFit="1" customWidth="1"/>
    <col min="6" max="6" width="42.83203125" style="6" bestFit="1" customWidth="1"/>
    <col min="7" max="9" width="5.5" style="11" customWidth="1"/>
    <col min="10" max="10" width="4.83203125" style="11" customWidth="1"/>
    <col min="11" max="11" width="10.5" style="21" bestFit="1" customWidth="1"/>
    <col min="12" max="12" width="8.5" style="8" bestFit="1" customWidth="1"/>
    <col min="13" max="13" width="16.33203125" style="6" bestFit="1" customWidth="1"/>
    <col min="14" max="16384" width="9.1640625" style="3"/>
  </cols>
  <sheetData>
    <row r="1" spans="1:13" s="2" customFormat="1" ht="29" customHeight="1">
      <c r="A1" s="53" t="s">
        <v>436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445</v>
      </c>
      <c r="B3" s="68" t="s">
        <v>0</v>
      </c>
      <c r="C3" s="63" t="s">
        <v>459</v>
      </c>
      <c r="D3" s="63" t="s">
        <v>7</v>
      </c>
      <c r="E3" s="47" t="s">
        <v>460</v>
      </c>
      <c r="F3" s="65" t="s">
        <v>6</v>
      </c>
      <c r="G3" s="65" t="s">
        <v>10</v>
      </c>
      <c r="H3" s="65"/>
      <c r="I3" s="65"/>
      <c r="J3" s="65"/>
      <c r="K3" s="70" t="s">
        <v>132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5</v>
      </c>
      <c r="K4" s="71"/>
      <c r="L4" s="48"/>
      <c r="M4" s="50"/>
    </row>
    <row r="5" spans="1:13" ht="16">
      <c r="A5" s="51" t="s">
        <v>138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36" t="s">
        <v>102</v>
      </c>
      <c r="B6" s="25" t="s">
        <v>178</v>
      </c>
      <c r="C6" s="25" t="s">
        <v>402</v>
      </c>
      <c r="D6" s="25" t="s">
        <v>139</v>
      </c>
      <c r="E6" s="26" t="s">
        <v>461</v>
      </c>
      <c r="F6" s="25" t="s">
        <v>446</v>
      </c>
      <c r="G6" s="35" t="s">
        <v>140</v>
      </c>
      <c r="H6" s="35" t="s">
        <v>141</v>
      </c>
      <c r="I6" s="35" t="s">
        <v>141</v>
      </c>
      <c r="J6" s="36"/>
      <c r="K6" s="44">
        <v>0</v>
      </c>
      <c r="L6" s="27" t="str">
        <f>"0,0000"</f>
        <v>0,0000</v>
      </c>
      <c r="M6" s="25"/>
    </row>
    <row r="7" spans="1:13">
      <c r="A7" s="42" t="s">
        <v>52</v>
      </c>
      <c r="B7" s="31" t="s">
        <v>179</v>
      </c>
      <c r="C7" s="31" t="s">
        <v>142</v>
      </c>
      <c r="D7" s="31" t="s">
        <v>143</v>
      </c>
      <c r="E7" s="32" t="s">
        <v>462</v>
      </c>
      <c r="F7" s="31" t="s">
        <v>446</v>
      </c>
      <c r="G7" s="41" t="s">
        <v>144</v>
      </c>
      <c r="H7" s="41" t="s">
        <v>145</v>
      </c>
      <c r="I7" s="40" t="s">
        <v>140</v>
      </c>
      <c r="J7" s="42"/>
      <c r="K7" s="46" t="str">
        <f>"57,5"</f>
        <v>57,5</v>
      </c>
      <c r="L7" s="33" t="str">
        <f>"68,3273"</f>
        <v>68,3273</v>
      </c>
      <c r="M7" s="31"/>
    </row>
    <row r="9" spans="1:13" ht="16">
      <c r="A9" s="66" t="s">
        <v>138</v>
      </c>
      <c r="B9" s="66"/>
      <c r="C9" s="66"/>
      <c r="D9" s="66"/>
      <c r="E9" s="67"/>
      <c r="F9" s="66"/>
      <c r="G9" s="66"/>
      <c r="H9" s="66"/>
      <c r="I9" s="66"/>
      <c r="J9" s="66"/>
    </row>
    <row r="10" spans="1:13">
      <c r="A10" s="23" t="s">
        <v>52</v>
      </c>
      <c r="B10" s="12" t="s">
        <v>180</v>
      </c>
      <c r="C10" s="12" t="s">
        <v>146</v>
      </c>
      <c r="D10" s="12" t="s">
        <v>147</v>
      </c>
      <c r="E10" s="13" t="s">
        <v>463</v>
      </c>
      <c r="F10" s="12" t="s">
        <v>446</v>
      </c>
      <c r="G10" s="22" t="s">
        <v>148</v>
      </c>
      <c r="H10" s="22" t="s">
        <v>61</v>
      </c>
      <c r="I10" s="22" t="s">
        <v>63</v>
      </c>
      <c r="J10" s="23"/>
      <c r="K10" s="43" t="str">
        <f>"52,5"</f>
        <v>52,5</v>
      </c>
      <c r="L10" s="14" t="str">
        <f>"49,8330"</f>
        <v>49,8330</v>
      </c>
      <c r="M10" s="12"/>
    </row>
    <row r="12" spans="1:13" ht="16">
      <c r="A12" s="66" t="s">
        <v>12</v>
      </c>
      <c r="B12" s="66"/>
      <c r="C12" s="66"/>
      <c r="D12" s="66"/>
      <c r="E12" s="67"/>
      <c r="F12" s="66"/>
      <c r="G12" s="66"/>
      <c r="H12" s="66"/>
      <c r="I12" s="66"/>
      <c r="J12" s="66"/>
    </row>
    <row r="13" spans="1:13">
      <c r="A13" s="23" t="s">
        <v>52</v>
      </c>
      <c r="B13" s="12" t="s">
        <v>181</v>
      </c>
      <c r="C13" s="12" t="s">
        <v>149</v>
      </c>
      <c r="D13" s="12" t="s">
        <v>150</v>
      </c>
      <c r="E13" s="13" t="s">
        <v>462</v>
      </c>
      <c r="F13" s="12" t="s">
        <v>450</v>
      </c>
      <c r="G13" s="22" t="s">
        <v>73</v>
      </c>
      <c r="H13" s="24" t="s">
        <v>41</v>
      </c>
      <c r="I13" s="22" t="s">
        <v>41</v>
      </c>
      <c r="J13" s="23"/>
      <c r="K13" s="43" t="str">
        <f>"125,0"</f>
        <v>125,0</v>
      </c>
      <c r="L13" s="14" t="str">
        <f>"96,9500"</f>
        <v>96,9500</v>
      </c>
      <c r="M13" s="12"/>
    </row>
    <row r="15" spans="1:13" ht="16">
      <c r="A15" s="66" t="s">
        <v>65</v>
      </c>
      <c r="B15" s="66"/>
      <c r="C15" s="66"/>
      <c r="D15" s="66"/>
      <c r="E15" s="67"/>
      <c r="F15" s="66"/>
      <c r="G15" s="66"/>
      <c r="H15" s="66"/>
      <c r="I15" s="66"/>
      <c r="J15" s="66"/>
    </row>
    <row r="16" spans="1:13">
      <c r="A16" s="36" t="s">
        <v>102</v>
      </c>
      <c r="B16" s="25" t="s">
        <v>182</v>
      </c>
      <c r="C16" s="25" t="s">
        <v>151</v>
      </c>
      <c r="D16" s="25" t="s">
        <v>152</v>
      </c>
      <c r="E16" s="26" t="s">
        <v>463</v>
      </c>
      <c r="F16" s="25" t="s">
        <v>446</v>
      </c>
      <c r="G16" s="35" t="s">
        <v>20</v>
      </c>
      <c r="H16" s="35" t="s">
        <v>20</v>
      </c>
      <c r="I16" s="35" t="s">
        <v>20</v>
      </c>
      <c r="J16" s="36"/>
      <c r="K16" s="44">
        <v>0</v>
      </c>
      <c r="L16" s="27" t="str">
        <f>"0,0000"</f>
        <v>0,0000</v>
      </c>
      <c r="M16" s="25"/>
    </row>
    <row r="17" spans="1:13">
      <c r="A17" s="42" t="s">
        <v>102</v>
      </c>
      <c r="B17" s="31" t="s">
        <v>183</v>
      </c>
      <c r="C17" s="31" t="s">
        <v>153</v>
      </c>
      <c r="D17" s="31" t="s">
        <v>154</v>
      </c>
      <c r="E17" s="32" t="s">
        <v>463</v>
      </c>
      <c r="F17" s="31" t="s">
        <v>451</v>
      </c>
      <c r="G17" s="40" t="s">
        <v>18</v>
      </c>
      <c r="H17" s="40" t="s">
        <v>18</v>
      </c>
      <c r="I17" s="40" t="s">
        <v>18</v>
      </c>
      <c r="J17" s="42"/>
      <c r="K17" s="46">
        <v>0</v>
      </c>
      <c r="L17" s="33" t="str">
        <f>"0,0000"</f>
        <v>0,0000</v>
      </c>
      <c r="M17" s="31"/>
    </row>
    <row r="19" spans="1:13" ht="16">
      <c r="A19" s="66" t="s">
        <v>105</v>
      </c>
      <c r="B19" s="66"/>
      <c r="C19" s="66"/>
      <c r="D19" s="66"/>
      <c r="E19" s="67"/>
      <c r="F19" s="66"/>
      <c r="G19" s="66"/>
      <c r="H19" s="66"/>
      <c r="I19" s="66"/>
      <c r="J19" s="66"/>
    </row>
    <row r="20" spans="1:13">
      <c r="A20" s="23" t="s">
        <v>52</v>
      </c>
      <c r="B20" s="12" t="s">
        <v>184</v>
      </c>
      <c r="C20" s="12" t="s">
        <v>155</v>
      </c>
      <c r="D20" s="12" t="s">
        <v>156</v>
      </c>
      <c r="E20" s="13" t="s">
        <v>462</v>
      </c>
      <c r="F20" s="12" t="s">
        <v>446</v>
      </c>
      <c r="G20" s="24" t="s">
        <v>19</v>
      </c>
      <c r="H20" s="22" t="s">
        <v>19</v>
      </c>
      <c r="I20" s="22" t="s">
        <v>80</v>
      </c>
      <c r="J20" s="23"/>
      <c r="K20" s="43" t="str">
        <f>"115,0"</f>
        <v>115,0</v>
      </c>
      <c r="L20" s="14" t="str">
        <f>"78,6370"</f>
        <v>78,6370</v>
      </c>
      <c r="M20" s="12"/>
    </row>
    <row r="22" spans="1:13" ht="16">
      <c r="A22" s="66" t="s">
        <v>70</v>
      </c>
      <c r="B22" s="66"/>
      <c r="C22" s="66"/>
      <c r="D22" s="66"/>
      <c r="E22" s="67"/>
      <c r="F22" s="66"/>
      <c r="G22" s="66"/>
      <c r="H22" s="66"/>
      <c r="I22" s="66"/>
      <c r="J22" s="66"/>
    </row>
    <row r="23" spans="1:13">
      <c r="A23" s="36" t="s">
        <v>52</v>
      </c>
      <c r="B23" s="25" t="s">
        <v>101</v>
      </c>
      <c r="C23" s="25" t="s">
        <v>77</v>
      </c>
      <c r="D23" s="25" t="s">
        <v>78</v>
      </c>
      <c r="E23" s="26" t="s">
        <v>463</v>
      </c>
      <c r="F23" s="25" t="s">
        <v>446</v>
      </c>
      <c r="G23" s="34" t="s">
        <v>20</v>
      </c>
      <c r="H23" s="34" t="s">
        <v>80</v>
      </c>
      <c r="I23" s="34" t="s">
        <v>73</v>
      </c>
      <c r="J23" s="36"/>
      <c r="K23" s="44" t="str">
        <f>"120,0"</f>
        <v>120,0</v>
      </c>
      <c r="L23" s="27" t="str">
        <f>"77,0880"</f>
        <v>77,0880</v>
      </c>
      <c r="M23" s="25"/>
    </row>
    <row r="24" spans="1:13">
      <c r="A24" s="39" t="s">
        <v>52</v>
      </c>
      <c r="B24" s="28" t="s">
        <v>185</v>
      </c>
      <c r="C24" s="28" t="s">
        <v>157</v>
      </c>
      <c r="D24" s="28" t="s">
        <v>158</v>
      </c>
      <c r="E24" s="29" t="s">
        <v>462</v>
      </c>
      <c r="F24" s="28" t="s">
        <v>452</v>
      </c>
      <c r="G24" s="38" t="s">
        <v>31</v>
      </c>
      <c r="H24" s="37" t="s">
        <v>159</v>
      </c>
      <c r="I24" s="37" t="s">
        <v>160</v>
      </c>
      <c r="J24" s="39"/>
      <c r="K24" s="45" t="str">
        <f>"165,0"</f>
        <v>165,0</v>
      </c>
      <c r="L24" s="30" t="str">
        <f>"106,3260"</f>
        <v>106,3260</v>
      </c>
      <c r="M24" s="28" t="s">
        <v>161</v>
      </c>
    </row>
    <row r="25" spans="1:13">
      <c r="A25" s="39" t="s">
        <v>100</v>
      </c>
      <c r="B25" s="28" t="s">
        <v>186</v>
      </c>
      <c r="C25" s="28" t="s">
        <v>162</v>
      </c>
      <c r="D25" s="28" t="s">
        <v>163</v>
      </c>
      <c r="E25" s="29" t="s">
        <v>462</v>
      </c>
      <c r="F25" s="28" t="s">
        <v>386</v>
      </c>
      <c r="G25" s="38" t="s">
        <v>90</v>
      </c>
      <c r="H25" s="38" t="s">
        <v>92</v>
      </c>
      <c r="I25" s="37" t="s">
        <v>31</v>
      </c>
      <c r="J25" s="39"/>
      <c r="K25" s="45" t="str">
        <f>"160,0"</f>
        <v>160,0</v>
      </c>
      <c r="L25" s="30" t="str">
        <f>"103,0400"</f>
        <v>103,0400</v>
      </c>
      <c r="M25" s="28"/>
    </row>
    <row r="26" spans="1:13">
      <c r="A26" s="39" t="s">
        <v>102</v>
      </c>
      <c r="B26" s="28" t="s">
        <v>187</v>
      </c>
      <c r="C26" s="28" t="s">
        <v>164</v>
      </c>
      <c r="D26" s="28" t="s">
        <v>165</v>
      </c>
      <c r="E26" s="29" t="s">
        <v>462</v>
      </c>
      <c r="F26" s="28" t="s">
        <v>446</v>
      </c>
      <c r="G26" s="37" t="s">
        <v>16</v>
      </c>
      <c r="H26" s="37" t="s">
        <v>17</v>
      </c>
      <c r="I26" s="37" t="s">
        <v>90</v>
      </c>
      <c r="J26" s="39"/>
      <c r="K26" s="45">
        <v>0</v>
      </c>
      <c r="L26" s="30" t="str">
        <f>"0,0000"</f>
        <v>0,0000</v>
      </c>
      <c r="M26" s="28"/>
    </row>
    <row r="27" spans="1:13">
      <c r="A27" s="42" t="s">
        <v>52</v>
      </c>
      <c r="B27" s="31" t="s">
        <v>185</v>
      </c>
      <c r="C27" s="31" t="s">
        <v>403</v>
      </c>
      <c r="D27" s="31" t="s">
        <v>158</v>
      </c>
      <c r="E27" s="32" t="s">
        <v>464</v>
      </c>
      <c r="F27" s="31" t="s">
        <v>452</v>
      </c>
      <c r="G27" s="41" t="s">
        <v>31</v>
      </c>
      <c r="H27" s="40" t="s">
        <v>159</v>
      </c>
      <c r="I27" s="40" t="s">
        <v>160</v>
      </c>
      <c r="J27" s="42"/>
      <c r="K27" s="46" t="str">
        <f>"165,0"</f>
        <v>165,0</v>
      </c>
      <c r="L27" s="33" t="str">
        <f>"118,4472"</f>
        <v>118,4472</v>
      </c>
      <c r="M27" s="31" t="s">
        <v>161</v>
      </c>
    </row>
    <row r="29" spans="1:13" ht="16">
      <c r="A29" s="66" t="s">
        <v>24</v>
      </c>
      <c r="B29" s="66"/>
      <c r="C29" s="66"/>
      <c r="D29" s="66"/>
      <c r="E29" s="67"/>
      <c r="F29" s="66"/>
      <c r="G29" s="66"/>
      <c r="H29" s="66"/>
      <c r="I29" s="66"/>
      <c r="J29" s="66"/>
    </row>
    <row r="30" spans="1:13">
      <c r="A30" s="36" t="s">
        <v>52</v>
      </c>
      <c r="B30" s="25" t="s">
        <v>188</v>
      </c>
      <c r="C30" s="25" t="s">
        <v>166</v>
      </c>
      <c r="D30" s="25" t="s">
        <v>167</v>
      </c>
      <c r="E30" s="26" t="s">
        <v>462</v>
      </c>
      <c r="F30" s="25" t="s">
        <v>446</v>
      </c>
      <c r="G30" s="35" t="s">
        <v>79</v>
      </c>
      <c r="H30" s="34" t="s">
        <v>79</v>
      </c>
      <c r="I30" s="35" t="s">
        <v>168</v>
      </c>
      <c r="J30" s="36"/>
      <c r="K30" s="44" t="str">
        <f>"170,0"</f>
        <v>170,0</v>
      </c>
      <c r="L30" s="27" t="str">
        <f>"107,1850"</f>
        <v>107,1850</v>
      </c>
      <c r="M30" s="25" t="s">
        <v>93</v>
      </c>
    </row>
    <row r="31" spans="1:13">
      <c r="A31" s="39" t="s">
        <v>100</v>
      </c>
      <c r="B31" s="28" t="s">
        <v>189</v>
      </c>
      <c r="C31" s="28" t="s">
        <v>169</v>
      </c>
      <c r="D31" s="28" t="s">
        <v>170</v>
      </c>
      <c r="E31" s="29" t="s">
        <v>462</v>
      </c>
      <c r="F31" s="28" t="s">
        <v>386</v>
      </c>
      <c r="G31" s="38" t="s">
        <v>15</v>
      </c>
      <c r="H31" s="38" t="s">
        <v>42</v>
      </c>
      <c r="I31" s="38" t="s">
        <v>16</v>
      </c>
      <c r="J31" s="39"/>
      <c r="K31" s="45" t="str">
        <f>"140,0"</f>
        <v>140,0</v>
      </c>
      <c r="L31" s="30" t="str">
        <f>"85,7220"</f>
        <v>85,7220</v>
      </c>
      <c r="M31" s="28"/>
    </row>
    <row r="32" spans="1:13">
      <c r="A32" s="39" t="s">
        <v>52</v>
      </c>
      <c r="B32" s="28" t="s">
        <v>190</v>
      </c>
      <c r="C32" s="28" t="s">
        <v>404</v>
      </c>
      <c r="D32" s="28" t="s">
        <v>172</v>
      </c>
      <c r="E32" s="29" t="s">
        <v>466</v>
      </c>
      <c r="F32" s="28" t="s">
        <v>446</v>
      </c>
      <c r="G32" s="37" t="s">
        <v>173</v>
      </c>
      <c r="H32" s="38" t="s">
        <v>16</v>
      </c>
      <c r="I32" s="37" t="s">
        <v>17</v>
      </c>
      <c r="J32" s="39"/>
      <c r="K32" s="45" t="str">
        <f>"140,0"</f>
        <v>140,0</v>
      </c>
      <c r="L32" s="30" t="str">
        <f>"87,4616"</f>
        <v>87,4616</v>
      </c>
      <c r="M32" s="28"/>
    </row>
    <row r="33" spans="1:13">
      <c r="A33" s="42" t="s">
        <v>52</v>
      </c>
      <c r="B33" s="31" t="s">
        <v>191</v>
      </c>
      <c r="C33" s="31" t="s">
        <v>405</v>
      </c>
      <c r="D33" s="31" t="s">
        <v>174</v>
      </c>
      <c r="E33" s="32" t="s">
        <v>467</v>
      </c>
      <c r="F33" s="31" t="s">
        <v>447</v>
      </c>
      <c r="G33" s="41" t="s">
        <v>92</v>
      </c>
      <c r="H33" s="41" t="s">
        <v>31</v>
      </c>
      <c r="I33" s="40" t="s">
        <v>79</v>
      </c>
      <c r="J33" s="42"/>
      <c r="K33" s="46" t="str">
        <f>"165,0"</f>
        <v>165,0</v>
      </c>
      <c r="L33" s="33" t="str">
        <f>"136,3313"</f>
        <v>136,3313</v>
      </c>
      <c r="M33" s="31" t="s">
        <v>93</v>
      </c>
    </row>
    <row r="35" spans="1:13" ht="16">
      <c r="A35" s="66" t="s">
        <v>35</v>
      </c>
      <c r="B35" s="66"/>
      <c r="C35" s="66"/>
      <c r="D35" s="66"/>
      <c r="E35" s="67"/>
      <c r="F35" s="66"/>
      <c r="G35" s="66"/>
      <c r="H35" s="66"/>
      <c r="I35" s="66"/>
      <c r="J35" s="66"/>
    </row>
    <row r="36" spans="1:13">
      <c r="A36" s="23" t="s">
        <v>102</v>
      </c>
      <c r="B36" s="12" t="s">
        <v>192</v>
      </c>
      <c r="C36" s="12" t="s">
        <v>175</v>
      </c>
      <c r="D36" s="12" t="s">
        <v>176</v>
      </c>
      <c r="E36" s="13" t="s">
        <v>463</v>
      </c>
      <c r="F36" s="12" t="s">
        <v>446</v>
      </c>
      <c r="G36" s="24" t="s">
        <v>68</v>
      </c>
      <c r="H36" s="24" t="s">
        <v>68</v>
      </c>
      <c r="I36" s="24" t="s">
        <v>68</v>
      </c>
      <c r="J36" s="23"/>
      <c r="K36" s="43">
        <v>0</v>
      </c>
      <c r="L36" s="14" t="str">
        <f>"0,0000"</f>
        <v>0,0000</v>
      </c>
      <c r="M36" s="12"/>
    </row>
  </sheetData>
  <mergeCells count="19">
    <mergeCell ref="A35:J35"/>
    <mergeCell ref="B3:B4"/>
    <mergeCell ref="A9:J9"/>
    <mergeCell ref="A12:J12"/>
    <mergeCell ref="A15:J15"/>
    <mergeCell ref="A19:J19"/>
    <mergeCell ref="A22:J22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</vt:lpstr>
      <vt:lpstr>СПР Жим софт однопетельная ДК</vt:lpstr>
      <vt:lpstr>СПР Жим софт однопетельная</vt:lpstr>
      <vt:lpstr>WRPF Жим софт однопетельная ДК</vt:lpstr>
      <vt:lpstr>WRPF Жим софт однопетельная</vt:lpstr>
      <vt:lpstr>WRPF Военный жим ДК</vt:lpstr>
      <vt:lpstr>WRPF Военный жим</vt:lpstr>
      <vt:lpstr>СПР Жим СФО</vt:lpstr>
      <vt:lpstr>IPL Тяга без экипировки ДК</vt:lpstr>
      <vt:lpstr>IPL Тяга без экипировки</vt:lpstr>
      <vt:lpstr>СПР Пауэрспорт ДК</vt:lpstr>
      <vt:lpstr>WRPF Подъем на бицепс ДК</vt:lpstr>
      <vt:lpstr>WRPF Подъем на бицепс</vt:lpstr>
      <vt:lpstr>WRPF Экст.подъем на бицепс ДК</vt:lpstr>
      <vt:lpstr>WRPF Экст.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2024-10-27T10:00:54Z</cp:lastPrinted>
  <dcterms:created xsi:type="dcterms:W3CDTF">2002-06-16T13:36:44Z</dcterms:created>
  <dcterms:modified xsi:type="dcterms:W3CDTF">2024-10-29T09:52:29Z</dcterms:modified>
</cp:coreProperties>
</file>