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7975" windowHeight="5940" tabRatio="889"/>
  </bookViews>
  <sheets>
    <sheet name="AWPC pl raw" sheetId="9" r:id="rId1"/>
    <sheet name="AWPC cl pl" sheetId="10" r:id="rId2"/>
    <sheet name="WPC pl raw" sheetId="5" r:id="rId3"/>
    <sheet name="WPC cl pl" sheetId="7" r:id="rId4"/>
    <sheet name="WPC pl sp" sheetId="6" r:id="rId5"/>
    <sheet name="AWPC bpraw" sheetId="11" r:id="rId6"/>
    <sheet name="AWPC bp soft std" sheetId="14" r:id="rId7"/>
    <sheet name="AWPC bp soft" sheetId="15" r:id="rId8"/>
    <sheet name="WPC bpraw" sheetId="8" r:id="rId9"/>
    <sheet name="WPC bp soft std" sheetId="16" r:id="rId10"/>
    <sheet name="WPC bp sp" sheetId="17" r:id="rId11"/>
    <sheet name="AWPC dl raw" sheetId="13" r:id="rId12"/>
    <sheet name="WPC dl raw" sheetId="12" r:id="rId13"/>
  </sheets>
  <definedNames>
    <definedName name="_xlnm._FilterDatabase" localSheetId="2" hidden="1">'WPC pl raw'!$A$1:$Q$3</definedName>
  </definedNames>
  <calcPr calcId="152511" refMode="R1C1"/>
</workbook>
</file>

<file path=xl/calcChain.xml><?xml version="1.0" encoding="utf-8"?>
<calcChain xmlns="http://schemas.openxmlformats.org/spreadsheetml/2006/main">
  <c r="I6" i="17" l="1"/>
  <c r="J6" i="17"/>
  <c r="I6" i="16"/>
  <c r="J6" i="16"/>
  <c r="I6" i="15"/>
  <c r="J6" i="15"/>
  <c r="I6" i="14"/>
  <c r="J6" i="14"/>
  <c r="I9" i="14"/>
  <c r="J9" i="14"/>
  <c r="I10" i="14"/>
  <c r="J10" i="14"/>
  <c r="I11" i="14"/>
  <c r="J11" i="14"/>
  <c r="I14" i="14"/>
  <c r="J14" i="14"/>
  <c r="J22" i="13"/>
  <c r="J19" i="13"/>
  <c r="J18" i="13"/>
  <c r="J15" i="13"/>
  <c r="J12" i="13"/>
  <c r="J9" i="13"/>
  <c r="J6" i="13"/>
  <c r="J15" i="12"/>
  <c r="J12" i="12"/>
  <c r="J11" i="12"/>
  <c r="J10" i="12"/>
  <c r="J7" i="12"/>
  <c r="J6" i="12"/>
  <c r="J30" i="11"/>
  <c r="J29" i="11"/>
  <c r="J28" i="11"/>
  <c r="J25" i="11"/>
  <c r="J24" i="11"/>
  <c r="J21" i="11"/>
  <c r="J20" i="11"/>
  <c r="J19" i="11"/>
  <c r="J18" i="11"/>
  <c r="J17" i="11"/>
  <c r="J16" i="11"/>
  <c r="J13" i="11"/>
  <c r="J10" i="11"/>
  <c r="J7" i="11"/>
  <c r="J6" i="11"/>
  <c r="R6" i="10"/>
  <c r="R13" i="9"/>
  <c r="R12" i="9"/>
  <c r="R9" i="9"/>
  <c r="R6" i="9"/>
  <c r="J25" i="8"/>
  <c r="J24" i="8"/>
  <c r="J23" i="8"/>
  <c r="J22" i="8"/>
  <c r="J19" i="8"/>
  <c r="J18" i="8"/>
  <c r="J17" i="8"/>
  <c r="J14" i="8"/>
  <c r="J13" i="8"/>
  <c r="J10" i="8"/>
  <c r="J9" i="8"/>
  <c r="J6" i="8"/>
  <c r="R19" i="7"/>
  <c r="R16" i="7"/>
  <c r="R13" i="7"/>
  <c r="R12" i="7"/>
  <c r="R9" i="7"/>
  <c r="R8" i="7"/>
  <c r="R7" i="7"/>
  <c r="R6" i="7"/>
  <c r="R6" i="6"/>
  <c r="R34" i="5"/>
  <c r="R33" i="5"/>
  <c r="R30" i="5"/>
  <c r="R29" i="5"/>
  <c r="R26" i="5"/>
  <c r="R23" i="5"/>
  <c r="R20" i="5"/>
  <c r="R19" i="5"/>
  <c r="R18" i="5"/>
  <c r="R17" i="5"/>
  <c r="R14" i="5"/>
  <c r="R13" i="5"/>
  <c r="R10" i="5"/>
  <c r="R9" i="5"/>
  <c r="R6" i="5"/>
</calcChain>
</file>

<file path=xl/sharedStrings.xml><?xml version="1.0" encoding="utf-8"?>
<sst xmlns="http://schemas.openxmlformats.org/spreadsheetml/2006/main" count="986" uniqueCount="394">
  <si>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</si>
  <si>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</si>
  <si>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</si>
  <si>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</si>
  <si>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</si>
  <si>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</si>
  <si>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</si>
  <si>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</si>
  <si>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Рек</t>
  </si>
  <si>
    <t>Город</t>
  </si>
  <si>
    <t>Возр груп
Год. р./Возраст</t>
  </si>
  <si>
    <t>ВЕСОВАЯ КАТЕГОРИЯ   56</t>
  </si>
  <si>
    <t>Юсупова Роза</t>
  </si>
  <si>
    <t>Open (01.04.1980)/40</t>
  </si>
  <si>
    <t>55,50</t>
  </si>
  <si>
    <t xml:space="preserve">Саратов/Саратовская область </t>
  </si>
  <si>
    <t>95,0</t>
  </si>
  <si>
    <t>102,5</t>
  </si>
  <si>
    <t>62,5</t>
  </si>
  <si>
    <t>65,0</t>
  </si>
  <si>
    <t>125,0</t>
  </si>
  <si>
    <t>132,5</t>
  </si>
  <si>
    <t>140,0</t>
  </si>
  <si>
    <t>307.50</t>
  </si>
  <si>
    <t xml:space="preserve"> </t>
  </si>
  <si>
    <t>ВЕСОВАЯ КАТЕГОРИЯ   67.5</t>
  </si>
  <si>
    <t>Иванов Александр</t>
  </si>
  <si>
    <t>Teen 16-17 (20.06.2004)/16</t>
  </si>
  <si>
    <t>61,10</t>
  </si>
  <si>
    <t>100,0</t>
  </si>
  <si>
    <t>110,0</t>
  </si>
  <si>
    <t>120,0</t>
  </si>
  <si>
    <t>72,5</t>
  </si>
  <si>
    <t>107,5</t>
  </si>
  <si>
    <t>130,0</t>
  </si>
  <si>
    <t>322.50</t>
  </si>
  <si>
    <t xml:space="preserve">Лепешков В.А. </t>
  </si>
  <si>
    <t>Лахонин Степан</t>
  </si>
  <si>
    <t>Teen 16-17 (08.09.2004)/16</t>
  </si>
  <si>
    <t>64,00</t>
  </si>
  <si>
    <t>75,0</t>
  </si>
  <si>
    <t>82,5</t>
  </si>
  <si>
    <t>60,0</t>
  </si>
  <si>
    <t>67,5</t>
  </si>
  <si>
    <t>270.00</t>
  </si>
  <si>
    <t>ВЕСОВАЯ КАТЕГОРИЯ   75</t>
  </si>
  <si>
    <t>Турмачев Владимир</t>
  </si>
  <si>
    <t>Teen 18-19 (17.12.2001)/19</t>
  </si>
  <si>
    <t>75,00</t>
  </si>
  <si>
    <t>105,0</t>
  </si>
  <si>
    <t>112,5</t>
  </si>
  <si>
    <t>80,0</t>
  </si>
  <si>
    <t>Довлетов Али</t>
  </si>
  <si>
    <t>Juniors 20-23 (30.11.1997)/23</t>
  </si>
  <si>
    <t>74,00</t>
  </si>
  <si>
    <t xml:space="preserve">Энгельс/Саратовская область </t>
  </si>
  <si>
    <t>160,0</t>
  </si>
  <si>
    <t>170,0</t>
  </si>
  <si>
    <t>115,0</t>
  </si>
  <si>
    <t>175,0</t>
  </si>
  <si>
    <t>450.00</t>
  </si>
  <si>
    <t>ВЕСОВАЯ КАТЕГОРИЯ   82.5</t>
  </si>
  <si>
    <t>Акимов Андрей</t>
  </si>
  <si>
    <t>Teen 13-15 (24.02.2005)/15</t>
  </si>
  <si>
    <t>80,00</t>
  </si>
  <si>
    <t xml:space="preserve">Ртищево/Саратовская область </t>
  </si>
  <si>
    <t>127,5</t>
  </si>
  <si>
    <t>135,0</t>
  </si>
  <si>
    <t>90,0</t>
  </si>
  <si>
    <t>165,0</t>
  </si>
  <si>
    <t>410.00</t>
  </si>
  <si>
    <t>Князев Данила</t>
  </si>
  <si>
    <t>Teen 16-17 (22.05.2004)/16</t>
  </si>
  <si>
    <t>76,70</t>
  </si>
  <si>
    <t xml:space="preserve">Вольск/Саратовская область </t>
  </si>
  <si>
    <t>147,5</t>
  </si>
  <si>
    <t>85,0</t>
  </si>
  <si>
    <t>420.00</t>
  </si>
  <si>
    <t xml:space="preserve">Наумова Елена </t>
  </si>
  <si>
    <t>Ракитин Сергей</t>
  </si>
  <si>
    <t>Juniors 20-23 (10.07.1999)/21</t>
  </si>
  <si>
    <t>79,10</t>
  </si>
  <si>
    <t>145,0</t>
  </si>
  <si>
    <t>157,5</t>
  </si>
  <si>
    <t>Безруков Сергей</t>
  </si>
  <si>
    <t>Open (02.08.1982)/38</t>
  </si>
  <si>
    <t>80,20</t>
  </si>
  <si>
    <t xml:space="preserve">Степное/Саратовская область </t>
  </si>
  <si>
    <t>180,0</t>
  </si>
  <si>
    <t>190,0</t>
  </si>
  <si>
    <t>200,0</t>
  </si>
  <si>
    <t>150,0</t>
  </si>
  <si>
    <t>195,0</t>
  </si>
  <si>
    <t>210,0</t>
  </si>
  <si>
    <t>220,0</t>
  </si>
  <si>
    <t>560.00</t>
  </si>
  <si>
    <t>ВЕСОВАЯ КАТЕГОРИЯ   90</t>
  </si>
  <si>
    <t>Аваков Александр</t>
  </si>
  <si>
    <t>Teen 16-17 (28.12.2002)/18</t>
  </si>
  <si>
    <t>86,20</t>
  </si>
  <si>
    <t>117,5</t>
  </si>
  <si>
    <t>77,5</t>
  </si>
  <si>
    <t>375.00</t>
  </si>
  <si>
    <t>ВЕСОВАЯ КАТЕГОРИЯ   100</t>
  </si>
  <si>
    <t>Федюков Вадим</t>
  </si>
  <si>
    <t>Masters 40-44 (14.03.1976)/44</t>
  </si>
  <si>
    <t>100,00</t>
  </si>
  <si>
    <t>185,0</t>
  </si>
  <si>
    <t>192,5</t>
  </si>
  <si>
    <t>225,0</t>
  </si>
  <si>
    <t>547.50</t>
  </si>
  <si>
    <t>ВЕСОВАЯ КАТЕГОРИЯ   110</t>
  </si>
  <si>
    <t>Жандаров Дмитрий</t>
  </si>
  <si>
    <t>Open (22.05.1994)/26</t>
  </si>
  <si>
    <t>109,80</t>
  </si>
  <si>
    <t xml:space="preserve">Димитровград/Ульяновская область </t>
  </si>
  <si>
    <t>250,0</t>
  </si>
  <si>
    <t>260,0</t>
  </si>
  <si>
    <t>270,0</t>
  </si>
  <si>
    <t>280,0</t>
  </si>
  <si>
    <t>290,0</t>
  </si>
  <si>
    <t>730.00</t>
  </si>
  <si>
    <t>Плеханов Дмитрий</t>
  </si>
  <si>
    <t>Open (13.03.1983)/37</t>
  </si>
  <si>
    <t>104,00</t>
  </si>
  <si>
    <t xml:space="preserve">Балашов/Саратовская область </t>
  </si>
  <si>
    <t>215,0</t>
  </si>
  <si>
    <t>235,0</t>
  </si>
  <si>
    <t>600.00</t>
  </si>
  <si>
    <t>ВЕСОВАЯ КАТЕГОРИЯ   125</t>
  </si>
  <si>
    <t>Юрцев Руслан</t>
  </si>
  <si>
    <t>Juniors 20-23 (09.02.2000)/20</t>
  </si>
  <si>
    <t>123,30</t>
  </si>
  <si>
    <t xml:space="preserve">Балаково/Саратовская область </t>
  </si>
  <si>
    <t>230,0</t>
  </si>
  <si>
    <t>245,0</t>
  </si>
  <si>
    <t>207,5</t>
  </si>
  <si>
    <t>240,0</t>
  </si>
  <si>
    <t>265,0</t>
  </si>
  <si>
    <t>685.00</t>
  </si>
  <si>
    <t>Горбунов Дмитрий</t>
  </si>
  <si>
    <t>Open (05.07.1989)/31</t>
  </si>
  <si>
    <t>118,80</t>
  </si>
  <si>
    <t>Анохин Алексей</t>
  </si>
  <si>
    <t>Open (12.12.1986)/34</t>
  </si>
  <si>
    <t>109,20</t>
  </si>
  <si>
    <t xml:space="preserve">Пенза/Пензенская область </t>
  </si>
  <si>
    <t>180,0n</t>
  </si>
  <si>
    <t>150,0n</t>
  </si>
  <si>
    <t>200,0n</t>
  </si>
  <si>
    <t>Коняев Валерий</t>
  </si>
  <si>
    <t>Juniors 20-23 (11.10.1999)/21</t>
  </si>
  <si>
    <t>79,00</t>
  </si>
  <si>
    <t xml:space="preserve">Пугачёв/Саратовская область </t>
  </si>
  <si>
    <t>202,5</t>
  </si>
  <si>
    <t>Захаров Дмитрий</t>
  </si>
  <si>
    <t>Masters 40-44 (01.12.1978)/42</t>
  </si>
  <si>
    <t>81,90</t>
  </si>
  <si>
    <t>152,5</t>
  </si>
  <si>
    <t>162,5</t>
  </si>
  <si>
    <t>237,5</t>
  </si>
  <si>
    <t>Егоров Вадим</t>
  </si>
  <si>
    <t>Masters 45-49 (19.08.1971)/49</t>
  </si>
  <si>
    <t>81,80</t>
  </si>
  <si>
    <t>155,0</t>
  </si>
  <si>
    <t>122,5</t>
  </si>
  <si>
    <t>Зубарев Сергей</t>
  </si>
  <si>
    <t>Masters 55-59 (31.03.1964)/56</t>
  </si>
  <si>
    <t>82,50</t>
  </si>
  <si>
    <t xml:space="preserve">Аркадак/Саратовская область </t>
  </si>
  <si>
    <t>Кулиев Эдгар</t>
  </si>
  <si>
    <t>Open (14.04.1987)/33</t>
  </si>
  <si>
    <t>89,20</t>
  </si>
  <si>
    <t>310,0</t>
  </si>
  <si>
    <t>325,0</t>
  </si>
  <si>
    <t>255,0</t>
  </si>
  <si>
    <t xml:space="preserve">Михеев В.Н. </t>
  </si>
  <si>
    <t>Краснощёков Алексей</t>
  </si>
  <si>
    <t>Masters 45-49 (11.11.1975)/45</t>
  </si>
  <si>
    <t>88,30</t>
  </si>
  <si>
    <t>257,5</t>
  </si>
  <si>
    <t>262,5</t>
  </si>
  <si>
    <t>Скворцов Анатолий</t>
  </si>
  <si>
    <t>Teen 18-19 (17.01.2002)/18</t>
  </si>
  <si>
    <t>92,20</t>
  </si>
  <si>
    <t>172,5</t>
  </si>
  <si>
    <t>Коптев Михаил</t>
  </si>
  <si>
    <t>Open (17.06.1991)/29</t>
  </si>
  <si>
    <t>105,90</t>
  </si>
  <si>
    <t>320,0</t>
  </si>
  <si>
    <t>342,5</t>
  </si>
  <si>
    <t>350,0</t>
  </si>
  <si>
    <t>182,5</t>
  </si>
  <si>
    <t>300,0</t>
  </si>
  <si>
    <t>335,0</t>
  </si>
  <si>
    <t>Манышев Алексей</t>
  </si>
  <si>
    <t>Шахмуть Степан</t>
  </si>
  <si>
    <t>Teen 13-15 (01.01.2006)/14</t>
  </si>
  <si>
    <t>68,20</t>
  </si>
  <si>
    <t>Васин Кирилл</t>
  </si>
  <si>
    <t>Teen 13-15 (27.08.2006)/14</t>
  </si>
  <si>
    <t>89,30</t>
  </si>
  <si>
    <t>40,0</t>
  </si>
  <si>
    <t>45,0</t>
  </si>
  <si>
    <t>55,0</t>
  </si>
  <si>
    <t>Легиньков Евгений</t>
  </si>
  <si>
    <t>Open (15.01.1987)/33</t>
  </si>
  <si>
    <t>85,00</t>
  </si>
  <si>
    <t xml:space="preserve">Волколупов В.А. </t>
  </si>
  <si>
    <t>Жогло Юрий</t>
  </si>
  <si>
    <t>Open (29.04.1990)/30</t>
  </si>
  <si>
    <t>96,80</t>
  </si>
  <si>
    <t xml:space="preserve">Коптев Михаил </t>
  </si>
  <si>
    <t>Фатыхов Ильмир</t>
  </si>
  <si>
    <t>Open (23.02.1992)/28</t>
  </si>
  <si>
    <t>93,80</t>
  </si>
  <si>
    <t>Синельник Александр</t>
  </si>
  <si>
    <t>Open (14.10.1988)/32</t>
  </si>
  <si>
    <t>108,00</t>
  </si>
  <si>
    <t>Самсонов Андрей</t>
  </si>
  <si>
    <t>Open (28.03.1985)/35</t>
  </si>
  <si>
    <t>108,10</t>
  </si>
  <si>
    <t>167,5</t>
  </si>
  <si>
    <t>Боляк Алексей</t>
  </si>
  <si>
    <t>Open (12.02.1985)/35</t>
  </si>
  <si>
    <t>105,40</t>
  </si>
  <si>
    <t>177,5</t>
  </si>
  <si>
    <t>Земляков Роман</t>
  </si>
  <si>
    <t>Open (24.08.1988)/32</t>
  </si>
  <si>
    <t>124,90</t>
  </si>
  <si>
    <t>Петров Лев</t>
  </si>
  <si>
    <t>Open (07.01.1974)/46</t>
  </si>
  <si>
    <t>123,50</t>
  </si>
  <si>
    <t xml:space="preserve">Веселов И.А </t>
  </si>
  <si>
    <t>Самарин Константин</t>
  </si>
  <si>
    <t>Open (20.10.1981)/39</t>
  </si>
  <si>
    <t>122,10</t>
  </si>
  <si>
    <t>Сериков Дмитрий</t>
  </si>
  <si>
    <t>Open (23.04.1990)/30</t>
  </si>
  <si>
    <t>118,20</t>
  </si>
  <si>
    <t>ВЕСОВАЯ КАТЕГОРИЯ   48</t>
  </si>
  <si>
    <t>Бабенко Яна</t>
  </si>
  <si>
    <t>Juniors 20-23 (16.10.1999)/21</t>
  </si>
  <si>
    <t>47,00</t>
  </si>
  <si>
    <t>47,5</t>
  </si>
  <si>
    <t>52,5</t>
  </si>
  <si>
    <t xml:space="preserve">Евгеюк В.И. </t>
  </si>
  <si>
    <t>Зубарев Анатолий</t>
  </si>
  <si>
    <t>Teen 16-17 (20.03.2003)/17</t>
  </si>
  <si>
    <t>65,80</t>
  </si>
  <si>
    <t xml:space="preserve">Зубарев С.А. </t>
  </si>
  <si>
    <t>Габбазов Мукатдес</t>
  </si>
  <si>
    <t>Teen 13-15 (01.04.2005)/15</t>
  </si>
  <si>
    <t>81,20</t>
  </si>
  <si>
    <t>Пантелеев Степан</t>
  </si>
  <si>
    <t>Teen 16-17 (21.12.2002)/18</t>
  </si>
  <si>
    <t>77,80</t>
  </si>
  <si>
    <t>92,5</t>
  </si>
  <si>
    <t>Open (28.08.1996)/24</t>
  </si>
  <si>
    <t>78,90</t>
  </si>
  <si>
    <t>Есаян Артур</t>
  </si>
  <si>
    <t>Teen 18-19 (16.12.2000)/20</t>
  </si>
  <si>
    <t>72,90</t>
  </si>
  <si>
    <t>Отставнов Кирилл</t>
  </si>
  <si>
    <t>Juniors 20-23 (21.05.1998)/22</t>
  </si>
  <si>
    <t>72,20</t>
  </si>
  <si>
    <t>Аветисян Лаврент</t>
  </si>
  <si>
    <t>Open (23.04.1994)/26</t>
  </si>
  <si>
    <t>82,30</t>
  </si>
  <si>
    <t>Орлов Евгений</t>
  </si>
  <si>
    <t>Open (22.10.1987)/33</t>
  </si>
  <si>
    <t>89,10</t>
  </si>
  <si>
    <t>142,5</t>
  </si>
  <si>
    <t>Шавель Артем</t>
  </si>
  <si>
    <t>Open (03.08.1994)/26</t>
  </si>
  <si>
    <t>92,00</t>
  </si>
  <si>
    <t>187,5</t>
  </si>
  <si>
    <t>Щербаков Алексей</t>
  </si>
  <si>
    <t>Open (24.05.1985)/35</t>
  </si>
  <si>
    <t>97,80</t>
  </si>
  <si>
    <t>Орликов Евгений</t>
  </si>
  <si>
    <t>Open (30.07.1980)/40</t>
  </si>
  <si>
    <t>96,10</t>
  </si>
  <si>
    <t>Кеммерер Артем</t>
  </si>
  <si>
    <t>Open (26.07.1982)/38</t>
  </si>
  <si>
    <t>96,20</t>
  </si>
  <si>
    <t>Кузнецов Алексей</t>
  </si>
  <si>
    <t>Open (20.10.1987)/33</t>
  </si>
  <si>
    <t>99,50</t>
  </si>
  <si>
    <t>Masters 40-44 (30.07.1980)/40</t>
  </si>
  <si>
    <t>Высочкин Роман</t>
  </si>
  <si>
    <t>Open (02.10.1992)/28</t>
  </si>
  <si>
    <t>107,20</t>
  </si>
  <si>
    <t>Люсов Антон</t>
  </si>
  <si>
    <t>Open (15.09.1986)/34</t>
  </si>
  <si>
    <t>108,60</t>
  </si>
  <si>
    <t>Ступин Сергей</t>
  </si>
  <si>
    <t>Open (05.04.1985)/35</t>
  </si>
  <si>
    <t>118,50</t>
  </si>
  <si>
    <t>Попов Павел</t>
  </si>
  <si>
    <t>Open (11.08.1985)/35</t>
  </si>
  <si>
    <t>117,40</t>
  </si>
  <si>
    <t>Титомир Василий</t>
  </si>
  <si>
    <t>Masters 40-44 (13.08.1978)/42</t>
  </si>
  <si>
    <t>119,10</t>
  </si>
  <si>
    <t>Морозов Владислав</t>
  </si>
  <si>
    <t>Juniors 20-23 (16.06.2000)/20</t>
  </si>
  <si>
    <t>82,00</t>
  </si>
  <si>
    <t>Бобоев Темур</t>
  </si>
  <si>
    <t>Open (21.08.1982)/38</t>
  </si>
  <si>
    <t>79,80</t>
  </si>
  <si>
    <t>70,0</t>
  </si>
  <si>
    <t>Алымов Илья</t>
  </si>
  <si>
    <t>Juniors 20-23 (02.08.1997)/23</t>
  </si>
  <si>
    <t>87,00</t>
  </si>
  <si>
    <t xml:space="preserve">Серпухов/Московская область </t>
  </si>
  <si>
    <t>225,0o</t>
  </si>
  <si>
    <t>240,0o</t>
  </si>
  <si>
    <t>250,0o</t>
  </si>
  <si>
    <t>Торгашков Даниил</t>
  </si>
  <si>
    <t>Open (19.03.1995)/25</t>
  </si>
  <si>
    <t>88,40</t>
  </si>
  <si>
    <t>277,5</t>
  </si>
  <si>
    <t xml:space="preserve">Рубцов А </t>
  </si>
  <si>
    <t>ВЕСОВАЯ КАТЕГОРИЯ   52</t>
  </si>
  <si>
    <t>Фролова Анна</t>
  </si>
  <si>
    <t>Open (23.12.1981)/39</t>
  </si>
  <si>
    <t>50,30</t>
  </si>
  <si>
    <t>Лаврентьева Ирина</t>
  </si>
  <si>
    <t>Open (08.04.1991)/29</t>
  </si>
  <si>
    <t>52,80</t>
  </si>
  <si>
    <t>Корниенкова Марина</t>
  </si>
  <si>
    <t>Juniors 20-23 (16.12.1996)/24</t>
  </si>
  <si>
    <t>67,50</t>
  </si>
  <si>
    <t xml:space="preserve">Коптев М. </t>
  </si>
  <si>
    <t>Челноков Максим</t>
  </si>
  <si>
    <t>Teen 18-19 (11.06.2001)/19</t>
  </si>
  <si>
    <t>66,90</t>
  </si>
  <si>
    <t>Беляков Дмитрий</t>
  </si>
  <si>
    <t>Juniors 20-23 (31.10.2000)/20</t>
  </si>
  <si>
    <t>64,50</t>
  </si>
  <si>
    <t>Всероссийский турнир "Серебряная штанга" 2020 WPC пауэрлифтинг в бинтах классический RAW_x000D_
21.Ноябрь.2020</t>
  </si>
  <si>
    <t>Всероссийский турнир "Серебряная штанга" 2020 AWPC тяга становая без экипировки_x000D_
21.Ноябрь.2020</t>
  </si>
  <si>
    <t>Всероссийский турнир "Серебряная штанга" 2020 WPC тяга становая без экипировки_x000D_
21.Ноябрь.2020</t>
  </si>
  <si>
    <t>Всероссийский турнир "Серебряная штанга" 2020 AWPC жим лежа без экипировки_x000D_
21.Ноябрь.2020</t>
  </si>
  <si>
    <t>Всероссийский турнир "Серебряная штанга" 2020 AWPC пауэрлифтинг в бинтах классический RAW
21.Ноябрь.2020</t>
  </si>
  <si>
    <t>Всероссийский турнир "Серебряная штанга" 2020 AWPC пауэрлифтинг без экипировки_x000D_
21.Ноябрь.2020</t>
  </si>
  <si>
    <t>Всероссийский турнир "Серебряная штанга" 2020 WPC жим лежа без экипировки_x000D_
21.Ноябрь.2020</t>
  </si>
  <si>
    <t>Всероссийский турнир "Серебряная штанга" 2020 WPC пауэрлифтинг в однослойной экипировке_x000D_
21.Ноябрь.2020</t>
  </si>
  <si>
    <t>Всероссийский турнир "Серебряная штанга" 2020 WPC пауэрлифтинг без экипировки_x000D_
21.Ноябрь.2020</t>
  </si>
  <si>
    <t>205,0</t>
  </si>
  <si>
    <t>86,60</t>
  </si>
  <si>
    <t>Ветераны 50 - 54 (23.03.1969)/51</t>
  </si>
  <si>
    <t>1. Самсонов Игорь</t>
  </si>
  <si>
    <t xml:space="preserve">Наумов Д.Ю. </t>
  </si>
  <si>
    <t xml:space="preserve">Шиханы/Саратовская область </t>
  </si>
  <si>
    <t>80,40</t>
  </si>
  <si>
    <t>Открытая (05.05.1988)/32</t>
  </si>
  <si>
    <t>3. Солошин Андрей</t>
  </si>
  <si>
    <t>82,20</t>
  </si>
  <si>
    <t>Открытая (22.10.1987)/33</t>
  </si>
  <si>
    <t>2. Беляев Николай</t>
  </si>
  <si>
    <t>Открытая (19.03.1966)/54</t>
  </si>
  <si>
    <t>1. Небыков Алексей</t>
  </si>
  <si>
    <t>59,30</t>
  </si>
  <si>
    <t>Открытая (09.07.1989)/31</t>
  </si>
  <si>
    <t>1. Безруднова Елена</t>
  </si>
  <si>
    <t>ВЕСОВАЯ КАТЕГОРИЯ   60</t>
  </si>
  <si>
    <t>Результат</t>
  </si>
  <si>
    <t>Жим лёжа</t>
  </si>
  <si>
    <t>Город/Область</t>
  </si>
  <si>
    <t>Собственный 
вес</t>
  </si>
  <si>
    <t>Возрастная группа
Дата рождения/Возраст</t>
  </si>
  <si>
    <t>Всероссийский турнир "Серебряная штанга" 2020
AWPC жим лежа в стандартной софт экипировке
Саратов/Саратовская область 21 ноября 2020 г.</t>
  </si>
  <si>
    <t>330,0</t>
  </si>
  <si>
    <t>102,50</t>
  </si>
  <si>
    <t>Открытая (30.03.1988)/32</t>
  </si>
  <si>
    <t>1. Чумаков Анатолий</t>
  </si>
  <si>
    <t>Всероссийский турнир "Серебряная штанга" 2020
AWPC жим лежа в многослойной софт экипировке
Саратов/Саратовская область 21 ноября 2020 г.</t>
  </si>
  <si>
    <t>285,0</t>
  </si>
  <si>
    <t xml:space="preserve">Бочкарев П </t>
  </si>
  <si>
    <t>312,5</t>
  </si>
  <si>
    <t>305,0</t>
  </si>
  <si>
    <t>98,40</t>
  </si>
  <si>
    <t>Открытая (03.04.1988)/32</t>
  </si>
  <si>
    <t>1. Наумов Дмитрий</t>
  </si>
  <si>
    <t>Всероссийский турнир "Серебряная штанга" 2020
WPC жим лежа в стандартной софт экипировке
Саратов/Саратовская область 21 ноября 2020 г.</t>
  </si>
  <si>
    <t xml:space="preserve">Лепешенков Владимир </t>
  </si>
  <si>
    <t>110,00</t>
  </si>
  <si>
    <t>Открытая (05.12.1982)/37</t>
  </si>
  <si>
    <t>-. Курякин Дмитрий</t>
  </si>
  <si>
    <t>Всероссийский турнир "Серебряная штанга" 2020
WPC жим лежа в однослойной экипировке
Саратов/Саратовская область 21 ноября 2020 г.</t>
  </si>
  <si>
    <t xml:space="preserve">Урсу Роман </t>
  </si>
  <si>
    <t xml:space="preserve">Воробев Дмитрий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</si>
</sst>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13" xfId="0" applyNumberFormat="1" applyBorder="1"/>
    <xf numFmtId="49" fontId="7" fillId="0" borderId="13" xfId="0" applyNumberFormat="1" applyFont="1" applyBorder="1"/>
    <xf numFmtId="49" fontId="0" fillId="0" borderId="14" xfId="0" applyNumberFormat="1" applyBorder="1"/>
    <xf numFmtId="49" fontId="7" fillId="0" borderId="14" xfId="0" applyNumberFormat="1" applyFont="1" applyBorder="1"/>
    <xf numFmtId="49" fontId="0" fillId="0" borderId="16" xfId="0" applyNumberFormat="1" applyBorder="1"/>
    <xf numFmtId="49" fontId="7" fillId="0" borderId="16" xfId="0" applyNumberFormat="1" applyFont="1" applyBorder="1"/>
    <xf numFmtId="49" fontId="0" fillId="0" borderId="15" xfId="0" applyNumberFormat="1" applyBorder="1"/>
    <xf numFmtId="49" fontId="7" fillId="0" borderId="15" xfId="0" applyNumberFormat="1" applyFont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A13" sqref="A13"/>
    </sheetView>
  </sheetViews>
  <sheetFormatPr defaultRowHeight="12.75" x14ac:dyDescent="0.2"/>
  <cols>
    <col min="1" max="2" width="26" style="23" bestFit="1" customWidth="1"/>
    <col min="3" max="3" width="10.5703125" style="23" bestFit="1" customWidth="1"/>
    <col min="4" max="4" width="28.7109375" style="23" bestFit="1" customWidth="1"/>
    <col min="5" max="7" width="5.5703125" style="23" bestFit="1" customWidth="1"/>
    <col min="8" max="8" width="4.5703125" style="23" bestFit="1" customWidth="1"/>
    <col min="9" max="11" width="5.5703125" style="23" bestFit="1" customWidth="1"/>
    <col min="12" max="12" width="4.5703125" style="23" bestFit="1" customWidth="1"/>
    <col min="13" max="15" width="5.5703125" style="23" bestFit="1" customWidth="1"/>
    <col min="16" max="16" width="4.5703125" style="23" bestFit="1" customWidth="1"/>
    <col min="17" max="17" width="7.85546875" style="23" bestFit="1" customWidth="1"/>
    <col min="18" max="18" width="8.5703125" style="23" bestFit="1" customWidth="1"/>
    <col min="19" max="19" width="13.140625" style="23" bestFit="1" customWidth="1"/>
  </cols>
  <sheetData>
    <row r="1" spans="1:19" s="1" customFormat="1" ht="15" customHeight="1" x14ac:dyDescent="0.2">
      <c r="A1" s="48" t="s">
        <v>346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58" t="s">
        <v>3</v>
      </c>
      <c r="N3" s="58"/>
      <c r="O3" s="58"/>
      <c r="P3" s="58"/>
      <c r="Q3" s="58" t="s">
        <v>4</v>
      </c>
      <c r="R3" s="58" t="s">
        <v>7</v>
      </c>
      <c r="S3" s="59" t="s">
        <v>6</v>
      </c>
    </row>
    <row r="4" spans="1:19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7"/>
      <c r="R4" s="57"/>
      <c r="S4" s="60"/>
    </row>
    <row r="5" spans="1:19" ht="15" x14ac:dyDescent="0.2">
      <c r="A5" s="61" t="s">
        <v>240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x14ac:dyDescent="0.2">
      <c r="A6" s="24" t="s">
        <v>241</v>
      </c>
      <c r="B6" s="24" t="s">
        <v>242</v>
      </c>
      <c r="C6" s="24" t="s">
        <v>243</v>
      </c>
      <c r="D6" s="24" t="s">
        <v>125</v>
      </c>
      <c r="E6" s="24" t="s">
        <v>76</v>
      </c>
      <c r="F6" s="25" t="s">
        <v>68</v>
      </c>
      <c r="G6" s="25" t="s">
        <v>68</v>
      </c>
      <c r="H6" s="25"/>
      <c r="I6" s="24" t="s">
        <v>244</v>
      </c>
      <c r="J6" s="25" t="s">
        <v>245</v>
      </c>
      <c r="K6" s="25" t="s">
        <v>245</v>
      </c>
      <c r="L6" s="25"/>
      <c r="M6" s="24" t="s">
        <v>30</v>
      </c>
      <c r="N6" s="24" t="s">
        <v>50</v>
      </c>
      <c r="O6" s="24" t="s">
        <v>165</v>
      </c>
      <c r="P6" s="25"/>
      <c r="Q6" s="24">
        <v>255</v>
      </c>
      <c r="R6" s="24" t="str">
        <f>"305,4900"</f>
        <v>305,4900</v>
      </c>
      <c r="S6" s="24" t="s">
        <v>246</v>
      </c>
    </row>
    <row r="8" spans="1:19" ht="15" x14ac:dyDescent="0.2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x14ac:dyDescent="0.2">
      <c r="A9" s="24" t="s">
        <v>247</v>
      </c>
      <c r="B9" s="24" t="s">
        <v>248</v>
      </c>
      <c r="C9" s="24" t="s">
        <v>249</v>
      </c>
      <c r="D9" s="24" t="s">
        <v>169</v>
      </c>
      <c r="E9" s="24" t="s">
        <v>20</v>
      </c>
      <c r="F9" s="24" t="s">
        <v>34</v>
      </c>
      <c r="G9" s="25" t="s">
        <v>67</v>
      </c>
      <c r="H9" s="25"/>
      <c r="I9" s="24" t="s">
        <v>30</v>
      </c>
      <c r="J9" s="24" t="s">
        <v>58</v>
      </c>
      <c r="K9" s="25" t="s">
        <v>100</v>
      </c>
      <c r="L9" s="25"/>
      <c r="M9" s="24" t="s">
        <v>34</v>
      </c>
      <c r="N9" s="24" t="s">
        <v>67</v>
      </c>
      <c r="O9" s="24" t="s">
        <v>22</v>
      </c>
      <c r="P9" s="25"/>
      <c r="Q9" s="24">
        <v>385</v>
      </c>
      <c r="R9" s="24" t="str">
        <f>"294,5442"</f>
        <v>294,5442</v>
      </c>
      <c r="S9" s="24" t="s">
        <v>250</v>
      </c>
    </row>
    <row r="11" spans="1:19" ht="15" x14ac:dyDescent="0.2">
      <c r="A11" s="47" t="s">
        <v>61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x14ac:dyDescent="0.2">
      <c r="A12" s="26" t="s">
        <v>251</v>
      </c>
      <c r="B12" s="26" t="s">
        <v>252</v>
      </c>
      <c r="C12" s="26" t="s">
        <v>253</v>
      </c>
      <c r="D12" s="26" t="s">
        <v>74</v>
      </c>
      <c r="E12" s="26" t="s">
        <v>58</v>
      </c>
      <c r="F12" s="26" t="s">
        <v>20</v>
      </c>
      <c r="G12" s="27" t="s">
        <v>67</v>
      </c>
      <c r="H12" s="27"/>
      <c r="I12" s="26" t="s">
        <v>40</v>
      </c>
      <c r="J12" s="27" t="s">
        <v>76</v>
      </c>
      <c r="K12" s="27" t="s">
        <v>76</v>
      </c>
      <c r="L12" s="27"/>
      <c r="M12" s="27" t="s">
        <v>57</v>
      </c>
      <c r="N12" s="26" t="s">
        <v>57</v>
      </c>
      <c r="O12" s="27" t="s">
        <v>107</v>
      </c>
      <c r="P12" s="27"/>
      <c r="Q12" s="26">
        <v>370</v>
      </c>
      <c r="R12" s="26" t="str">
        <f>"240,9810"</f>
        <v>240,9810</v>
      </c>
      <c r="S12" s="26" t="s">
        <v>24</v>
      </c>
    </row>
    <row r="13" spans="1:19" x14ac:dyDescent="0.2">
      <c r="A13" s="30" t="s">
        <v>254</v>
      </c>
      <c r="B13" s="30" t="s">
        <v>255</v>
      </c>
      <c r="C13" s="30" t="s">
        <v>256</v>
      </c>
      <c r="D13" s="30" t="s">
        <v>15</v>
      </c>
      <c r="E13" s="30" t="s">
        <v>31</v>
      </c>
      <c r="F13" s="30" t="s">
        <v>22</v>
      </c>
      <c r="G13" s="31" t="s">
        <v>91</v>
      </c>
      <c r="H13" s="31"/>
      <c r="I13" s="30" t="s">
        <v>76</v>
      </c>
      <c r="J13" s="30" t="s">
        <v>257</v>
      </c>
      <c r="K13" s="30" t="s">
        <v>16</v>
      </c>
      <c r="L13" s="31"/>
      <c r="M13" s="30" t="s">
        <v>30</v>
      </c>
      <c r="N13" s="30" t="s">
        <v>82</v>
      </c>
      <c r="O13" s="31" t="s">
        <v>91</v>
      </c>
      <c r="P13" s="31"/>
      <c r="Q13" s="30">
        <v>380</v>
      </c>
      <c r="R13" s="30" t="str">
        <f>"254,8280"</f>
        <v>254,8280</v>
      </c>
      <c r="S13" s="30" t="s">
        <v>24</v>
      </c>
    </row>
  </sheetData>
  <mergeCells count="14">
    <mergeCell ref="A11:R11"/>
    <mergeCell ref="A1:S2"/>
    <mergeCell ref="A3:A4"/>
    <mergeCell ref="B3:B4"/>
    <mergeCell ref="C3:C4"/>
    <mergeCell ref="D3:D4"/>
    <mergeCell ref="E3:H3"/>
    <mergeCell ref="I3:L3"/>
    <mergeCell ref="M3:P3"/>
    <mergeCell ref="Q3:Q4"/>
    <mergeCell ref="R3:R4"/>
    <mergeCell ref="S3:S4"/>
    <mergeCell ref="A5:R5"/>
    <mergeCell ref="A8:R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13" sqref="A13"/>
    </sheetView>
  </sheetViews>
  <sheetFormatPr defaultRowHeight="12.75" x14ac:dyDescent="0.2"/>
  <cols>
    <col min="1" max="1" width="26" style="33" bestFit="1" customWidth="1"/>
    <col min="2" max="2" width="26.28515625" style="33" bestFit="1" customWidth="1"/>
    <col min="3" max="3" width="15.5703125" style="33" bestFit="1" customWidth="1"/>
    <col min="4" max="4" width="27" style="33" bestFit="1" customWidth="1"/>
    <col min="5" max="7" width="5.5703125" style="32" customWidth="1"/>
    <col min="8" max="8" width="4.85546875" style="32" customWidth="1"/>
    <col min="9" max="9" width="7.85546875" style="4" bestFit="1" customWidth="1"/>
    <col min="10" max="10" width="8.5703125" style="34" bestFit="1" customWidth="1"/>
    <col min="11" max="11" width="11.5703125" style="33" bestFit="1" customWidth="1"/>
    <col min="12" max="16384" width="9.140625" style="32"/>
  </cols>
  <sheetData>
    <row r="1" spans="1:11" s="34" customFormat="1" ht="29.1" customHeight="1" x14ac:dyDescent="0.2">
      <c r="A1" s="66" t="s">
        <v>386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34" customFormat="1" ht="62.1" customHeight="1" thickBo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2" customFormat="1" ht="12.75" customHeight="1" x14ac:dyDescent="0.2">
      <c r="A3" s="72" t="s">
        <v>0</v>
      </c>
      <c r="B3" s="73" t="s">
        <v>372</v>
      </c>
      <c r="C3" s="73" t="s">
        <v>371</v>
      </c>
      <c r="D3" s="74" t="s">
        <v>370</v>
      </c>
      <c r="E3" s="74" t="s">
        <v>369</v>
      </c>
      <c r="F3" s="74"/>
      <c r="G3" s="74"/>
      <c r="H3" s="74"/>
      <c r="I3" s="74" t="s">
        <v>368</v>
      </c>
      <c r="J3" s="74" t="s">
        <v>7</v>
      </c>
      <c r="K3" s="75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6">
        <v>1</v>
      </c>
      <c r="F4" s="6">
        <v>2</v>
      </c>
      <c r="G4" s="6">
        <v>3</v>
      </c>
      <c r="H4" s="6" t="s">
        <v>8</v>
      </c>
      <c r="I4" s="57"/>
      <c r="J4" s="57"/>
      <c r="K4" s="60"/>
    </row>
    <row r="5" spans="1:11" ht="15" x14ac:dyDescent="0.2">
      <c r="A5" s="65" t="s">
        <v>103</v>
      </c>
      <c r="B5" s="61"/>
      <c r="C5" s="61"/>
      <c r="D5" s="61"/>
      <c r="E5" s="61"/>
      <c r="F5" s="61"/>
      <c r="G5" s="61"/>
      <c r="H5" s="61"/>
    </row>
    <row r="6" spans="1:11" x14ac:dyDescent="0.2">
      <c r="A6" s="35" t="s">
        <v>385</v>
      </c>
      <c r="B6" s="35" t="s">
        <v>384</v>
      </c>
      <c r="C6" s="35" t="s">
        <v>383</v>
      </c>
      <c r="D6" s="35" t="s">
        <v>74</v>
      </c>
      <c r="E6" s="37" t="s">
        <v>379</v>
      </c>
      <c r="F6" s="10" t="s">
        <v>382</v>
      </c>
      <c r="G6" s="10" t="s">
        <v>381</v>
      </c>
      <c r="H6" s="10"/>
      <c r="I6" s="7" t="str">
        <f>"285,0"</f>
        <v>285,0</v>
      </c>
      <c r="J6" s="36" t="str">
        <f>"166,8247"</f>
        <v>166,8247</v>
      </c>
      <c r="K6" s="35" t="s">
        <v>380</v>
      </c>
    </row>
  </sheetData>
  <mergeCells count="10">
    <mergeCell ref="A5:H5"/>
    <mergeCell ref="A1:K2"/>
    <mergeCell ref="A3:A4"/>
    <mergeCell ref="B3:B4"/>
    <mergeCell ref="C3:C4"/>
    <mergeCell ref="D3:D4"/>
    <mergeCell ref="E3:H3"/>
    <mergeCell ref="I3:I4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13" sqref="A13"/>
    </sheetView>
  </sheetViews>
  <sheetFormatPr defaultRowHeight="12.75" x14ac:dyDescent="0.2"/>
  <cols>
    <col min="1" max="1" width="26" style="33" bestFit="1" customWidth="1"/>
    <col min="2" max="2" width="26.28515625" style="33" bestFit="1" customWidth="1"/>
    <col min="3" max="3" width="15.5703125" style="33" bestFit="1" customWidth="1"/>
    <col min="4" max="4" width="27.85546875" style="33" bestFit="1" customWidth="1"/>
    <col min="5" max="7" width="5.5703125" style="32" customWidth="1"/>
    <col min="8" max="8" width="4.85546875" style="32" customWidth="1"/>
    <col min="9" max="9" width="7.85546875" style="4" bestFit="1" customWidth="1"/>
    <col min="10" max="10" width="6.5703125" style="34" bestFit="1" customWidth="1"/>
    <col min="11" max="11" width="22" style="33" bestFit="1" customWidth="1"/>
    <col min="12" max="16384" width="9.140625" style="32"/>
  </cols>
  <sheetData>
    <row r="1" spans="1:11" s="34" customFormat="1" ht="29.1" customHeight="1" x14ac:dyDescent="0.2">
      <c r="A1" s="66" t="s">
        <v>391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34" customFormat="1" ht="62.1" customHeight="1" thickBo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2" customFormat="1" ht="12.75" customHeight="1" x14ac:dyDescent="0.2">
      <c r="A3" s="72" t="s">
        <v>0</v>
      </c>
      <c r="B3" s="73" t="s">
        <v>372</v>
      </c>
      <c r="C3" s="73" t="s">
        <v>371</v>
      </c>
      <c r="D3" s="74" t="s">
        <v>370</v>
      </c>
      <c r="E3" s="74" t="s">
        <v>369</v>
      </c>
      <c r="F3" s="74"/>
      <c r="G3" s="74"/>
      <c r="H3" s="74"/>
      <c r="I3" s="74" t="s">
        <v>368</v>
      </c>
      <c r="J3" s="74" t="s">
        <v>7</v>
      </c>
      <c r="K3" s="75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6">
        <v>1</v>
      </c>
      <c r="F4" s="6">
        <v>2</v>
      </c>
      <c r="G4" s="6">
        <v>3</v>
      </c>
      <c r="H4" s="6" t="s">
        <v>8</v>
      </c>
      <c r="I4" s="57"/>
      <c r="J4" s="57"/>
      <c r="K4" s="60"/>
    </row>
    <row r="5" spans="1:11" ht="15" x14ac:dyDescent="0.2">
      <c r="A5" s="65" t="s">
        <v>111</v>
      </c>
      <c r="B5" s="61"/>
      <c r="C5" s="61"/>
      <c r="D5" s="61"/>
      <c r="E5" s="61"/>
      <c r="F5" s="61"/>
      <c r="G5" s="61"/>
      <c r="H5" s="61"/>
    </row>
    <row r="6" spans="1:11" x14ac:dyDescent="0.2">
      <c r="A6" s="35" t="s">
        <v>390</v>
      </c>
      <c r="B6" s="35" t="s">
        <v>389</v>
      </c>
      <c r="C6" s="35" t="s">
        <v>388</v>
      </c>
      <c r="D6" s="35" t="s">
        <v>15</v>
      </c>
      <c r="E6" s="10" t="s">
        <v>93</v>
      </c>
      <c r="F6" s="10" t="s">
        <v>93</v>
      </c>
      <c r="G6" s="10" t="s">
        <v>93</v>
      </c>
      <c r="H6" s="10"/>
      <c r="I6" s="7" t="str">
        <f>"0.00"</f>
        <v>0.00</v>
      </c>
      <c r="J6" s="36" t="str">
        <f>"0,0000"</f>
        <v>0,0000</v>
      </c>
      <c r="K6" s="35" t="s">
        <v>387</v>
      </c>
    </row>
  </sheetData>
  <mergeCells count="10">
    <mergeCell ref="A5:H5"/>
    <mergeCell ref="A1:K2"/>
    <mergeCell ref="A3:A4"/>
    <mergeCell ref="B3:B4"/>
    <mergeCell ref="C3:C4"/>
    <mergeCell ref="D3:D4"/>
    <mergeCell ref="E3:H3"/>
    <mergeCell ref="I3:I4"/>
    <mergeCell ref="J3:J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23" sqref="H23"/>
    </sheetView>
  </sheetViews>
  <sheetFormatPr defaultRowHeight="12.75" x14ac:dyDescent="0.2"/>
  <cols>
    <col min="1" max="2" width="26" style="23" bestFit="1" customWidth="1"/>
    <col min="3" max="3" width="10.5703125" style="23" bestFit="1" customWidth="1"/>
    <col min="4" max="4" width="28.7109375" style="23" bestFit="1" customWidth="1"/>
    <col min="5" max="7" width="5.5703125" style="23" bestFit="1" customWidth="1"/>
    <col min="8" max="8" width="4.5703125" style="23" bestFit="1" customWidth="1"/>
    <col min="9" max="9" width="7.85546875" style="23" bestFit="1" customWidth="1"/>
    <col min="10" max="10" width="8.5703125" style="23" bestFit="1" customWidth="1"/>
    <col min="11" max="11" width="18" style="23" bestFit="1" customWidth="1"/>
  </cols>
  <sheetData>
    <row r="1" spans="1:11" s="1" customFormat="1" ht="15" customHeight="1" x14ac:dyDescent="0.2">
      <c r="A1" s="48" t="s">
        <v>342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3</v>
      </c>
      <c r="F3" s="58"/>
      <c r="G3" s="58"/>
      <c r="H3" s="58"/>
      <c r="I3" s="58" t="s">
        <v>4</v>
      </c>
      <c r="J3" s="58" t="s">
        <v>7</v>
      </c>
      <c r="K3" s="59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57"/>
      <c r="J4" s="57"/>
      <c r="K4" s="60"/>
    </row>
    <row r="5" spans="1:11" ht="15" x14ac:dyDescent="0.2">
      <c r="A5" s="61" t="s">
        <v>240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x14ac:dyDescent="0.2">
      <c r="A6" s="24" t="s">
        <v>241</v>
      </c>
      <c r="B6" s="24" t="s">
        <v>242</v>
      </c>
      <c r="C6" s="24" t="s">
        <v>243</v>
      </c>
      <c r="D6" s="24" t="s">
        <v>125</v>
      </c>
      <c r="E6" s="24" t="s">
        <v>30</v>
      </c>
      <c r="F6" s="24" t="s">
        <v>50</v>
      </c>
      <c r="G6" s="24" t="s">
        <v>165</v>
      </c>
      <c r="H6" s="25"/>
      <c r="I6" s="24">
        <v>122.5</v>
      </c>
      <c r="J6" s="24" t="str">
        <f>"146,7550"</f>
        <v>146,7550</v>
      </c>
      <c r="K6" s="24" t="s">
        <v>246</v>
      </c>
    </row>
    <row r="8" spans="1:11" ht="15" x14ac:dyDescent="0.2">
      <c r="A8" s="47" t="s">
        <v>324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x14ac:dyDescent="0.2">
      <c r="A9" s="24" t="s">
        <v>325</v>
      </c>
      <c r="B9" s="24" t="s">
        <v>326</v>
      </c>
      <c r="C9" s="24" t="s">
        <v>327</v>
      </c>
      <c r="D9" s="24" t="s">
        <v>15</v>
      </c>
      <c r="E9" s="24" t="s">
        <v>29</v>
      </c>
      <c r="F9" s="25" t="s">
        <v>30</v>
      </c>
      <c r="G9" s="25" t="s">
        <v>30</v>
      </c>
      <c r="H9" s="25"/>
      <c r="I9" s="24">
        <v>100</v>
      </c>
      <c r="J9" s="24" t="str">
        <f>"113,7000"</f>
        <v>113,7000</v>
      </c>
      <c r="K9" s="24" t="s">
        <v>24</v>
      </c>
    </row>
    <row r="11" spans="1:11" ht="15" x14ac:dyDescent="0.2">
      <c r="A11" s="47" t="s">
        <v>11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x14ac:dyDescent="0.2">
      <c r="A12" s="24" t="s">
        <v>328</v>
      </c>
      <c r="B12" s="24" t="s">
        <v>329</v>
      </c>
      <c r="C12" s="24" t="s">
        <v>330</v>
      </c>
      <c r="D12" s="24" t="s">
        <v>15</v>
      </c>
      <c r="E12" s="24" t="s">
        <v>22</v>
      </c>
      <c r="F12" s="24" t="s">
        <v>82</v>
      </c>
      <c r="G12" s="24" t="s">
        <v>75</v>
      </c>
      <c r="H12" s="25"/>
      <c r="I12" s="24">
        <v>147.5</v>
      </c>
      <c r="J12" s="24" t="str">
        <f>"161,3945"</f>
        <v>161,3945</v>
      </c>
      <c r="K12" s="24" t="s">
        <v>24</v>
      </c>
    </row>
    <row r="14" spans="1:11" ht="15" x14ac:dyDescent="0.2">
      <c r="A14" s="47" t="s">
        <v>25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1" x14ac:dyDescent="0.2">
      <c r="A15" s="24" t="s">
        <v>331</v>
      </c>
      <c r="B15" s="24" t="s">
        <v>332</v>
      </c>
      <c r="C15" s="24" t="s">
        <v>333</v>
      </c>
      <c r="D15" s="24" t="s">
        <v>55</v>
      </c>
      <c r="E15" s="24" t="s">
        <v>34</v>
      </c>
      <c r="F15" s="24" t="s">
        <v>91</v>
      </c>
      <c r="G15" s="25" t="s">
        <v>83</v>
      </c>
      <c r="H15" s="25"/>
      <c r="I15" s="24">
        <v>150</v>
      </c>
      <c r="J15" s="24" t="str">
        <f>"134,9925"</f>
        <v>134,9925</v>
      </c>
      <c r="K15" s="24" t="s">
        <v>334</v>
      </c>
    </row>
    <row r="17" spans="1:11" ht="15" x14ac:dyDescent="0.2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1" x14ac:dyDescent="0.2">
      <c r="A18" s="26" t="s">
        <v>335</v>
      </c>
      <c r="B18" s="26" t="s">
        <v>336</v>
      </c>
      <c r="C18" s="26" t="s">
        <v>337</v>
      </c>
      <c r="D18" s="26" t="s">
        <v>65</v>
      </c>
      <c r="E18" s="27" t="s">
        <v>69</v>
      </c>
      <c r="F18" s="26" t="s">
        <v>69</v>
      </c>
      <c r="G18" s="26" t="s">
        <v>185</v>
      </c>
      <c r="H18" s="27"/>
      <c r="I18" s="26">
        <v>172.5</v>
      </c>
      <c r="J18" s="26" t="str">
        <f>"130,0909"</f>
        <v>130,0909</v>
      </c>
      <c r="K18" s="26" t="s">
        <v>24</v>
      </c>
    </row>
    <row r="19" spans="1:11" x14ac:dyDescent="0.2">
      <c r="A19" s="30" t="s">
        <v>338</v>
      </c>
      <c r="B19" s="30" t="s">
        <v>339</v>
      </c>
      <c r="C19" s="30" t="s">
        <v>340</v>
      </c>
      <c r="D19" s="30" t="s">
        <v>55</v>
      </c>
      <c r="E19" s="30" t="s">
        <v>91</v>
      </c>
      <c r="F19" s="30" t="s">
        <v>69</v>
      </c>
      <c r="G19" s="30" t="s">
        <v>59</v>
      </c>
      <c r="H19" s="31"/>
      <c r="I19" s="30">
        <v>175</v>
      </c>
      <c r="J19" s="30" t="str">
        <f>"136,2550"</f>
        <v>136,2550</v>
      </c>
      <c r="K19" s="30" t="s">
        <v>393</v>
      </c>
    </row>
    <row r="21" spans="1:11" ht="15" x14ac:dyDescent="0.2">
      <c r="A21" s="47" t="s">
        <v>61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1" x14ac:dyDescent="0.2">
      <c r="A22" s="24" t="s">
        <v>251</v>
      </c>
      <c r="B22" s="24" t="s">
        <v>252</v>
      </c>
      <c r="C22" s="24" t="s">
        <v>253</v>
      </c>
      <c r="D22" s="24" t="s">
        <v>74</v>
      </c>
      <c r="E22" s="25" t="s">
        <v>57</v>
      </c>
      <c r="F22" s="24" t="s">
        <v>57</v>
      </c>
      <c r="G22" s="25" t="s">
        <v>107</v>
      </c>
      <c r="H22" s="25"/>
      <c r="I22" s="24">
        <v>170</v>
      </c>
      <c r="J22" s="24" t="str">
        <f>"110,7210"</f>
        <v>110,7210</v>
      </c>
      <c r="K22" s="24" t="s">
        <v>24</v>
      </c>
    </row>
  </sheetData>
  <mergeCells count="15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H3"/>
    <mergeCell ref="A14:J14"/>
    <mergeCell ref="A17:J17"/>
    <mergeCell ref="A21:J21"/>
    <mergeCell ref="I3:I4"/>
    <mergeCell ref="J3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3" sqref="A13"/>
    </sheetView>
  </sheetViews>
  <sheetFormatPr defaultRowHeight="12.75" x14ac:dyDescent="0.2"/>
  <cols>
    <col min="1" max="2" width="26" style="23" bestFit="1" customWidth="1"/>
    <col min="3" max="3" width="10.5703125" style="23" bestFit="1" customWidth="1"/>
    <col min="4" max="4" width="28.5703125" style="23" bestFit="1" customWidth="1"/>
    <col min="5" max="7" width="6.5703125" style="23" bestFit="1" customWidth="1"/>
    <col min="8" max="8" width="4.5703125" style="23" bestFit="1" customWidth="1"/>
    <col min="9" max="9" width="7.85546875" style="23" bestFit="1" customWidth="1"/>
    <col min="10" max="10" width="8.5703125" style="23" bestFit="1" customWidth="1"/>
    <col min="11" max="11" width="9.7109375" style="23" bestFit="1" customWidth="1"/>
  </cols>
  <sheetData>
    <row r="1" spans="1:11" s="1" customFormat="1" ht="15" customHeight="1" x14ac:dyDescent="0.2">
      <c r="A1" s="48" t="s">
        <v>343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3</v>
      </c>
      <c r="F3" s="58"/>
      <c r="G3" s="58"/>
      <c r="H3" s="58"/>
      <c r="I3" s="58" t="s">
        <v>4</v>
      </c>
      <c r="J3" s="58" t="s">
        <v>7</v>
      </c>
      <c r="K3" s="59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57"/>
      <c r="J4" s="57"/>
      <c r="K4" s="60"/>
    </row>
    <row r="5" spans="1:11" ht="15" x14ac:dyDescent="0.2">
      <c r="A5" s="61" t="s">
        <v>61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x14ac:dyDescent="0.2">
      <c r="A6" s="26" t="s">
        <v>305</v>
      </c>
      <c r="B6" s="26" t="s">
        <v>306</v>
      </c>
      <c r="C6" s="26" t="s">
        <v>307</v>
      </c>
      <c r="D6" s="26" t="s">
        <v>15</v>
      </c>
      <c r="E6" s="26" t="s">
        <v>93</v>
      </c>
      <c r="F6" s="26" t="s">
        <v>109</v>
      </c>
      <c r="G6" s="27" t="s">
        <v>160</v>
      </c>
      <c r="H6" s="27"/>
      <c r="I6" s="26">
        <v>225</v>
      </c>
      <c r="J6" s="26" t="str">
        <f>"145,6087"</f>
        <v>145,6087</v>
      </c>
      <c r="K6" s="26" t="s">
        <v>24</v>
      </c>
    </row>
    <row r="7" spans="1:11" x14ac:dyDescent="0.2">
      <c r="A7" s="30" t="s">
        <v>308</v>
      </c>
      <c r="B7" s="30" t="s">
        <v>309</v>
      </c>
      <c r="C7" s="30" t="s">
        <v>310</v>
      </c>
      <c r="D7" s="30" t="s">
        <v>15</v>
      </c>
      <c r="E7" s="30" t="s">
        <v>56</v>
      </c>
      <c r="F7" s="30" t="s">
        <v>57</v>
      </c>
      <c r="G7" s="30" t="s">
        <v>226</v>
      </c>
      <c r="H7" s="31"/>
      <c r="I7" s="30">
        <v>177.5</v>
      </c>
      <c r="J7" s="30" t="str">
        <f>"116,9636"</f>
        <v>116,9636</v>
      </c>
      <c r="K7" s="30" t="s">
        <v>24</v>
      </c>
    </row>
    <row r="9" spans="1:11" ht="15" x14ac:dyDescent="0.2">
      <c r="A9" s="47" t="s">
        <v>96</v>
      </c>
      <c r="B9" s="47"/>
      <c r="C9" s="47"/>
      <c r="D9" s="47"/>
      <c r="E9" s="47"/>
      <c r="F9" s="47"/>
      <c r="G9" s="47"/>
      <c r="H9" s="47"/>
      <c r="I9" s="47"/>
      <c r="J9" s="47"/>
    </row>
    <row r="10" spans="1:11" x14ac:dyDescent="0.2">
      <c r="A10" s="26" t="s">
        <v>199</v>
      </c>
      <c r="B10" s="26" t="s">
        <v>200</v>
      </c>
      <c r="C10" s="26" t="s">
        <v>201</v>
      </c>
      <c r="D10" s="26" t="s">
        <v>55</v>
      </c>
      <c r="E10" s="26" t="s">
        <v>42</v>
      </c>
      <c r="F10" s="26" t="s">
        <v>311</v>
      </c>
      <c r="G10" s="26" t="s">
        <v>51</v>
      </c>
      <c r="H10" s="27"/>
      <c r="I10" s="26">
        <v>80</v>
      </c>
      <c r="J10" s="26" t="str">
        <f>"49,1640"</f>
        <v>49,1640</v>
      </c>
      <c r="K10" s="26" t="s">
        <v>24</v>
      </c>
    </row>
    <row r="11" spans="1:11" x14ac:dyDescent="0.2">
      <c r="A11" s="28" t="s">
        <v>312</v>
      </c>
      <c r="B11" s="28" t="s">
        <v>313</v>
      </c>
      <c r="C11" s="28" t="s">
        <v>314</v>
      </c>
      <c r="D11" s="28" t="s">
        <v>315</v>
      </c>
      <c r="E11" s="28" t="s">
        <v>316</v>
      </c>
      <c r="F11" s="28" t="s">
        <v>317</v>
      </c>
      <c r="G11" s="28" t="s">
        <v>318</v>
      </c>
      <c r="H11" s="29"/>
      <c r="I11" s="28">
        <v>250</v>
      </c>
      <c r="J11" s="28" t="str">
        <f>"155,9625"</f>
        <v>155,9625</v>
      </c>
      <c r="K11" s="28" t="s">
        <v>24</v>
      </c>
    </row>
    <row r="12" spans="1:11" x14ac:dyDescent="0.2">
      <c r="A12" s="30" t="s">
        <v>319</v>
      </c>
      <c r="B12" s="30" t="s">
        <v>320</v>
      </c>
      <c r="C12" s="30" t="s">
        <v>321</v>
      </c>
      <c r="D12" s="30" t="s">
        <v>65</v>
      </c>
      <c r="E12" s="30" t="s">
        <v>137</v>
      </c>
      <c r="F12" s="30" t="s">
        <v>138</v>
      </c>
      <c r="G12" s="30" t="s">
        <v>322</v>
      </c>
      <c r="H12" s="31"/>
      <c r="I12" s="30">
        <v>277.5</v>
      </c>
      <c r="J12" s="30" t="str">
        <f>"171,5227"</f>
        <v>171,5227</v>
      </c>
      <c r="K12" s="30" t="s">
        <v>323</v>
      </c>
    </row>
    <row r="14" spans="1:11" ht="15" x14ac:dyDescent="0.2">
      <c r="A14" s="47" t="s">
        <v>103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1" x14ac:dyDescent="0.2">
      <c r="A15" s="24" t="s">
        <v>213</v>
      </c>
      <c r="B15" s="24" t="s">
        <v>214</v>
      </c>
      <c r="C15" s="24" t="s">
        <v>215</v>
      </c>
      <c r="D15" s="24" t="s">
        <v>15</v>
      </c>
      <c r="E15" s="24" t="s">
        <v>59</v>
      </c>
      <c r="F15" s="24" t="s">
        <v>276</v>
      </c>
      <c r="G15" s="24" t="s">
        <v>92</v>
      </c>
      <c r="H15" s="25"/>
      <c r="I15" s="24">
        <v>195</v>
      </c>
      <c r="J15" s="24" t="str">
        <f>"116,7465"</f>
        <v>116,7465</v>
      </c>
      <c r="K15" s="24" t="s">
        <v>24</v>
      </c>
    </row>
  </sheetData>
  <mergeCells count="12">
    <mergeCell ref="A14:J14"/>
    <mergeCell ref="A1:K2"/>
    <mergeCell ref="A3:A4"/>
    <mergeCell ref="B3:B4"/>
    <mergeCell ref="C3:C4"/>
    <mergeCell ref="D3:D4"/>
    <mergeCell ref="E3:H3"/>
    <mergeCell ref="I3:I4"/>
    <mergeCell ref="J3:J4"/>
    <mergeCell ref="K3:K4"/>
    <mergeCell ref="A5:J5"/>
    <mergeCell ref="A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8" sqref="A8"/>
    </sheetView>
  </sheetViews>
  <sheetFormatPr defaultRowHeight="12.75" x14ac:dyDescent="0.2"/>
  <cols>
    <col min="1" max="1" width="26" style="23" bestFit="1" customWidth="1"/>
    <col min="2" max="2" width="21.42578125" style="23" bestFit="1" customWidth="1"/>
    <col min="3" max="3" width="10.5703125" style="23" bestFit="1" customWidth="1"/>
    <col min="4" max="4" width="28" style="23" bestFit="1" customWidth="1"/>
    <col min="5" max="7" width="5.5703125" style="23" bestFit="1" customWidth="1"/>
    <col min="8" max="8" width="4.5703125" style="23" bestFit="1" customWidth="1"/>
    <col min="9" max="11" width="5.5703125" style="23" bestFit="1" customWidth="1"/>
    <col min="12" max="12" width="4.5703125" style="23" bestFit="1" customWidth="1"/>
    <col min="13" max="15" width="5.5703125" style="23" bestFit="1" customWidth="1"/>
    <col min="16" max="16" width="4.5703125" style="23" bestFit="1" customWidth="1"/>
    <col min="17" max="17" width="7.85546875" style="23" bestFit="1" customWidth="1"/>
    <col min="18" max="18" width="8.5703125" style="23" bestFit="1" customWidth="1"/>
    <col min="19" max="19" width="23.140625" style="23" bestFit="1" customWidth="1"/>
  </cols>
  <sheetData>
    <row r="1" spans="1:19" s="1" customFormat="1" ht="15" customHeight="1" x14ac:dyDescent="0.2">
      <c r="A1" s="48" t="s">
        <v>345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58" t="s">
        <v>3</v>
      </c>
      <c r="N3" s="58"/>
      <c r="O3" s="58"/>
      <c r="P3" s="58"/>
      <c r="Q3" s="58" t="s">
        <v>4</v>
      </c>
      <c r="R3" s="58" t="s">
        <v>7</v>
      </c>
      <c r="S3" s="59" t="s">
        <v>6</v>
      </c>
    </row>
    <row r="4" spans="1:19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7"/>
      <c r="R4" s="57"/>
      <c r="S4" s="60"/>
    </row>
    <row r="5" spans="1:19" ht="15" x14ac:dyDescent="0.2">
      <c r="A5" s="61" t="s">
        <v>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x14ac:dyDescent="0.2">
      <c r="A6" s="24" t="s">
        <v>195</v>
      </c>
      <c r="B6" s="24" t="s">
        <v>258</v>
      </c>
      <c r="C6" s="24" t="s">
        <v>259</v>
      </c>
      <c r="D6" s="24" t="s">
        <v>169</v>
      </c>
      <c r="E6" s="24" t="s">
        <v>57</v>
      </c>
      <c r="F6" s="25" t="s">
        <v>88</v>
      </c>
      <c r="G6" s="25" t="s">
        <v>88</v>
      </c>
      <c r="H6" s="25"/>
      <c r="I6" s="24" t="s">
        <v>58</v>
      </c>
      <c r="J6" s="24" t="s">
        <v>31</v>
      </c>
      <c r="K6" s="24" t="s">
        <v>20</v>
      </c>
      <c r="L6" s="25"/>
      <c r="M6" s="24" t="s">
        <v>126</v>
      </c>
      <c r="N6" s="24" t="s">
        <v>109</v>
      </c>
      <c r="O6" s="24" t="s">
        <v>127</v>
      </c>
      <c r="P6" s="25"/>
      <c r="Q6" s="24">
        <v>530</v>
      </c>
      <c r="R6" s="24" t="str">
        <f>"351,9730"</f>
        <v>351,9730</v>
      </c>
      <c r="S6" s="24" t="s">
        <v>392</v>
      </c>
    </row>
  </sheetData>
  <mergeCells count="12">
    <mergeCell ref="Q3:Q4"/>
    <mergeCell ref="R3:R4"/>
    <mergeCell ref="S3:S4"/>
    <mergeCell ref="A5:R5"/>
    <mergeCell ref="A1:S2"/>
    <mergeCell ref="A3:A4"/>
    <mergeCell ref="B3:B4"/>
    <mergeCell ref="C3:C4"/>
    <mergeCell ref="D3:D4"/>
    <mergeCell ref="E3:H3"/>
    <mergeCell ref="I3:L3"/>
    <mergeCell ref="M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4"/>
  <sheetViews>
    <sheetView zoomScaleNormal="100" workbookViewId="0">
      <selection activeCell="S13" sqref="S13"/>
    </sheetView>
  </sheetViews>
  <sheetFormatPr defaultRowHeight="12.75" x14ac:dyDescent="0.2"/>
  <cols>
    <col min="1" max="1" width="28.28515625" style="4" bestFit="1" customWidth="1"/>
    <col min="2" max="2" width="26.85546875" style="1" bestFit="1" customWidth="1"/>
    <col min="3" max="3" width="10.5703125" style="1" bestFit="1" customWidth="1"/>
    <col min="4" max="4" width="33.28515625" style="5" bestFit="1" customWidth="1"/>
    <col min="5" max="7" width="5.5703125" style="1" bestFit="1" customWidth="1"/>
    <col min="8" max="8" width="4.5703125" style="1" bestFit="1" customWidth="1"/>
    <col min="9" max="11" width="5.5703125" style="1" bestFit="1" customWidth="1"/>
    <col min="12" max="12" width="4.5703125" style="1" bestFit="1" customWidth="1"/>
    <col min="13" max="15" width="5.5703125" style="1" bestFit="1" customWidth="1"/>
    <col min="16" max="16" width="4.5703125" style="1" bestFit="1" customWidth="1"/>
    <col min="17" max="17" width="7.85546875" style="4" bestFit="1" customWidth="1"/>
    <col min="18" max="18" width="8.5703125" style="1" bestFit="1" customWidth="1"/>
    <col min="19" max="19" width="15.140625" style="5" bestFit="1" customWidth="1"/>
    <col min="20" max="16384" width="9.140625" style="1"/>
  </cols>
  <sheetData>
    <row r="1" spans="1:19" ht="15" customHeight="1" x14ac:dyDescent="0.2">
      <c r="A1" s="48" t="s">
        <v>349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58" t="s">
        <v>3</v>
      </c>
      <c r="N3" s="58"/>
      <c r="O3" s="58"/>
      <c r="P3" s="58"/>
      <c r="Q3" s="58" t="s">
        <v>4</v>
      </c>
      <c r="R3" s="58" t="s">
        <v>7</v>
      </c>
      <c r="S3" s="59" t="s">
        <v>6</v>
      </c>
    </row>
    <row r="4" spans="1:19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7"/>
      <c r="R4" s="57"/>
      <c r="S4" s="60"/>
    </row>
    <row r="5" spans="1:19" ht="15" x14ac:dyDescent="0.2">
      <c r="A5" s="64" t="s">
        <v>11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4"/>
      <c r="R5" s="65"/>
    </row>
    <row r="6" spans="1:19" x14ac:dyDescent="0.2">
      <c r="A6" s="7" t="s">
        <v>12</v>
      </c>
      <c r="B6" s="8" t="s">
        <v>13</v>
      </c>
      <c r="C6" s="8" t="s">
        <v>14</v>
      </c>
      <c r="D6" s="9" t="s">
        <v>15</v>
      </c>
      <c r="E6" s="10" t="s">
        <v>16</v>
      </c>
      <c r="F6" s="8" t="s">
        <v>16</v>
      </c>
      <c r="G6" s="8" t="s">
        <v>17</v>
      </c>
      <c r="H6" s="10"/>
      <c r="I6" s="8" t="s">
        <v>18</v>
      </c>
      <c r="J6" s="10" t="s">
        <v>19</v>
      </c>
      <c r="K6" s="8" t="s">
        <v>19</v>
      </c>
      <c r="L6" s="10"/>
      <c r="M6" s="8" t="s">
        <v>20</v>
      </c>
      <c r="N6" s="8" t="s">
        <v>21</v>
      </c>
      <c r="O6" s="8" t="s">
        <v>22</v>
      </c>
      <c r="P6" s="10"/>
      <c r="Q6" s="7" t="s">
        <v>23</v>
      </c>
      <c r="R6" s="8" t="str">
        <f>"323,3055"</f>
        <v>323,3055</v>
      </c>
      <c r="S6" s="9" t="s">
        <v>24</v>
      </c>
    </row>
    <row r="8" spans="1:19" ht="15" x14ac:dyDescent="0.2">
      <c r="A8" s="62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2"/>
      <c r="R8" s="63"/>
    </row>
    <row r="9" spans="1:19" x14ac:dyDescent="0.2">
      <c r="A9" s="11" t="s">
        <v>26</v>
      </c>
      <c r="B9" s="12" t="s">
        <v>27</v>
      </c>
      <c r="C9" s="12" t="s">
        <v>28</v>
      </c>
      <c r="D9" s="13" t="s">
        <v>15</v>
      </c>
      <c r="E9" s="12" t="s">
        <v>29</v>
      </c>
      <c r="F9" s="12" t="s">
        <v>30</v>
      </c>
      <c r="G9" s="12" t="s">
        <v>31</v>
      </c>
      <c r="H9" s="14"/>
      <c r="I9" s="12" t="s">
        <v>19</v>
      </c>
      <c r="J9" s="14" t="s">
        <v>32</v>
      </c>
      <c r="K9" s="12" t="s">
        <v>32</v>
      </c>
      <c r="L9" s="14"/>
      <c r="M9" s="12" t="s">
        <v>33</v>
      </c>
      <c r="N9" s="12" t="s">
        <v>31</v>
      </c>
      <c r="O9" s="12" t="s">
        <v>34</v>
      </c>
      <c r="P9" s="14"/>
      <c r="Q9" s="11" t="s">
        <v>35</v>
      </c>
      <c r="R9" s="12" t="str">
        <f>"263,9501"</f>
        <v>263,9501</v>
      </c>
      <c r="S9" s="13" t="s">
        <v>36</v>
      </c>
    </row>
    <row r="10" spans="1:19" x14ac:dyDescent="0.2">
      <c r="A10" s="15" t="s">
        <v>37</v>
      </c>
      <c r="B10" s="16" t="s">
        <v>38</v>
      </c>
      <c r="C10" s="16" t="s">
        <v>39</v>
      </c>
      <c r="D10" s="17" t="s">
        <v>15</v>
      </c>
      <c r="E10" s="18" t="s">
        <v>40</v>
      </c>
      <c r="F10" s="16" t="s">
        <v>40</v>
      </c>
      <c r="G10" s="16" t="s">
        <v>41</v>
      </c>
      <c r="H10" s="18"/>
      <c r="I10" s="16" t="s">
        <v>42</v>
      </c>
      <c r="J10" s="16" t="s">
        <v>43</v>
      </c>
      <c r="K10" s="18" t="s">
        <v>32</v>
      </c>
      <c r="L10" s="18"/>
      <c r="M10" s="16" t="s">
        <v>29</v>
      </c>
      <c r="N10" s="16" t="s">
        <v>30</v>
      </c>
      <c r="O10" s="16" t="s">
        <v>31</v>
      </c>
      <c r="P10" s="18"/>
      <c r="Q10" s="15" t="s">
        <v>44</v>
      </c>
      <c r="R10" s="16" t="str">
        <f>"211,7070"</f>
        <v>211,7070</v>
      </c>
      <c r="S10" s="17" t="s">
        <v>24</v>
      </c>
    </row>
    <row r="12" spans="1:19" ht="15" x14ac:dyDescent="0.2">
      <c r="A12" s="62" t="s">
        <v>45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2"/>
      <c r="R12" s="63"/>
    </row>
    <row r="13" spans="1:19" x14ac:dyDescent="0.2">
      <c r="A13" s="11" t="s">
        <v>46</v>
      </c>
      <c r="B13" s="12" t="s">
        <v>47</v>
      </c>
      <c r="C13" s="12" t="s">
        <v>48</v>
      </c>
      <c r="D13" s="13" t="s">
        <v>15</v>
      </c>
      <c r="E13" s="12" t="s">
        <v>16</v>
      </c>
      <c r="F13" s="12" t="s">
        <v>49</v>
      </c>
      <c r="G13" s="12" t="s">
        <v>50</v>
      </c>
      <c r="H13" s="14"/>
      <c r="I13" s="14" t="s">
        <v>32</v>
      </c>
      <c r="J13" s="12" t="s">
        <v>32</v>
      </c>
      <c r="K13" s="12" t="s">
        <v>51</v>
      </c>
      <c r="L13" s="14"/>
      <c r="M13" s="12" t="s">
        <v>30</v>
      </c>
      <c r="N13" s="12" t="s">
        <v>31</v>
      </c>
      <c r="O13" s="12" t="s">
        <v>34</v>
      </c>
      <c r="P13" s="14"/>
      <c r="Q13" s="11" t="s">
        <v>35</v>
      </c>
      <c r="R13" s="12" t="str">
        <f>"222,0574"</f>
        <v>222,0574</v>
      </c>
      <c r="S13" s="13" t="s">
        <v>24</v>
      </c>
    </row>
    <row r="14" spans="1:19" x14ac:dyDescent="0.2">
      <c r="A14" s="15" t="s">
        <v>52</v>
      </c>
      <c r="B14" s="16" t="s">
        <v>53</v>
      </c>
      <c r="C14" s="16" t="s">
        <v>54</v>
      </c>
      <c r="D14" s="17" t="s">
        <v>55</v>
      </c>
      <c r="E14" s="16" t="s">
        <v>56</v>
      </c>
      <c r="F14" s="18" t="s">
        <v>57</v>
      </c>
      <c r="G14" s="16" t="s">
        <v>57</v>
      </c>
      <c r="H14" s="18"/>
      <c r="I14" s="16" t="s">
        <v>58</v>
      </c>
      <c r="J14" s="16" t="s">
        <v>31</v>
      </c>
      <c r="K14" s="18" t="s">
        <v>20</v>
      </c>
      <c r="L14" s="18"/>
      <c r="M14" s="16" t="s">
        <v>56</v>
      </c>
      <c r="N14" s="18" t="s">
        <v>57</v>
      </c>
      <c r="O14" s="18" t="s">
        <v>59</v>
      </c>
      <c r="P14" s="18"/>
      <c r="Q14" s="15" t="s">
        <v>60</v>
      </c>
      <c r="R14" s="16" t="str">
        <f>"312,9525"</f>
        <v>312,9525</v>
      </c>
      <c r="S14" s="17" t="s">
        <v>24</v>
      </c>
    </row>
    <row r="16" spans="1:19" ht="15" x14ac:dyDescent="0.2">
      <c r="A16" s="62" t="s">
        <v>61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2"/>
      <c r="R16" s="63"/>
    </row>
    <row r="17" spans="1:19" x14ac:dyDescent="0.2">
      <c r="A17" s="11" t="s">
        <v>62</v>
      </c>
      <c r="B17" s="12" t="s">
        <v>63</v>
      </c>
      <c r="C17" s="12" t="s">
        <v>64</v>
      </c>
      <c r="D17" s="13" t="s">
        <v>65</v>
      </c>
      <c r="E17" s="12" t="s">
        <v>31</v>
      </c>
      <c r="F17" s="12" t="s">
        <v>66</v>
      </c>
      <c r="G17" s="12" t="s">
        <v>67</v>
      </c>
      <c r="H17" s="14"/>
      <c r="I17" s="12" t="s">
        <v>68</v>
      </c>
      <c r="J17" s="12" t="s">
        <v>16</v>
      </c>
      <c r="K17" s="12" t="s">
        <v>29</v>
      </c>
      <c r="L17" s="14"/>
      <c r="M17" s="12" t="s">
        <v>69</v>
      </c>
      <c r="N17" s="14" t="s">
        <v>59</v>
      </c>
      <c r="O17" s="12" t="s">
        <v>59</v>
      </c>
      <c r="P17" s="14"/>
      <c r="Q17" s="11" t="s">
        <v>70</v>
      </c>
      <c r="R17" s="12" t="str">
        <f>"269,6980"</f>
        <v>269,6980</v>
      </c>
      <c r="S17" s="13" t="s">
        <v>24</v>
      </c>
    </row>
    <row r="18" spans="1:19" x14ac:dyDescent="0.2">
      <c r="A18" s="19" t="s">
        <v>71</v>
      </c>
      <c r="B18" s="20" t="s">
        <v>72</v>
      </c>
      <c r="C18" s="20" t="s">
        <v>73</v>
      </c>
      <c r="D18" s="21" t="s">
        <v>74</v>
      </c>
      <c r="E18" s="20" t="s">
        <v>67</v>
      </c>
      <c r="F18" s="20" t="s">
        <v>75</v>
      </c>
      <c r="G18" s="20" t="s">
        <v>56</v>
      </c>
      <c r="H18" s="22"/>
      <c r="I18" s="20" t="s">
        <v>76</v>
      </c>
      <c r="J18" s="20" t="s">
        <v>16</v>
      </c>
      <c r="K18" s="20" t="s">
        <v>29</v>
      </c>
      <c r="L18" s="22"/>
      <c r="M18" s="20" t="s">
        <v>67</v>
      </c>
      <c r="N18" s="20" t="s">
        <v>75</v>
      </c>
      <c r="O18" s="20" t="s">
        <v>56</v>
      </c>
      <c r="P18" s="22"/>
      <c r="Q18" s="19" t="s">
        <v>77</v>
      </c>
      <c r="R18" s="20" t="str">
        <f>"284,4870"</f>
        <v>284,4870</v>
      </c>
      <c r="S18" s="21" t="s">
        <v>78</v>
      </c>
    </row>
    <row r="19" spans="1:19" x14ac:dyDescent="0.2">
      <c r="A19" s="19" t="s">
        <v>79</v>
      </c>
      <c r="B19" s="20" t="s">
        <v>80</v>
      </c>
      <c r="C19" s="20" t="s">
        <v>81</v>
      </c>
      <c r="D19" s="21" t="s">
        <v>15</v>
      </c>
      <c r="E19" s="20" t="s">
        <v>31</v>
      </c>
      <c r="F19" s="20" t="s">
        <v>34</v>
      </c>
      <c r="G19" s="22" t="s">
        <v>67</v>
      </c>
      <c r="H19" s="22"/>
      <c r="I19" s="20" t="s">
        <v>29</v>
      </c>
      <c r="J19" s="20" t="s">
        <v>30</v>
      </c>
      <c r="K19" s="22" t="s">
        <v>58</v>
      </c>
      <c r="L19" s="22"/>
      <c r="M19" s="20" t="s">
        <v>82</v>
      </c>
      <c r="N19" s="20" t="s">
        <v>83</v>
      </c>
      <c r="O19" s="20" t="s">
        <v>57</v>
      </c>
      <c r="P19" s="22"/>
      <c r="Q19" s="19" t="s">
        <v>70</v>
      </c>
      <c r="R19" s="20" t="str">
        <f>"271,7890"</f>
        <v>271,7890</v>
      </c>
      <c r="S19" s="21" t="s">
        <v>24</v>
      </c>
    </row>
    <row r="20" spans="1:19" x14ac:dyDescent="0.2">
      <c r="A20" s="15" t="s">
        <v>84</v>
      </c>
      <c r="B20" s="16" t="s">
        <v>85</v>
      </c>
      <c r="C20" s="16" t="s">
        <v>86</v>
      </c>
      <c r="D20" s="17" t="s">
        <v>87</v>
      </c>
      <c r="E20" s="16" t="s">
        <v>88</v>
      </c>
      <c r="F20" s="16" t="s">
        <v>89</v>
      </c>
      <c r="G20" s="18" t="s">
        <v>90</v>
      </c>
      <c r="H20" s="18"/>
      <c r="I20" s="16" t="s">
        <v>67</v>
      </c>
      <c r="J20" s="16" t="s">
        <v>82</v>
      </c>
      <c r="K20" s="16" t="s">
        <v>91</v>
      </c>
      <c r="L20" s="18"/>
      <c r="M20" s="16" t="s">
        <v>92</v>
      </c>
      <c r="N20" s="16" t="s">
        <v>93</v>
      </c>
      <c r="O20" s="16" t="s">
        <v>94</v>
      </c>
      <c r="P20" s="18"/>
      <c r="Q20" s="15" t="s">
        <v>95</v>
      </c>
      <c r="R20" s="16" t="str">
        <f>"367,7520"</f>
        <v>367,7520</v>
      </c>
      <c r="S20" s="17" t="s">
        <v>24</v>
      </c>
    </row>
    <row r="22" spans="1:19" ht="15" x14ac:dyDescent="0.2">
      <c r="A22" s="62" t="s">
        <v>96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2"/>
      <c r="R22" s="63"/>
    </row>
    <row r="23" spans="1:19" x14ac:dyDescent="0.2">
      <c r="A23" s="7" t="s">
        <v>97</v>
      </c>
      <c r="B23" s="8" t="s">
        <v>98</v>
      </c>
      <c r="C23" s="8" t="s">
        <v>99</v>
      </c>
      <c r="D23" s="9" t="s">
        <v>15</v>
      </c>
      <c r="E23" s="8" t="s">
        <v>30</v>
      </c>
      <c r="F23" s="8" t="s">
        <v>100</v>
      </c>
      <c r="G23" s="8" t="s">
        <v>20</v>
      </c>
      <c r="H23" s="10"/>
      <c r="I23" s="8" t="s">
        <v>101</v>
      </c>
      <c r="J23" s="8" t="s">
        <v>76</v>
      </c>
      <c r="K23" s="8" t="s">
        <v>68</v>
      </c>
      <c r="L23" s="10"/>
      <c r="M23" s="8" t="s">
        <v>34</v>
      </c>
      <c r="N23" s="8" t="s">
        <v>82</v>
      </c>
      <c r="O23" s="8" t="s">
        <v>56</v>
      </c>
      <c r="P23" s="10"/>
      <c r="Q23" s="7" t="s">
        <v>102</v>
      </c>
      <c r="R23" s="8" t="str">
        <f>"235,2188"</f>
        <v>235,2188</v>
      </c>
      <c r="S23" s="9" t="s">
        <v>36</v>
      </c>
    </row>
    <row r="25" spans="1:19" ht="15" x14ac:dyDescent="0.2">
      <c r="A25" s="62" t="s">
        <v>103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2"/>
      <c r="R25" s="63"/>
    </row>
    <row r="26" spans="1:19" x14ac:dyDescent="0.2">
      <c r="A26" s="7" t="s">
        <v>104</v>
      </c>
      <c r="B26" s="8" t="s">
        <v>105</v>
      </c>
      <c r="C26" s="8" t="s">
        <v>106</v>
      </c>
      <c r="D26" s="9" t="s">
        <v>15</v>
      </c>
      <c r="E26" s="8" t="s">
        <v>57</v>
      </c>
      <c r="F26" s="8" t="s">
        <v>107</v>
      </c>
      <c r="G26" s="8" t="s">
        <v>108</v>
      </c>
      <c r="H26" s="10"/>
      <c r="I26" s="8" t="s">
        <v>67</v>
      </c>
      <c r="J26" s="10" t="s">
        <v>22</v>
      </c>
      <c r="K26" s="10" t="s">
        <v>22</v>
      </c>
      <c r="L26" s="10"/>
      <c r="M26" s="8" t="s">
        <v>93</v>
      </c>
      <c r="N26" s="8" t="s">
        <v>94</v>
      </c>
      <c r="O26" s="10" t="s">
        <v>109</v>
      </c>
      <c r="P26" s="10"/>
      <c r="Q26" s="7" t="s">
        <v>110</v>
      </c>
      <c r="R26" s="8" t="str">
        <f>"331,9470"</f>
        <v>331,9470</v>
      </c>
      <c r="S26" s="9" t="s">
        <v>24</v>
      </c>
    </row>
    <row r="28" spans="1:19" ht="15" x14ac:dyDescent="0.2">
      <c r="A28" s="62" t="s">
        <v>111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2"/>
      <c r="R28" s="63"/>
    </row>
    <row r="29" spans="1:19" x14ac:dyDescent="0.2">
      <c r="A29" s="11" t="s">
        <v>112</v>
      </c>
      <c r="B29" s="12" t="s">
        <v>113</v>
      </c>
      <c r="C29" s="12" t="s">
        <v>114</v>
      </c>
      <c r="D29" s="13" t="s">
        <v>115</v>
      </c>
      <c r="E29" s="12" t="s">
        <v>116</v>
      </c>
      <c r="F29" s="12" t="s">
        <v>117</v>
      </c>
      <c r="G29" s="14" t="s">
        <v>118</v>
      </c>
      <c r="H29" s="14"/>
      <c r="I29" s="12" t="s">
        <v>89</v>
      </c>
      <c r="J29" s="14" t="s">
        <v>90</v>
      </c>
      <c r="K29" s="14" t="s">
        <v>90</v>
      </c>
      <c r="L29" s="14"/>
      <c r="M29" s="12" t="s">
        <v>119</v>
      </c>
      <c r="N29" s="14" t="s">
        <v>120</v>
      </c>
      <c r="O29" s="14" t="s">
        <v>120</v>
      </c>
      <c r="P29" s="14"/>
      <c r="Q29" s="11" t="s">
        <v>121</v>
      </c>
      <c r="R29" s="12" t="str">
        <f>"410,8075"</f>
        <v>410,8075</v>
      </c>
      <c r="S29" s="13" t="s">
        <v>24</v>
      </c>
    </row>
    <row r="30" spans="1:19" x14ac:dyDescent="0.2">
      <c r="A30" s="15" t="s">
        <v>122</v>
      </c>
      <c r="B30" s="16" t="s">
        <v>123</v>
      </c>
      <c r="C30" s="16" t="s">
        <v>124</v>
      </c>
      <c r="D30" s="17" t="s">
        <v>125</v>
      </c>
      <c r="E30" s="16" t="s">
        <v>90</v>
      </c>
      <c r="F30" s="16" t="s">
        <v>93</v>
      </c>
      <c r="G30" s="18" t="s">
        <v>126</v>
      </c>
      <c r="H30" s="18"/>
      <c r="I30" s="16" t="s">
        <v>56</v>
      </c>
      <c r="J30" s="16" t="s">
        <v>69</v>
      </c>
      <c r="K30" s="16" t="s">
        <v>57</v>
      </c>
      <c r="L30" s="18"/>
      <c r="M30" s="16" t="s">
        <v>93</v>
      </c>
      <c r="N30" s="16" t="s">
        <v>94</v>
      </c>
      <c r="O30" s="18" t="s">
        <v>127</v>
      </c>
      <c r="P30" s="18"/>
      <c r="Q30" s="15" t="s">
        <v>128</v>
      </c>
      <c r="R30" s="16" t="str">
        <f>"343,5300"</f>
        <v>343,5300</v>
      </c>
      <c r="S30" s="17" t="s">
        <v>24</v>
      </c>
    </row>
    <row r="32" spans="1:19" ht="15" x14ac:dyDescent="0.2">
      <c r="A32" s="62" t="s">
        <v>129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2"/>
      <c r="R32" s="63"/>
    </row>
    <row r="33" spans="1:19" x14ac:dyDescent="0.2">
      <c r="A33" s="11" t="s">
        <v>130</v>
      </c>
      <c r="B33" s="12" t="s">
        <v>131</v>
      </c>
      <c r="C33" s="12" t="s">
        <v>132</v>
      </c>
      <c r="D33" s="13" t="s">
        <v>133</v>
      </c>
      <c r="E33" s="12" t="s">
        <v>94</v>
      </c>
      <c r="F33" s="12" t="s">
        <v>134</v>
      </c>
      <c r="G33" s="12" t="s">
        <v>135</v>
      </c>
      <c r="H33" s="14"/>
      <c r="I33" s="12" t="s">
        <v>89</v>
      </c>
      <c r="J33" s="12" t="s">
        <v>90</v>
      </c>
      <c r="K33" s="14" t="s">
        <v>136</v>
      </c>
      <c r="L33" s="14"/>
      <c r="M33" s="12" t="s">
        <v>94</v>
      </c>
      <c r="N33" s="12" t="s">
        <v>137</v>
      </c>
      <c r="O33" s="14" t="s">
        <v>138</v>
      </c>
      <c r="P33" s="14"/>
      <c r="Q33" s="11" t="s">
        <v>139</v>
      </c>
      <c r="R33" s="12" t="str">
        <f>"375,0033"</f>
        <v>375,0033</v>
      </c>
      <c r="S33" s="13" t="s">
        <v>24</v>
      </c>
    </row>
    <row r="34" spans="1:19" x14ac:dyDescent="0.2">
      <c r="A34" s="15" t="s">
        <v>140</v>
      </c>
      <c r="B34" s="16" t="s">
        <v>141</v>
      </c>
      <c r="C34" s="16" t="s">
        <v>142</v>
      </c>
      <c r="D34" s="17" t="s">
        <v>133</v>
      </c>
      <c r="E34" s="16" t="s">
        <v>127</v>
      </c>
      <c r="F34" s="18" t="s">
        <v>137</v>
      </c>
      <c r="G34" s="18"/>
      <c r="H34" s="18"/>
      <c r="I34" s="16" t="s">
        <v>56</v>
      </c>
      <c r="J34" s="16" t="s">
        <v>57</v>
      </c>
      <c r="K34" s="18" t="s">
        <v>88</v>
      </c>
      <c r="L34" s="18"/>
      <c r="M34" s="16" t="s">
        <v>137</v>
      </c>
      <c r="N34" s="16" t="s">
        <v>117</v>
      </c>
      <c r="O34" s="16" t="s">
        <v>119</v>
      </c>
      <c r="P34" s="18"/>
      <c r="Q34" s="15" t="s">
        <v>139</v>
      </c>
      <c r="R34" s="16" t="str">
        <f>"378,2570"</f>
        <v>378,2570</v>
      </c>
      <c r="S34" s="17" t="s">
        <v>24</v>
      </c>
    </row>
  </sheetData>
  <mergeCells count="19">
    <mergeCell ref="A1:S2"/>
    <mergeCell ref="E3:H3"/>
    <mergeCell ref="I3:L3"/>
    <mergeCell ref="M3:P3"/>
    <mergeCell ref="A3:A4"/>
    <mergeCell ref="B3:B4"/>
    <mergeCell ref="C3:C4"/>
    <mergeCell ref="S3:S4"/>
    <mergeCell ref="D3:D4"/>
    <mergeCell ref="Q3:Q4"/>
    <mergeCell ref="R3:R4"/>
    <mergeCell ref="A28:R28"/>
    <mergeCell ref="A32:R32"/>
    <mergeCell ref="A5:R5"/>
    <mergeCell ref="A8:R8"/>
    <mergeCell ref="A12:R12"/>
    <mergeCell ref="A16:R16"/>
    <mergeCell ref="A22:R22"/>
    <mergeCell ref="A25:R25"/>
  </mergeCells>
  <phoneticPr fontId="0" type="noConversion"/>
  <pageMargins left="0.19" right="0.47" top="0.45" bottom="0.49" header="0.5" footer="0.5"/>
  <pageSetup scale="59" fitToHeight="1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13" sqref="A13"/>
    </sheetView>
  </sheetViews>
  <sheetFormatPr defaultRowHeight="12.75" x14ac:dyDescent="0.2"/>
  <cols>
    <col min="1" max="1" width="26" style="23" bestFit="1" customWidth="1"/>
    <col min="2" max="2" width="26.85546875" style="23" bestFit="1" customWidth="1"/>
    <col min="3" max="3" width="10.5703125" style="23" bestFit="1" customWidth="1"/>
    <col min="4" max="4" width="29" style="23" bestFit="1" customWidth="1"/>
    <col min="5" max="7" width="5.5703125" style="23" bestFit="1" customWidth="1"/>
    <col min="8" max="8" width="4.5703125" style="23" bestFit="1" customWidth="1"/>
    <col min="9" max="11" width="5.5703125" style="23" bestFit="1" customWidth="1"/>
    <col min="12" max="12" width="4.5703125" style="23" bestFit="1" customWidth="1"/>
    <col min="13" max="15" width="5.5703125" style="23" bestFit="1" customWidth="1"/>
    <col min="16" max="16" width="4.5703125" style="23" bestFit="1" customWidth="1"/>
    <col min="17" max="17" width="7.85546875" style="23" bestFit="1" customWidth="1"/>
    <col min="18" max="18" width="8.5703125" style="23" bestFit="1" customWidth="1"/>
    <col min="19" max="19" width="12.42578125" style="23" bestFit="1" customWidth="1"/>
  </cols>
  <sheetData>
    <row r="1" spans="1:19" s="1" customFormat="1" ht="15" customHeight="1" x14ac:dyDescent="0.2">
      <c r="A1" s="48" t="s">
        <v>341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58" t="s">
        <v>3</v>
      </c>
      <c r="N3" s="58"/>
      <c r="O3" s="58"/>
      <c r="P3" s="58"/>
      <c r="Q3" s="58" t="s">
        <v>4</v>
      </c>
      <c r="R3" s="58" t="s">
        <v>7</v>
      </c>
      <c r="S3" s="59" t="s">
        <v>6</v>
      </c>
    </row>
    <row r="4" spans="1:19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7"/>
      <c r="R4" s="57"/>
      <c r="S4" s="60"/>
    </row>
    <row r="5" spans="1:19" ht="15" x14ac:dyDescent="0.2">
      <c r="A5" s="61" t="s">
        <v>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x14ac:dyDescent="0.2">
      <c r="A6" s="26" t="s">
        <v>150</v>
      </c>
      <c r="B6" s="26" t="s">
        <v>151</v>
      </c>
      <c r="C6" s="26" t="s">
        <v>152</v>
      </c>
      <c r="D6" s="26" t="s">
        <v>153</v>
      </c>
      <c r="E6" s="26" t="s">
        <v>57</v>
      </c>
      <c r="F6" s="26" t="s">
        <v>88</v>
      </c>
      <c r="G6" s="26" t="s">
        <v>89</v>
      </c>
      <c r="H6" s="27"/>
      <c r="I6" s="26" t="s">
        <v>20</v>
      </c>
      <c r="J6" s="26" t="s">
        <v>67</v>
      </c>
      <c r="K6" s="26" t="s">
        <v>22</v>
      </c>
      <c r="L6" s="27"/>
      <c r="M6" s="26" t="s">
        <v>107</v>
      </c>
      <c r="N6" s="26" t="s">
        <v>92</v>
      </c>
      <c r="O6" s="27" t="s">
        <v>154</v>
      </c>
      <c r="P6" s="27"/>
      <c r="Q6" s="26">
        <v>525</v>
      </c>
      <c r="R6" s="26" t="str">
        <f>"348,3375"</f>
        <v>348,3375</v>
      </c>
      <c r="S6" s="26" t="s">
        <v>24</v>
      </c>
    </row>
    <row r="7" spans="1:19" x14ac:dyDescent="0.2">
      <c r="A7" s="28" t="s">
        <v>155</v>
      </c>
      <c r="B7" s="28" t="s">
        <v>156</v>
      </c>
      <c r="C7" s="28" t="s">
        <v>157</v>
      </c>
      <c r="D7" s="28" t="s">
        <v>15</v>
      </c>
      <c r="E7" s="28" t="s">
        <v>89</v>
      </c>
      <c r="F7" s="28" t="s">
        <v>90</v>
      </c>
      <c r="G7" s="29" t="s">
        <v>93</v>
      </c>
      <c r="H7" s="29"/>
      <c r="I7" s="28" t="s">
        <v>158</v>
      </c>
      <c r="J7" s="29" t="s">
        <v>159</v>
      </c>
      <c r="K7" s="29" t="s">
        <v>159</v>
      </c>
      <c r="L7" s="29"/>
      <c r="M7" s="28" t="s">
        <v>94</v>
      </c>
      <c r="N7" s="28" t="s">
        <v>134</v>
      </c>
      <c r="O7" s="29" t="s">
        <v>160</v>
      </c>
      <c r="P7" s="29"/>
      <c r="Q7" s="28">
        <v>582.5</v>
      </c>
      <c r="R7" s="28" t="str">
        <f>"381,0287"</f>
        <v>381,0287</v>
      </c>
      <c r="S7" s="28" t="s">
        <v>24</v>
      </c>
    </row>
    <row r="8" spans="1:19" x14ac:dyDescent="0.2">
      <c r="A8" s="28" t="s">
        <v>161</v>
      </c>
      <c r="B8" s="28" t="s">
        <v>162</v>
      </c>
      <c r="C8" s="28" t="s">
        <v>163</v>
      </c>
      <c r="D8" s="28" t="s">
        <v>74</v>
      </c>
      <c r="E8" s="28" t="s">
        <v>82</v>
      </c>
      <c r="F8" s="28" t="s">
        <v>164</v>
      </c>
      <c r="G8" s="28" t="s">
        <v>69</v>
      </c>
      <c r="H8" s="29"/>
      <c r="I8" s="28" t="s">
        <v>58</v>
      </c>
      <c r="J8" s="28" t="s">
        <v>31</v>
      </c>
      <c r="K8" s="29" t="s">
        <v>165</v>
      </c>
      <c r="L8" s="29"/>
      <c r="M8" s="28" t="s">
        <v>88</v>
      </c>
      <c r="N8" s="28" t="s">
        <v>89</v>
      </c>
      <c r="O8" s="29"/>
      <c r="P8" s="29"/>
      <c r="Q8" s="28">
        <v>475</v>
      </c>
      <c r="R8" s="28" t="str">
        <f>"342,6871"</f>
        <v>342,6871</v>
      </c>
      <c r="S8" s="28" t="s">
        <v>24</v>
      </c>
    </row>
    <row r="9" spans="1:19" x14ac:dyDescent="0.2">
      <c r="A9" s="30" t="s">
        <v>166</v>
      </c>
      <c r="B9" s="30" t="s">
        <v>167</v>
      </c>
      <c r="C9" s="30" t="s">
        <v>168</v>
      </c>
      <c r="D9" s="30" t="s">
        <v>169</v>
      </c>
      <c r="E9" s="30" t="s">
        <v>57</v>
      </c>
      <c r="F9" s="30" t="s">
        <v>88</v>
      </c>
      <c r="G9" s="31"/>
      <c r="H9" s="31"/>
      <c r="I9" s="30" t="s">
        <v>31</v>
      </c>
      <c r="J9" s="30" t="s">
        <v>20</v>
      </c>
      <c r="K9" s="30" t="s">
        <v>34</v>
      </c>
      <c r="L9" s="31"/>
      <c r="M9" s="30" t="s">
        <v>89</v>
      </c>
      <c r="N9" s="30" t="s">
        <v>90</v>
      </c>
      <c r="O9" s="31" t="s">
        <v>93</v>
      </c>
      <c r="P9" s="31"/>
      <c r="Q9" s="30">
        <v>510</v>
      </c>
      <c r="R9" s="30" t="str">
        <f>"409,6175"</f>
        <v>409,6175</v>
      </c>
      <c r="S9" s="30" t="s">
        <v>24</v>
      </c>
    </row>
    <row r="11" spans="1:19" ht="15" x14ac:dyDescent="0.2">
      <c r="A11" s="47" t="s">
        <v>96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x14ac:dyDescent="0.2">
      <c r="A12" s="26" t="s">
        <v>170</v>
      </c>
      <c r="B12" s="26" t="s">
        <v>171</v>
      </c>
      <c r="C12" s="26" t="s">
        <v>172</v>
      </c>
      <c r="D12" s="26" t="s">
        <v>133</v>
      </c>
      <c r="E12" s="26" t="s">
        <v>119</v>
      </c>
      <c r="F12" s="26" t="s">
        <v>173</v>
      </c>
      <c r="G12" s="27" t="s">
        <v>174</v>
      </c>
      <c r="H12" s="27"/>
      <c r="I12" s="26" t="s">
        <v>69</v>
      </c>
      <c r="J12" s="26" t="s">
        <v>59</v>
      </c>
      <c r="K12" s="27" t="s">
        <v>107</v>
      </c>
      <c r="L12" s="27"/>
      <c r="M12" s="26" t="s">
        <v>175</v>
      </c>
      <c r="N12" s="27" t="s">
        <v>138</v>
      </c>
      <c r="O12" s="27"/>
      <c r="P12" s="27"/>
      <c r="Q12" s="26">
        <v>740</v>
      </c>
      <c r="R12" s="26" t="str">
        <f>"455,0260"</f>
        <v>455,0260</v>
      </c>
      <c r="S12" s="26" t="s">
        <v>176</v>
      </c>
    </row>
    <row r="13" spans="1:19" x14ac:dyDescent="0.2">
      <c r="A13" s="30" t="s">
        <v>177</v>
      </c>
      <c r="B13" s="30" t="s">
        <v>178</v>
      </c>
      <c r="C13" s="30" t="s">
        <v>179</v>
      </c>
      <c r="D13" s="30" t="s">
        <v>169</v>
      </c>
      <c r="E13" s="30" t="s">
        <v>137</v>
      </c>
      <c r="F13" s="30" t="s">
        <v>116</v>
      </c>
      <c r="G13" s="30" t="s">
        <v>180</v>
      </c>
      <c r="H13" s="31"/>
      <c r="I13" s="30" t="s">
        <v>91</v>
      </c>
      <c r="J13" s="30" t="s">
        <v>56</v>
      </c>
      <c r="K13" s="31" t="s">
        <v>69</v>
      </c>
      <c r="L13" s="31"/>
      <c r="M13" s="31" t="s">
        <v>135</v>
      </c>
      <c r="N13" s="30" t="s">
        <v>175</v>
      </c>
      <c r="O13" s="30" t="s">
        <v>181</v>
      </c>
      <c r="P13" s="31"/>
      <c r="Q13" s="30">
        <v>680</v>
      </c>
      <c r="R13" s="30" t="str">
        <f>"443,6760"</f>
        <v>443,6760</v>
      </c>
      <c r="S13" s="30" t="s">
        <v>24</v>
      </c>
    </row>
    <row r="15" spans="1:19" ht="15" x14ac:dyDescent="0.2">
      <c r="A15" s="47" t="s">
        <v>103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9" x14ac:dyDescent="0.2">
      <c r="A16" s="24" t="s">
        <v>182</v>
      </c>
      <c r="B16" s="24" t="s">
        <v>183</v>
      </c>
      <c r="C16" s="24" t="s">
        <v>184</v>
      </c>
      <c r="D16" s="24" t="s">
        <v>15</v>
      </c>
      <c r="E16" s="24" t="s">
        <v>164</v>
      </c>
      <c r="F16" s="24" t="s">
        <v>69</v>
      </c>
      <c r="G16" s="25" t="s">
        <v>185</v>
      </c>
      <c r="H16" s="25"/>
      <c r="I16" s="24" t="s">
        <v>49</v>
      </c>
      <c r="J16" s="24" t="s">
        <v>50</v>
      </c>
      <c r="K16" s="24" t="s">
        <v>58</v>
      </c>
      <c r="L16" s="25"/>
      <c r="M16" s="24" t="s">
        <v>88</v>
      </c>
      <c r="N16" s="24" t="s">
        <v>90</v>
      </c>
      <c r="O16" s="24" t="s">
        <v>93</v>
      </c>
      <c r="P16" s="25"/>
      <c r="Q16" s="24">
        <v>490</v>
      </c>
      <c r="R16" s="24" t="str">
        <f>"295,9600"</f>
        <v>295,9600</v>
      </c>
      <c r="S16" s="24" t="s">
        <v>24</v>
      </c>
    </row>
    <row r="18" spans="1:19" ht="15" x14ac:dyDescent="0.2">
      <c r="A18" s="47" t="s">
        <v>111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9" x14ac:dyDescent="0.2">
      <c r="A19" s="24" t="s">
        <v>186</v>
      </c>
      <c r="B19" s="24" t="s">
        <v>187</v>
      </c>
      <c r="C19" s="24" t="s">
        <v>188</v>
      </c>
      <c r="D19" s="24" t="s">
        <v>55</v>
      </c>
      <c r="E19" s="24" t="s">
        <v>189</v>
      </c>
      <c r="F19" s="24" t="s">
        <v>190</v>
      </c>
      <c r="G19" s="25" t="s">
        <v>191</v>
      </c>
      <c r="H19" s="25"/>
      <c r="I19" s="24" t="s">
        <v>57</v>
      </c>
      <c r="J19" s="25" t="s">
        <v>192</v>
      </c>
      <c r="K19" s="25" t="s">
        <v>192</v>
      </c>
      <c r="L19" s="25"/>
      <c r="M19" s="24" t="s">
        <v>193</v>
      </c>
      <c r="N19" s="25" t="s">
        <v>194</v>
      </c>
      <c r="O19" s="25"/>
      <c r="P19" s="25"/>
      <c r="Q19" s="24">
        <v>812.5</v>
      </c>
      <c r="R19" s="24" t="str">
        <f>"462,3125"</f>
        <v>462,3125</v>
      </c>
      <c r="S19" s="24" t="s">
        <v>24</v>
      </c>
    </row>
  </sheetData>
  <mergeCells count="15">
    <mergeCell ref="A1:S2"/>
    <mergeCell ref="A3:A4"/>
    <mergeCell ref="B3:B4"/>
    <mergeCell ref="C3:C4"/>
    <mergeCell ref="D3:D4"/>
    <mergeCell ref="E3:H3"/>
    <mergeCell ref="I3:L3"/>
    <mergeCell ref="M3:P3"/>
    <mergeCell ref="A18:R18"/>
    <mergeCell ref="Q3:Q4"/>
    <mergeCell ref="R3:R4"/>
    <mergeCell ref="S3:S4"/>
    <mergeCell ref="A5:R5"/>
    <mergeCell ref="A11:R11"/>
    <mergeCell ref="A15:R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13" sqref="A13"/>
    </sheetView>
  </sheetViews>
  <sheetFormatPr defaultRowHeight="12.75" x14ac:dyDescent="0.2"/>
  <cols>
    <col min="1" max="1" width="26" style="23" bestFit="1" customWidth="1"/>
    <col min="2" max="2" width="21.42578125" style="23" bestFit="1" customWidth="1"/>
    <col min="3" max="3" width="10.5703125" style="23" bestFit="1" customWidth="1"/>
    <col min="4" max="4" width="25" style="23" bestFit="1" customWidth="1"/>
    <col min="5" max="5" width="6.5703125" style="23" bestFit="1" customWidth="1"/>
    <col min="6" max="7" width="5.5703125" style="23" bestFit="1" customWidth="1"/>
    <col min="8" max="8" width="4.5703125" style="23" bestFit="1" customWidth="1"/>
    <col min="9" max="9" width="6.5703125" style="23" bestFit="1" customWidth="1"/>
    <col min="10" max="11" width="5.5703125" style="23" bestFit="1" customWidth="1"/>
    <col min="12" max="12" width="4.5703125" style="23" bestFit="1" customWidth="1"/>
    <col min="13" max="13" width="6.5703125" style="23" bestFit="1" customWidth="1"/>
    <col min="14" max="15" width="5.5703125" style="23" bestFit="1" customWidth="1"/>
    <col min="16" max="16" width="4.5703125" style="23" bestFit="1" customWidth="1"/>
    <col min="17" max="17" width="7.85546875" style="23" bestFit="1" customWidth="1"/>
    <col min="18" max="18" width="8.5703125" style="23" bestFit="1" customWidth="1"/>
    <col min="19" max="19" width="8.85546875" style="23" bestFit="1" customWidth="1"/>
  </cols>
  <sheetData>
    <row r="1" spans="1:19" s="1" customFormat="1" ht="15" customHeight="1" x14ac:dyDescent="0.2">
      <c r="A1" s="48" t="s">
        <v>348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58" t="s">
        <v>3</v>
      </c>
      <c r="N3" s="58"/>
      <c r="O3" s="58"/>
      <c r="P3" s="58"/>
      <c r="Q3" s="58" t="s">
        <v>4</v>
      </c>
      <c r="R3" s="58" t="s">
        <v>7</v>
      </c>
      <c r="S3" s="59" t="s">
        <v>6</v>
      </c>
    </row>
    <row r="4" spans="1:19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7"/>
      <c r="R4" s="57"/>
      <c r="S4" s="60"/>
    </row>
    <row r="5" spans="1:19" ht="15" x14ac:dyDescent="0.2">
      <c r="A5" s="61" t="s">
        <v>111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x14ac:dyDescent="0.2">
      <c r="A6" s="24" t="s">
        <v>143</v>
      </c>
      <c r="B6" s="24" t="s">
        <v>144</v>
      </c>
      <c r="C6" s="24" t="s">
        <v>145</v>
      </c>
      <c r="D6" s="24" t="s">
        <v>146</v>
      </c>
      <c r="E6" s="24" t="s">
        <v>147</v>
      </c>
      <c r="F6" s="24" t="s">
        <v>90</v>
      </c>
      <c r="G6" s="25" t="s">
        <v>94</v>
      </c>
      <c r="H6" s="25"/>
      <c r="I6" s="24" t="s">
        <v>148</v>
      </c>
      <c r="J6" s="24" t="s">
        <v>56</v>
      </c>
      <c r="K6" s="24" t="s">
        <v>57</v>
      </c>
      <c r="L6" s="25"/>
      <c r="M6" s="24" t="s">
        <v>149</v>
      </c>
      <c r="N6" s="24" t="s">
        <v>94</v>
      </c>
      <c r="O6" s="24" t="s">
        <v>137</v>
      </c>
      <c r="P6" s="25"/>
      <c r="Q6" s="24">
        <v>610</v>
      </c>
      <c r="R6" s="24" t="str">
        <f>"343,8265"</f>
        <v>343,8265</v>
      </c>
      <c r="S6" s="24" t="s">
        <v>24</v>
      </c>
    </row>
  </sheetData>
  <mergeCells count="12">
    <mergeCell ref="Q3:Q4"/>
    <mergeCell ref="R3:R4"/>
    <mergeCell ref="S3:S4"/>
    <mergeCell ref="A5:R5"/>
    <mergeCell ref="A1:S2"/>
    <mergeCell ref="A3:A4"/>
    <mergeCell ref="B3:B4"/>
    <mergeCell ref="C3:C4"/>
    <mergeCell ref="D3:D4"/>
    <mergeCell ref="E3:H3"/>
    <mergeCell ref="I3:L3"/>
    <mergeCell ref="M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9" sqref="A29"/>
    </sheetView>
  </sheetViews>
  <sheetFormatPr defaultRowHeight="12.75" x14ac:dyDescent="0.2"/>
  <cols>
    <col min="1" max="1" width="26" style="23" bestFit="1" customWidth="1"/>
    <col min="2" max="2" width="26.85546875" style="23" bestFit="1" customWidth="1"/>
    <col min="3" max="3" width="10.5703125" style="23" bestFit="1" customWidth="1"/>
    <col min="4" max="4" width="28.7109375" style="23" bestFit="1" customWidth="1"/>
    <col min="5" max="7" width="5.5703125" style="23" bestFit="1" customWidth="1"/>
    <col min="8" max="8" width="4.5703125" style="23" bestFit="1" customWidth="1"/>
    <col min="9" max="9" width="7.85546875" style="23" bestFit="1" customWidth="1"/>
    <col min="10" max="10" width="8.5703125" style="23" bestFit="1" customWidth="1"/>
    <col min="11" max="11" width="8.85546875" style="23" bestFit="1" customWidth="1"/>
  </cols>
  <sheetData>
    <row r="1" spans="1:11" s="1" customFormat="1" ht="15" customHeight="1" x14ac:dyDescent="0.2">
      <c r="A1" s="48" t="s">
        <v>344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2</v>
      </c>
      <c r="F3" s="58"/>
      <c r="G3" s="58"/>
      <c r="H3" s="58"/>
      <c r="I3" s="58" t="s">
        <v>4</v>
      </c>
      <c r="J3" s="58" t="s">
        <v>7</v>
      </c>
      <c r="K3" s="59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57"/>
      <c r="J4" s="57"/>
      <c r="K4" s="60"/>
    </row>
    <row r="5" spans="1:11" ht="15" x14ac:dyDescent="0.2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x14ac:dyDescent="0.2">
      <c r="A6" s="26" t="s">
        <v>260</v>
      </c>
      <c r="B6" s="26" t="s">
        <v>261</v>
      </c>
      <c r="C6" s="26" t="s">
        <v>262</v>
      </c>
      <c r="D6" s="26" t="s">
        <v>74</v>
      </c>
      <c r="E6" s="27" t="s">
        <v>30</v>
      </c>
      <c r="F6" s="26" t="s">
        <v>30</v>
      </c>
      <c r="G6" s="27" t="s">
        <v>100</v>
      </c>
      <c r="H6" s="27"/>
      <c r="I6" s="26">
        <v>110</v>
      </c>
      <c r="J6" s="26" t="str">
        <f>"77,3740"</f>
        <v>77,3740</v>
      </c>
      <c r="K6" s="26" t="s">
        <v>24</v>
      </c>
    </row>
    <row r="7" spans="1:11" x14ac:dyDescent="0.2">
      <c r="A7" s="30" t="s">
        <v>263</v>
      </c>
      <c r="B7" s="30" t="s">
        <v>264</v>
      </c>
      <c r="C7" s="30" t="s">
        <v>265</v>
      </c>
      <c r="D7" s="30" t="s">
        <v>169</v>
      </c>
      <c r="E7" s="30" t="s">
        <v>40</v>
      </c>
      <c r="F7" s="30" t="s">
        <v>76</v>
      </c>
      <c r="G7" s="30" t="s">
        <v>16</v>
      </c>
      <c r="H7" s="31"/>
      <c r="I7" s="30">
        <v>95</v>
      </c>
      <c r="J7" s="30" t="str">
        <f>"67,3217"</f>
        <v>67,3217</v>
      </c>
      <c r="K7" s="30" t="s">
        <v>24</v>
      </c>
    </row>
    <row r="9" spans="1:11" ht="15" x14ac:dyDescent="0.2">
      <c r="A9" s="47" t="s">
        <v>61</v>
      </c>
      <c r="B9" s="47"/>
      <c r="C9" s="47"/>
      <c r="D9" s="47"/>
      <c r="E9" s="47"/>
      <c r="F9" s="47"/>
      <c r="G9" s="47"/>
      <c r="H9" s="47"/>
      <c r="I9" s="47"/>
      <c r="J9" s="47"/>
    </row>
    <row r="10" spans="1:11" x14ac:dyDescent="0.2">
      <c r="A10" s="24" t="s">
        <v>266</v>
      </c>
      <c r="B10" s="24" t="s">
        <v>267</v>
      </c>
      <c r="C10" s="24" t="s">
        <v>268</v>
      </c>
      <c r="D10" s="24" t="s">
        <v>74</v>
      </c>
      <c r="E10" s="24" t="s">
        <v>91</v>
      </c>
      <c r="F10" s="25" t="s">
        <v>222</v>
      </c>
      <c r="G10" s="25" t="s">
        <v>222</v>
      </c>
      <c r="H10" s="25"/>
      <c r="I10" s="24">
        <v>150</v>
      </c>
      <c r="J10" s="24" t="str">
        <f>"96,8400"</f>
        <v>96,8400</v>
      </c>
      <c r="K10" s="24" t="s">
        <v>24</v>
      </c>
    </row>
    <row r="12" spans="1:11" ht="15" x14ac:dyDescent="0.2">
      <c r="A12" s="47" t="s">
        <v>96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1" x14ac:dyDescent="0.2">
      <c r="A13" s="24" t="s">
        <v>269</v>
      </c>
      <c r="B13" s="24" t="s">
        <v>270</v>
      </c>
      <c r="C13" s="24" t="s">
        <v>271</v>
      </c>
      <c r="D13" s="24" t="s">
        <v>15</v>
      </c>
      <c r="E13" s="24" t="s">
        <v>272</v>
      </c>
      <c r="F13" s="24" t="s">
        <v>75</v>
      </c>
      <c r="G13" s="25" t="s">
        <v>158</v>
      </c>
      <c r="H13" s="25"/>
      <c r="I13" s="24">
        <v>147.5</v>
      </c>
      <c r="J13" s="24" t="str">
        <f>"90,7567"</f>
        <v>90,7567</v>
      </c>
      <c r="K13" s="24" t="s">
        <v>24</v>
      </c>
    </row>
    <row r="15" spans="1:11" ht="15" x14ac:dyDescent="0.2">
      <c r="A15" s="47" t="s">
        <v>103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1" x14ac:dyDescent="0.2">
      <c r="A16" s="26" t="s">
        <v>273</v>
      </c>
      <c r="B16" s="26" t="s">
        <v>274</v>
      </c>
      <c r="C16" s="26" t="s">
        <v>275</v>
      </c>
      <c r="D16" s="26" t="s">
        <v>15</v>
      </c>
      <c r="E16" s="26" t="s">
        <v>88</v>
      </c>
      <c r="F16" s="26" t="s">
        <v>276</v>
      </c>
      <c r="G16" s="27" t="s">
        <v>89</v>
      </c>
      <c r="H16" s="27"/>
      <c r="I16" s="26">
        <v>187.5</v>
      </c>
      <c r="J16" s="26" t="str">
        <f>"113,3813"</f>
        <v>113,3813</v>
      </c>
      <c r="K16" s="26" t="s">
        <v>24</v>
      </c>
    </row>
    <row r="17" spans="1:11" x14ac:dyDescent="0.2">
      <c r="A17" s="28" t="s">
        <v>277</v>
      </c>
      <c r="B17" s="28" t="s">
        <v>278</v>
      </c>
      <c r="C17" s="28" t="s">
        <v>279</v>
      </c>
      <c r="D17" s="28" t="s">
        <v>125</v>
      </c>
      <c r="E17" s="28" t="s">
        <v>91</v>
      </c>
      <c r="F17" s="28" t="s">
        <v>56</v>
      </c>
      <c r="G17" s="29" t="s">
        <v>69</v>
      </c>
      <c r="H17" s="29"/>
      <c r="I17" s="28">
        <v>160</v>
      </c>
      <c r="J17" s="28" t="str">
        <f>"93,9120"</f>
        <v>93,9120</v>
      </c>
      <c r="K17" s="28"/>
    </row>
    <row r="18" spans="1:11" x14ac:dyDescent="0.2">
      <c r="A18" s="28" t="s">
        <v>280</v>
      </c>
      <c r="B18" s="28" t="s">
        <v>281</v>
      </c>
      <c r="C18" s="28" t="s">
        <v>282</v>
      </c>
      <c r="D18" s="28" t="s">
        <v>15</v>
      </c>
      <c r="E18" s="28" t="s">
        <v>82</v>
      </c>
      <c r="F18" s="28" t="s">
        <v>91</v>
      </c>
      <c r="G18" s="29" t="s">
        <v>164</v>
      </c>
      <c r="H18" s="29"/>
      <c r="I18" s="28">
        <v>150</v>
      </c>
      <c r="J18" s="28" t="str">
        <f>"88,7475"</f>
        <v>88,7475</v>
      </c>
      <c r="K18" s="28" t="s">
        <v>24</v>
      </c>
    </row>
    <row r="19" spans="1:11" x14ac:dyDescent="0.2">
      <c r="A19" s="28" t="s">
        <v>283</v>
      </c>
      <c r="B19" s="28" t="s">
        <v>284</v>
      </c>
      <c r="C19" s="28" t="s">
        <v>285</v>
      </c>
      <c r="D19" s="28" t="s">
        <v>55</v>
      </c>
      <c r="E19" s="28" t="s">
        <v>75</v>
      </c>
      <c r="F19" s="28" t="s">
        <v>91</v>
      </c>
      <c r="G19" s="29" t="s">
        <v>158</v>
      </c>
      <c r="H19" s="29"/>
      <c r="I19" s="28">
        <v>150</v>
      </c>
      <c r="J19" s="28" t="str">
        <f>"88,7100"</f>
        <v>88,7100</v>
      </c>
      <c r="K19" s="28" t="s">
        <v>24</v>
      </c>
    </row>
    <row r="20" spans="1:11" x14ac:dyDescent="0.2">
      <c r="A20" s="28" t="s">
        <v>286</v>
      </c>
      <c r="B20" s="28" t="s">
        <v>287</v>
      </c>
      <c r="C20" s="28" t="s">
        <v>288</v>
      </c>
      <c r="D20" s="28" t="s">
        <v>15</v>
      </c>
      <c r="E20" s="28" t="s">
        <v>272</v>
      </c>
      <c r="F20" s="29" t="s">
        <v>75</v>
      </c>
      <c r="G20" s="28" t="s">
        <v>91</v>
      </c>
      <c r="H20" s="29"/>
      <c r="I20" s="28">
        <v>150</v>
      </c>
      <c r="J20" s="28" t="str">
        <f>"87,3825"</f>
        <v>87,3825</v>
      </c>
      <c r="K20" s="28" t="s">
        <v>24</v>
      </c>
    </row>
    <row r="21" spans="1:11" x14ac:dyDescent="0.2">
      <c r="A21" s="30" t="s">
        <v>280</v>
      </c>
      <c r="B21" s="30" t="s">
        <v>289</v>
      </c>
      <c r="C21" s="30" t="s">
        <v>282</v>
      </c>
      <c r="D21" s="30" t="s">
        <v>15</v>
      </c>
      <c r="E21" s="30" t="s">
        <v>82</v>
      </c>
      <c r="F21" s="30" t="s">
        <v>91</v>
      </c>
      <c r="G21" s="31" t="s">
        <v>164</v>
      </c>
      <c r="H21" s="31"/>
      <c r="I21" s="30">
        <v>150</v>
      </c>
      <c r="J21" s="30" t="str">
        <f>"88,7475"</f>
        <v>88,7475</v>
      </c>
      <c r="K21" s="30" t="s">
        <v>24</v>
      </c>
    </row>
    <row r="23" spans="1:11" ht="15" x14ac:dyDescent="0.2">
      <c r="A23" s="47" t="s">
        <v>111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1" x14ac:dyDescent="0.2">
      <c r="A24" s="26" t="s">
        <v>290</v>
      </c>
      <c r="B24" s="26" t="s">
        <v>291</v>
      </c>
      <c r="C24" s="26" t="s">
        <v>292</v>
      </c>
      <c r="D24" s="26" t="s">
        <v>15</v>
      </c>
      <c r="E24" s="26" t="s">
        <v>57</v>
      </c>
      <c r="F24" s="27" t="s">
        <v>88</v>
      </c>
      <c r="G24" s="27" t="s">
        <v>88</v>
      </c>
      <c r="H24" s="27"/>
      <c r="I24" s="26">
        <v>170</v>
      </c>
      <c r="J24" s="26" t="str">
        <f>"96,3475"</f>
        <v>96,3475</v>
      </c>
      <c r="K24" s="26" t="s">
        <v>24</v>
      </c>
    </row>
    <row r="25" spans="1:11" x14ac:dyDescent="0.2">
      <c r="A25" s="30" t="s">
        <v>293</v>
      </c>
      <c r="B25" s="30" t="s">
        <v>294</v>
      </c>
      <c r="C25" s="30" t="s">
        <v>295</v>
      </c>
      <c r="D25" s="30" t="s">
        <v>15</v>
      </c>
      <c r="E25" s="30" t="s">
        <v>21</v>
      </c>
      <c r="F25" s="30" t="s">
        <v>22</v>
      </c>
      <c r="G25" s="31" t="s">
        <v>75</v>
      </c>
      <c r="H25" s="31"/>
      <c r="I25" s="30">
        <v>140</v>
      </c>
      <c r="J25" s="30" t="str">
        <f>"79,0370"</f>
        <v>79,0370</v>
      </c>
      <c r="K25" s="30" t="s">
        <v>24</v>
      </c>
    </row>
    <row r="27" spans="1:11" ht="15" x14ac:dyDescent="0.2">
      <c r="A27" s="47" t="s">
        <v>129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1" x14ac:dyDescent="0.2">
      <c r="A28" s="26" t="s">
        <v>296</v>
      </c>
      <c r="B28" s="26" t="s">
        <v>297</v>
      </c>
      <c r="C28" s="26" t="s">
        <v>298</v>
      </c>
      <c r="D28" s="26" t="s">
        <v>55</v>
      </c>
      <c r="E28" s="26" t="s">
        <v>107</v>
      </c>
      <c r="F28" s="27" t="s">
        <v>108</v>
      </c>
      <c r="G28" s="26" t="s">
        <v>108</v>
      </c>
      <c r="H28" s="27"/>
      <c r="I28" s="26">
        <v>192.5</v>
      </c>
      <c r="J28" s="26" t="str">
        <f>"106,3466"</f>
        <v>106,3466</v>
      </c>
      <c r="K28" s="26" t="s">
        <v>24</v>
      </c>
    </row>
    <row r="29" spans="1:11" x14ac:dyDescent="0.2">
      <c r="A29" s="28" t="s">
        <v>299</v>
      </c>
      <c r="B29" s="28" t="s">
        <v>300</v>
      </c>
      <c r="C29" s="28" t="s">
        <v>301</v>
      </c>
      <c r="D29" s="28" t="s">
        <v>55</v>
      </c>
      <c r="E29" s="28" t="s">
        <v>56</v>
      </c>
      <c r="F29" s="29" t="s">
        <v>69</v>
      </c>
      <c r="G29" s="29" t="s">
        <v>69</v>
      </c>
      <c r="H29" s="29"/>
      <c r="I29" s="28">
        <v>160</v>
      </c>
      <c r="J29" s="28" t="str">
        <f>"88,5840"</f>
        <v>88,5840</v>
      </c>
      <c r="K29" s="28" t="s">
        <v>24</v>
      </c>
    </row>
    <row r="30" spans="1:11" x14ac:dyDescent="0.2">
      <c r="A30" s="30" t="s">
        <v>302</v>
      </c>
      <c r="B30" s="30" t="s">
        <v>303</v>
      </c>
      <c r="C30" s="30" t="s">
        <v>304</v>
      </c>
      <c r="D30" s="30" t="s">
        <v>15</v>
      </c>
      <c r="E30" s="30" t="s">
        <v>22</v>
      </c>
      <c r="F30" s="30" t="s">
        <v>158</v>
      </c>
      <c r="G30" s="31" t="s">
        <v>185</v>
      </c>
      <c r="H30" s="31"/>
      <c r="I30" s="30">
        <v>152.5</v>
      </c>
      <c r="J30" s="30" t="str">
        <f>"85,8403"</f>
        <v>85,8403</v>
      </c>
      <c r="K30" s="30" t="s">
        <v>24</v>
      </c>
    </row>
  </sheetData>
  <mergeCells count="15">
    <mergeCell ref="K3:K4"/>
    <mergeCell ref="A5:J5"/>
    <mergeCell ref="A9:J9"/>
    <mergeCell ref="A12:J12"/>
    <mergeCell ref="A1:K2"/>
    <mergeCell ref="A3:A4"/>
    <mergeCell ref="B3:B4"/>
    <mergeCell ref="C3:C4"/>
    <mergeCell ref="D3:D4"/>
    <mergeCell ref="E3:H3"/>
    <mergeCell ref="A15:J15"/>
    <mergeCell ref="A23:J23"/>
    <mergeCell ref="A27:J27"/>
    <mergeCell ref="I3:I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6" sqref="B16"/>
    </sheetView>
  </sheetViews>
  <sheetFormatPr defaultRowHeight="12.75" x14ac:dyDescent="0.2"/>
  <cols>
    <col min="1" max="1" width="26" style="33" bestFit="1" customWidth="1"/>
    <col min="2" max="2" width="29.7109375" style="33" bestFit="1" customWidth="1"/>
    <col min="3" max="3" width="15.5703125" style="33" bestFit="1" customWidth="1"/>
    <col min="4" max="4" width="33.28515625" style="33" bestFit="1" customWidth="1"/>
    <col min="5" max="7" width="5.5703125" style="32" customWidth="1"/>
    <col min="8" max="8" width="4.85546875" style="32" customWidth="1"/>
    <col min="9" max="9" width="7.85546875" style="4" bestFit="1" customWidth="1"/>
    <col min="10" max="10" width="8.5703125" style="34" bestFit="1" customWidth="1"/>
    <col min="11" max="11" width="15.42578125" style="33" bestFit="1" customWidth="1"/>
    <col min="12" max="16384" width="9.140625" style="32"/>
  </cols>
  <sheetData>
    <row r="1" spans="1:11" s="34" customFormat="1" ht="29.1" customHeight="1" x14ac:dyDescent="0.2">
      <c r="A1" s="66" t="s">
        <v>373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34" customFormat="1" ht="62.1" customHeight="1" thickBo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2" customFormat="1" ht="12.75" customHeight="1" x14ac:dyDescent="0.2">
      <c r="A3" s="72" t="s">
        <v>0</v>
      </c>
      <c r="B3" s="73" t="s">
        <v>372</v>
      </c>
      <c r="C3" s="73" t="s">
        <v>371</v>
      </c>
      <c r="D3" s="74" t="s">
        <v>370</v>
      </c>
      <c r="E3" s="74" t="s">
        <v>369</v>
      </c>
      <c r="F3" s="74"/>
      <c r="G3" s="74"/>
      <c r="H3" s="74"/>
      <c r="I3" s="74" t="s">
        <v>368</v>
      </c>
      <c r="J3" s="74" t="s">
        <v>7</v>
      </c>
      <c r="K3" s="75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6">
        <v>1</v>
      </c>
      <c r="F4" s="6">
        <v>2</v>
      </c>
      <c r="G4" s="6">
        <v>3</v>
      </c>
      <c r="H4" s="6" t="s">
        <v>8</v>
      </c>
      <c r="I4" s="57"/>
      <c r="J4" s="57"/>
      <c r="K4" s="60"/>
    </row>
    <row r="5" spans="1:11" ht="15" x14ac:dyDescent="0.2">
      <c r="A5" s="65" t="s">
        <v>367</v>
      </c>
      <c r="B5" s="61"/>
      <c r="C5" s="61"/>
      <c r="D5" s="61"/>
      <c r="E5" s="61"/>
      <c r="F5" s="61"/>
      <c r="G5" s="61"/>
      <c r="H5" s="61"/>
    </row>
    <row r="6" spans="1:11" x14ac:dyDescent="0.2">
      <c r="A6" s="35" t="s">
        <v>366</v>
      </c>
      <c r="B6" s="35" t="s">
        <v>365</v>
      </c>
      <c r="C6" s="35" t="s">
        <v>364</v>
      </c>
      <c r="D6" s="35" t="s">
        <v>74</v>
      </c>
      <c r="E6" s="37" t="s">
        <v>51</v>
      </c>
      <c r="F6" s="37" t="s">
        <v>257</v>
      </c>
      <c r="G6" s="10" t="s">
        <v>33</v>
      </c>
      <c r="H6" s="10"/>
      <c r="I6" s="7" t="str">
        <f>"92,5"</f>
        <v>92,5</v>
      </c>
      <c r="J6" s="36" t="str">
        <f>"92,2179"</f>
        <v>92,2179</v>
      </c>
      <c r="K6" s="35" t="s">
        <v>354</v>
      </c>
    </row>
    <row r="8" spans="1:11" ht="15" x14ac:dyDescent="0.2">
      <c r="A8" s="63" t="s">
        <v>61</v>
      </c>
      <c r="B8" s="63"/>
      <c r="C8" s="63"/>
      <c r="D8" s="63"/>
      <c r="E8" s="63"/>
      <c r="F8" s="63"/>
      <c r="G8" s="63"/>
      <c r="H8" s="63"/>
    </row>
    <row r="9" spans="1:11" x14ac:dyDescent="0.2">
      <c r="A9" s="44" t="s">
        <v>363</v>
      </c>
      <c r="B9" s="44" t="s">
        <v>362</v>
      </c>
      <c r="C9" s="44" t="s">
        <v>163</v>
      </c>
      <c r="D9" s="44" t="s">
        <v>55</v>
      </c>
      <c r="E9" s="46" t="s">
        <v>134</v>
      </c>
      <c r="F9" s="46" t="s">
        <v>137</v>
      </c>
      <c r="G9" s="46" t="s">
        <v>116</v>
      </c>
      <c r="H9" s="14"/>
      <c r="I9" s="11" t="str">
        <f>"250,0"</f>
        <v>250,0</v>
      </c>
      <c r="J9" s="45" t="str">
        <f>"162,0500"</f>
        <v>162,0500</v>
      </c>
      <c r="K9" s="44"/>
    </row>
    <row r="10" spans="1:11" x14ac:dyDescent="0.2">
      <c r="A10" s="41" t="s">
        <v>361</v>
      </c>
      <c r="B10" s="41" t="s">
        <v>360</v>
      </c>
      <c r="C10" s="41" t="s">
        <v>359</v>
      </c>
      <c r="D10" s="41" t="s">
        <v>115</v>
      </c>
      <c r="E10" s="43" t="s">
        <v>90</v>
      </c>
      <c r="F10" s="22"/>
      <c r="G10" s="22"/>
      <c r="H10" s="22"/>
      <c r="I10" s="19" t="str">
        <f>"200,0"</f>
        <v>200,0</v>
      </c>
      <c r="J10" s="42" t="str">
        <f>"129,2300"</f>
        <v>129,2300</v>
      </c>
      <c r="K10" s="41" t="s">
        <v>24</v>
      </c>
    </row>
    <row r="11" spans="1:11" x14ac:dyDescent="0.2">
      <c r="A11" s="38" t="s">
        <v>358</v>
      </c>
      <c r="B11" s="38" t="s">
        <v>357</v>
      </c>
      <c r="C11" s="38" t="s">
        <v>356</v>
      </c>
      <c r="D11" s="38" t="s">
        <v>355</v>
      </c>
      <c r="E11" s="18" t="s">
        <v>91</v>
      </c>
      <c r="F11" s="40" t="s">
        <v>91</v>
      </c>
      <c r="G11" s="18" t="s">
        <v>185</v>
      </c>
      <c r="H11" s="18"/>
      <c r="I11" s="15" t="str">
        <f>"150,0"</f>
        <v>150,0</v>
      </c>
      <c r="J11" s="39" t="str">
        <f>"98,3475"</f>
        <v>98,3475</v>
      </c>
      <c r="K11" s="38" t="s">
        <v>354</v>
      </c>
    </row>
    <row r="13" spans="1:11" ht="15" x14ac:dyDescent="0.2">
      <c r="A13" s="63" t="s">
        <v>96</v>
      </c>
      <c r="B13" s="63"/>
      <c r="C13" s="63"/>
      <c r="D13" s="63"/>
      <c r="E13" s="63"/>
      <c r="F13" s="63"/>
      <c r="G13" s="63"/>
      <c r="H13" s="63"/>
    </row>
    <row r="14" spans="1:11" x14ac:dyDescent="0.2">
      <c r="A14" s="35" t="s">
        <v>353</v>
      </c>
      <c r="B14" s="35" t="s">
        <v>352</v>
      </c>
      <c r="C14" s="35" t="s">
        <v>351</v>
      </c>
      <c r="D14" s="35" t="s">
        <v>115</v>
      </c>
      <c r="E14" s="37" t="s">
        <v>350</v>
      </c>
      <c r="F14" s="37" t="s">
        <v>126</v>
      </c>
      <c r="G14" s="10"/>
      <c r="H14" s="10"/>
      <c r="I14" s="7" t="str">
        <f>"215,0"</f>
        <v>215,0</v>
      </c>
      <c r="J14" s="36" t="str">
        <f>"154,2514"</f>
        <v>154,2514</v>
      </c>
      <c r="K14" s="35" t="s">
        <v>24</v>
      </c>
    </row>
  </sheetData>
  <mergeCells count="12">
    <mergeCell ref="A8:H8"/>
    <mergeCell ref="A13:H1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13" sqref="A13"/>
    </sheetView>
  </sheetViews>
  <sheetFormatPr defaultRowHeight="12.75" x14ac:dyDescent="0.2"/>
  <cols>
    <col min="1" max="1" width="26" style="33" bestFit="1" customWidth="1"/>
    <col min="2" max="2" width="26.28515625" style="33" bestFit="1" customWidth="1"/>
    <col min="3" max="3" width="15.5703125" style="33" bestFit="1" customWidth="1"/>
    <col min="4" max="4" width="27" style="33" bestFit="1" customWidth="1"/>
    <col min="5" max="7" width="5.5703125" style="32" customWidth="1"/>
    <col min="8" max="8" width="4.85546875" style="32" customWidth="1"/>
    <col min="9" max="9" width="7.85546875" style="4" bestFit="1" customWidth="1"/>
    <col min="10" max="10" width="8.5703125" style="34" bestFit="1" customWidth="1"/>
    <col min="11" max="11" width="8.85546875" style="33" bestFit="1" customWidth="1"/>
    <col min="12" max="16384" width="9.140625" style="32"/>
  </cols>
  <sheetData>
    <row r="1" spans="1:11" s="34" customFormat="1" ht="29.1" customHeight="1" x14ac:dyDescent="0.2">
      <c r="A1" s="66" t="s">
        <v>378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34" customFormat="1" ht="62.1" customHeight="1" thickBo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2" customFormat="1" ht="12.75" customHeight="1" x14ac:dyDescent="0.2">
      <c r="A3" s="72" t="s">
        <v>0</v>
      </c>
      <c r="B3" s="73" t="s">
        <v>372</v>
      </c>
      <c r="C3" s="73" t="s">
        <v>371</v>
      </c>
      <c r="D3" s="74" t="s">
        <v>370</v>
      </c>
      <c r="E3" s="74" t="s">
        <v>369</v>
      </c>
      <c r="F3" s="74"/>
      <c r="G3" s="74"/>
      <c r="H3" s="74"/>
      <c r="I3" s="74" t="s">
        <v>368</v>
      </c>
      <c r="J3" s="74" t="s">
        <v>7</v>
      </c>
      <c r="K3" s="75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6">
        <v>1</v>
      </c>
      <c r="F4" s="6">
        <v>2</v>
      </c>
      <c r="G4" s="6">
        <v>3</v>
      </c>
      <c r="H4" s="6" t="s">
        <v>8</v>
      </c>
      <c r="I4" s="57"/>
      <c r="J4" s="57"/>
      <c r="K4" s="60"/>
    </row>
    <row r="5" spans="1:11" ht="15" x14ac:dyDescent="0.2">
      <c r="A5" s="65" t="s">
        <v>111</v>
      </c>
      <c r="B5" s="61"/>
      <c r="C5" s="61"/>
      <c r="D5" s="61"/>
      <c r="E5" s="61"/>
      <c r="F5" s="61"/>
      <c r="G5" s="61"/>
      <c r="H5" s="61"/>
    </row>
    <row r="6" spans="1:11" x14ac:dyDescent="0.2">
      <c r="A6" s="35" t="s">
        <v>377</v>
      </c>
      <c r="B6" s="35" t="s">
        <v>376</v>
      </c>
      <c r="C6" s="35" t="s">
        <v>375</v>
      </c>
      <c r="D6" s="35" t="s">
        <v>74</v>
      </c>
      <c r="E6" s="37" t="s">
        <v>173</v>
      </c>
      <c r="F6" s="10" t="s">
        <v>189</v>
      </c>
      <c r="G6" s="10" t="s">
        <v>374</v>
      </c>
      <c r="H6" s="10"/>
      <c r="I6" s="7" t="str">
        <f>"310,0"</f>
        <v>310,0</v>
      </c>
      <c r="J6" s="36" t="str">
        <f>"178,4515"</f>
        <v>178,4515</v>
      </c>
      <c r="K6" s="35" t="s">
        <v>24</v>
      </c>
    </row>
  </sheetData>
  <mergeCells count="10">
    <mergeCell ref="A5:H5"/>
    <mergeCell ref="A1:K2"/>
    <mergeCell ref="A3:A4"/>
    <mergeCell ref="B3:B4"/>
    <mergeCell ref="C3:C4"/>
    <mergeCell ref="D3:D4"/>
    <mergeCell ref="E3:H3"/>
    <mergeCell ref="I3:I4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13" sqref="A13"/>
    </sheetView>
  </sheetViews>
  <sheetFormatPr defaultRowHeight="12.75" x14ac:dyDescent="0.2"/>
  <cols>
    <col min="1" max="1" width="26" style="23" bestFit="1" customWidth="1"/>
    <col min="2" max="2" width="24" style="23" bestFit="1" customWidth="1"/>
    <col min="3" max="3" width="10.5703125" style="23" bestFit="1" customWidth="1"/>
    <col min="4" max="4" width="33.28515625" style="23" bestFit="1" customWidth="1"/>
    <col min="5" max="7" width="5.5703125" style="23" bestFit="1" customWidth="1"/>
    <col min="8" max="8" width="4.5703125" style="23" bestFit="1" customWidth="1"/>
    <col min="9" max="9" width="7.85546875" style="23" bestFit="1" customWidth="1"/>
    <col min="10" max="10" width="8.5703125" style="23" bestFit="1" customWidth="1"/>
    <col min="11" max="11" width="16.140625" style="23" bestFit="1" customWidth="1"/>
  </cols>
  <sheetData>
    <row r="1" spans="1:11" s="1" customFormat="1" ht="15" customHeight="1" x14ac:dyDescent="0.2">
      <c r="A1" s="48" t="s">
        <v>347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81.7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2" customFormat="1" ht="12.75" customHeight="1" x14ac:dyDescent="0.2">
      <c r="A3" s="54" t="s">
        <v>0</v>
      </c>
      <c r="B3" s="56" t="s">
        <v>10</v>
      </c>
      <c r="C3" s="58" t="s">
        <v>5</v>
      </c>
      <c r="D3" s="58" t="s">
        <v>9</v>
      </c>
      <c r="E3" s="58" t="s">
        <v>2</v>
      </c>
      <c r="F3" s="58"/>
      <c r="G3" s="58"/>
      <c r="H3" s="58"/>
      <c r="I3" s="58" t="s">
        <v>4</v>
      </c>
      <c r="J3" s="58" t="s">
        <v>7</v>
      </c>
      <c r="K3" s="59" t="s">
        <v>6</v>
      </c>
    </row>
    <row r="4" spans="1:11" s="2" customFormat="1" ht="21" customHeight="1" thickBot="1" x14ac:dyDescent="0.25">
      <c r="A4" s="55"/>
      <c r="B4" s="57"/>
      <c r="C4" s="57"/>
      <c r="D4" s="57"/>
      <c r="E4" s="3">
        <v>1</v>
      </c>
      <c r="F4" s="3">
        <v>2</v>
      </c>
      <c r="G4" s="3">
        <v>3</v>
      </c>
      <c r="H4" s="3" t="s">
        <v>8</v>
      </c>
      <c r="I4" s="57"/>
      <c r="J4" s="57"/>
      <c r="K4" s="60"/>
    </row>
    <row r="5" spans="1:11" ht="15" x14ac:dyDescent="0.2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x14ac:dyDescent="0.2">
      <c r="A6" s="24" t="s">
        <v>196</v>
      </c>
      <c r="B6" s="24" t="s">
        <v>197</v>
      </c>
      <c r="C6" s="24" t="s">
        <v>198</v>
      </c>
      <c r="D6" s="24" t="s">
        <v>115</v>
      </c>
      <c r="E6" s="24" t="s">
        <v>32</v>
      </c>
      <c r="F6" s="24" t="s">
        <v>101</v>
      </c>
      <c r="G6" s="24" t="s">
        <v>41</v>
      </c>
      <c r="H6" s="25"/>
      <c r="I6" s="24">
        <v>82.5</v>
      </c>
      <c r="J6" s="24" t="str">
        <f>"61,2109"</f>
        <v>61,2109</v>
      </c>
      <c r="K6" s="24" t="s">
        <v>24</v>
      </c>
    </row>
    <row r="8" spans="1:11" ht="15" x14ac:dyDescent="0.2">
      <c r="A8" s="47" t="s">
        <v>96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x14ac:dyDescent="0.2">
      <c r="A9" s="26" t="s">
        <v>199</v>
      </c>
      <c r="B9" s="26" t="s">
        <v>200</v>
      </c>
      <c r="C9" s="26" t="s">
        <v>201</v>
      </c>
      <c r="D9" s="26" t="s">
        <v>55</v>
      </c>
      <c r="E9" s="26" t="s">
        <v>202</v>
      </c>
      <c r="F9" s="26" t="s">
        <v>203</v>
      </c>
      <c r="G9" s="26" t="s">
        <v>204</v>
      </c>
      <c r="H9" s="27"/>
      <c r="I9" s="26">
        <v>55</v>
      </c>
      <c r="J9" s="26" t="str">
        <f>"33,8002"</f>
        <v>33,8002</v>
      </c>
      <c r="K9" s="26" t="s">
        <v>24</v>
      </c>
    </row>
    <row r="10" spans="1:11" x14ac:dyDescent="0.2">
      <c r="A10" s="30" t="s">
        <v>205</v>
      </c>
      <c r="B10" s="30" t="s">
        <v>206</v>
      </c>
      <c r="C10" s="30" t="s">
        <v>207</v>
      </c>
      <c r="D10" s="30" t="s">
        <v>125</v>
      </c>
      <c r="E10" s="30" t="s">
        <v>83</v>
      </c>
      <c r="F10" s="31"/>
      <c r="G10" s="31"/>
      <c r="H10" s="31"/>
      <c r="I10" s="30">
        <v>157.5</v>
      </c>
      <c r="J10" s="30" t="str">
        <f>"99,6345"</f>
        <v>99,6345</v>
      </c>
      <c r="K10" s="30" t="s">
        <v>208</v>
      </c>
    </row>
    <row r="12" spans="1:11" ht="15" x14ac:dyDescent="0.2">
      <c r="A12" s="47" t="s">
        <v>103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1" x14ac:dyDescent="0.2">
      <c r="A13" s="26" t="s">
        <v>209</v>
      </c>
      <c r="B13" s="26" t="s">
        <v>210</v>
      </c>
      <c r="C13" s="26" t="s">
        <v>211</v>
      </c>
      <c r="D13" s="26" t="s">
        <v>55</v>
      </c>
      <c r="E13" s="26" t="s">
        <v>89</v>
      </c>
      <c r="F13" s="27" t="s">
        <v>90</v>
      </c>
      <c r="G13" s="27" t="s">
        <v>90</v>
      </c>
      <c r="H13" s="27"/>
      <c r="I13" s="26">
        <v>190</v>
      </c>
      <c r="J13" s="26" t="str">
        <f>"112,0335"</f>
        <v>112,0335</v>
      </c>
      <c r="K13" s="26" t="s">
        <v>212</v>
      </c>
    </row>
    <row r="14" spans="1:11" x14ac:dyDescent="0.2">
      <c r="A14" s="30" t="s">
        <v>213</v>
      </c>
      <c r="B14" s="30" t="s">
        <v>214</v>
      </c>
      <c r="C14" s="30" t="s">
        <v>215</v>
      </c>
      <c r="D14" s="30" t="s">
        <v>15</v>
      </c>
      <c r="E14" s="30" t="s">
        <v>91</v>
      </c>
      <c r="F14" s="30" t="s">
        <v>164</v>
      </c>
      <c r="G14" s="31" t="s">
        <v>83</v>
      </c>
      <c r="H14" s="31"/>
      <c r="I14" s="30">
        <v>155</v>
      </c>
      <c r="J14" s="30" t="str">
        <f>"92,7985"</f>
        <v>92,7985</v>
      </c>
      <c r="K14" s="30" t="s">
        <v>24</v>
      </c>
    </row>
    <row r="16" spans="1:11" ht="15" x14ac:dyDescent="0.2">
      <c r="A16" s="47" t="s">
        <v>111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1" x14ac:dyDescent="0.2">
      <c r="A17" s="26" t="s">
        <v>216</v>
      </c>
      <c r="B17" s="26" t="s">
        <v>217</v>
      </c>
      <c r="C17" s="26" t="s">
        <v>218</v>
      </c>
      <c r="D17" s="26" t="s">
        <v>146</v>
      </c>
      <c r="E17" s="26" t="s">
        <v>107</v>
      </c>
      <c r="F17" s="26" t="s">
        <v>90</v>
      </c>
      <c r="G17" s="26" t="s">
        <v>136</v>
      </c>
      <c r="H17" s="27"/>
      <c r="I17" s="26">
        <v>207.5</v>
      </c>
      <c r="J17" s="26" t="str">
        <f>"117,3413"</f>
        <v>117,3413</v>
      </c>
      <c r="K17" s="26" t="s">
        <v>24</v>
      </c>
    </row>
    <row r="18" spans="1:11" x14ac:dyDescent="0.2">
      <c r="A18" s="28" t="s">
        <v>219</v>
      </c>
      <c r="B18" s="28" t="s">
        <v>220</v>
      </c>
      <c r="C18" s="28" t="s">
        <v>221</v>
      </c>
      <c r="D18" s="28" t="s">
        <v>15</v>
      </c>
      <c r="E18" s="28" t="s">
        <v>222</v>
      </c>
      <c r="F18" s="28" t="s">
        <v>59</v>
      </c>
      <c r="G18" s="28" t="s">
        <v>107</v>
      </c>
      <c r="H18" s="29"/>
      <c r="I18" s="28">
        <v>185</v>
      </c>
      <c r="J18" s="28" t="str">
        <f>"104,5805"</f>
        <v>104,5805</v>
      </c>
      <c r="K18" s="28" t="s">
        <v>24</v>
      </c>
    </row>
    <row r="19" spans="1:11" x14ac:dyDescent="0.2">
      <c r="A19" s="30" t="s">
        <v>223</v>
      </c>
      <c r="B19" s="30" t="s">
        <v>224</v>
      </c>
      <c r="C19" s="30" t="s">
        <v>225</v>
      </c>
      <c r="D19" s="30" t="s">
        <v>65</v>
      </c>
      <c r="E19" s="30" t="s">
        <v>69</v>
      </c>
      <c r="F19" s="30" t="s">
        <v>57</v>
      </c>
      <c r="G19" s="30" t="s">
        <v>226</v>
      </c>
      <c r="H19" s="31"/>
      <c r="I19" s="30">
        <v>177.5</v>
      </c>
      <c r="J19" s="30" t="str">
        <f>"101,1661"</f>
        <v>101,1661</v>
      </c>
      <c r="K19" s="30" t="s">
        <v>24</v>
      </c>
    </row>
    <row r="21" spans="1:11" ht="15" x14ac:dyDescent="0.2">
      <c r="A21" s="47" t="s">
        <v>129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1" x14ac:dyDescent="0.2">
      <c r="A22" s="26" t="s">
        <v>227</v>
      </c>
      <c r="B22" s="26" t="s">
        <v>228</v>
      </c>
      <c r="C22" s="26" t="s">
        <v>229</v>
      </c>
      <c r="D22" s="26" t="s">
        <v>146</v>
      </c>
      <c r="E22" s="26" t="s">
        <v>93</v>
      </c>
      <c r="F22" s="26" t="s">
        <v>126</v>
      </c>
      <c r="G22" s="26" t="s">
        <v>94</v>
      </c>
      <c r="H22" s="27"/>
      <c r="I22" s="26">
        <v>220</v>
      </c>
      <c r="J22" s="26" t="str">
        <f>"120,0100"</f>
        <v>120,0100</v>
      </c>
      <c r="K22" s="26" t="s">
        <v>24</v>
      </c>
    </row>
    <row r="23" spans="1:11" x14ac:dyDescent="0.2">
      <c r="A23" s="28" t="s">
        <v>230</v>
      </c>
      <c r="B23" s="28" t="s">
        <v>231</v>
      </c>
      <c r="C23" s="28" t="s">
        <v>232</v>
      </c>
      <c r="D23" s="28" t="s">
        <v>15</v>
      </c>
      <c r="E23" s="28" t="s">
        <v>89</v>
      </c>
      <c r="F23" s="28" t="s">
        <v>154</v>
      </c>
      <c r="G23" s="28" t="s">
        <v>136</v>
      </c>
      <c r="H23" s="29"/>
      <c r="I23" s="28">
        <v>207.5</v>
      </c>
      <c r="J23" s="28" t="str">
        <f>"113,5440"</f>
        <v>113,5440</v>
      </c>
      <c r="K23" s="28" t="s">
        <v>233</v>
      </c>
    </row>
    <row r="24" spans="1:11" x14ac:dyDescent="0.2">
      <c r="A24" s="28" t="s">
        <v>234</v>
      </c>
      <c r="B24" s="28" t="s">
        <v>235</v>
      </c>
      <c r="C24" s="28" t="s">
        <v>236</v>
      </c>
      <c r="D24" s="28" t="s">
        <v>153</v>
      </c>
      <c r="E24" s="28" t="s">
        <v>57</v>
      </c>
      <c r="F24" s="28" t="s">
        <v>107</v>
      </c>
      <c r="G24" s="28" t="s">
        <v>92</v>
      </c>
      <c r="H24" s="29"/>
      <c r="I24" s="28">
        <v>195</v>
      </c>
      <c r="J24" s="28" t="str">
        <f>"107,0062"</f>
        <v>107,0062</v>
      </c>
      <c r="K24" s="28" t="s">
        <v>176</v>
      </c>
    </row>
    <row r="25" spans="1:11" x14ac:dyDescent="0.2">
      <c r="A25" s="30" t="s">
        <v>237</v>
      </c>
      <c r="B25" s="30" t="s">
        <v>238</v>
      </c>
      <c r="C25" s="30" t="s">
        <v>239</v>
      </c>
      <c r="D25" s="30" t="s">
        <v>55</v>
      </c>
      <c r="E25" s="30" t="s">
        <v>56</v>
      </c>
      <c r="F25" s="30" t="s">
        <v>57</v>
      </c>
      <c r="G25" s="31" t="s">
        <v>88</v>
      </c>
      <c r="H25" s="31"/>
      <c r="I25" s="30">
        <v>170</v>
      </c>
      <c r="J25" s="30" t="str">
        <f>"93,9760"</f>
        <v>93,9760</v>
      </c>
      <c r="K25" s="30" t="s">
        <v>24</v>
      </c>
    </row>
  </sheetData>
  <mergeCells count="14">
    <mergeCell ref="A1:K2"/>
    <mergeCell ref="A3:A4"/>
    <mergeCell ref="B3:B4"/>
    <mergeCell ref="C3:C4"/>
    <mergeCell ref="D3:D4"/>
    <mergeCell ref="E3:H3"/>
    <mergeCell ref="A16:J16"/>
    <mergeCell ref="A21:J21"/>
    <mergeCell ref="I3:I4"/>
    <mergeCell ref="J3:J4"/>
    <mergeCell ref="K3:K4"/>
    <mergeCell ref="A5:J5"/>
    <mergeCell ref="A8:J8"/>
    <mergeCell ref="A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AWPC pl raw</vt:lpstr>
      <vt:lpstr>AWPC cl pl</vt:lpstr>
      <vt:lpstr>WPC pl raw</vt:lpstr>
      <vt:lpstr>WPC cl pl</vt:lpstr>
      <vt:lpstr>WPC pl sp</vt:lpstr>
      <vt:lpstr>AWPC bpraw</vt:lpstr>
      <vt:lpstr>AWPC bp soft std</vt:lpstr>
      <vt:lpstr>AWPC bp soft</vt:lpstr>
      <vt:lpstr>WPC bpraw</vt:lpstr>
      <vt:lpstr>WPC bp soft std</vt:lpstr>
      <vt:lpstr>WPC bp sp</vt:lpstr>
      <vt:lpstr>AWPC dl raw</vt:lpstr>
      <vt:lpstr>WPC dl 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</cp:lastModifiedBy>
  <cp:lastPrinted>2008-02-22T21:19:39Z</cp:lastPrinted>
  <dcterms:created xsi:type="dcterms:W3CDTF">2002-06-16T13:36:44Z</dcterms:created>
  <dcterms:modified xsi:type="dcterms:W3CDTF">2020-11-24T13:26:24Z</dcterms:modified>
</cp:coreProperties>
</file>