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3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/Users/ekaterinaseveleva/Documents/СПР/Протоколы/2020/Декабрь/"/>
    </mc:Choice>
  </mc:AlternateContent>
  <xr:revisionPtr revIDLastSave="0" documentId="13_ncr:1_{A40EE9C7-9489-334D-9D1E-ADFBF25A7285}" xr6:coauthVersionLast="45" xr6:coauthVersionMax="45" xr10:uidLastSave="{00000000-0000-0000-0000-000000000000}"/>
  <bookViews>
    <workbookView xWindow="400" yWindow="460" windowWidth="28280" windowHeight="16040" firstSheet="27" activeTab="34" xr2:uid="{00000000-000D-0000-FFFF-FFFF00000000}"/>
  </bookViews>
  <sheets>
    <sheet name="IPL ПЛ без экипировки ДК" sheetId="10" r:id="rId1"/>
    <sheet name="IPL ПЛ без экипировки" sheetId="9" r:id="rId2"/>
    <sheet name="IPL ПЛ в бинтах ДК" sheetId="12" r:id="rId3"/>
    <sheet name="IPL ПЛ в бинтах" sheetId="11" r:id="rId4"/>
    <sheet name="IPL ПЛ однослой ДК" sheetId="8" r:id="rId5"/>
    <sheet name="IPL ПЛ однослой" sheetId="7" r:id="rId6"/>
    <sheet name="IPL ПЛ многослой ДК" sheetId="6" r:id="rId7"/>
    <sheet name="IPL ПЛ многослой" sheetId="5" r:id="rId8"/>
    <sheet name="IPL Двоеборье без экип ДК" sheetId="34" r:id="rId9"/>
    <sheet name="IPL Двоеборье без экип" sheetId="33" r:id="rId10"/>
    <sheet name="IPL Присед без экипировки ДК" sheetId="30" r:id="rId11"/>
    <sheet name="IPL Присед без экипировки" sheetId="29" r:id="rId12"/>
    <sheet name="IPL Присед многослой ДК" sheetId="26" r:id="rId13"/>
    <sheet name="IPL Присед многослой" sheetId="25" r:id="rId14"/>
    <sheet name="IPL Жим без экипировки ДК" sheetId="14" r:id="rId15"/>
    <sheet name="IPL Жим без экипировки" sheetId="13" r:id="rId16"/>
    <sheet name="IPL Жим однослой ДК" sheetId="16" r:id="rId17"/>
    <sheet name="IPL Жим однослой" sheetId="15" r:id="rId18"/>
    <sheet name="IPL Жим многослой ДК" sheetId="18" r:id="rId19"/>
    <sheet name="IPL Жим многослой" sheetId="17" r:id="rId20"/>
    <sheet name="СПР Жим софт однопетельная ДК" sheetId="64" r:id="rId21"/>
    <sheet name="СПР Жим софт однопетельная" sheetId="63" r:id="rId22"/>
    <sheet name="СПР Жим софт многопетельная ДК" sheetId="66" r:id="rId23"/>
    <sheet name="СПР Жим софт многопетельная" sheetId="65" r:id="rId24"/>
    <sheet name="IPL Тяга без экипировки ДК" sheetId="20" r:id="rId25"/>
    <sheet name="IPL Тяга без экипировки" sheetId="19" r:id="rId26"/>
    <sheet name="IPL Тяга однослой" sheetId="23" r:id="rId27"/>
    <sheet name="IPL Тяга многослой ДК" sheetId="22" r:id="rId28"/>
    <sheet name="IPL Тяга многослой" sheetId="21" r:id="rId29"/>
    <sheet name="СПР Пауэрспорт ДК" sheetId="42" r:id="rId30"/>
    <sheet name="СПР Пауэрспорт" sheetId="41" r:id="rId31"/>
    <sheet name="СПР Жим стоя ДК" sheetId="38" r:id="rId32"/>
    <sheet name="СПР Жим стоя" sheetId="37" r:id="rId33"/>
    <sheet name="СПР Подъем на бицепс ДК" sheetId="40" r:id="rId34"/>
    <sheet name="СПР Подъем на бицепс" sheetId="39" r:id="rId35"/>
  </sheets>
  <definedNames>
    <definedName name="_FilterDatabase" localSheetId="7" hidden="1">'IPL ПЛ многослой'!$A$1:$S$3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0" i="66" l="1"/>
  <c r="K10" i="66"/>
  <c r="L7" i="66"/>
  <c r="K7" i="66"/>
  <c r="L6" i="66"/>
  <c r="K6" i="66"/>
  <c r="L10" i="65"/>
  <c r="K10" i="65"/>
  <c r="L9" i="65"/>
  <c r="K9" i="65"/>
  <c r="L6" i="65"/>
  <c r="K6" i="65"/>
  <c r="L12" i="64"/>
  <c r="K12" i="64"/>
  <c r="L11" i="64"/>
  <c r="K11" i="64"/>
  <c r="L8" i="64"/>
  <c r="K8" i="64"/>
  <c r="L7" i="64"/>
  <c r="K7" i="64"/>
  <c r="L6" i="64"/>
  <c r="K6" i="64"/>
  <c r="L9" i="63"/>
  <c r="K9" i="63"/>
  <c r="L6" i="63"/>
  <c r="K6" i="63"/>
  <c r="P10" i="42"/>
  <c r="O10" i="42"/>
  <c r="P7" i="42"/>
  <c r="O7" i="42"/>
  <c r="P6" i="42"/>
  <c r="P10" i="41"/>
  <c r="O10" i="41"/>
  <c r="P7" i="41"/>
  <c r="O7" i="41"/>
  <c r="P6" i="41"/>
  <c r="O6" i="41"/>
  <c r="L32" i="40"/>
  <c r="K32" i="40"/>
  <c r="L29" i="40"/>
  <c r="K29" i="40"/>
  <c r="L28" i="40"/>
  <c r="K28" i="40"/>
  <c r="L25" i="40"/>
  <c r="K25" i="40"/>
  <c r="L24" i="40"/>
  <c r="K24" i="40"/>
  <c r="L21" i="40"/>
  <c r="K21" i="40"/>
  <c r="L20" i="40"/>
  <c r="K20" i="40"/>
  <c r="L17" i="40"/>
  <c r="K17" i="40"/>
  <c r="L16" i="40"/>
  <c r="K16" i="40"/>
  <c r="L15" i="40"/>
  <c r="K15" i="40"/>
  <c r="L14" i="40"/>
  <c r="K14" i="40"/>
  <c r="L11" i="40"/>
  <c r="L10" i="40"/>
  <c r="K10" i="40"/>
  <c r="L9" i="40"/>
  <c r="K9" i="40"/>
  <c r="L6" i="40"/>
  <c r="K6" i="40"/>
  <c r="L16" i="39"/>
  <c r="K16" i="39"/>
  <c r="L13" i="39"/>
  <c r="K13" i="39"/>
  <c r="L12" i="39"/>
  <c r="K12" i="39"/>
  <c r="L9" i="39"/>
  <c r="K9" i="39"/>
  <c r="L6" i="39"/>
  <c r="K6" i="39"/>
  <c r="L12" i="38"/>
  <c r="K12" i="38"/>
  <c r="L9" i="38"/>
  <c r="K9" i="38"/>
  <c r="L6" i="38"/>
  <c r="K6" i="38"/>
  <c r="L6" i="37"/>
  <c r="K6" i="37"/>
  <c r="E6" i="37"/>
  <c r="P9" i="34"/>
  <c r="O9" i="34"/>
  <c r="P6" i="34"/>
  <c r="O6" i="34"/>
  <c r="P13" i="33"/>
  <c r="O13" i="33"/>
  <c r="P10" i="33"/>
  <c r="O10" i="33"/>
  <c r="P9" i="33"/>
  <c r="O9" i="33"/>
  <c r="P6" i="33"/>
  <c r="O6" i="33"/>
  <c r="L29" i="30"/>
  <c r="K29" i="30"/>
  <c r="L26" i="30"/>
  <c r="K26" i="30"/>
  <c r="L23" i="30"/>
  <c r="K23" i="30"/>
  <c r="L20" i="30"/>
  <c r="K20" i="30"/>
  <c r="L17" i="30"/>
  <c r="K17" i="30"/>
  <c r="L16" i="30"/>
  <c r="K16" i="30"/>
  <c r="L13" i="30"/>
  <c r="K13" i="30"/>
  <c r="L12" i="30"/>
  <c r="K12" i="30"/>
  <c r="L9" i="30"/>
  <c r="K9" i="30"/>
  <c r="L6" i="30"/>
  <c r="K6" i="30"/>
  <c r="L23" i="29"/>
  <c r="K23" i="29"/>
  <c r="L22" i="29"/>
  <c r="K22" i="29"/>
  <c r="L19" i="29"/>
  <c r="K19" i="29"/>
  <c r="L16" i="29"/>
  <c r="K16" i="29"/>
  <c r="L15" i="29"/>
  <c r="K15" i="29"/>
  <c r="L12" i="29"/>
  <c r="K12" i="29"/>
  <c r="L9" i="29"/>
  <c r="K9" i="29"/>
  <c r="L6" i="29"/>
  <c r="K6" i="29"/>
  <c r="L6" i="26"/>
  <c r="K6" i="26"/>
  <c r="L6" i="25"/>
  <c r="K6" i="25"/>
  <c r="L9" i="23"/>
  <c r="K9" i="23"/>
  <c r="L6" i="23"/>
  <c r="K6" i="23"/>
  <c r="L6" i="22"/>
  <c r="K6" i="22"/>
  <c r="L6" i="21"/>
  <c r="K6" i="21"/>
  <c r="L50" i="20"/>
  <c r="K50" i="20"/>
  <c r="L49" i="20"/>
  <c r="K49" i="20"/>
  <c r="L46" i="20"/>
  <c r="K46" i="20"/>
  <c r="L43" i="20"/>
  <c r="K43" i="20"/>
  <c r="L42" i="20"/>
  <c r="K42" i="20"/>
  <c r="L41" i="20"/>
  <c r="K41" i="20"/>
  <c r="L38" i="20"/>
  <c r="K38" i="20"/>
  <c r="L37" i="20"/>
  <c r="K37" i="20"/>
  <c r="L34" i="20"/>
  <c r="K34" i="20"/>
  <c r="L33" i="20"/>
  <c r="K33" i="20"/>
  <c r="L32" i="20"/>
  <c r="K32" i="20"/>
  <c r="L31" i="20"/>
  <c r="K31" i="20"/>
  <c r="L30" i="20"/>
  <c r="K30" i="20"/>
  <c r="L27" i="20"/>
  <c r="K27" i="20"/>
  <c r="L24" i="20"/>
  <c r="K24" i="20"/>
  <c r="L21" i="20"/>
  <c r="K21" i="20"/>
  <c r="L20" i="20"/>
  <c r="K20" i="20"/>
  <c r="L17" i="20"/>
  <c r="K17" i="20"/>
  <c r="L16" i="20"/>
  <c r="K16" i="20"/>
  <c r="L13" i="20"/>
  <c r="K13" i="20"/>
  <c r="L10" i="20"/>
  <c r="K10" i="20"/>
  <c r="L7" i="20"/>
  <c r="K7" i="20"/>
  <c r="L6" i="20"/>
  <c r="K6" i="20"/>
  <c r="L29" i="19"/>
  <c r="K29" i="19"/>
  <c r="L28" i="19"/>
  <c r="K28" i="19"/>
  <c r="L27" i="19"/>
  <c r="K27" i="19"/>
  <c r="L24" i="19"/>
  <c r="L23" i="19"/>
  <c r="K23" i="19"/>
  <c r="L22" i="19"/>
  <c r="K22" i="19"/>
  <c r="L19" i="19"/>
  <c r="K19" i="19"/>
  <c r="L16" i="19"/>
  <c r="K16" i="19"/>
  <c r="L15" i="19"/>
  <c r="K15" i="19"/>
  <c r="L12" i="19"/>
  <c r="K12" i="19"/>
  <c r="L9" i="19"/>
  <c r="K9" i="19"/>
  <c r="L6" i="19"/>
  <c r="K6" i="19"/>
  <c r="L6" i="18"/>
  <c r="K6" i="18"/>
  <c r="L6" i="17"/>
  <c r="K6" i="17"/>
  <c r="L6" i="16"/>
  <c r="K6" i="16"/>
  <c r="L10" i="15"/>
  <c r="K10" i="15"/>
  <c r="L7" i="15"/>
  <c r="L6" i="15"/>
  <c r="K6" i="15"/>
  <c r="L71" i="14"/>
  <c r="K71" i="14"/>
  <c r="L70" i="14"/>
  <c r="K70" i="14"/>
  <c r="L69" i="14"/>
  <c r="K69" i="14"/>
  <c r="L68" i="14"/>
  <c r="K68" i="14"/>
  <c r="L67" i="14"/>
  <c r="K67" i="14"/>
  <c r="L64" i="14"/>
  <c r="K64" i="14"/>
  <c r="L63" i="14"/>
  <c r="K63" i="14"/>
  <c r="L62" i="14"/>
  <c r="K62" i="14"/>
  <c r="L59" i="14"/>
  <c r="K59" i="14"/>
  <c r="L58" i="14"/>
  <c r="K58" i="14"/>
  <c r="L57" i="14"/>
  <c r="K57" i="14"/>
  <c r="L56" i="14"/>
  <c r="K56" i="14"/>
  <c r="L55" i="14"/>
  <c r="K55" i="14"/>
  <c r="L54" i="14"/>
  <c r="K54" i="14"/>
  <c r="L53" i="14"/>
  <c r="K53" i="14"/>
  <c r="L52" i="14"/>
  <c r="K52" i="14"/>
  <c r="L49" i="14"/>
  <c r="K49" i="14"/>
  <c r="L48" i="14"/>
  <c r="K48" i="14"/>
  <c r="L47" i="14"/>
  <c r="K47" i="14"/>
  <c r="L46" i="14"/>
  <c r="K46" i="14"/>
  <c r="L45" i="14"/>
  <c r="K45" i="14"/>
  <c r="L44" i="14"/>
  <c r="K44" i="14"/>
  <c r="L43" i="14"/>
  <c r="L42" i="14"/>
  <c r="K42" i="14"/>
  <c r="L39" i="14"/>
  <c r="K39" i="14"/>
  <c r="L38" i="14"/>
  <c r="K38" i="14"/>
  <c r="L37" i="14"/>
  <c r="K37" i="14"/>
  <c r="L36" i="14"/>
  <c r="K36" i="14"/>
  <c r="L35" i="14"/>
  <c r="K35" i="14"/>
  <c r="L34" i="14"/>
  <c r="K34" i="14"/>
  <c r="L33" i="14"/>
  <c r="K33" i="14"/>
  <c r="L32" i="14"/>
  <c r="K32" i="14"/>
  <c r="L31" i="14"/>
  <c r="K31" i="14"/>
  <c r="L30" i="14"/>
  <c r="K30" i="14"/>
  <c r="L29" i="14"/>
  <c r="K29" i="14"/>
  <c r="L28" i="14"/>
  <c r="K28" i="14"/>
  <c r="L25" i="14"/>
  <c r="K25" i="14"/>
  <c r="L22" i="14"/>
  <c r="K22" i="14"/>
  <c r="L21" i="14"/>
  <c r="K21" i="14"/>
  <c r="L18" i="14"/>
  <c r="K18" i="14"/>
  <c r="L15" i="14"/>
  <c r="K15" i="14"/>
  <c r="L14" i="14"/>
  <c r="K14" i="14"/>
  <c r="L11" i="14"/>
  <c r="K11" i="14"/>
  <c r="L8" i="14"/>
  <c r="K8" i="14"/>
  <c r="L7" i="14"/>
  <c r="K7" i="14"/>
  <c r="L6" i="14"/>
  <c r="K6" i="14"/>
  <c r="L55" i="13"/>
  <c r="K55" i="13"/>
  <c r="L54" i="13"/>
  <c r="K54" i="13"/>
  <c r="L51" i="13"/>
  <c r="K51" i="13"/>
  <c r="L50" i="13"/>
  <c r="K50" i="13"/>
  <c r="L47" i="13"/>
  <c r="K47" i="13"/>
  <c r="L46" i="13"/>
  <c r="K46" i="13"/>
  <c r="L45" i="13"/>
  <c r="K45" i="13"/>
  <c r="L44" i="13"/>
  <c r="K44" i="13"/>
  <c r="L43" i="13"/>
  <c r="K43" i="13"/>
  <c r="L42" i="13"/>
  <c r="K42" i="13"/>
  <c r="L39" i="13"/>
  <c r="K39" i="13"/>
  <c r="L38" i="13"/>
  <c r="K38" i="13"/>
  <c r="L35" i="13"/>
  <c r="K35" i="13"/>
  <c r="L34" i="13"/>
  <c r="K34" i="13"/>
  <c r="L33" i="13"/>
  <c r="K33" i="13"/>
  <c r="L32" i="13"/>
  <c r="L31" i="13"/>
  <c r="K31" i="13"/>
  <c r="L30" i="13"/>
  <c r="K30" i="13"/>
  <c r="L27" i="13"/>
  <c r="L26" i="13"/>
  <c r="K26" i="13"/>
  <c r="L25" i="13"/>
  <c r="K25" i="13"/>
  <c r="L24" i="13"/>
  <c r="K24" i="13"/>
  <c r="L21" i="13"/>
  <c r="K21" i="13"/>
  <c r="L20" i="13"/>
  <c r="K20" i="13"/>
  <c r="L17" i="13"/>
  <c r="K17" i="13"/>
  <c r="L16" i="13"/>
  <c r="K16" i="13"/>
  <c r="L13" i="13"/>
  <c r="K13" i="13"/>
  <c r="L12" i="13"/>
  <c r="K12" i="13"/>
  <c r="L9" i="13"/>
  <c r="K9" i="13"/>
  <c r="L6" i="13"/>
  <c r="K6" i="13"/>
  <c r="T6" i="12"/>
  <c r="S6" i="12"/>
  <c r="T12" i="11"/>
  <c r="S12" i="11"/>
  <c r="T9" i="11"/>
  <c r="S9" i="11"/>
  <c r="T6" i="11"/>
  <c r="S6" i="11"/>
  <c r="T67" i="10"/>
  <c r="S67" i="10"/>
  <c r="T66" i="10"/>
  <c r="S66" i="10"/>
  <c r="T63" i="10"/>
  <c r="T62" i="10"/>
  <c r="T61" i="10"/>
  <c r="S61" i="10"/>
  <c r="T60" i="10"/>
  <c r="S60" i="10"/>
  <c r="T59" i="10"/>
  <c r="S59" i="10"/>
  <c r="T56" i="10"/>
  <c r="S56" i="10"/>
  <c r="T55" i="10"/>
  <c r="S55" i="10"/>
  <c r="T54" i="10"/>
  <c r="S54" i="10"/>
  <c r="T53" i="10"/>
  <c r="S53" i="10"/>
  <c r="T52" i="10"/>
  <c r="S52" i="10"/>
  <c r="T51" i="10"/>
  <c r="S51" i="10"/>
  <c r="T48" i="10"/>
  <c r="S48" i="10"/>
  <c r="T47" i="10"/>
  <c r="T46" i="10"/>
  <c r="S46" i="10"/>
  <c r="T45" i="10"/>
  <c r="S45" i="10"/>
  <c r="T42" i="10"/>
  <c r="S42" i="10"/>
  <c r="T39" i="10"/>
  <c r="S39" i="10"/>
  <c r="T36" i="10"/>
  <c r="S36" i="10"/>
  <c r="T33" i="10"/>
  <c r="S33" i="10"/>
  <c r="T30" i="10"/>
  <c r="S30" i="10"/>
  <c r="T27" i="10"/>
  <c r="S27" i="10"/>
  <c r="T26" i="10"/>
  <c r="S26" i="10"/>
  <c r="T23" i="10"/>
  <c r="S23" i="10"/>
  <c r="T22" i="10"/>
  <c r="T21" i="10"/>
  <c r="S21" i="10"/>
  <c r="T20" i="10"/>
  <c r="S20" i="10"/>
  <c r="T19" i="10"/>
  <c r="S19" i="10"/>
  <c r="T18" i="10"/>
  <c r="S18" i="10"/>
  <c r="T15" i="10"/>
  <c r="S15" i="10"/>
  <c r="T14" i="10"/>
  <c r="S14" i="10"/>
  <c r="T13" i="10"/>
  <c r="S13" i="10"/>
  <c r="T10" i="10"/>
  <c r="S10" i="10"/>
  <c r="T7" i="10"/>
  <c r="S7" i="10"/>
  <c r="T6" i="10"/>
  <c r="S6" i="10"/>
  <c r="T40" i="9"/>
  <c r="S40" i="9"/>
  <c r="T39" i="9"/>
  <c r="S39" i="9"/>
  <c r="T36" i="9"/>
  <c r="S36" i="9"/>
  <c r="T35" i="9"/>
  <c r="S35" i="9"/>
  <c r="T34" i="9"/>
  <c r="S34" i="9"/>
  <c r="T33" i="9"/>
  <c r="S33" i="9"/>
  <c r="T32" i="9"/>
  <c r="S32" i="9"/>
  <c r="T29" i="9"/>
  <c r="T28" i="9"/>
  <c r="S28" i="9"/>
  <c r="T27" i="9"/>
  <c r="S27" i="9"/>
  <c r="T24" i="9"/>
  <c r="S24" i="9"/>
  <c r="T23" i="9"/>
  <c r="S23" i="9"/>
  <c r="T20" i="9"/>
  <c r="S20" i="9"/>
  <c r="T17" i="9"/>
  <c r="S17" i="9"/>
  <c r="T16" i="9"/>
  <c r="S16" i="9"/>
  <c r="T13" i="9"/>
  <c r="S13" i="9"/>
  <c r="T12" i="9"/>
  <c r="S12" i="9"/>
  <c r="T9" i="9"/>
  <c r="S9" i="9"/>
  <c r="T6" i="9"/>
  <c r="S6" i="9"/>
  <c r="T9" i="8"/>
  <c r="S9" i="8"/>
  <c r="T6" i="8"/>
  <c r="S6" i="8"/>
  <c r="T12" i="7"/>
  <c r="S12" i="7"/>
  <c r="T9" i="7"/>
  <c r="S9" i="7"/>
  <c r="T6" i="7"/>
  <c r="S6" i="7"/>
  <c r="T7" i="6"/>
  <c r="S7" i="6"/>
  <c r="T6" i="6"/>
  <c r="S6" i="6"/>
  <c r="T7" i="5"/>
  <c r="S7" i="5"/>
  <c r="T6" i="5"/>
  <c r="S6" i="5"/>
</calcChain>
</file>

<file path=xl/sharedStrings.xml><?xml version="1.0" encoding="utf-8"?>
<sst xmlns="http://schemas.openxmlformats.org/spreadsheetml/2006/main" count="3774" uniqueCount="739">
  <si>
    <t>ФИО</t>
  </si>
  <si>
    <t>Сумма</t>
  </si>
  <si>
    <t>Тренер</t>
  </si>
  <si>
    <t>Очки</t>
  </si>
  <si>
    <t>Рек</t>
  </si>
  <si>
    <t>Город/Область</t>
  </si>
  <si>
    <t>Собственный 
вес</t>
  </si>
  <si>
    <t>Приседание</t>
  </si>
  <si>
    <t>Жим лёжа</t>
  </si>
  <si>
    <t>Становая тяга</t>
  </si>
  <si>
    <t>ВЕСОВАЯ КАТЕГОРИЯ   100</t>
  </si>
  <si>
    <t>Свобода Евгений</t>
  </si>
  <si>
    <t>Открытая (23.03.1972)/48</t>
  </si>
  <si>
    <t>91,20</t>
  </si>
  <si>
    <t>235,0</t>
  </si>
  <si>
    <t>250,0</t>
  </si>
  <si>
    <t>265,0</t>
  </si>
  <si>
    <t>170,0</t>
  </si>
  <si>
    <t>177,5</t>
  </si>
  <si>
    <t>215,0</t>
  </si>
  <si>
    <t xml:space="preserve">Абсолютный зачёт </t>
  </si>
  <si>
    <t xml:space="preserve">Мужчины </t>
  </si>
  <si>
    <t xml:space="preserve">Открытая </t>
  </si>
  <si>
    <t xml:space="preserve">ФИО </t>
  </si>
  <si>
    <t xml:space="preserve">Возрастная группа </t>
  </si>
  <si>
    <t xml:space="preserve">Весовая </t>
  </si>
  <si>
    <t xml:space="preserve">Сумма </t>
  </si>
  <si>
    <t xml:space="preserve">Wilks </t>
  </si>
  <si>
    <t>100</t>
  </si>
  <si>
    <t>1</t>
  </si>
  <si>
    <t/>
  </si>
  <si>
    <t>ВЕСОВАЯ КАТЕГОРИЯ   60</t>
  </si>
  <si>
    <t>Алексеева Анастасия</t>
  </si>
  <si>
    <t>Открытая (22.09.1996)/24</t>
  </si>
  <si>
    <t>58,90</t>
  </si>
  <si>
    <t>145,0</t>
  </si>
  <si>
    <t>152,5</t>
  </si>
  <si>
    <t>65,0</t>
  </si>
  <si>
    <t>70,0</t>
  </si>
  <si>
    <t>75,0</t>
  </si>
  <si>
    <t>155,0</t>
  </si>
  <si>
    <t>162,5</t>
  </si>
  <si>
    <t>ВЕСОВАЯ КАТЕГОРИЯ   90</t>
  </si>
  <si>
    <t>Коликов Дмитрий</t>
  </si>
  <si>
    <t>Открытая (27.09.1988)/32</t>
  </si>
  <si>
    <t>89,60</t>
  </si>
  <si>
    <t>190,0</t>
  </si>
  <si>
    <t>200,0</t>
  </si>
  <si>
    <t>210,0</t>
  </si>
  <si>
    <t>Пантюшев Дмитрий</t>
  </si>
  <si>
    <t>Открытая (30.05.1995)/25</t>
  </si>
  <si>
    <t>99,60</t>
  </si>
  <si>
    <t xml:space="preserve">Иркутск/Иркутская область </t>
  </si>
  <si>
    <t>270,0</t>
  </si>
  <si>
    <t>285,0</t>
  </si>
  <si>
    <t>165,0</t>
  </si>
  <si>
    <t>172,5</t>
  </si>
  <si>
    <t>255,0</t>
  </si>
  <si>
    <t>ВЕСОВАЯ КАТЕГОРИЯ   125</t>
  </si>
  <si>
    <t>Прилуцкий Сергей</t>
  </si>
  <si>
    <t>Открытая (30.06.1989)/31</t>
  </si>
  <si>
    <t>119,10</t>
  </si>
  <si>
    <t>295,0</t>
  </si>
  <si>
    <t>305,0</t>
  </si>
  <si>
    <t>325,0</t>
  </si>
  <si>
    <t>175,0</t>
  </si>
  <si>
    <t>300,0</t>
  </si>
  <si>
    <t>320,0</t>
  </si>
  <si>
    <t xml:space="preserve">Надолин Д. </t>
  </si>
  <si>
    <t xml:space="preserve">Женщины </t>
  </si>
  <si>
    <t>60</t>
  </si>
  <si>
    <t>-</t>
  </si>
  <si>
    <t>ВЕСОВАЯ КАТЕГОРИЯ   67.5</t>
  </si>
  <si>
    <t>Зотова Анастасия</t>
  </si>
  <si>
    <t>Открытая (29.07.1990)/30</t>
  </si>
  <si>
    <t>66,30</t>
  </si>
  <si>
    <t xml:space="preserve">Братск/Иркутская область </t>
  </si>
  <si>
    <t>100,0</t>
  </si>
  <si>
    <t>105,0</t>
  </si>
  <si>
    <t>72,5</t>
  </si>
  <si>
    <t>110,0</t>
  </si>
  <si>
    <t>120,0</t>
  </si>
  <si>
    <t>67.5</t>
  </si>
  <si>
    <t>ВЕСОВАЯ КАТЕГОРИЯ   52</t>
  </si>
  <si>
    <t>Рустамова Махина</t>
  </si>
  <si>
    <t>Открытая (15.02.1994)/26</t>
  </si>
  <si>
    <t>50,40</t>
  </si>
  <si>
    <t>95,0</t>
  </si>
  <si>
    <t>102,5</t>
  </si>
  <si>
    <t>35,0</t>
  </si>
  <si>
    <t>40,0</t>
  </si>
  <si>
    <t>42,5</t>
  </si>
  <si>
    <t>Ныныч Маргарита</t>
  </si>
  <si>
    <t>Открытая (03.04.1996)/24</t>
  </si>
  <si>
    <t>59,90</t>
  </si>
  <si>
    <t>107,5</t>
  </si>
  <si>
    <t>47,5</t>
  </si>
  <si>
    <t>50,0</t>
  </si>
  <si>
    <t>112,5</t>
  </si>
  <si>
    <t>Эртман Анастасия</t>
  </si>
  <si>
    <t>Открытая (20.12.1995)/24</t>
  </si>
  <si>
    <t>65,60</t>
  </si>
  <si>
    <t>182,5</t>
  </si>
  <si>
    <t>185,0</t>
  </si>
  <si>
    <t>195,0</t>
  </si>
  <si>
    <t>200,5</t>
  </si>
  <si>
    <t>Гороховская Екатерина</t>
  </si>
  <si>
    <t>Открытая (19.12.1980)/39</t>
  </si>
  <si>
    <t>64,40</t>
  </si>
  <si>
    <t>80,0</t>
  </si>
  <si>
    <t>87,5</t>
  </si>
  <si>
    <t>122,5</t>
  </si>
  <si>
    <t>ВЕСОВАЯ КАТЕГОРИЯ   75</t>
  </si>
  <si>
    <t>Ремнева Юлия</t>
  </si>
  <si>
    <t>Открытая (13.07.1996)/24</t>
  </si>
  <si>
    <t>74,20</t>
  </si>
  <si>
    <t>117,5</t>
  </si>
  <si>
    <t>127,5</t>
  </si>
  <si>
    <t>57,5</t>
  </si>
  <si>
    <t>62,5</t>
  </si>
  <si>
    <t>130,0</t>
  </si>
  <si>
    <t>Кондратьева Людмила</t>
  </si>
  <si>
    <t>Открытая (02.10.1981)/39</t>
  </si>
  <si>
    <t>75,00</t>
  </si>
  <si>
    <t>125,0</t>
  </si>
  <si>
    <t>67,5</t>
  </si>
  <si>
    <t>ВЕСОВАЯ КАТЕГОРИЯ   82.5</t>
  </si>
  <si>
    <t>Рычкова Елена</t>
  </si>
  <si>
    <t>81,00</t>
  </si>
  <si>
    <t>90,0</t>
  </si>
  <si>
    <t>52,5</t>
  </si>
  <si>
    <t>60,0</t>
  </si>
  <si>
    <t>115,0</t>
  </si>
  <si>
    <t>Милинчук Артем</t>
  </si>
  <si>
    <t>Открытая (02.02.1994)/26</t>
  </si>
  <si>
    <t>81,70</t>
  </si>
  <si>
    <t xml:space="preserve">Юрга/Кемеровская область </t>
  </si>
  <si>
    <t>240,0</t>
  </si>
  <si>
    <t>150,0</t>
  </si>
  <si>
    <t>Старцев Юрий</t>
  </si>
  <si>
    <t>Открытая (25.07.1991)/29</t>
  </si>
  <si>
    <t>81,30</t>
  </si>
  <si>
    <t>135,0</t>
  </si>
  <si>
    <t>140,0</t>
  </si>
  <si>
    <t>290,0</t>
  </si>
  <si>
    <t>Сапожников Владислав</t>
  </si>
  <si>
    <t>Открытая (21.10.1993)/27</t>
  </si>
  <si>
    <t>87,40</t>
  </si>
  <si>
    <t>220,0</t>
  </si>
  <si>
    <t>230,0</t>
  </si>
  <si>
    <t>202,5</t>
  </si>
  <si>
    <t>Исхаков Артем</t>
  </si>
  <si>
    <t>Открытая (20.01.1983)/37</t>
  </si>
  <si>
    <t>83,80</t>
  </si>
  <si>
    <t>147,5</t>
  </si>
  <si>
    <t>245,0</t>
  </si>
  <si>
    <t>260,0</t>
  </si>
  <si>
    <t>Доманских Максим</t>
  </si>
  <si>
    <t>Открытая (22.01.1983)/37</t>
  </si>
  <si>
    <t>89,10</t>
  </si>
  <si>
    <t>Федоров Николай</t>
  </si>
  <si>
    <t>Открытая (22.07.1977)/43</t>
  </si>
  <si>
    <t>99,40</t>
  </si>
  <si>
    <t>275,0</t>
  </si>
  <si>
    <t>Клюкач Дмитрий</t>
  </si>
  <si>
    <t>Открытая (20.10.1991)/29</t>
  </si>
  <si>
    <t>100,00</t>
  </si>
  <si>
    <t xml:space="preserve">Чита/Забайкальский край </t>
  </si>
  <si>
    <t>227,5</t>
  </si>
  <si>
    <t>237,5</t>
  </si>
  <si>
    <t>142,5</t>
  </si>
  <si>
    <t>157,5</t>
  </si>
  <si>
    <t>Федулов Алексей</t>
  </si>
  <si>
    <t>Открытая (01.04.1984)/36</t>
  </si>
  <si>
    <t>97,10</t>
  </si>
  <si>
    <t>225,0</t>
  </si>
  <si>
    <t>Андуров Дмитрий</t>
  </si>
  <si>
    <t>Открытая (27.07.1984)/36</t>
  </si>
  <si>
    <t>99,10</t>
  </si>
  <si>
    <t>160,0</t>
  </si>
  <si>
    <t>180,0</t>
  </si>
  <si>
    <t>205,0</t>
  </si>
  <si>
    <t xml:space="preserve">Попов А. </t>
  </si>
  <si>
    <t>ВЕСОВАЯ КАТЕГОРИЯ   110</t>
  </si>
  <si>
    <t>Виноградский Никита</t>
  </si>
  <si>
    <t>107,10</t>
  </si>
  <si>
    <t>Истомин Роман</t>
  </si>
  <si>
    <t>Открытая (08.03.1984)/36</t>
  </si>
  <si>
    <t>108,00</t>
  </si>
  <si>
    <t>52</t>
  </si>
  <si>
    <t>252,5</t>
  </si>
  <si>
    <t>322,4173</t>
  </si>
  <si>
    <t>75</t>
  </si>
  <si>
    <t>330,0</t>
  </si>
  <si>
    <t>82.5</t>
  </si>
  <si>
    <t>110</t>
  </si>
  <si>
    <t>712,5</t>
  </si>
  <si>
    <t>480,1538</t>
  </si>
  <si>
    <t>665,0</t>
  </si>
  <si>
    <t>449,4735</t>
  </si>
  <si>
    <t>90</t>
  </si>
  <si>
    <t>692,5</t>
  </si>
  <si>
    <t>448,9477</t>
  </si>
  <si>
    <t>2</t>
  </si>
  <si>
    <t>3</t>
  </si>
  <si>
    <t>4</t>
  </si>
  <si>
    <t>Буракова Мария</t>
  </si>
  <si>
    <t>Открытая (14.11.1988)/32</t>
  </si>
  <si>
    <t>51,70</t>
  </si>
  <si>
    <t>85,0</t>
  </si>
  <si>
    <t>ВЕСОВАЯ КАТЕГОРИЯ   56</t>
  </si>
  <si>
    <t>Мудрова Евгения</t>
  </si>
  <si>
    <t>Открытая (15.03.1983)/37</t>
  </si>
  <si>
    <t>55,90</t>
  </si>
  <si>
    <t xml:space="preserve">Шелехов/Иркутская область </t>
  </si>
  <si>
    <t>92,5</t>
  </si>
  <si>
    <t>55,0</t>
  </si>
  <si>
    <t>Шаповалова Таисия</t>
  </si>
  <si>
    <t>Открытая (24.09.1991)/29</t>
  </si>
  <si>
    <t>57,70</t>
  </si>
  <si>
    <t>Энгельгард Ольга</t>
  </si>
  <si>
    <t>Открытая (11.03.1985)/35</t>
  </si>
  <si>
    <t>59,10</t>
  </si>
  <si>
    <t xml:space="preserve">Ангарск/Иркутская область </t>
  </si>
  <si>
    <t>82,5</t>
  </si>
  <si>
    <t xml:space="preserve">Вяхирев И. </t>
  </si>
  <si>
    <t>Зайцева Ольга</t>
  </si>
  <si>
    <t>Открытая (23.07.1973)/47</t>
  </si>
  <si>
    <t>65,10</t>
  </si>
  <si>
    <t>77,5</t>
  </si>
  <si>
    <t xml:space="preserve">Суслов Н. </t>
  </si>
  <si>
    <t>Повная Виктория</t>
  </si>
  <si>
    <t>Открытая (21.08.1990)/30</t>
  </si>
  <si>
    <t>67,50</t>
  </si>
  <si>
    <t>Сороковикова Екатерина</t>
  </si>
  <si>
    <t>Открытая (18.07.1987)/33</t>
  </si>
  <si>
    <t>61,30</t>
  </si>
  <si>
    <t>Прядко Екатерина</t>
  </si>
  <si>
    <t>Открытая (05.08.1994)/26</t>
  </si>
  <si>
    <t>65,30</t>
  </si>
  <si>
    <t>Мантатова Надежда</t>
  </si>
  <si>
    <t>Открытая (12.03.1988)/32</t>
  </si>
  <si>
    <t>88,60</t>
  </si>
  <si>
    <t xml:space="preserve">Щербинин А. </t>
  </si>
  <si>
    <t>ВЕСОВАЯ КАТЕГОРИЯ   90+</t>
  </si>
  <si>
    <t>Яркова Александра</t>
  </si>
  <si>
    <t>Открытая (21.02.1994)/26</t>
  </si>
  <si>
    <t>114,00</t>
  </si>
  <si>
    <t>Литвинов Даниил</t>
  </si>
  <si>
    <t>Юноши 15-19 (17.01.2009)/11</t>
  </si>
  <si>
    <t>59,30</t>
  </si>
  <si>
    <t>30,0</t>
  </si>
  <si>
    <t>Аствацатрян Варданес</t>
  </si>
  <si>
    <t>Открытая (31.10.1988)/32</t>
  </si>
  <si>
    <t>Токтокараев Ишенбек</t>
  </si>
  <si>
    <t>Открытая (28.05.1985)/35</t>
  </si>
  <si>
    <t>74,10</t>
  </si>
  <si>
    <t>167,5</t>
  </si>
  <si>
    <t>Ковалев Андрей</t>
  </si>
  <si>
    <t>Открытая (11.02.1991)/29</t>
  </si>
  <si>
    <t>81,20</t>
  </si>
  <si>
    <t>187,5</t>
  </si>
  <si>
    <t>Черников Дмитрий</t>
  </si>
  <si>
    <t>Открытая (26.10.1992)/28</t>
  </si>
  <si>
    <t>81,50</t>
  </si>
  <si>
    <t>97,5</t>
  </si>
  <si>
    <t>Хекало Алексей</t>
  </si>
  <si>
    <t>Открытая (28.08.2000)/20</t>
  </si>
  <si>
    <t>82,00</t>
  </si>
  <si>
    <t xml:space="preserve">Анапа/Краснодарский край </t>
  </si>
  <si>
    <t>Никитин Виктор</t>
  </si>
  <si>
    <t>Сосновский Никита</t>
  </si>
  <si>
    <t>Открытая (15.12.1987)/32</t>
  </si>
  <si>
    <t>89,50</t>
  </si>
  <si>
    <t>247,5</t>
  </si>
  <si>
    <t>Воробьев Максим</t>
  </si>
  <si>
    <t>Открытая (10.03.1994)/26</t>
  </si>
  <si>
    <t>86,50</t>
  </si>
  <si>
    <t>222,5</t>
  </si>
  <si>
    <t>Тамбовцев Дмитрий</t>
  </si>
  <si>
    <t>Открытая (15.09.1990)/30</t>
  </si>
  <si>
    <t>89,20</t>
  </si>
  <si>
    <t>192,5</t>
  </si>
  <si>
    <t>217,5</t>
  </si>
  <si>
    <t>Архипенко Иван</t>
  </si>
  <si>
    <t>Открытая (10.07.1979)/41</t>
  </si>
  <si>
    <t>85,40</t>
  </si>
  <si>
    <t xml:space="preserve">Красноярск/Красноярский край </t>
  </si>
  <si>
    <t>132,5</t>
  </si>
  <si>
    <t>Худоногов Никита</t>
  </si>
  <si>
    <t>Открытая (03.10.1991)/29</t>
  </si>
  <si>
    <t>89,00</t>
  </si>
  <si>
    <t>Шиманский Вячеслав</t>
  </si>
  <si>
    <t>Открытая (26.07.1984)/36</t>
  </si>
  <si>
    <t>90,60</t>
  </si>
  <si>
    <t>Энгельгард Артем</t>
  </si>
  <si>
    <t>Открытая (04.11.1982)/38</t>
  </si>
  <si>
    <t>98,20</t>
  </si>
  <si>
    <t>Шульгин Алексей</t>
  </si>
  <si>
    <t>Открытая (18.06.1981)/39</t>
  </si>
  <si>
    <t>97,70</t>
  </si>
  <si>
    <t>Нечаев Евгений</t>
  </si>
  <si>
    <t>Открытая (19.03.1978)/42</t>
  </si>
  <si>
    <t>98,40</t>
  </si>
  <si>
    <t>Бочарников Андрей</t>
  </si>
  <si>
    <t>Открытая (04.01.1984)/36</t>
  </si>
  <si>
    <t>109,40</t>
  </si>
  <si>
    <t>280,0</t>
  </si>
  <si>
    <t>Гулюк Максим</t>
  </si>
  <si>
    <t>Открытая (16.08.1979)/41</t>
  </si>
  <si>
    <t>105,30</t>
  </si>
  <si>
    <t>342,5</t>
  </si>
  <si>
    <t>358,9057</t>
  </si>
  <si>
    <t>297,5</t>
  </si>
  <si>
    <t>341,9465</t>
  </si>
  <si>
    <t>630,0</t>
  </si>
  <si>
    <t>400,8690</t>
  </si>
  <si>
    <t>605,0</t>
  </si>
  <si>
    <t>387,3210</t>
  </si>
  <si>
    <t>567,5</t>
  </si>
  <si>
    <t>383,8570</t>
  </si>
  <si>
    <t>5</t>
  </si>
  <si>
    <t>Заверткин Максим</t>
  </si>
  <si>
    <t>Открытая (19.06.1993)/27</t>
  </si>
  <si>
    <t>89,40</t>
  </si>
  <si>
    <t>Задорожный Алексей</t>
  </si>
  <si>
    <t>Открытая (18.04.1987)/33</t>
  </si>
  <si>
    <t>93,50</t>
  </si>
  <si>
    <t>Ниязиев Энвер</t>
  </si>
  <si>
    <t>Открытая (22.07.1989)/31</t>
  </si>
  <si>
    <t>107,40</t>
  </si>
  <si>
    <t>350,0</t>
  </si>
  <si>
    <t>360,0</t>
  </si>
  <si>
    <t>Курбацкий Демид</t>
  </si>
  <si>
    <t>Открытая (11.04.1987)/33</t>
  </si>
  <si>
    <t>87,60</t>
  </si>
  <si>
    <t>Беляев Алексей</t>
  </si>
  <si>
    <t>Открытая (01.09.1993)/27</t>
  </si>
  <si>
    <t>73,90</t>
  </si>
  <si>
    <t xml:space="preserve">Тарасов К. </t>
  </si>
  <si>
    <t>Руднев Сергей</t>
  </si>
  <si>
    <t>Открытая (20.03.1985)/35</t>
  </si>
  <si>
    <t>Смирнов Евгений</t>
  </si>
  <si>
    <t>Открытая (23.06.1991)/29</t>
  </si>
  <si>
    <t>81,80</t>
  </si>
  <si>
    <t>Косянчук Петр</t>
  </si>
  <si>
    <t>Открытая (07.08.1984)/36</t>
  </si>
  <si>
    <t>80,70</t>
  </si>
  <si>
    <t>Жуков Владислав</t>
  </si>
  <si>
    <t>Открытая (23.09.1993)/27</t>
  </si>
  <si>
    <t>80,40</t>
  </si>
  <si>
    <t>Никитин Дмитрий</t>
  </si>
  <si>
    <t>Открытая (05.06.1993)/27</t>
  </si>
  <si>
    <t>81,60</t>
  </si>
  <si>
    <t>Гертель Яков</t>
  </si>
  <si>
    <t>Открытая (20.02.1976)/44</t>
  </si>
  <si>
    <t>88,80</t>
  </si>
  <si>
    <t>Хомяков Дмитрий</t>
  </si>
  <si>
    <t>Открытая (12.12.1991)/28</t>
  </si>
  <si>
    <t>87,20</t>
  </si>
  <si>
    <t>Лубешко Роман</t>
  </si>
  <si>
    <t>Открытая (25.07.1987)/33</t>
  </si>
  <si>
    <t>Фаткулов Артем</t>
  </si>
  <si>
    <t>Жменя Алексей</t>
  </si>
  <si>
    <t>Могилатов Вячеслав</t>
  </si>
  <si>
    <t>87,50</t>
  </si>
  <si>
    <t>Стогний Максим</t>
  </si>
  <si>
    <t>Открытая (27.01.1981)/39</t>
  </si>
  <si>
    <t>98,80</t>
  </si>
  <si>
    <t>Ломака Андрей</t>
  </si>
  <si>
    <t>Открытая (04.05.1987)/33</t>
  </si>
  <si>
    <t>94,70</t>
  </si>
  <si>
    <t xml:space="preserve">Смирнов Е. </t>
  </si>
  <si>
    <t>Жданов Виталий</t>
  </si>
  <si>
    <t>Открытая (20.02.1996)/24</t>
  </si>
  <si>
    <t>109,10</t>
  </si>
  <si>
    <t xml:space="preserve">Северобайкальск/Бурятия </t>
  </si>
  <si>
    <t>Кичигин Кирилл</t>
  </si>
  <si>
    <t>Открытая (07.06.1996)/24</t>
  </si>
  <si>
    <t>102,40</t>
  </si>
  <si>
    <t>Гафыгин Сергей</t>
  </si>
  <si>
    <t>Открытая (10.12.1991)/28</t>
  </si>
  <si>
    <t>103,80</t>
  </si>
  <si>
    <t>Руднев Дмитрий</t>
  </si>
  <si>
    <t>Цильке Николай</t>
  </si>
  <si>
    <t>105,50</t>
  </si>
  <si>
    <t>Матвеев Андрей</t>
  </si>
  <si>
    <t>Открытая (15.06.1982)/38</t>
  </si>
  <si>
    <t>115,00</t>
  </si>
  <si>
    <t>197,5</t>
  </si>
  <si>
    <t>Французов Александр</t>
  </si>
  <si>
    <t>112,10</t>
  </si>
  <si>
    <t xml:space="preserve">Киренск/Иркутская область </t>
  </si>
  <si>
    <t>ВЕСОВАЯ КАТЕГОРИЯ   140</t>
  </si>
  <si>
    <t>Четвертных Александр</t>
  </si>
  <si>
    <t>Открытая (13.06.1977)/43</t>
  </si>
  <si>
    <t>127,80</t>
  </si>
  <si>
    <t xml:space="preserve">Результат </t>
  </si>
  <si>
    <t>139,3550</t>
  </si>
  <si>
    <t>131,2807</t>
  </si>
  <si>
    <t>121,2120</t>
  </si>
  <si>
    <t>Результат</t>
  </si>
  <si>
    <t>Некрасова Оксана</t>
  </si>
  <si>
    <t>Открытая (21.04.1973)/47</t>
  </si>
  <si>
    <t>51,90</t>
  </si>
  <si>
    <t>Дуганова Кристина</t>
  </si>
  <si>
    <t>59,80</t>
  </si>
  <si>
    <t>Косенко Артем</t>
  </si>
  <si>
    <t>Юноши 15-19 (09.03.2004)/16</t>
  </si>
  <si>
    <t>67,20</t>
  </si>
  <si>
    <t>Татарников Александр</t>
  </si>
  <si>
    <t>Юноши 15-19 (01.06.2003)/17</t>
  </si>
  <si>
    <t>73,40</t>
  </si>
  <si>
    <t>Чемякин Андрей</t>
  </si>
  <si>
    <t>Урсуленко Роман</t>
  </si>
  <si>
    <t>Вяхирев Илья</t>
  </si>
  <si>
    <t>Открытая (28.02.1993)/27</t>
  </si>
  <si>
    <t>73,70</t>
  </si>
  <si>
    <t>Преловский Станислав</t>
  </si>
  <si>
    <t>Открытая (24.06.1988)/32</t>
  </si>
  <si>
    <t>74,50</t>
  </si>
  <si>
    <t>Репецкий Роман</t>
  </si>
  <si>
    <t>Открытая (13.03.1986)/34</t>
  </si>
  <si>
    <t>72,40</t>
  </si>
  <si>
    <t>Рахманский Николай</t>
  </si>
  <si>
    <t>Открытая (06.01.1993)/27</t>
  </si>
  <si>
    <t>Шошин Вячеслав</t>
  </si>
  <si>
    <t>Открытая (03.07.1993)/27</t>
  </si>
  <si>
    <t>Садыков Сергей</t>
  </si>
  <si>
    <t>Открытая (23.11.1983)/37</t>
  </si>
  <si>
    <t>74,80</t>
  </si>
  <si>
    <t>Шапошников Дмитрий</t>
  </si>
  <si>
    <t>Открытая (31.07.1985)/35</t>
  </si>
  <si>
    <t>71,80</t>
  </si>
  <si>
    <t>Акопян Ваган</t>
  </si>
  <si>
    <t>70,90</t>
  </si>
  <si>
    <t>Ибодов Мухамад</t>
  </si>
  <si>
    <t>Юноши 15-19 (05.08.2002)/18</t>
  </si>
  <si>
    <t>77,40</t>
  </si>
  <si>
    <t>Алиев Муса</t>
  </si>
  <si>
    <t>Юноши 15-19 (05.11.2002)/18</t>
  </si>
  <si>
    <t>76,40</t>
  </si>
  <si>
    <t>Усов Евгений</t>
  </si>
  <si>
    <t>Открытая (09.10.1991)/29</t>
  </si>
  <si>
    <t>82,20</t>
  </si>
  <si>
    <t>Мовсуми Эмрах</t>
  </si>
  <si>
    <t>Открытая (01.07.1992)/28</t>
  </si>
  <si>
    <t>82,40</t>
  </si>
  <si>
    <t>Дубровин Владимир</t>
  </si>
  <si>
    <t>Открытая (30.09.1994)/26</t>
  </si>
  <si>
    <t>80,90</t>
  </si>
  <si>
    <t>Парыгин Александр</t>
  </si>
  <si>
    <t>Открытая (24.08.1984)/36</t>
  </si>
  <si>
    <t>Кормилицын Владислав</t>
  </si>
  <si>
    <t>Открытая (24.10.1991)/29</t>
  </si>
  <si>
    <t>78,70</t>
  </si>
  <si>
    <t>Трофимов Александр</t>
  </si>
  <si>
    <t>Открытая (22.10.1992)/28</t>
  </si>
  <si>
    <t>88,50</t>
  </si>
  <si>
    <t xml:space="preserve">Трофимов Н. </t>
  </si>
  <si>
    <t>Малыгин Илья</t>
  </si>
  <si>
    <t>Открытая (19.03.1990)/30</t>
  </si>
  <si>
    <t>88,20</t>
  </si>
  <si>
    <t>Перепелицын Михаил</t>
  </si>
  <si>
    <t>Открытая (14.11.1990)/30</t>
  </si>
  <si>
    <t>Чупанов Сергей</t>
  </si>
  <si>
    <t>Открытая (29.05.1981)/39</t>
  </si>
  <si>
    <t>84,10</t>
  </si>
  <si>
    <t>Трухин Виктор</t>
  </si>
  <si>
    <t>Открытая (25.06.1994)/26</t>
  </si>
  <si>
    <t>88,40</t>
  </si>
  <si>
    <t>Соловьев Иван</t>
  </si>
  <si>
    <t>Открытая (07.04.1984)/36</t>
  </si>
  <si>
    <t>84,00</t>
  </si>
  <si>
    <t>Тарасенко Василий</t>
  </si>
  <si>
    <t>85,90</t>
  </si>
  <si>
    <t>137,5</t>
  </si>
  <si>
    <t>Рыков Алексей</t>
  </si>
  <si>
    <t>Открытая (20.12.1983)/36</t>
  </si>
  <si>
    <t>98,00</t>
  </si>
  <si>
    <t>Ботов Александр</t>
  </si>
  <si>
    <t>Открытая (12.03.1995)/25</t>
  </si>
  <si>
    <t>92,10</t>
  </si>
  <si>
    <t xml:space="preserve">Журавлев Вадим </t>
  </si>
  <si>
    <t>Анохов Олег</t>
  </si>
  <si>
    <t>Открытая (19.03.1982)/38</t>
  </si>
  <si>
    <t>94,40</t>
  </si>
  <si>
    <t>Файзулин Ренат</t>
  </si>
  <si>
    <t>109,80</t>
  </si>
  <si>
    <t>Открытая (09.09.1997)/23</t>
  </si>
  <si>
    <t>Костикян Марат</t>
  </si>
  <si>
    <t>Открытая (26.04.1992)/28</t>
  </si>
  <si>
    <t>105,00</t>
  </si>
  <si>
    <t>Мельников Леонид</t>
  </si>
  <si>
    <t>Открытая (06.08.1991)/29</t>
  </si>
  <si>
    <t>105,40</t>
  </si>
  <si>
    <t>Литвинов Михаил</t>
  </si>
  <si>
    <t>Открытая (12.04.1983)/37</t>
  </si>
  <si>
    <t>108,50</t>
  </si>
  <si>
    <t>111,8720</t>
  </si>
  <si>
    <t>128,8000</t>
  </si>
  <si>
    <t>112,4595</t>
  </si>
  <si>
    <t>6</t>
  </si>
  <si>
    <t>7</t>
  </si>
  <si>
    <t>8</t>
  </si>
  <si>
    <t>Полетаев Михаил</t>
  </si>
  <si>
    <t>Открытая (03.08.1983)/37</t>
  </si>
  <si>
    <t>Галеев Максим</t>
  </si>
  <si>
    <t>Открытая (18.11.1989)/31</t>
  </si>
  <si>
    <t>82,50</t>
  </si>
  <si>
    <t>Антагаров Ширип</t>
  </si>
  <si>
    <t>Открытая (15.03.1990)/30</t>
  </si>
  <si>
    <t>73,20</t>
  </si>
  <si>
    <t>Астафуров Денис</t>
  </si>
  <si>
    <t>Открытая (15.04.1982)/38</t>
  </si>
  <si>
    <t>Семенов Дмитрий</t>
  </si>
  <si>
    <t>Открытая (09.09.1983)/37</t>
  </si>
  <si>
    <t>77,90</t>
  </si>
  <si>
    <t xml:space="preserve">Карымское/Забайкальский край </t>
  </si>
  <si>
    <t>Пахтусов Владислав</t>
  </si>
  <si>
    <t>99,00</t>
  </si>
  <si>
    <t>272,5</t>
  </si>
  <si>
    <t>Яхонтов Руслан</t>
  </si>
  <si>
    <t>Открытая (21.01.1980)/40</t>
  </si>
  <si>
    <t>94,80</t>
  </si>
  <si>
    <t>257,5</t>
  </si>
  <si>
    <t>148,3505</t>
  </si>
  <si>
    <t>140,4590</t>
  </si>
  <si>
    <t>Быстрова Елена</t>
  </si>
  <si>
    <t>49,60</t>
  </si>
  <si>
    <t>Сизых Лариса</t>
  </si>
  <si>
    <t>55,20</t>
  </si>
  <si>
    <t>Скоробогатов Гордей</t>
  </si>
  <si>
    <t>Юноши 15-19 (10.07.2003)/17</t>
  </si>
  <si>
    <t>65,80</t>
  </si>
  <si>
    <t>Шабаров Сергей</t>
  </si>
  <si>
    <t>Юноши 15-19 (09.04.2001)/19</t>
  </si>
  <si>
    <t>73,80</t>
  </si>
  <si>
    <t>207,5</t>
  </si>
  <si>
    <t>Николаев Иван</t>
  </si>
  <si>
    <t>Открытая (29.12.1991)/28</t>
  </si>
  <si>
    <t>74,60</t>
  </si>
  <si>
    <t>Алексеев Дмитрий</t>
  </si>
  <si>
    <t>Открытая (09.05.1994)/26</t>
  </si>
  <si>
    <t>74,70</t>
  </si>
  <si>
    <t>131,5920</t>
  </si>
  <si>
    <t>Пшеничников Семен</t>
  </si>
  <si>
    <t>Открытая (09.07.1991)/29</t>
  </si>
  <si>
    <t>86,70</t>
  </si>
  <si>
    <t>Блинов Алексей</t>
  </si>
  <si>
    <t>Открытая (05.10.1981)/39</t>
  </si>
  <si>
    <t>93,80</t>
  </si>
  <si>
    <t>Согрин Максим</t>
  </si>
  <si>
    <t>Открытая (19.03.1996)/24</t>
  </si>
  <si>
    <t>80,50</t>
  </si>
  <si>
    <t>Жим стоя</t>
  </si>
  <si>
    <t>78,5</t>
  </si>
  <si>
    <t>Лазаренко Виталий</t>
  </si>
  <si>
    <t>Открытая (30.03.1988)/32</t>
  </si>
  <si>
    <t>81,90</t>
  </si>
  <si>
    <t>Семичев Герман</t>
  </si>
  <si>
    <t>Открытая (11.05.1996)/24</t>
  </si>
  <si>
    <t>84,70</t>
  </si>
  <si>
    <t>Березовский Степан</t>
  </si>
  <si>
    <t>Открытая (26.08.1988)/32</t>
  </si>
  <si>
    <t>Зарбаткин Данил</t>
  </si>
  <si>
    <t>Костенков Данила</t>
  </si>
  <si>
    <t>57,80</t>
  </si>
  <si>
    <t>45,0</t>
  </si>
  <si>
    <t>Пальцев Евгений</t>
  </si>
  <si>
    <t>37,5</t>
  </si>
  <si>
    <t>Маркелов Даниил</t>
  </si>
  <si>
    <t>Тураев Ниридинходжа</t>
  </si>
  <si>
    <t>Открытая (17.06.1988)/32</t>
  </si>
  <si>
    <t>65,90</t>
  </si>
  <si>
    <t>Шумаков Николай</t>
  </si>
  <si>
    <t>Открытая (18.05.1991)/29</t>
  </si>
  <si>
    <t>Пустозеров Денис</t>
  </si>
  <si>
    <t>Открытая (10.08.1985)/35</t>
  </si>
  <si>
    <t>Семенюк Иван</t>
  </si>
  <si>
    <t>Открытая (16.12.1992)/27</t>
  </si>
  <si>
    <t>74,40</t>
  </si>
  <si>
    <t>Ковров Роман</t>
  </si>
  <si>
    <t>87,30</t>
  </si>
  <si>
    <t>Очиров Баир</t>
  </si>
  <si>
    <t>73,00</t>
  </si>
  <si>
    <t>Сумец Сергей</t>
  </si>
  <si>
    <t>71,20</t>
  </si>
  <si>
    <t>Чиркова Дарья</t>
  </si>
  <si>
    <t>25,0</t>
  </si>
  <si>
    <t>27,5</t>
  </si>
  <si>
    <t>20,0</t>
  </si>
  <si>
    <t xml:space="preserve">Дуганова К. </t>
  </si>
  <si>
    <t>Ляхова Алла</t>
  </si>
  <si>
    <t>Открытая (21.08.1986)/34</t>
  </si>
  <si>
    <t>49,90</t>
  </si>
  <si>
    <t>Скрипка Максим</t>
  </si>
  <si>
    <t>Открытая (20.05.1988)/32</t>
  </si>
  <si>
    <t>Серебренников Вадим</t>
  </si>
  <si>
    <t>Открытая (01.06.1964)/56</t>
  </si>
  <si>
    <t>Анцупов Максим</t>
  </si>
  <si>
    <t>Открытая (01.12.1980)/40</t>
  </si>
  <si>
    <t>242,5</t>
  </si>
  <si>
    <t>Сапунов Сергей</t>
  </si>
  <si>
    <t>Открытая (22.10.1981)/39</t>
  </si>
  <si>
    <t>120,20</t>
  </si>
  <si>
    <t>Всероссийский мастерский турнир "Кубок Байкала"
СПР Жим лежа в многопетельной софт экипировке ДК
Иркутск/Иркутская область, 4-6 декабря 2020 года</t>
  </si>
  <si>
    <t>Всероссийский мастерский турнир "Кубок Байкала"
СПР Жим лежа в многопетельной софт экипировке
Иркутск/Иркутская область, 4-6 декабря 2020 года</t>
  </si>
  <si>
    <t>Всероссийский мастерский турнир "Кубок Байкала"
СПР Жим лежа в однопетельной софт экипировке ДК
Иркутск/Иркутская область, 4-6 декабря 2020 года</t>
  </si>
  <si>
    <t>Всероссийский мастерский турнир "Кубок Байкала"
СПР Жим лежа в однопетельной софт экипировке
Иркутск/Иркутская область, 4-6 декабря 2020 года</t>
  </si>
  <si>
    <t>Мастера 40-49 (23.03.1972)/48</t>
  </si>
  <si>
    <t>Мастера 50-59 (01.06.1964)/56</t>
  </si>
  <si>
    <t>Мастера 40-49 (01.12.1980)/40</t>
  </si>
  <si>
    <t>Мастера 40-49 (20.02.1976)/44</t>
  </si>
  <si>
    <t>Юноши 13-19 (04.06.2002)/18</t>
  </si>
  <si>
    <t>Юноши 13-19 (16.07.2002)/18</t>
  </si>
  <si>
    <t>Девушки 13-19 (06.08.2004)/16</t>
  </si>
  <si>
    <t>Юниоры 20-23 (18.07.2000)/20</t>
  </si>
  <si>
    <t>Юноши 13-19 (12.03.2003)/17</t>
  </si>
  <si>
    <t>Юноши 13-19 (20.06.2004)/16</t>
  </si>
  <si>
    <t>Юноши 13-19 (16.11.2002)/18</t>
  </si>
  <si>
    <t>Мастера 40-49 (22.12.1978)/41</t>
  </si>
  <si>
    <t>Мастера 40-49 (06.08.1979)/41</t>
  </si>
  <si>
    <t>Юниоры 20-23 (24.05.1999)/21</t>
  </si>
  <si>
    <t>Мастера 40-44 (20.02.1976)/44</t>
  </si>
  <si>
    <t>Мастера 40-44 (22.07.1977)/43</t>
  </si>
  <si>
    <t>Мастера 45-49 (23.03.1972)/48</t>
  </si>
  <si>
    <t>Мастера 40-44 (27.01.1979)/41</t>
  </si>
  <si>
    <t>Мастера 40-44 (01.05.1979)/41</t>
  </si>
  <si>
    <t>Мастера 40-44 (10.07.1979)/41</t>
  </si>
  <si>
    <t>Юниоры 20-23 (03.07.1997)/23</t>
  </si>
  <si>
    <t>Мастера 45-49 (21.04.1973)/47</t>
  </si>
  <si>
    <t>Юниорки 20-23 (10.03.1997)/23</t>
  </si>
  <si>
    <t>Юниоры 20-23 (14.02.1997)/23</t>
  </si>
  <si>
    <t>Юниоры 20-23 (26.07.1997)/23</t>
  </si>
  <si>
    <t>Мастера 40-44 (22.12.1978)/41</t>
  </si>
  <si>
    <t>Мастера 40-44 (05.07.1979)/41</t>
  </si>
  <si>
    <t>Мастера 40-44 (10.10.1976)/44</t>
  </si>
  <si>
    <t>Юниоры 20-23 (09.09.1997)/23</t>
  </si>
  <si>
    <t>Мастера 40-44 (17.07.1978)/42</t>
  </si>
  <si>
    <t>Мастера 40-44 (11.08.1980)/40</t>
  </si>
  <si>
    <t>Мастера 55-59 (28.06.1965)/55</t>
  </si>
  <si>
    <t>Мастера 40-44 (10.03.1979)/41</t>
  </si>
  <si>
    <t>Мастера 55-59 (23.05.1965)/55</t>
  </si>
  <si>
    <t>Мастера 40-44 (18.10.1977)/43</t>
  </si>
  <si>
    <t>Мастера 40-44 (13.06.1977)/43</t>
  </si>
  <si>
    <t>Мастера 45-49 (23.07.1973)/47</t>
  </si>
  <si>
    <t>Мастера 40-44 (19.03.1978)/42</t>
  </si>
  <si>
    <t>Мастера 45-49 (21.08.1975)/45</t>
  </si>
  <si>
    <t>Всероссийский мастерский турнир "Кубок Байкала"
СПР Пауэрспорт ДК
Иркутск/Иркутская область, 4-6 декабря 2020 года</t>
  </si>
  <si>
    <t>Всероссийский мастерский турнир "Кубок Байкала"
СПР Пауэрспорт
Иркутск/Иркутская область, 4-6 декабря 2020 года</t>
  </si>
  <si>
    <t>Всероссийский мастерский турнир "Кубок Байкала"
СПР Строгий подъем штанги на бицепс ДК
Иркутск/Иркутская область, 4-6 декабря 2020 года</t>
  </si>
  <si>
    <t>Всероссийский мастерский турнир "Кубок Байкала"
СПР Строгий подъем штанги на бицепс
Иркутск/Иркутская область, 4-6 декабря 2020 года</t>
  </si>
  <si>
    <t>Всероссийский мастерский турнир "Кубок Байкала"
СПР Жим штанги стоя ДК
Иркутск/Иркутская область, 4-6 декабря 2020 года</t>
  </si>
  <si>
    <t>Всероссийский мастерский турнир "Кубок Байкала"
СПР Жим штанги стоя
Иркутск/Иркутская область, 4-6 декабря 2020 года</t>
  </si>
  <si>
    <t>Всероссийский мастерский турнир "Кубок Байкала"
IPL Силовое двоеборье без экипировки ДК
Иркутск/Иркутская область, 4-6 декабря 2020 года</t>
  </si>
  <si>
    <t>Всероссийский мастерский турнир "Кубок Байкала"
IPL Силовое двоеборье без экипировки
Иркутск/Иркутская область, 4-6 декабря 2020 года</t>
  </si>
  <si>
    <t>Всероссийский мастерский турнир "Кубок Байкала"
IPL Присед без экипировки ДК
Иркутск/Иркутская область, 4-6 декабря 2020 года</t>
  </si>
  <si>
    <t>Всероссийский мастерский турнир "Кубок Байкала"
IPL Присед без экипировки
Иркутск/Иркутская область, 4-6 декабря 2020 года</t>
  </si>
  <si>
    <t>Всероссийский мастерский турнир "Кубок Байкала"
IPL Присед в многослойной экипировке ДК
Иркутск/Иркутская область, 4-6 декабря 2020 года</t>
  </si>
  <si>
    <t>Всероссийский мастерский турнир "Кубок Байкала"
IPL Присед в многослойной экипировке
Иркутск/Иркутская область, 4-6 декабря 2020 года</t>
  </si>
  <si>
    <t>Всероссийский мастерский турнир "Кубок Байкала"
IPL Становая тяга в однослойной экипировке
Иркутск/Иркутская область, 4-6 декабря 2020 года</t>
  </si>
  <si>
    <t>Всероссийский мастерский турнир "Кубок Байкала"
IPL Становая тяга в многослойной экипировке ДК
Иркутск/Иркутская область, 4-6 декабря 2020 года</t>
  </si>
  <si>
    <t>Всероссийский мастерский турнир "Кубок Байкала"
IPL Становая тяга в многослойной экипировке
Иркутск/Иркутская область, 4-6 декабря 2020 года</t>
  </si>
  <si>
    <t>Всероссийский мастерский турнир "Кубок Байкала"
IPL Становая тяга без экипировки ДК
Иркутск/Иркутская область, 4-6 декабря 2020 года</t>
  </si>
  <si>
    <t>Всероссийский мастерский турнир "Кубок Байкала"
IPL Становая тяга без экипировки
Иркутск/Иркутская область, 4-6 декабря 2020 года</t>
  </si>
  <si>
    <t>Всероссийский мастерский турнир "Кубок Байкала"
IPL Жим лежа в многослойной экипировке ДК
Иркутск/Иркутская область, 4-6 декабря 2020 года</t>
  </si>
  <si>
    <t>Всероссийский мастерский турнир "Кубок Байкала"
IPL Жим лежа в многослойной экипировке
Иркутск/Иркутская область, 4-6 декабря 2020 года</t>
  </si>
  <si>
    <t>Всероссийский мастерский турнир "Кубок Байкала"
IPL Жим лежа в однослойной экипировке ДК
Иркутск/Иркутская область, 4-6 декабря 2020 года</t>
  </si>
  <si>
    <t>Всероссийский мастерский турнир "Кубок Байкала"
IPL Жим лежа в однослойной экипировке
Иркутск/Иркутская область, 4-6 декабря 2020 года</t>
  </si>
  <si>
    <t>Всероссийский мастерский турнир "Кубок Байкала"
IPL Жим лежа без экипировки ДК
Иркутск/Иркутская область, 4-6 декабря 2020 года</t>
  </si>
  <si>
    <t>Всероссийский мастерский турнир "Кубок Байкала"
IPL Жим лежа без экипировки
Иркутск/Иркутская область, 4-6 декабря 2020 года</t>
  </si>
  <si>
    <t>Всероссийский мастерский турнир "Кубок Байкала"
IPL Пауэрлифтинг в бинтах ДК
Иркутск/Иркутская область, 4-6 декабря 2020 года</t>
  </si>
  <si>
    <t>Всероссийский мастерский турнир "Кубок Байкала"
IPL Пауэрлифтинг в бинтах
Иркутск/Иркутская область, 4-6 декабря 2020 года</t>
  </si>
  <si>
    <t>Всероссийский мастерский турнир "Кубок Байкала"
IPL Пауэрлифтинг без экипировки ДК
Иркутск/Иркутская область, 4-6 декабря 2020 года</t>
  </si>
  <si>
    <t>Всероссийский мастерский турнир "Кубок Байкала"
IPL Пауэрлифтинг без экипировки
Иркутск/Иркутская область, 4-6 декабря 2020 года</t>
  </si>
  <si>
    <t>Всероссийский мастерский турнир "Кубок Байкала"
IPL Пауэрлифтинг в однослойной экипировке ДК
Иркутск/Иркутская область, 4-6 декабря 2020 года</t>
  </si>
  <si>
    <t>Всероссийский мастерский турнир "Кубок Байкала"
IPL Пауэрлифтинг в однослойной экипировке
Иркутск/Иркутская область, 4-6 декабря 2020 года</t>
  </si>
  <si>
    <t>Всероссийский мастерский турнир "Кубок Байкала"
IPL Пауэрлифтинг в многослойной экипировке ДК
Иркутск/Иркутская область, 4-6 декабря 2020 года</t>
  </si>
  <si>
    <t>Всероссийский мастерский турнир "Кубок Байкала"
IPL Пауэрлифтинг в многослойной экипировке
Иркутск/Иркутская область, 4-6 декабря 2020 года</t>
  </si>
  <si>
    <t>Улан-Удэ/Республика Бурятия</t>
  </si>
  <si>
    <t>Мирный/Республика Якутия</t>
  </si>
  <si>
    <t>Весовая категория</t>
  </si>
  <si>
    <t xml:space="preserve">Свобода Е. </t>
  </si>
  <si>
    <t xml:space="preserve">Ловцов И. </t>
  </si>
  <si>
    <t xml:space="preserve">Орлов А. </t>
  </si>
  <si>
    <t xml:space="preserve">Бочарников А. </t>
  </si>
  <si>
    <t xml:space="preserve">Малыгин И. </t>
  </si>
  <si>
    <t xml:space="preserve">Литвинов М. </t>
  </si>
  <si>
    <t>Вилков Д.</t>
  </si>
  <si>
    <t>Нурутдинов М.</t>
  </si>
  <si>
    <t>Кандауров Ю.</t>
  </si>
  <si>
    <t>Пашков О.</t>
  </si>
  <si>
    <t>Шиманский В.</t>
  </si>
  <si>
    <t xml:space="preserve">Сухова Е. </t>
  </si>
  <si>
    <t xml:space="preserve">Прилуцкий С. </t>
  </si>
  <si>
    <t xml:space="preserve">Соболев И. </t>
  </si>
  <si>
    <t xml:space="preserve">Зевякин И. </t>
  </si>
  <si>
    <t xml:space="preserve">Спиридончук М. </t>
  </si>
  <si>
    <t xml:space="preserve">Врублевский Е. </t>
  </si>
  <si>
    <t xml:space="preserve">Улан-Удэ/Республика Бурятия </t>
  </si>
  <si>
    <t>Ниязиев Э.</t>
  </si>
  <si>
    <t>Пшеничников С.</t>
  </si>
  <si>
    <t xml:space="preserve">Ниязиев Э. </t>
  </si>
  <si>
    <t xml:space="preserve">Пшеничников С. </t>
  </si>
  <si>
    <t xml:space="preserve">Шураев П. </t>
  </si>
  <si>
    <t>Свобода Е.</t>
  </si>
  <si>
    <t>Кабанов И.</t>
  </si>
  <si>
    <t>Зевякин И.</t>
  </si>
  <si>
    <t xml:space="preserve">Мамоны/Иркутская область </t>
  </si>
  <si>
    <t xml:space="preserve">Трифонов А. </t>
  </si>
  <si>
    <t xml:space="preserve">Чемякин А. </t>
  </si>
  <si>
    <t xml:space="preserve">Комаров А. </t>
  </si>
  <si>
    <t xml:space="preserve">Рябухин А. </t>
  </si>
  <si>
    <t xml:space="preserve">Гафыгин С. </t>
  </si>
  <si>
    <t xml:space="preserve">Усов Е. </t>
  </si>
  <si>
    <t xml:space="preserve">Гинтов Д. </t>
  </si>
  <si>
    <t xml:space="preserve">Кандауров Ю. </t>
  </si>
  <si>
    <t xml:space="preserve">Журавлев В. </t>
  </si>
  <si>
    <t xml:space="preserve">Желтенко Е. </t>
  </si>
  <si>
    <t xml:space="preserve">Черных Е. </t>
  </si>
  <si>
    <t xml:space="preserve">Нурутдинов М. </t>
  </si>
  <si>
    <t xml:space="preserve">Зайцев А. </t>
  </si>
  <si>
    <t>Самостоятельно</t>
  </si>
  <si>
    <t>Прилуцкий С.</t>
  </si>
  <si>
    <t xml:space="preserve">Кушнир В. </t>
  </si>
  <si>
    <t>Еланцы/Иркутская область</t>
  </si>
  <si>
    <t xml:space="preserve">Харахинов Д. </t>
  </si>
  <si>
    <t>Жим</t>
  </si>
  <si>
    <t>тяга</t>
  </si>
  <si>
    <t>№</t>
  </si>
  <si>
    <t xml:space="preserve">
Дата рождения/Возраст</t>
  </si>
  <si>
    <t>Возрастная группа</t>
  </si>
  <si>
    <t>O</t>
  </si>
  <si>
    <t>M2</t>
  </si>
  <si>
    <t>T</t>
  </si>
  <si>
    <t>M1</t>
  </si>
  <si>
    <t>J</t>
  </si>
  <si>
    <t>M4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</si>
</sst>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>
    <font>
      <sz val="10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b/>
      <sz val="24"/>
      <name val="Arial Cyr"/>
      <charset val="204"/>
    </font>
    <font>
      <i/>
      <sz val="12"/>
      <name val="Arial Cyr"/>
      <charset val="204"/>
    </font>
    <font>
      <sz val="14"/>
      <name val="Arial Cyr"/>
      <charset val="204"/>
    </font>
    <font>
      <i/>
      <sz val="11"/>
      <name val="Arial Cyr"/>
      <charset val="204"/>
    </font>
    <font>
      <b/>
      <strike/>
      <sz val="10"/>
      <color theme="5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D7E4BE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49" fontId="2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0" fillId="0" borderId="12" xfId="0" applyNumberFormat="1" applyFont="1" applyFill="1" applyBorder="1" applyAlignment="1">
      <alignment horizontal="center" vertical="center"/>
    </xf>
    <xf numFmtId="49" fontId="1" fillId="0" borderId="12" xfId="0" applyNumberFormat="1" applyFont="1" applyFill="1" applyBorder="1" applyAlignment="1">
      <alignment horizontal="center" vertical="center"/>
    </xf>
    <xf numFmtId="49" fontId="0" fillId="0" borderId="8" xfId="0" applyNumberFormat="1" applyFont="1" applyFill="1" applyBorder="1" applyAlignment="1">
      <alignment horizontal="center" vertical="center"/>
    </xf>
    <xf numFmtId="49" fontId="1" fillId="0" borderId="8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left" vertical="center" indent="1"/>
    </xf>
    <xf numFmtId="49" fontId="6" fillId="0" borderId="0" xfId="0" applyNumberFormat="1" applyFont="1" applyFill="1" applyBorder="1" applyAlignment="1">
      <alignment horizontal="center" vertical="center"/>
    </xf>
    <xf numFmtId="49" fontId="0" fillId="0" borderId="11" xfId="0" applyNumberFormat="1" applyFont="1" applyFill="1" applyBorder="1" applyAlignment="1">
      <alignment horizontal="center" vertical="center"/>
    </xf>
    <xf numFmtId="49" fontId="2" fillId="0" borderId="11" xfId="0" applyNumberFormat="1" applyFont="1" applyFill="1" applyBorder="1" applyAlignment="1">
      <alignment horizontal="center" vertical="center"/>
    </xf>
    <xf numFmtId="49" fontId="1" fillId="2" borderId="12" xfId="0" applyNumberFormat="1" applyFont="1" applyFill="1" applyBorder="1" applyAlignment="1">
      <alignment horizontal="center" vertical="center"/>
    </xf>
    <xf numFmtId="49" fontId="7" fillId="0" borderId="12" xfId="0" applyNumberFormat="1" applyFont="1" applyFill="1" applyBorder="1" applyAlignment="1">
      <alignment horizontal="center" vertical="center"/>
    </xf>
    <xf numFmtId="49" fontId="1" fillId="2" borderId="8" xfId="0" applyNumberFormat="1" applyFont="1" applyFill="1" applyBorder="1" applyAlignment="1">
      <alignment horizontal="center" vertical="center"/>
    </xf>
    <xf numFmtId="49" fontId="7" fillId="0" borderId="8" xfId="0" applyNumberFormat="1" applyFont="1" applyFill="1" applyBorder="1" applyAlignment="1">
      <alignment horizontal="center" vertical="center"/>
    </xf>
    <xf numFmtId="49" fontId="1" fillId="0" borderId="11" xfId="0" applyNumberFormat="1" applyFont="1" applyFill="1" applyBorder="1" applyAlignment="1">
      <alignment horizontal="center" vertical="center"/>
    </xf>
    <xf numFmtId="49" fontId="1" fillId="2" borderId="11" xfId="0" applyNumberFormat="1" applyFont="1" applyFill="1" applyBorder="1" applyAlignment="1">
      <alignment horizontal="center" vertical="center"/>
    </xf>
    <xf numFmtId="49" fontId="7" fillId="0" borderId="11" xfId="0" applyNumberFormat="1" applyFont="1" applyFill="1" applyBorder="1" applyAlignment="1">
      <alignment horizontal="center" vertical="center"/>
    </xf>
    <xf numFmtId="49" fontId="0" fillId="0" borderId="17" xfId="0" applyNumberFormat="1" applyFont="1" applyFill="1" applyBorder="1" applyAlignment="1">
      <alignment horizontal="center" vertical="center"/>
    </xf>
    <xf numFmtId="49" fontId="1" fillId="0" borderId="17" xfId="0" applyNumberFormat="1" applyFont="1" applyFill="1" applyBorder="1" applyAlignment="1">
      <alignment horizontal="center" vertical="center"/>
    </xf>
    <xf numFmtId="49" fontId="1" fillId="2" borderId="17" xfId="0" applyNumberFormat="1" applyFont="1" applyFill="1" applyBorder="1" applyAlignment="1">
      <alignment horizontal="center" vertical="center"/>
    </xf>
    <xf numFmtId="49" fontId="7" fillId="0" borderId="17" xfId="0" applyNumberFormat="1" applyFont="1" applyFill="1" applyBorder="1" applyAlignment="1">
      <alignment horizontal="center" vertical="center"/>
    </xf>
    <xf numFmtId="49" fontId="0" fillId="0" borderId="18" xfId="0" applyNumberFormat="1" applyFont="1" applyFill="1" applyBorder="1" applyAlignment="1">
      <alignment horizontal="center" vertical="center"/>
    </xf>
    <xf numFmtId="49" fontId="1" fillId="0" borderId="19" xfId="0" applyNumberFormat="1" applyFont="1" applyFill="1" applyBorder="1" applyAlignment="1">
      <alignment horizontal="center" vertical="center"/>
    </xf>
    <xf numFmtId="49" fontId="1" fillId="2" borderId="18" xfId="0" applyNumberFormat="1" applyFont="1" applyFill="1" applyBorder="1" applyAlignment="1">
      <alignment horizontal="center" vertical="center"/>
    </xf>
    <xf numFmtId="49" fontId="1" fillId="2" borderId="19" xfId="0" applyNumberFormat="1" applyFont="1" applyFill="1" applyBorder="1" applyAlignment="1">
      <alignment horizontal="center" vertical="center"/>
    </xf>
    <xf numFmtId="49" fontId="1" fillId="2" borderId="20" xfId="0" applyNumberFormat="1" applyFont="1" applyFill="1" applyBorder="1" applyAlignment="1">
      <alignment horizontal="center" vertical="center"/>
    </xf>
    <xf numFmtId="49" fontId="1" fillId="2" borderId="21" xfId="0" applyNumberFormat="1" applyFont="1" applyFill="1" applyBorder="1" applyAlignment="1">
      <alignment horizontal="center" vertical="center"/>
    </xf>
    <xf numFmtId="49" fontId="0" fillId="0" borderId="20" xfId="0" applyNumberFormat="1" applyFont="1" applyFill="1" applyBorder="1" applyAlignment="1">
      <alignment horizontal="center" vertical="center"/>
    </xf>
    <xf numFmtId="49" fontId="1" fillId="0" borderId="21" xfId="0" applyNumberFormat="1" applyFont="1" applyFill="1" applyBorder="1" applyAlignment="1">
      <alignment horizontal="center" vertical="center"/>
    </xf>
    <xf numFmtId="164" fontId="1" fillId="0" borderId="0" xfId="0" applyNumberFormat="1" applyFont="1" applyFill="1" applyBorder="1" applyAlignment="1">
      <alignment horizontal="center" vertical="center"/>
    </xf>
    <xf numFmtId="164" fontId="1" fillId="0" borderId="12" xfId="0" applyNumberFormat="1" applyFont="1" applyFill="1" applyBorder="1" applyAlignment="1">
      <alignment horizontal="center" vertical="center"/>
    </xf>
    <xf numFmtId="164" fontId="1" fillId="0" borderId="8" xfId="0" applyNumberFormat="1" applyFont="1" applyFill="1" applyBorder="1" applyAlignment="1">
      <alignment horizontal="center" vertical="center"/>
    </xf>
    <xf numFmtId="164" fontId="1" fillId="0" borderId="11" xfId="0" applyNumberFormat="1" applyFont="1" applyFill="1" applyBorder="1" applyAlignment="1">
      <alignment horizontal="center" vertical="center"/>
    </xf>
    <xf numFmtId="164" fontId="1" fillId="0" borderId="17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2" fillId="0" borderId="15" xfId="0" applyNumberFormat="1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164" fontId="2" fillId="0" borderId="8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4" fillId="0" borderId="10" xfId="0" applyNumberFormat="1" applyFont="1" applyFill="1" applyBorder="1" applyAlignment="1">
      <alignment horizontal="center" vertical="center"/>
    </xf>
    <xf numFmtId="49" fontId="4" fillId="0" borderId="10" xfId="0" applyNumberFormat="1" applyFont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 wrapText="1"/>
    </xf>
    <xf numFmtId="49" fontId="3" fillId="0" borderId="13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49" fontId="3" fillId="0" borderId="14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alcChain" Target="calcChain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2A5C43-7B97-4D68-B342-CE06C1E09816}">
  <dimension ref="A1:U84"/>
  <sheetViews>
    <sheetView workbookViewId="0">
      <selection activeCell="E68" sqref="E68"/>
    </sheetView>
  </sheetViews>
  <sheetFormatPr baseColWidth="10" defaultColWidth="9.1640625" defaultRowHeight="13"/>
  <cols>
    <col min="1" max="1" width="7.1640625" style="5" bestFit="1" customWidth="1"/>
    <col min="2" max="2" width="22.6640625" style="5" bestFit="1" customWidth="1"/>
    <col min="3" max="3" width="28.6640625" style="5" bestFit="1" customWidth="1"/>
    <col min="4" max="4" width="20.83203125" style="5" bestFit="1" customWidth="1"/>
    <col min="5" max="5" width="10.1640625" style="5" bestFit="1" customWidth="1"/>
    <col min="6" max="6" width="28.6640625" style="5" bestFit="1" customWidth="1"/>
    <col min="7" max="9" width="5.5" style="6" customWidth="1"/>
    <col min="10" max="10" width="4.5" style="6" customWidth="1"/>
    <col min="11" max="13" width="5.5" style="6" customWidth="1"/>
    <col min="14" max="14" width="4.5" style="6" customWidth="1"/>
    <col min="15" max="17" width="5.5" style="6" customWidth="1"/>
    <col min="18" max="18" width="4.5" style="6" customWidth="1"/>
    <col min="19" max="19" width="7.6640625" style="36" bestFit="1" customWidth="1"/>
    <col min="20" max="20" width="8.5" style="6" bestFit="1" customWidth="1"/>
    <col min="21" max="21" width="20.33203125" style="5" bestFit="1" customWidth="1"/>
    <col min="22" max="16384" width="9.1640625" style="3"/>
  </cols>
  <sheetData>
    <row r="1" spans="1:21" s="2" customFormat="1" ht="29" customHeight="1">
      <c r="A1" s="53" t="s">
        <v>674</v>
      </c>
      <c r="B1" s="54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6"/>
    </row>
    <row r="2" spans="1:21" s="2" customFormat="1" ht="62" customHeight="1" thickBot="1">
      <c r="A2" s="57"/>
      <c r="B2" s="58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60"/>
    </row>
    <row r="3" spans="1:21" s="1" customFormat="1" ht="12.75" customHeight="1">
      <c r="A3" s="61" t="s">
        <v>730</v>
      </c>
      <c r="B3" s="43" t="s">
        <v>0</v>
      </c>
      <c r="C3" s="63" t="s">
        <v>731</v>
      </c>
      <c r="D3" s="63" t="s">
        <v>6</v>
      </c>
      <c r="E3" s="47" t="s">
        <v>732</v>
      </c>
      <c r="F3" s="47" t="s">
        <v>5</v>
      </c>
      <c r="G3" s="47" t="s">
        <v>7</v>
      </c>
      <c r="H3" s="47"/>
      <c r="I3" s="47"/>
      <c r="J3" s="47"/>
      <c r="K3" s="47" t="s">
        <v>8</v>
      </c>
      <c r="L3" s="47"/>
      <c r="M3" s="47"/>
      <c r="N3" s="47"/>
      <c r="O3" s="47" t="s">
        <v>9</v>
      </c>
      <c r="P3" s="47"/>
      <c r="Q3" s="47"/>
      <c r="R3" s="47"/>
      <c r="S3" s="45" t="s">
        <v>1</v>
      </c>
      <c r="T3" s="47" t="s">
        <v>3</v>
      </c>
      <c r="U3" s="49" t="s">
        <v>2</v>
      </c>
    </row>
    <row r="4" spans="1:21" s="1" customFormat="1" ht="21" customHeight="1" thickBot="1">
      <c r="A4" s="62"/>
      <c r="B4" s="44"/>
      <c r="C4" s="48"/>
      <c r="D4" s="48"/>
      <c r="E4" s="48"/>
      <c r="F4" s="48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">
        <v>1</v>
      </c>
      <c r="P4" s="4">
        <v>2</v>
      </c>
      <c r="Q4" s="4">
        <v>3</v>
      </c>
      <c r="R4" s="4" t="s">
        <v>4</v>
      </c>
      <c r="S4" s="46"/>
      <c r="T4" s="48"/>
      <c r="U4" s="50"/>
    </row>
    <row r="5" spans="1:21" ht="16">
      <c r="A5" s="51" t="s">
        <v>83</v>
      </c>
      <c r="B5" s="51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</row>
    <row r="6" spans="1:21">
      <c r="A6" s="8" t="s">
        <v>29</v>
      </c>
      <c r="B6" s="7" t="s">
        <v>84</v>
      </c>
      <c r="C6" s="7" t="s">
        <v>85</v>
      </c>
      <c r="D6" s="7" t="s">
        <v>86</v>
      </c>
      <c r="E6" s="7" t="s">
        <v>733</v>
      </c>
      <c r="F6" s="7" t="s">
        <v>680</v>
      </c>
      <c r="G6" s="17" t="s">
        <v>87</v>
      </c>
      <c r="H6" s="17" t="s">
        <v>88</v>
      </c>
      <c r="I6" s="18" t="s">
        <v>80</v>
      </c>
      <c r="J6" s="8"/>
      <c r="K6" s="17" t="s">
        <v>89</v>
      </c>
      <c r="L6" s="17" t="s">
        <v>90</v>
      </c>
      <c r="M6" s="18" t="s">
        <v>91</v>
      </c>
      <c r="N6" s="8"/>
      <c r="O6" s="17" t="s">
        <v>87</v>
      </c>
      <c r="P6" s="17" t="s">
        <v>88</v>
      </c>
      <c r="Q6" s="17" t="s">
        <v>80</v>
      </c>
      <c r="R6" s="8"/>
      <c r="S6" s="37" t="str">
        <f>"252,5"</f>
        <v>252,5</v>
      </c>
      <c r="T6" s="8" t="str">
        <f>"322,4173"</f>
        <v>322,4173</v>
      </c>
      <c r="U6" s="7" t="s">
        <v>683</v>
      </c>
    </row>
    <row r="7" spans="1:21">
      <c r="A7" s="10" t="s">
        <v>203</v>
      </c>
      <c r="B7" s="9" t="s">
        <v>206</v>
      </c>
      <c r="C7" s="9" t="s">
        <v>207</v>
      </c>
      <c r="D7" s="9" t="s">
        <v>208</v>
      </c>
      <c r="E7" s="9" t="s">
        <v>733</v>
      </c>
      <c r="F7" s="9" t="s">
        <v>167</v>
      </c>
      <c r="G7" s="20" t="s">
        <v>209</v>
      </c>
      <c r="H7" s="19" t="s">
        <v>209</v>
      </c>
      <c r="I7" s="20" t="s">
        <v>87</v>
      </c>
      <c r="J7" s="10"/>
      <c r="K7" s="19" t="s">
        <v>91</v>
      </c>
      <c r="L7" s="20" t="s">
        <v>96</v>
      </c>
      <c r="M7" s="20" t="s">
        <v>96</v>
      </c>
      <c r="N7" s="10"/>
      <c r="O7" s="19" t="s">
        <v>77</v>
      </c>
      <c r="P7" s="20" t="s">
        <v>80</v>
      </c>
      <c r="Q7" s="20" t="s">
        <v>80</v>
      </c>
      <c r="R7" s="10"/>
      <c r="S7" s="38" t="str">
        <f>"227,5"</f>
        <v>227,5</v>
      </c>
      <c r="T7" s="10" t="str">
        <f>"284,8755"</f>
        <v>284,8755</v>
      </c>
      <c r="U7" s="9" t="s">
        <v>684</v>
      </c>
    </row>
    <row r="8" spans="1:21">
      <c r="B8" s="5" t="s">
        <v>30</v>
      </c>
    </row>
    <row r="9" spans="1:21" ht="16">
      <c r="A9" s="41" t="s">
        <v>210</v>
      </c>
      <c r="B9" s="41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</row>
    <row r="10" spans="1:21">
      <c r="A10" s="21" t="s">
        <v>29</v>
      </c>
      <c r="B10" s="15" t="s">
        <v>211</v>
      </c>
      <c r="C10" s="15" t="s">
        <v>212</v>
      </c>
      <c r="D10" s="15" t="s">
        <v>213</v>
      </c>
      <c r="E10" s="15" t="s">
        <v>733</v>
      </c>
      <c r="F10" s="15" t="s">
        <v>214</v>
      </c>
      <c r="G10" s="23" t="s">
        <v>209</v>
      </c>
      <c r="H10" s="22" t="s">
        <v>209</v>
      </c>
      <c r="I10" s="23" t="s">
        <v>215</v>
      </c>
      <c r="J10" s="21"/>
      <c r="K10" s="22" t="s">
        <v>216</v>
      </c>
      <c r="L10" s="23" t="s">
        <v>119</v>
      </c>
      <c r="M10" s="23" t="s">
        <v>119</v>
      </c>
      <c r="N10" s="21"/>
      <c r="O10" s="22" t="s">
        <v>78</v>
      </c>
      <c r="P10" s="23" t="s">
        <v>132</v>
      </c>
      <c r="Q10" s="23" t="s">
        <v>132</v>
      </c>
      <c r="R10" s="21"/>
      <c r="S10" s="39" t="str">
        <f>"245,0"</f>
        <v>245,0</v>
      </c>
      <c r="T10" s="21" t="str">
        <f>"288,6835"</f>
        <v>288,6835</v>
      </c>
      <c r="U10" s="15" t="s">
        <v>685</v>
      </c>
    </row>
    <row r="11" spans="1:21">
      <c r="B11" s="5" t="s">
        <v>30</v>
      </c>
    </row>
    <row r="12" spans="1:21" ht="16">
      <c r="A12" s="41" t="s">
        <v>31</v>
      </c>
      <c r="B12" s="41"/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42"/>
      <c r="P12" s="42"/>
      <c r="Q12" s="42"/>
      <c r="R12" s="42"/>
    </row>
    <row r="13" spans="1:21">
      <c r="A13" s="8" t="s">
        <v>29</v>
      </c>
      <c r="B13" s="7" t="s">
        <v>217</v>
      </c>
      <c r="C13" s="7" t="s">
        <v>218</v>
      </c>
      <c r="D13" s="7" t="s">
        <v>219</v>
      </c>
      <c r="E13" s="7" t="s">
        <v>733</v>
      </c>
      <c r="F13" s="7" t="s">
        <v>52</v>
      </c>
      <c r="G13" s="17" t="s">
        <v>88</v>
      </c>
      <c r="H13" s="18" t="s">
        <v>95</v>
      </c>
      <c r="I13" s="17" t="s">
        <v>95</v>
      </c>
      <c r="J13" s="8"/>
      <c r="K13" s="17" t="s">
        <v>216</v>
      </c>
      <c r="L13" s="17" t="s">
        <v>131</v>
      </c>
      <c r="M13" s="18" t="s">
        <v>119</v>
      </c>
      <c r="N13" s="8"/>
      <c r="O13" s="17" t="s">
        <v>132</v>
      </c>
      <c r="P13" s="17" t="s">
        <v>124</v>
      </c>
      <c r="Q13" s="17" t="s">
        <v>120</v>
      </c>
      <c r="R13" s="8"/>
      <c r="S13" s="37" t="str">
        <f>"297,5"</f>
        <v>297,5</v>
      </c>
      <c r="T13" s="8" t="str">
        <f>"341,9465"</f>
        <v>341,9465</v>
      </c>
      <c r="U13" s="7" t="s">
        <v>182</v>
      </c>
    </row>
    <row r="14" spans="1:21">
      <c r="A14" s="25" t="s">
        <v>203</v>
      </c>
      <c r="B14" s="24" t="s">
        <v>92</v>
      </c>
      <c r="C14" s="24" t="s">
        <v>93</v>
      </c>
      <c r="D14" s="24" t="s">
        <v>94</v>
      </c>
      <c r="E14" s="24" t="s">
        <v>733</v>
      </c>
      <c r="F14" s="24" t="s">
        <v>680</v>
      </c>
      <c r="G14" s="26" t="s">
        <v>87</v>
      </c>
      <c r="H14" s="26" t="s">
        <v>88</v>
      </c>
      <c r="I14" s="26" t="s">
        <v>95</v>
      </c>
      <c r="J14" s="25"/>
      <c r="K14" s="26" t="s">
        <v>91</v>
      </c>
      <c r="L14" s="26" t="s">
        <v>96</v>
      </c>
      <c r="M14" s="27" t="s">
        <v>97</v>
      </c>
      <c r="N14" s="25"/>
      <c r="O14" s="26" t="s">
        <v>87</v>
      </c>
      <c r="P14" s="26" t="s">
        <v>78</v>
      </c>
      <c r="Q14" s="27" t="s">
        <v>98</v>
      </c>
      <c r="R14" s="25"/>
      <c r="S14" s="40" t="str">
        <f>"260,0"</f>
        <v>260,0</v>
      </c>
      <c r="T14" s="25" t="str">
        <f>"290,2380"</f>
        <v>290,2380</v>
      </c>
      <c r="U14" s="24" t="s">
        <v>683</v>
      </c>
    </row>
    <row r="15" spans="1:21">
      <c r="A15" s="10" t="s">
        <v>204</v>
      </c>
      <c r="B15" s="9" t="s">
        <v>220</v>
      </c>
      <c r="C15" s="9" t="s">
        <v>221</v>
      </c>
      <c r="D15" s="9" t="s">
        <v>222</v>
      </c>
      <c r="E15" s="9" t="s">
        <v>733</v>
      </c>
      <c r="F15" s="9" t="s">
        <v>223</v>
      </c>
      <c r="G15" s="19" t="s">
        <v>39</v>
      </c>
      <c r="H15" s="19" t="s">
        <v>224</v>
      </c>
      <c r="I15" s="19" t="s">
        <v>110</v>
      </c>
      <c r="J15" s="10"/>
      <c r="K15" s="19" t="s">
        <v>90</v>
      </c>
      <c r="L15" s="19" t="s">
        <v>96</v>
      </c>
      <c r="M15" s="20" t="s">
        <v>97</v>
      </c>
      <c r="N15" s="10"/>
      <c r="O15" s="19" t="s">
        <v>129</v>
      </c>
      <c r="P15" s="19" t="s">
        <v>88</v>
      </c>
      <c r="Q15" s="20" t="s">
        <v>81</v>
      </c>
      <c r="R15" s="10"/>
      <c r="S15" s="38" t="str">
        <f>"237,5"</f>
        <v>237,5</v>
      </c>
      <c r="T15" s="10" t="str">
        <f>"267,9238"</f>
        <v>267,9238</v>
      </c>
      <c r="U15" s="9" t="s">
        <v>225</v>
      </c>
    </row>
    <row r="16" spans="1:21">
      <c r="B16" s="5" t="s">
        <v>30</v>
      </c>
    </row>
    <row r="17" spans="1:21" ht="16">
      <c r="A17" s="41" t="s">
        <v>72</v>
      </c>
      <c r="B17" s="41"/>
      <c r="C17" s="42"/>
      <c r="D17" s="42"/>
      <c r="E17" s="42"/>
      <c r="F17" s="42"/>
      <c r="G17" s="42"/>
      <c r="H17" s="42"/>
      <c r="I17" s="42"/>
      <c r="J17" s="42"/>
      <c r="K17" s="42"/>
      <c r="L17" s="42"/>
      <c r="M17" s="42"/>
      <c r="N17" s="42"/>
      <c r="O17" s="42"/>
      <c r="P17" s="42"/>
      <c r="Q17" s="42"/>
      <c r="R17" s="42"/>
    </row>
    <row r="18" spans="1:21">
      <c r="A18" s="8" t="s">
        <v>29</v>
      </c>
      <c r="B18" s="7" t="s">
        <v>226</v>
      </c>
      <c r="C18" s="7" t="s">
        <v>227</v>
      </c>
      <c r="D18" s="7" t="s">
        <v>228</v>
      </c>
      <c r="E18" s="7" t="s">
        <v>733</v>
      </c>
      <c r="F18" s="7" t="s">
        <v>76</v>
      </c>
      <c r="G18" s="17" t="s">
        <v>116</v>
      </c>
      <c r="H18" s="17" t="s">
        <v>81</v>
      </c>
      <c r="I18" s="17" t="s">
        <v>124</v>
      </c>
      <c r="J18" s="8"/>
      <c r="K18" s="17" t="s">
        <v>229</v>
      </c>
      <c r="L18" s="17" t="s">
        <v>109</v>
      </c>
      <c r="M18" s="17" t="s">
        <v>224</v>
      </c>
      <c r="N18" s="8"/>
      <c r="O18" s="17" t="s">
        <v>124</v>
      </c>
      <c r="P18" s="17" t="s">
        <v>120</v>
      </c>
      <c r="Q18" s="17" t="s">
        <v>142</v>
      </c>
      <c r="R18" s="8"/>
      <c r="S18" s="37" t="str">
        <f>"342,5"</f>
        <v>342,5</v>
      </c>
      <c r="T18" s="8" t="str">
        <f>"358,9057"</f>
        <v>358,9057</v>
      </c>
      <c r="U18" s="7" t="s">
        <v>230</v>
      </c>
    </row>
    <row r="19" spans="1:21">
      <c r="A19" s="25" t="s">
        <v>203</v>
      </c>
      <c r="B19" s="24" t="s">
        <v>231</v>
      </c>
      <c r="C19" s="24" t="s">
        <v>232</v>
      </c>
      <c r="D19" s="24" t="s">
        <v>233</v>
      </c>
      <c r="E19" s="24" t="s">
        <v>733</v>
      </c>
      <c r="F19" s="24" t="s">
        <v>681</v>
      </c>
      <c r="G19" s="26" t="s">
        <v>78</v>
      </c>
      <c r="H19" s="27" t="s">
        <v>80</v>
      </c>
      <c r="I19" s="26" t="s">
        <v>80</v>
      </c>
      <c r="J19" s="25"/>
      <c r="K19" s="26" t="s">
        <v>131</v>
      </c>
      <c r="L19" s="27" t="s">
        <v>119</v>
      </c>
      <c r="M19" s="25"/>
      <c r="N19" s="25"/>
      <c r="O19" s="26" t="s">
        <v>80</v>
      </c>
      <c r="P19" s="26" t="s">
        <v>81</v>
      </c>
      <c r="Q19" s="27" t="s">
        <v>117</v>
      </c>
      <c r="R19" s="25"/>
      <c r="S19" s="40" t="str">
        <f>"290,0"</f>
        <v>290,0</v>
      </c>
      <c r="T19" s="25" t="str">
        <f>"295,9740"</f>
        <v>295,9740</v>
      </c>
      <c r="U19" s="24" t="s">
        <v>686</v>
      </c>
    </row>
    <row r="20" spans="1:21">
      <c r="A20" s="25" t="s">
        <v>204</v>
      </c>
      <c r="B20" s="24" t="s">
        <v>234</v>
      </c>
      <c r="C20" s="24" t="s">
        <v>235</v>
      </c>
      <c r="D20" s="24" t="s">
        <v>236</v>
      </c>
      <c r="E20" s="24" t="s">
        <v>733</v>
      </c>
      <c r="F20" s="24" t="s">
        <v>52</v>
      </c>
      <c r="G20" s="27" t="s">
        <v>129</v>
      </c>
      <c r="H20" s="26" t="s">
        <v>129</v>
      </c>
      <c r="I20" s="27" t="s">
        <v>77</v>
      </c>
      <c r="J20" s="25"/>
      <c r="K20" s="26" t="s">
        <v>97</v>
      </c>
      <c r="L20" s="26" t="s">
        <v>216</v>
      </c>
      <c r="M20" s="27" t="s">
        <v>131</v>
      </c>
      <c r="N20" s="25"/>
      <c r="O20" s="27" t="s">
        <v>132</v>
      </c>
      <c r="P20" s="27" t="s">
        <v>81</v>
      </c>
      <c r="Q20" s="26" t="s">
        <v>81</v>
      </c>
      <c r="R20" s="25"/>
      <c r="S20" s="40" t="str">
        <f>"265,0"</f>
        <v>265,0</v>
      </c>
      <c r="T20" s="25" t="str">
        <f>"290,5990"</f>
        <v>290,5990</v>
      </c>
      <c r="U20" s="24" t="s">
        <v>687</v>
      </c>
    </row>
    <row r="21" spans="1:21">
      <c r="A21" s="25" t="s">
        <v>205</v>
      </c>
      <c r="B21" s="24" t="s">
        <v>106</v>
      </c>
      <c r="C21" s="24" t="s">
        <v>107</v>
      </c>
      <c r="D21" s="24" t="s">
        <v>108</v>
      </c>
      <c r="E21" s="24" t="s">
        <v>733</v>
      </c>
      <c r="F21" s="24" t="s">
        <v>680</v>
      </c>
      <c r="G21" s="26" t="s">
        <v>109</v>
      </c>
      <c r="H21" s="26" t="s">
        <v>110</v>
      </c>
      <c r="I21" s="27" t="s">
        <v>87</v>
      </c>
      <c r="J21" s="25"/>
      <c r="K21" s="26" t="s">
        <v>91</v>
      </c>
      <c r="L21" s="27" t="s">
        <v>97</v>
      </c>
      <c r="M21" s="27" t="s">
        <v>97</v>
      </c>
      <c r="N21" s="25"/>
      <c r="O21" s="26" t="s">
        <v>78</v>
      </c>
      <c r="P21" s="26" t="s">
        <v>98</v>
      </c>
      <c r="Q21" s="27" t="s">
        <v>111</v>
      </c>
      <c r="R21" s="25"/>
      <c r="S21" s="40" t="str">
        <f>"242,5"</f>
        <v>242,5</v>
      </c>
      <c r="T21" s="25" t="str">
        <f>"256,1770"</f>
        <v>256,1770</v>
      </c>
      <c r="U21" s="24" t="s">
        <v>683</v>
      </c>
    </row>
    <row r="22" spans="1:21">
      <c r="A22" s="25" t="s">
        <v>71</v>
      </c>
      <c r="B22" s="24" t="s">
        <v>237</v>
      </c>
      <c r="C22" s="24" t="s">
        <v>238</v>
      </c>
      <c r="D22" s="24" t="s">
        <v>239</v>
      </c>
      <c r="E22" s="24" t="s">
        <v>733</v>
      </c>
      <c r="F22" s="24" t="s">
        <v>223</v>
      </c>
      <c r="G22" s="27" t="s">
        <v>120</v>
      </c>
      <c r="H22" s="27" t="s">
        <v>120</v>
      </c>
      <c r="I22" s="27" t="s">
        <v>120</v>
      </c>
      <c r="J22" s="25"/>
      <c r="K22" s="27"/>
      <c r="L22" s="25"/>
      <c r="M22" s="25"/>
      <c r="N22" s="25"/>
      <c r="O22" s="27"/>
      <c r="P22" s="25"/>
      <c r="Q22" s="25"/>
      <c r="R22" s="25"/>
      <c r="S22" s="40">
        <v>0</v>
      </c>
      <c r="T22" s="25" t="str">
        <f>"0,0000"</f>
        <v>0,0000</v>
      </c>
      <c r="U22" s="24" t="s">
        <v>225</v>
      </c>
    </row>
    <row r="23" spans="1:21">
      <c r="A23" s="10" t="s">
        <v>29</v>
      </c>
      <c r="B23" s="9" t="s">
        <v>226</v>
      </c>
      <c r="C23" s="9" t="s">
        <v>646</v>
      </c>
      <c r="D23" s="9" t="s">
        <v>228</v>
      </c>
      <c r="E23" s="9" t="s">
        <v>734</v>
      </c>
      <c r="F23" s="9" t="s">
        <v>76</v>
      </c>
      <c r="G23" s="19" t="s">
        <v>116</v>
      </c>
      <c r="H23" s="19" t="s">
        <v>81</v>
      </c>
      <c r="I23" s="19" t="s">
        <v>124</v>
      </c>
      <c r="J23" s="10"/>
      <c r="K23" s="19" t="s">
        <v>229</v>
      </c>
      <c r="L23" s="19" t="s">
        <v>109</v>
      </c>
      <c r="M23" s="19" t="s">
        <v>224</v>
      </c>
      <c r="N23" s="10"/>
      <c r="O23" s="19" t="s">
        <v>124</v>
      </c>
      <c r="P23" s="19" t="s">
        <v>120</v>
      </c>
      <c r="Q23" s="19" t="s">
        <v>142</v>
      </c>
      <c r="R23" s="10"/>
      <c r="S23" s="38" t="str">
        <f>"342,5"</f>
        <v>342,5</v>
      </c>
      <c r="T23" s="10" t="str">
        <f>"393,3607"</f>
        <v>393,3607</v>
      </c>
      <c r="U23" s="9" t="s">
        <v>230</v>
      </c>
    </row>
    <row r="24" spans="1:21">
      <c r="B24" s="5" t="s">
        <v>30</v>
      </c>
    </row>
    <row r="25" spans="1:21" ht="16">
      <c r="A25" s="41" t="s">
        <v>112</v>
      </c>
      <c r="B25" s="41"/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</row>
    <row r="26" spans="1:21">
      <c r="A26" s="8" t="s">
        <v>29</v>
      </c>
      <c r="B26" s="7" t="s">
        <v>113</v>
      </c>
      <c r="C26" s="7" t="s">
        <v>114</v>
      </c>
      <c r="D26" s="7" t="s">
        <v>115</v>
      </c>
      <c r="E26" s="7" t="s">
        <v>733</v>
      </c>
      <c r="F26" s="7" t="s">
        <v>680</v>
      </c>
      <c r="G26" s="17" t="s">
        <v>95</v>
      </c>
      <c r="H26" s="17" t="s">
        <v>116</v>
      </c>
      <c r="I26" s="18" t="s">
        <v>117</v>
      </c>
      <c r="J26" s="8"/>
      <c r="K26" s="17" t="s">
        <v>118</v>
      </c>
      <c r="L26" s="18" t="s">
        <v>119</v>
      </c>
      <c r="M26" s="18" t="s">
        <v>119</v>
      </c>
      <c r="N26" s="8"/>
      <c r="O26" s="17" t="s">
        <v>120</v>
      </c>
      <c r="P26" s="17" t="s">
        <v>35</v>
      </c>
      <c r="Q26" s="17" t="s">
        <v>40</v>
      </c>
      <c r="R26" s="8"/>
      <c r="S26" s="37" t="str">
        <f>"330,0"</f>
        <v>330,0</v>
      </c>
      <c r="T26" s="8" t="str">
        <f>"315,8430"</f>
        <v>315,8430</v>
      </c>
      <c r="U26" s="7" t="s">
        <v>683</v>
      </c>
    </row>
    <row r="27" spans="1:21">
      <c r="A27" s="10" t="s">
        <v>203</v>
      </c>
      <c r="B27" s="9" t="s">
        <v>121</v>
      </c>
      <c r="C27" s="9" t="s">
        <v>122</v>
      </c>
      <c r="D27" s="9" t="s">
        <v>123</v>
      </c>
      <c r="E27" s="9" t="s">
        <v>733</v>
      </c>
      <c r="F27" s="9" t="s">
        <v>680</v>
      </c>
      <c r="G27" s="19" t="s">
        <v>80</v>
      </c>
      <c r="H27" s="19" t="s">
        <v>81</v>
      </c>
      <c r="I27" s="20" t="s">
        <v>124</v>
      </c>
      <c r="J27" s="10"/>
      <c r="K27" s="19" t="s">
        <v>118</v>
      </c>
      <c r="L27" s="19" t="s">
        <v>119</v>
      </c>
      <c r="M27" s="20" t="s">
        <v>125</v>
      </c>
      <c r="N27" s="10"/>
      <c r="O27" s="19" t="s">
        <v>120</v>
      </c>
      <c r="P27" s="20" t="s">
        <v>35</v>
      </c>
      <c r="Q27" s="20" t="s">
        <v>35</v>
      </c>
      <c r="R27" s="10"/>
      <c r="S27" s="38" t="str">
        <f>"312,5"</f>
        <v>312,5</v>
      </c>
      <c r="T27" s="10" t="str">
        <f>"297,0625"</f>
        <v>297,0625</v>
      </c>
      <c r="U27" s="9" t="s">
        <v>683</v>
      </c>
    </row>
    <row r="28" spans="1:21">
      <c r="B28" s="5" t="s">
        <v>30</v>
      </c>
    </row>
    <row r="29" spans="1:21" ht="16">
      <c r="A29" s="41" t="s">
        <v>42</v>
      </c>
      <c r="B29" s="41"/>
      <c r="C29" s="42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2"/>
    </row>
    <row r="30" spans="1:21">
      <c r="A30" s="21" t="s">
        <v>29</v>
      </c>
      <c r="B30" s="15" t="s">
        <v>240</v>
      </c>
      <c r="C30" s="15" t="s">
        <v>241</v>
      </c>
      <c r="D30" s="15" t="s">
        <v>242</v>
      </c>
      <c r="E30" s="15" t="s">
        <v>733</v>
      </c>
      <c r="F30" s="15" t="s">
        <v>52</v>
      </c>
      <c r="G30" s="23" t="s">
        <v>78</v>
      </c>
      <c r="H30" s="22" t="s">
        <v>132</v>
      </c>
      <c r="I30" s="22" t="s">
        <v>111</v>
      </c>
      <c r="J30" s="21"/>
      <c r="K30" s="22" t="s">
        <v>96</v>
      </c>
      <c r="L30" s="22" t="s">
        <v>130</v>
      </c>
      <c r="M30" s="23" t="s">
        <v>118</v>
      </c>
      <c r="N30" s="21"/>
      <c r="O30" s="22" t="s">
        <v>81</v>
      </c>
      <c r="P30" s="22" t="s">
        <v>143</v>
      </c>
      <c r="Q30" s="21"/>
      <c r="R30" s="21"/>
      <c r="S30" s="39" t="str">
        <f>"315,0"</f>
        <v>315,0</v>
      </c>
      <c r="T30" s="21" t="str">
        <f>"273,9870"</f>
        <v>273,9870</v>
      </c>
      <c r="U30" s="15" t="s">
        <v>243</v>
      </c>
    </row>
    <row r="31" spans="1:21">
      <c r="B31" s="5" t="s">
        <v>30</v>
      </c>
    </row>
    <row r="32" spans="1:21" ht="16">
      <c r="A32" s="41" t="s">
        <v>244</v>
      </c>
      <c r="B32" s="41"/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</row>
    <row r="33" spans="1:21">
      <c r="A33" s="21" t="s">
        <v>29</v>
      </c>
      <c r="B33" s="15" t="s">
        <v>245</v>
      </c>
      <c r="C33" s="15" t="s">
        <v>246</v>
      </c>
      <c r="D33" s="15" t="s">
        <v>247</v>
      </c>
      <c r="E33" s="15" t="s">
        <v>733</v>
      </c>
      <c r="F33" s="15" t="s">
        <v>681</v>
      </c>
      <c r="G33" s="22" t="s">
        <v>77</v>
      </c>
      <c r="H33" s="23" t="s">
        <v>98</v>
      </c>
      <c r="I33" s="22" t="s">
        <v>98</v>
      </c>
      <c r="J33" s="21"/>
      <c r="K33" s="22" t="s">
        <v>131</v>
      </c>
      <c r="L33" s="22" t="s">
        <v>37</v>
      </c>
      <c r="M33" s="23" t="s">
        <v>125</v>
      </c>
      <c r="N33" s="21"/>
      <c r="O33" s="22" t="s">
        <v>80</v>
      </c>
      <c r="P33" s="22" t="s">
        <v>81</v>
      </c>
      <c r="Q33" s="23" t="s">
        <v>117</v>
      </c>
      <c r="R33" s="21"/>
      <c r="S33" s="39" t="str">
        <f>"297,5"</f>
        <v>297,5</v>
      </c>
      <c r="T33" s="21" t="str">
        <f>"240,1420"</f>
        <v>240,1420</v>
      </c>
      <c r="U33" s="15" t="s">
        <v>686</v>
      </c>
    </row>
    <row r="34" spans="1:21">
      <c r="B34" s="5" t="s">
        <v>30</v>
      </c>
    </row>
    <row r="35" spans="1:21" ht="16">
      <c r="A35" s="41" t="s">
        <v>31</v>
      </c>
      <c r="B35" s="41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</row>
    <row r="36" spans="1:21">
      <c r="A36" s="21" t="s">
        <v>29</v>
      </c>
      <c r="B36" s="15" t="s">
        <v>248</v>
      </c>
      <c r="C36" s="15" t="s">
        <v>249</v>
      </c>
      <c r="D36" s="15" t="s">
        <v>250</v>
      </c>
      <c r="E36" s="15" t="s">
        <v>735</v>
      </c>
      <c r="F36" s="15" t="s">
        <v>681</v>
      </c>
      <c r="G36" s="22" t="s">
        <v>97</v>
      </c>
      <c r="H36" s="22" t="s">
        <v>131</v>
      </c>
      <c r="I36" s="22" t="s">
        <v>38</v>
      </c>
      <c r="J36" s="21"/>
      <c r="K36" s="22" t="s">
        <v>251</v>
      </c>
      <c r="L36" s="22" t="s">
        <v>90</v>
      </c>
      <c r="M36" s="23" t="s">
        <v>97</v>
      </c>
      <c r="N36" s="21"/>
      <c r="O36" s="22" t="s">
        <v>37</v>
      </c>
      <c r="P36" s="22" t="s">
        <v>39</v>
      </c>
      <c r="Q36" s="23" t="s">
        <v>209</v>
      </c>
      <c r="R36" s="21"/>
      <c r="S36" s="39" t="str">
        <f>"185,0"</f>
        <v>185,0</v>
      </c>
      <c r="T36" s="21" t="str">
        <f>"159,4885"</f>
        <v>159,4885</v>
      </c>
      <c r="U36" s="15" t="s">
        <v>688</v>
      </c>
    </row>
    <row r="37" spans="1:21">
      <c r="B37" s="5" t="s">
        <v>30</v>
      </c>
    </row>
    <row r="38" spans="1:21" ht="16">
      <c r="A38" s="41" t="s">
        <v>72</v>
      </c>
      <c r="B38" s="41"/>
      <c r="C38" s="42"/>
      <c r="D38" s="42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</row>
    <row r="39" spans="1:21">
      <c r="A39" s="21" t="s">
        <v>29</v>
      </c>
      <c r="B39" s="15" t="s">
        <v>252</v>
      </c>
      <c r="C39" s="15" t="s">
        <v>253</v>
      </c>
      <c r="D39" s="15" t="s">
        <v>75</v>
      </c>
      <c r="E39" s="15" t="s">
        <v>733</v>
      </c>
      <c r="F39" s="15" t="s">
        <v>167</v>
      </c>
      <c r="G39" s="23" t="s">
        <v>36</v>
      </c>
      <c r="H39" s="22" t="s">
        <v>36</v>
      </c>
      <c r="I39" s="23" t="s">
        <v>179</v>
      </c>
      <c r="J39" s="21"/>
      <c r="K39" s="23" t="s">
        <v>77</v>
      </c>
      <c r="L39" s="23" t="s">
        <v>88</v>
      </c>
      <c r="M39" s="22" t="s">
        <v>88</v>
      </c>
      <c r="N39" s="21"/>
      <c r="O39" s="22" t="s">
        <v>138</v>
      </c>
      <c r="P39" s="22" t="s">
        <v>171</v>
      </c>
      <c r="Q39" s="23" t="s">
        <v>17</v>
      </c>
      <c r="R39" s="21"/>
      <c r="S39" s="39" t="str">
        <f>"412,5"</f>
        <v>412,5</v>
      </c>
      <c r="T39" s="21" t="str">
        <f>"322,6987"</f>
        <v>322,6987</v>
      </c>
      <c r="U39" s="15"/>
    </row>
    <row r="40" spans="1:21">
      <c r="B40" s="5" t="s">
        <v>30</v>
      </c>
    </row>
    <row r="41" spans="1:21" ht="16">
      <c r="A41" s="41" t="s">
        <v>112</v>
      </c>
      <c r="B41" s="41"/>
      <c r="C41" s="42"/>
      <c r="D41" s="42"/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42"/>
      <c r="P41" s="42"/>
      <c r="Q41" s="42"/>
      <c r="R41" s="42"/>
    </row>
    <row r="42" spans="1:21">
      <c r="A42" s="21" t="s">
        <v>29</v>
      </c>
      <c r="B42" s="15" t="s">
        <v>254</v>
      </c>
      <c r="C42" s="15" t="s">
        <v>255</v>
      </c>
      <c r="D42" s="15" t="s">
        <v>256</v>
      </c>
      <c r="E42" s="15" t="s">
        <v>733</v>
      </c>
      <c r="F42" s="15" t="s">
        <v>681</v>
      </c>
      <c r="G42" s="22" t="s">
        <v>143</v>
      </c>
      <c r="H42" s="22" t="s">
        <v>40</v>
      </c>
      <c r="I42" s="22" t="s">
        <v>257</v>
      </c>
      <c r="J42" s="21"/>
      <c r="K42" s="22" t="s">
        <v>132</v>
      </c>
      <c r="L42" s="22" t="s">
        <v>111</v>
      </c>
      <c r="M42" s="22" t="s">
        <v>120</v>
      </c>
      <c r="N42" s="21"/>
      <c r="O42" s="23" t="s">
        <v>180</v>
      </c>
      <c r="P42" s="22" t="s">
        <v>103</v>
      </c>
      <c r="Q42" s="22" t="s">
        <v>47</v>
      </c>
      <c r="R42" s="21"/>
      <c r="S42" s="39" t="str">
        <f>"497,5"</f>
        <v>497,5</v>
      </c>
      <c r="T42" s="21" t="str">
        <f>"357,5035"</f>
        <v>357,5035</v>
      </c>
      <c r="U42" s="15" t="s">
        <v>686</v>
      </c>
    </row>
    <row r="43" spans="1:21">
      <c r="B43" s="5" t="s">
        <v>30</v>
      </c>
    </row>
    <row r="44" spans="1:21" ht="16">
      <c r="A44" s="41" t="s">
        <v>126</v>
      </c>
      <c r="B44" s="41"/>
      <c r="C44" s="42"/>
      <c r="D44" s="42"/>
      <c r="E44" s="42"/>
      <c r="F44" s="42"/>
      <c r="G44" s="42"/>
      <c r="H44" s="42"/>
      <c r="I44" s="42"/>
      <c r="J44" s="42"/>
      <c r="K44" s="42"/>
      <c r="L44" s="42"/>
      <c r="M44" s="42"/>
      <c r="N44" s="42"/>
      <c r="O44" s="42"/>
      <c r="P44" s="42"/>
      <c r="Q44" s="42"/>
      <c r="R44" s="42"/>
    </row>
    <row r="45" spans="1:21">
      <c r="A45" s="8" t="s">
        <v>29</v>
      </c>
      <c r="B45" s="7" t="s">
        <v>258</v>
      </c>
      <c r="C45" s="7" t="s">
        <v>259</v>
      </c>
      <c r="D45" s="7" t="s">
        <v>260</v>
      </c>
      <c r="E45" s="7" t="s">
        <v>733</v>
      </c>
      <c r="F45" s="7" t="s">
        <v>223</v>
      </c>
      <c r="G45" s="17" t="s">
        <v>65</v>
      </c>
      <c r="H45" s="17" t="s">
        <v>102</v>
      </c>
      <c r="I45" s="17" t="s">
        <v>261</v>
      </c>
      <c r="J45" s="8"/>
      <c r="K45" s="18" t="s">
        <v>170</v>
      </c>
      <c r="L45" s="17" t="s">
        <v>35</v>
      </c>
      <c r="M45" s="17" t="s">
        <v>138</v>
      </c>
      <c r="N45" s="8"/>
      <c r="O45" s="17" t="s">
        <v>148</v>
      </c>
      <c r="P45" s="17" t="s">
        <v>149</v>
      </c>
      <c r="Q45" s="18" t="s">
        <v>137</v>
      </c>
      <c r="R45" s="8"/>
      <c r="S45" s="37" t="str">
        <f>"567,5"</f>
        <v>567,5</v>
      </c>
      <c r="T45" s="8" t="str">
        <f>"383,8570"</f>
        <v>383,8570</v>
      </c>
      <c r="U45" s="7" t="s">
        <v>225</v>
      </c>
    </row>
    <row r="46" spans="1:21">
      <c r="A46" s="25" t="s">
        <v>203</v>
      </c>
      <c r="B46" s="24" t="s">
        <v>262</v>
      </c>
      <c r="C46" s="24" t="s">
        <v>263</v>
      </c>
      <c r="D46" s="24" t="s">
        <v>264</v>
      </c>
      <c r="E46" s="24" t="s">
        <v>733</v>
      </c>
      <c r="F46" s="24" t="s">
        <v>52</v>
      </c>
      <c r="G46" s="26" t="s">
        <v>120</v>
      </c>
      <c r="H46" s="26" t="s">
        <v>170</v>
      </c>
      <c r="I46" s="26" t="s">
        <v>138</v>
      </c>
      <c r="J46" s="25"/>
      <c r="K46" s="26" t="s">
        <v>215</v>
      </c>
      <c r="L46" s="26" t="s">
        <v>265</v>
      </c>
      <c r="M46" s="27" t="s">
        <v>78</v>
      </c>
      <c r="N46" s="25"/>
      <c r="O46" s="26" t="s">
        <v>143</v>
      </c>
      <c r="P46" s="26" t="s">
        <v>138</v>
      </c>
      <c r="Q46" s="26" t="s">
        <v>171</v>
      </c>
      <c r="R46" s="25"/>
      <c r="S46" s="40" t="str">
        <f>"405,0"</f>
        <v>405,0</v>
      </c>
      <c r="T46" s="25" t="str">
        <f>"273,3345"</f>
        <v>273,3345</v>
      </c>
      <c r="U46" s="24" t="s">
        <v>689</v>
      </c>
    </row>
    <row r="47" spans="1:21">
      <c r="A47" s="25" t="s">
        <v>71</v>
      </c>
      <c r="B47" s="24" t="s">
        <v>266</v>
      </c>
      <c r="C47" s="24" t="s">
        <v>267</v>
      </c>
      <c r="D47" s="24" t="s">
        <v>268</v>
      </c>
      <c r="E47" s="24" t="s">
        <v>733</v>
      </c>
      <c r="F47" s="24" t="s">
        <v>269</v>
      </c>
      <c r="G47" s="27" t="s">
        <v>148</v>
      </c>
      <c r="H47" s="27" t="s">
        <v>149</v>
      </c>
      <c r="I47" s="27" t="s">
        <v>149</v>
      </c>
      <c r="J47" s="25"/>
      <c r="K47" s="27"/>
      <c r="L47" s="25"/>
      <c r="M47" s="25"/>
      <c r="N47" s="25"/>
      <c r="O47" s="27"/>
      <c r="P47" s="25"/>
      <c r="Q47" s="25"/>
      <c r="R47" s="25"/>
      <c r="S47" s="40">
        <v>0</v>
      </c>
      <c r="T47" s="25" t="str">
        <f>"0,0000"</f>
        <v>0,0000</v>
      </c>
      <c r="U47" s="24"/>
    </row>
    <row r="48" spans="1:21">
      <c r="A48" s="10" t="s">
        <v>29</v>
      </c>
      <c r="B48" s="9" t="s">
        <v>270</v>
      </c>
      <c r="C48" s="9" t="s">
        <v>636</v>
      </c>
      <c r="D48" s="9" t="s">
        <v>264</v>
      </c>
      <c r="E48" s="9" t="s">
        <v>736</v>
      </c>
      <c r="F48" s="9" t="s">
        <v>52</v>
      </c>
      <c r="G48" s="19" t="s">
        <v>179</v>
      </c>
      <c r="H48" s="20" t="s">
        <v>17</v>
      </c>
      <c r="I48" s="20" t="s">
        <v>17</v>
      </c>
      <c r="J48" s="10"/>
      <c r="K48" s="19" t="s">
        <v>132</v>
      </c>
      <c r="L48" s="20" t="s">
        <v>117</v>
      </c>
      <c r="M48" s="20" t="s">
        <v>117</v>
      </c>
      <c r="N48" s="10"/>
      <c r="O48" s="19" t="s">
        <v>179</v>
      </c>
      <c r="P48" s="19" t="s">
        <v>17</v>
      </c>
      <c r="Q48" s="20" t="s">
        <v>65</v>
      </c>
      <c r="R48" s="10"/>
      <c r="S48" s="38" t="str">
        <f>"445,0"</f>
        <v>445,0</v>
      </c>
      <c r="T48" s="10" t="str">
        <f>"301,8322"</f>
        <v>301,8322</v>
      </c>
      <c r="U48" s="9"/>
    </row>
    <row r="49" spans="1:21">
      <c r="B49" s="5" t="s">
        <v>30</v>
      </c>
    </row>
    <row r="50" spans="1:21" ht="16">
      <c r="A50" s="41" t="s">
        <v>42</v>
      </c>
      <c r="B50" s="41"/>
      <c r="C50" s="42"/>
      <c r="D50" s="42"/>
      <c r="E50" s="42"/>
      <c r="F50" s="42"/>
      <c r="G50" s="42"/>
      <c r="H50" s="42"/>
      <c r="I50" s="42"/>
      <c r="J50" s="42"/>
      <c r="K50" s="42"/>
      <c r="L50" s="42"/>
      <c r="M50" s="42"/>
      <c r="N50" s="42"/>
      <c r="O50" s="42"/>
      <c r="P50" s="42"/>
      <c r="Q50" s="42"/>
      <c r="R50" s="42"/>
    </row>
    <row r="51" spans="1:21">
      <c r="A51" s="8" t="s">
        <v>29</v>
      </c>
      <c r="B51" s="7" t="s">
        <v>271</v>
      </c>
      <c r="C51" s="7" t="s">
        <v>272</v>
      </c>
      <c r="D51" s="7" t="s">
        <v>273</v>
      </c>
      <c r="E51" s="7" t="s">
        <v>733</v>
      </c>
      <c r="F51" s="7" t="s">
        <v>52</v>
      </c>
      <c r="G51" s="17" t="s">
        <v>46</v>
      </c>
      <c r="H51" s="17" t="s">
        <v>150</v>
      </c>
      <c r="I51" s="17" t="s">
        <v>48</v>
      </c>
      <c r="J51" s="8"/>
      <c r="K51" s="17" t="s">
        <v>142</v>
      </c>
      <c r="L51" s="17" t="s">
        <v>143</v>
      </c>
      <c r="M51" s="18" t="s">
        <v>170</v>
      </c>
      <c r="N51" s="8"/>
      <c r="O51" s="18" t="s">
        <v>137</v>
      </c>
      <c r="P51" s="17" t="s">
        <v>274</v>
      </c>
      <c r="Q51" s="17" t="s">
        <v>57</v>
      </c>
      <c r="R51" s="8"/>
      <c r="S51" s="37" t="str">
        <f>"605,0"</f>
        <v>605,0</v>
      </c>
      <c r="T51" s="8" t="str">
        <f>"387,3210"</f>
        <v>387,3210</v>
      </c>
      <c r="U51" s="7" t="s">
        <v>690</v>
      </c>
    </row>
    <row r="52" spans="1:21">
      <c r="A52" s="25" t="s">
        <v>203</v>
      </c>
      <c r="B52" s="24" t="s">
        <v>275</v>
      </c>
      <c r="C52" s="24" t="s">
        <v>276</v>
      </c>
      <c r="D52" s="24" t="s">
        <v>277</v>
      </c>
      <c r="E52" s="24" t="s">
        <v>733</v>
      </c>
      <c r="F52" s="24" t="s">
        <v>167</v>
      </c>
      <c r="G52" s="26" t="s">
        <v>180</v>
      </c>
      <c r="H52" s="26" t="s">
        <v>46</v>
      </c>
      <c r="I52" s="26" t="s">
        <v>104</v>
      </c>
      <c r="J52" s="25"/>
      <c r="K52" s="26" t="s">
        <v>35</v>
      </c>
      <c r="L52" s="26" t="s">
        <v>36</v>
      </c>
      <c r="M52" s="26" t="s">
        <v>171</v>
      </c>
      <c r="N52" s="25"/>
      <c r="O52" s="26" t="s">
        <v>19</v>
      </c>
      <c r="P52" s="26" t="s">
        <v>278</v>
      </c>
      <c r="Q52" s="27" t="s">
        <v>149</v>
      </c>
      <c r="R52" s="25"/>
      <c r="S52" s="40" t="str">
        <f>"575,0"</f>
        <v>575,0</v>
      </c>
      <c r="T52" s="25" t="str">
        <f>"374,8425"</f>
        <v>374,8425</v>
      </c>
      <c r="U52" s="24" t="s">
        <v>691</v>
      </c>
    </row>
    <row r="53" spans="1:21">
      <c r="A53" s="25" t="s">
        <v>204</v>
      </c>
      <c r="B53" s="24" t="s">
        <v>279</v>
      </c>
      <c r="C53" s="24" t="s">
        <v>280</v>
      </c>
      <c r="D53" s="24" t="s">
        <v>281</v>
      </c>
      <c r="E53" s="24" t="s">
        <v>733</v>
      </c>
      <c r="F53" s="24" t="s">
        <v>52</v>
      </c>
      <c r="G53" s="26" t="s">
        <v>65</v>
      </c>
      <c r="H53" s="26" t="s">
        <v>103</v>
      </c>
      <c r="I53" s="27" t="s">
        <v>282</v>
      </c>
      <c r="J53" s="25"/>
      <c r="K53" s="26" t="s">
        <v>120</v>
      </c>
      <c r="L53" s="26" t="s">
        <v>142</v>
      </c>
      <c r="M53" s="27" t="s">
        <v>143</v>
      </c>
      <c r="N53" s="25"/>
      <c r="O53" s="26" t="s">
        <v>181</v>
      </c>
      <c r="P53" s="26" t="s">
        <v>283</v>
      </c>
      <c r="Q53" s="26" t="s">
        <v>175</v>
      </c>
      <c r="R53" s="25"/>
      <c r="S53" s="40" t="str">
        <f>"545,0"</f>
        <v>545,0</v>
      </c>
      <c r="T53" s="25" t="str">
        <f>"349,5085"</f>
        <v>349,5085</v>
      </c>
      <c r="U53" s="24" t="s">
        <v>692</v>
      </c>
    </row>
    <row r="54" spans="1:21">
      <c r="A54" s="25" t="s">
        <v>205</v>
      </c>
      <c r="B54" s="24" t="s">
        <v>284</v>
      </c>
      <c r="C54" s="24" t="s">
        <v>285</v>
      </c>
      <c r="D54" s="24" t="s">
        <v>286</v>
      </c>
      <c r="E54" s="24" t="s">
        <v>733</v>
      </c>
      <c r="F54" s="24" t="s">
        <v>287</v>
      </c>
      <c r="G54" s="26" t="s">
        <v>138</v>
      </c>
      <c r="H54" s="26" t="s">
        <v>41</v>
      </c>
      <c r="I54" s="26" t="s">
        <v>65</v>
      </c>
      <c r="J54" s="25"/>
      <c r="K54" s="26" t="s">
        <v>98</v>
      </c>
      <c r="L54" s="26" t="s">
        <v>111</v>
      </c>
      <c r="M54" s="26" t="s">
        <v>288</v>
      </c>
      <c r="N54" s="25"/>
      <c r="O54" s="26" t="s">
        <v>46</v>
      </c>
      <c r="P54" s="26" t="s">
        <v>48</v>
      </c>
      <c r="Q54" s="26" t="s">
        <v>149</v>
      </c>
      <c r="R54" s="25"/>
      <c r="S54" s="40" t="str">
        <f>"537,5"</f>
        <v>537,5</v>
      </c>
      <c r="T54" s="25" t="str">
        <f>"352,9225"</f>
        <v>352,9225</v>
      </c>
      <c r="U54" s="24"/>
    </row>
    <row r="55" spans="1:21">
      <c r="A55" s="25" t="s">
        <v>321</v>
      </c>
      <c r="B55" s="24" t="s">
        <v>289</v>
      </c>
      <c r="C55" s="24" t="s">
        <v>290</v>
      </c>
      <c r="D55" s="24" t="s">
        <v>291</v>
      </c>
      <c r="E55" s="24" t="s">
        <v>733</v>
      </c>
      <c r="F55" s="24" t="s">
        <v>52</v>
      </c>
      <c r="G55" s="26" t="s">
        <v>35</v>
      </c>
      <c r="H55" s="26" t="s">
        <v>179</v>
      </c>
      <c r="I55" s="27" t="s">
        <v>257</v>
      </c>
      <c r="J55" s="25"/>
      <c r="K55" s="26" t="s">
        <v>215</v>
      </c>
      <c r="L55" s="26" t="s">
        <v>77</v>
      </c>
      <c r="M55" s="26" t="s">
        <v>78</v>
      </c>
      <c r="N55" s="25"/>
      <c r="O55" s="26" t="s">
        <v>138</v>
      </c>
      <c r="P55" s="26" t="s">
        <v>41</v>
      </c>
      <c r="Q55" s="26" t="s">
        <v>17</v>
      </c>
      <c r="R55" s="25"/>
      <c r="S55" s="40" t="str">
        <f>"435,0"</f>
        <v>435,0</v>
      </c>
      <c r="T55" s="25" t="str">
        <f>"279,3135"</f>
        <v>279,3135</v>
      </c>
      <c r="U55" s="24" t="s">
        <v>690</v>
      </c>
    </row>
    <row r="56" spans="1:21">
      <c r="A56" s="10" t="s">
        <v>29</v>
      </c>
      <c r="B56" s="9" t="s">
        <v>284</v>
      </c>
      <c r="C56" s="9" t="s">
        <v>629</v>
      </c>
      <c r="D56" s="9" t="s">
        <v>286</v>
      </c>
      <c r="E56" s="9" t="s">
        <v>736</v>
      </c>
      <c r="F56" s="9" t="s">
        <v>287</v>
      </c>
      <c r="G56" s="19" t="s">
        <v>138</v>
      </c>
      <c r="H56" s="19" t="s">
        <v>41</v>
      </c>
      <c r="I56" s="19" t="s">
        <v>65</v>
      </c>
      <c r="J56" s="10"/>
      <c r="K56" s="19" t="s">
        <v>98</v>
      </c>
      <c r="L56" s="19" t="s">
        <v>111</v>
      </c>
      <c r="M56" s="19" t="s">
        <v>288</v>
      </c>
      <c r="N56" s="10"/>
      <c r="O56" s="19" t="s">
        <v>46</v>
      </c>
      <c r="P56" s="19" t="s">
        <v>48</v>
      </c>
      <c r="Q56" s="19" t="s">
        <v>149</v>
      </c>
      <c r="R56" s="10"/>
      <c r="S56" s="38" t="str">
        <f>"537,5"</f>
        <v>537,5</v>
      </c>
      <c r="T56" s="10" t="str">
        <f>"354,6871"</f>
        <v>354,6871</v>
      </c>
      <c r="U56" s="9"/>
    </row>
    <row r="57" spans="1:21">
      <c r="B57" s="5" t="s">
        <v>30</v>
      </c>
    </row>
    <row r="58" spans="1:21" ht="16">
      <c r="A58" s="41" t="s">
        <v>10</v>
      </c>
      <c r="B58" s="41"/>
      <c r="C58" s="42"/>
      <c r="D58" s="42"/>
      <c r="E58" s="42"/>
      <c r="F58" s="42"/>
      <c r="G58" s="42"/>
      <c r="H58" s="42"/>
      <c r="I58" s="42"/>
      <c r="J58" s="42"/>
      <c r="K58" s="42"/>
      <c r="L58" s="42"/>
      <c r="M58" s="42"/>
      <c r="N58" s="42"/>
      <c r="O58" s="42"/>
      <c r="P58" s="42"/>
      <c r="Q58" s="42"/>
      <c r="R58" s="42"/>
    </row>
    <row r="59" spans="1:21">
      <c r="A59" s="8" t="s">
        <v>29</v>
      </c>
      <c r="B59" s="7" t="s">
        <v>292</v>
      </c>
      <c r="C59" s="7" t="s">
        <v>293</v>
      </c>
      <c r="D59" s="7" t="s">
        <v>294</v>
      </c>
      <c r="E59" s="7" t="s">
        <v>733</v>
      </c>
      <c r="F59" s="7" t="s">
        <v>52</v>
      </c>
      <c r="G59" s="17" t="s">
        <v>148</v>
      </c>
      <c r="H59" s="17" t="s">
        <v>14</v>
      </c>
      <c r="I59" s="18" t="s">
        <v>15</v>
      </c>
      <c r="J59" s="8"/>
      <c r="K59" s="17" t="s">
        <v>138</v>
      </c>
      <c r="L59" s="18" t="s">
        <v>40</v>
      </c>
      <c r="M59" s="17" t="s">
        <v>40</v>
      </c>
      <c r="N59" s="8"/>
      <c r="O59" s="18" t="s">
        <v>148</v>
      </c>
      <c r="P59" s="17" t="s">
        <v>149</v>
      </c>
      <c r="Q59" s="17" t="s">
        <v>137</v>
      </c>
      <c r="R59" s="8"/>
      <c r="S59" s="37" t="str">
        <f>"630,0"</f>
        <v>630,0</v>
      </c>
      <c r="T59" s="8" t="str">
        <f>"400,8690"</f>
        <v>400,8690</v>
      </c>
      <c r="U59" s="7"/>
    </row>
    <row r="60" spans="1:21">
      <c r="A60" s="25" t="s">
        <v>203</v>
      </c>
      <c r="B60" s="24" t="s">
        <v>295</v>
      </c>
      <c r="C60" s="24" t="s">
        <v>296</v>
      </c>
      <c r="D60" s="24" t="s">
        <v>297</v>
      </c>
      <c r="E60" s="24" t="s">
        <v>733</v>
      </c>
      <c r="F60" s="24" t="s">
        <v>223</v>
      </c>
      <c r="G60" s="26" t="s">
        <v>103</v>
      </c>
      <c r="H60" s="26" t="s">
        <v>104</v>
      </c>
      <c r="I60" s="27" t="s">
        <v>48</v>
      </c>
      <c r="J60" s="25"/>
      <c r="K60" s="27" t="s">
        <v>124</v>
      </c>
      <c r="L60" s="26" t="s">
        <v>288</v>
      </c>
      <c r="M60" s="27" t="s">
        <v>143</v>
      </c>
      <c r="N60" s="25"/>
      <c r="O60" s="27" t="s">
        <v>148</v>
      </c>
      <c r="P60" s="26" t="s">
        <v>149</v>
      </c>
      <c r="Q60" s="26" t="s">
        <v>155</v>
      </c>
      <c r="R60" s="25"/>
      <c r="S60" s="40" t="str">
        <f>"572,5"</f>
        <v>572,5</v>
      </c>
      <c r="T60" s="25" t="str">
        <f>"350,9997"</f>
        <v>350,9997</v>
      </c>
      <c r="U60" s="24"/>
    </row>
    <row r="61" spans="1:21">
      <c r="A61" s="25" t="s">
        <v>204</v>
      </c>
      <c r="B61" s="24" t="s">
        <v>298</v>
      </c>
      <c r="C61" s="24" t="s">
        <v>299</v>
      </c>
      <c r="D61" s="24" t="s">
        <v>300</v>
      </c>
      <c r="E61" s="24" t="s">
        <v>733</v>
      </c>
      <c r="F61" s="24" t="s">
        <v>52</v>
      </c>
      <c r="G61" s="26" t="s">
        <v>179</v>
      </c>
      <c r="H61" s="26" t="s">
        <v>17</v>
      </c>
      <c r="I61" s="27" t="s">
        <v>65</v>
      </c>
      <c r="J61" s="25"/>
      <c r="K61" s="26" t="s">
        <v>124</v>
      </c>
      <c r="L61" s="26" t="s">
        <v>120</v>
      </c>
      <c r="M61" s="27" t="s">
        <v>288</v>
      </c>
      <c r="N61" s="25"/>
      <c r="O61" s="26" t="s">
        <v>180</v>
      </c>
      <c r="P61" s="26" t="s">
        <v>47</v>
      </c>
      <c r="Q61" s="26" t="s">
        <v>48</v>
      </c>
      <c r="R61" s="25"/>
      <c r="S61" s="40" t="str">
        <f>"510,0"</f>
        <v>510,0</v>
      </c>
      <c r="T61" s="25" t="str">
        <f>"313,3440"</f>
        <v>313,3440</v>
      </c>
      <c r="U61" s="24"/>
    </row>
    <row r="62" spans="1:21">
      <c r="A62" s="25" t="s">
        <v>71</v>
      </c>
      <c r="B62" s="24" t="s">
        <v>301</v>
      </c>
      <c r="C62" s="24" t="s">
        <v>302</v>
      </c>
      <c r="D62" s="24" t="s">
        <v>303</v>
      </c>
      <c r="E62" s="24" t="s">
        <v>733</v>
      </c>
      <c r="F62" s="24" t="s">
        <v>52</v>
      </c>
      <c r="G62" s="26" t="s">
        <v>46</v>
      </c>
      <c r="H62" s="26" t="s">
        <v>181</v>
      </c>
      <c r="I62" s="27" t="s">
        <v>48</v>
      </c>
      <c r="J62" s="25"/>
      <c r="K62" s="27" t="s">
        <v>124</v>
      </c>
      <c r="L62" s="27" t="s">
        <v>120</v>
      </c>
      <c r="M62" s="27" t="s">
        <v>120</v>
      </c>
      <c r="N62" s="25"/>
      <c r="O62" s="27"/>
      <c r="P62" s="25"/>
      <c r="Q62" s="25"/>
      <c r="R62" s="25"/>
      <c r="S62" s="40">
        <v>0</v>
      </c>
      <c r="T62" s="25" t="str">
        <f>"0,0000"</f>
        <v>0,0000</v>
      </c>
      <c r="U62" s="24" t="s">
        <v>693</v>
      </c>
    </row>
    <row r="63" spans="1:21">
      <c r="A63" s="10" t="s">
        <v>71</v>
      </c>
      <c r="B63" s="9" t="s">
        <v>301</v>
      </c>
      <c r="C63" s="9" t="s">
        <v>647</v>
      </c>
      <c r="D63" s="9" t="s">
        <v>303</v>
      </c>
      <c r="E63" s="9" t="s">
        <v>736</v>
      </c>
      <c r="F63" s="9" t="s">
        <v>52</v>
      </c>
      <c r="G63" s="19" t="s">
        <v>46</v>
      </c>
      <c r="H63" s="19" t="s">
        <v>181</v>
      </c>
      <c r="I63" s="20" t="s">
        <v>48</v>
      </c>
      <c r="J63" s="10"/>
      <c r="K63" s="20" t="s">
        <v>124</v>
      </c>
      <c r="L63" s="20" t="s">
        <v>120</v>
      </c>
      <c r="M63" s="20" t="s">
        <v>120</v>
      </c>
      <c r="N63" s="10"/>
      <c r="O63" s="20"/>
      <c r="P63" s="10"/>
      <c r="Q63" s="10"/>
      <c r="R63" s="10"/>
      <c r="S63" s="38">
        <v>0</v>
      </c>
      <c r="T63" s="10" t="str">
        <f>"0,0000"</f>
        <v>0,0000</v>
      </c>
      <c r="U63" s="9" t="s">
        <v>693</v>
      </c>
    </row>
    <row r="64" spans="1:21">
      <c r="B64" s="5" t="s">
        <v>30</v>
      </c>
    </row>
    <row r="65" spans="1:21" ht="16">
      <c r="A65" s="41" t="s">
        <v>183</v>
      </c>
      <c r="B65" s="41"/>
      <c r="C65" s="42"/>
      <c r="D65" s="42"/>
      <c r="E65" s="42"/>
      <c r="F65" s="42"/>
      <c r="G65" s="42"/>
      <c r="H65" s="42"/>
      <c r="I65" s="42"/>
      <c r="J65" s="42"/>
      <c r="K65" s="42"/>
      <c r="L65" s="42"/>
      <c r="M65" s="42"/>
      <c r="N65" s="42"/>
      <c r="O65" s="42"/>
      <c r="P65" s="42"/>
      <c r="Q65" s="42"/>
      <c r="R65" s="42"/>
    </row>
    <row r="66" spans="1:21">
      <c r="A66" s="8" t="s">
        <v>29</v>
      </c>
      <c r="B66" s="7" t="s">
        <v>304</v>
      </c>
      <c r="C66" s="7" t="s">
        <v>305</v>
      </c>
      <c r="D66" s="7" t="s">
        <v>306</v>
      </c>
      <c r="E66" s="7" t="s">
        <v>733</v>
      </c>
      <c r="F66" s="7" t="s">
        <v>681</v>
      </c>
      <c r="G66" s="17" t="s">
        <v>17</v>
      </c>
      <c r="H66" s="17" t="s">
        <v>180</v>
      </c>
      <c r="I66" s="17" t="s">
        <v>261</v>
      </c>
      <c r="J66" s="8"/>
      <c r="K66" s="17" t="s">
        <v>120</v>
      </c>
      <c r="L66" s="17" t="s">
        <v>142</v>
      </c>
      <c r="M66" s="18" t="s">
        <v>170</v>
      </c>
      <c r="N66" s="8"/>
      <c r="O66" s="17" t="s">
        <v>156</v>
      </c>
      <c r="P66" s="17" t="s">
        <v>307</v>
      </c>
      <c r="Q66" s="18" t="s">
        <v>144</v>
      </c>
      <c r="R66" s="8"/>
      <c r="S66" s="37" t="str">
        <f>"602,5"</f>
        <v>602,5</v>
      </c>
      <c r="T66" s="8" t="str">
        <f>"355,1738"</f>
        <v>355,1738</v>
      </c>
      <c r="U66" s="7"/>
    </row>
    <row r="67" spans="1:21">
      <c r="A67" s="10" t="s">
        <v>203</v>
      </c>
      <c r="B67" s="9" t="s">
        <v>308</v>
      </c>
      <c r="C67" s="9" t="s">
        <v>309</v>
      </c>
      <c r="D67" s="9" t="s">
        <v>310</v>
      </c>
      <c r="E67" s="9" t="s">
        <v>733</v>
      </c>
      <c r="F67" s="9" t="s">
        <v>52</v>
      </c>
      <c r="G67" s="19" t="s">
        <v>46</v>
      </c>
      <c r="H67" s="19" t="s">
        <v>47</v>
      </c>
      <c r="I67" s="10"/>
      <c r="J67" s="10"/>
      <c r="K67" s="19" t="s">
        <v>80</v>
      </c>
      <c r="L67" s="20" t="s">
        <v>132</v>
      </c>
      <c r="M67" s="20" t="s">
        <v>132</v>
      </c>
      <c r="N67" s="10"/>
      <c r="O67" s="20" t="s">
        <v>137</v>
      </c>
      <c r="P67" s="19" t="s">
        <v>137</v>
      </c>
      <c r="Q67" s="19" t="s">
        <v>274</v>
      </c>
      <c r="R67" s="10"/>
      <c r="S67" s="38" t="str">
        <f>"557,5"</f>
        <v>557,5</v>
      </c>
      <c r="T67" s="10" t="str">
        <f>"332,8275"</f>
        <v>332,8275</v>
      </c>
      <c r="U67" s="9"/>
    </row>
    <row r="68" spans="1:21">
      <c r="B68" s="5" t="s">
        <v>30</v>
      </c>
    </row>
    <row r="69" spans="1:21">
      <c r="B69" s="5" t="s">
        <v>30</v>
      </c>
    </row>
    <row r="70" spans="1:21">
      <c r="B70" s="5" t="s">
        <v>30</v>
      </c>
    </row>
    <row r="71" spans="1:21" ht="18">
      <c r="B71" s="11" t="s">
        <v>20</v>
      </c>
      <c r="C71" s="11"/>
      <c r="F71" s="3"/>
    </row>
    <row r="72" spans="1:21" ht="16">
      <c r="B72" s="12" t="s">
        <v>69</v>
      </c>
      <c r="C72" s="12"/>
      <c r="F72" s="3"/>
    </row>
    <row r="73" spans="1:21" ht="14">
      <c r="B73" s="13"/>
      <c r="C73" s="14" t="s">
        <v>22</v>
      </c>
      <c r="F73" s="3"/>
    </row>
    <row r="74" spans="1:21" ht="14">
      <c r="B74" s="16" t="s">
        <v>23</v>
      </c>
      <c r="C74" s="16" t="s">
        <v>24</v>
      </c>
      <c r="D74" s="16" t="s">
        <v>682</v>
      </c>
      <c r="E74" s="16" t="s">
        <v>26</v>
      </c>
      <c r="F74" s="16" t="s">
        <v>27</v>
      </c>
    </row>
    <row r="75" spans="1:21">
      <c r="B75" s="5" t="s">
        <v>226</v>
      </c>
      <c r="C75" s="5" t="s">
        <v>22</v>
      </c>
      <c r="D75" s="6" t="s">
        <v>82</v>
      </c>
      <c r="E75" s="6" t="s">
        <v>311</v>
      </c>
      <c r="F75" s="6" t="s">
        <v>312</v>
      </c>
    </row>
    <row r="76" spans="1:21">
      <c r="B76" s="5" t="s">
        <v>217</v>
      </c>
      <c r="C76" s="5" t="s">
        <v>22</v>
      </c>
      <c r="D76" s="6" t="s">
        <v>70</v>
      </c>
      <c r="E76" s="6" t="s">
        <v>313</v>
      </c>
      <c r="F76" s="6" t="s">
        <v>314</v>
      </c>
    </row>
    <row r="77" spans="1:21">
      <c r="B77" s="5" t="s">
        <v>84</v>
      </c>
      <c r="C77" s="5" t="s">
        <v>22</v>
      </c>
      <c r="D77" s="6" t="s">
        <v>189</v>
      </c>
      <c r="E77" s="6" t="s">
        <v>190</v>
      </c>
      <c r="F77" s="6" t="s">
        <v>191</v>
      </c>
    </row>
    <row r="79" spans="1:21" ht="16">
      <c r="B79" s="12" t="s">
        <v>21</v>
      </c>
      <c r="C79" s="12"/>
    </row>
    <row r="80" spans="1:21" ht="14">
      <c r="B80" s="13"/>
      <c r="C80" s="14" t="s">
        <v>22</v>
      </c>
    </row>
    <row r="81" spans="2:6" ht="14">
      <c r="B81" s="16" t="s">
        <v>23</v>
      </c>
      <c r="C81" s="16" t="s">
        <v>24</v>
      </c>
      <c r="D81" s="16" t="s">
        <v>682</v>
      </c>
      <c r="E81" s="16" t="s">
        <v>26</v>
      </c>
      <c r="F81" s="16" t="s">
        <v>27</v>
      </c>
    </row>
    <row r="82" spans="2:6">
      <c r="B82" s="5" t="s">
        <v>292</v>
      </c>
      <c r="C82" s="5" t="s">
        <v>22</v>
      </c>
      <c r="D82" s="6" t="s">
        <v>28</v>
      </c>
      <c r="E82" s="6" t="s">
        <v>315</v>
      </c>
      <c r="F82" s="6" t="s">
        <v>316</v>
      </c>
    </row>
    <row r="83" spans="2:6">
      <c r="B83" s="5" t="s">
        <v>271</v>
      </c>
      <c r="C83" s="5" t="s">
        <v>22</v>
      </c>
      <c r="D83" s="6" t="s">
        <v>200</v>
      </c>
      <c r="E83" s="6" t="s">
        <v>317</v>
      </c>
      <c r="F83" s="6" t="s">
        <v>318</v>
      </c>
    </row>
    <row r="84" spans="2:6">
      <c r="B84" s="5" t="s">
        <v>258</v>
      </c>
      <c r="C84" s="5" t="s">
        <v>22</v>
      </c>
      <c r="D84" s="6" t="s">
        <v>194</v>
      </c>
      <c r="E84" s="6" t="s">
        <v>319</v>
      </c>
      <c r="F84" s="6" t="s">
        <v>320</v>
      </c>
    </row>
  </sheetData>
  <mergeCells count="27">
    <mergeCell ref="S3:S4"/>
    <mergeCell ref="T3:T4"/>
    <mergeCell ref="U3:U4"/>
    <mergeCell ref="A5:R5"/>
    <mergeCell ref="A1:U2"/>
    <mergeCell ref="A3:A4"/>
    <mergeCell ref="C3:C4"/>
    <mergeCell ref="D3:D4"/>
    <mergeCell ref="E3:E4"/>
    <mergeCell ref="F3:F4"/>
    <mergeCell ref="G3:J3"/>
    <mergeCell ref="K3:N3"/>
    <mergeCell ref="O3:R3"/>
    <mergeCell ref="A65:R65"/>
    <mergeCell ref="B3:B4"/>
    <mergeCell ref="A35:R35"/>
    <mergeCell ref="A38:R38"/>
    <mergeCell ref="A41:R41"/>
    <mergeCell ref="A44:R44"/>
    <mergeCell ref="A50:R50"/>
    <mergeCell ref="A58:R58"/>
    <mergeCell ref="A9:R9"/>
    <mergeCell ref="A12:R12"/>
    <mergeCell ref="A17:R17"/>
    <mergeCell ref="A25:R25"/>
    <mergeCell ref="A29:R29"/>
    <mergeCell ref="A32:R32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81BD48-8FC2-4373-87CC-608C4A6468BD}">
  <dimension ref="A1:Q14"/>
  <sheetViews>
    <sheetView workbookViewId="0">
      <selection sqref="A1:Q2"/>
    </sheetView>
  </sheetViews>
  <sheetFormatPr baseColWidth="10" defaultColWidth="9.1640625" defaultRowHeight="13"/>
  <cols>
    <col min="1" max="1" width="7.1640625" style="5" bestFit="1" customWidth="1"/>
    <col min="2" max="2" width="17.33203125" style="5" bestFit="1" customWidth="1"/>
    <col min="3" max="3" width="28.6640625" style="5" bestFit="1" customWidth="1"/>
    <col min="4" max="4" width="20.83203125" style="5" bestFit="1" customWidth="1"/>
    <col min="5" max="5" width="10.1640625" style="5" bestFit="1" customWidth="1"/>
    <col min="6" max="6" width="25.6640625" style="5" bestFit="1" customWidth="1"/>
    <col min="7" max="9" width="5.5" style="6" customWidth="1"/>
    <col min="10" max="10" width="4.5" style="6" customWidth="1"/>
    <col min="11" max="13" width="5.5" style="6" customWidth="1"/>
    <col min="14" max="14" width="4.5" style="6" customWidth="1"/>
    <col min="15" max="15" width="7.6640625" style="6" bestFit="1" customWidth="1"/>
    <col min="16" max="16" width="8.5" style="6" bestFit="1" customWidth="1"/>
    <col min="17" max="17" width="19.5" style="5" bestFit="1" customWidth="1"/>
    <col min="18" max="16384" width="9.1640625" style="3"/>
  </cols>
  <sheetData>
    <row r="1" spans="1:17" s="2" customFormat="1" ht="29" customHeight="1">
      <c r="A1" s="53" t="s">
        <v>656</v>
      </c>
      <c r="B1" s="54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6"/>
    </row>
    <row r="2" spans="1:17" s="2" customFormat="1" ht="62" customHeight="1" thickBot="1">
      <c r="A2" s="57"/>
      <c r="B2" s="58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60"/>
    </row>
    <row r="3" spans="1:17" s="1" customFormat="1" ht="12.75" customHeight="1">
      <c r="A3" s="61" t="s">
        <v>730</v>
      </c>
      <c r="B3" s="43" t="s">
        <v>0</v>
      </c>
      <c r="C3" s="63" t="s">
        <v>731</v>
      </c>
      <c r="D3" s="63" t="s">
        <v>6</v>
      </c>
      <c r="E3" s="47" t="s">
        <v>732</v>
      </c>
      <c r="F3" s="47" t="s">
        <v>5</v>
      </c>
      <c r="G3" s="47" t="s">
        <v>8</v>
      </c>
      <c r="H3" s="47"/>
      <c r="I3" s="47"/>
      <c r="J3" s="47"/>
      <c r="K3" s="47" t="s">
        <v>9</v>
      </c>
      <c r="L3" s="47"/>
      <c r="M3" s="47"/>
      <c r="N3" s="47"/>
      <c r="O3" s="47" t="s">
        <v>1</v>
      </c>
      <c r="P3" s="47" t="s">
        <v>3</v>
      </c>
      <c r="Q3" s="49" t="s">
        <v>2</v>
      </c>
    </row>
    <row r="4" spans="1:17" s="1" customFormat="1" ht="21" customHeight="1" thickBot="1">
      <c r="A4" s="62"/>
      <c r="B4" s="44"/>
      <c r="C4" s="48"/>
      <c r="D4" s="48"/>
      <c r="E4" s="48"/>
      <c r="F4" s="48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8"/>
      <c r="P4" s="48"/>
      <c r="Q4" s="50"/>
    </row>
    <row r="5" spans="1:17" ht="16">
      <c r="A5" s="51" t="s">
        <v>72</v>
      </c>
      <c r="B5" s="51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</row>
    <row r="6" spans="1:17">
      <c r="A6" s="21" t="s">
        <v>29</v>
      </c>
      <c r="B6" s="15" t="s">
        <v>99</v>
      </c>
      <c r="C6" s="15" t="s">
        <v>100</v>
      </c>
      <c r="D6" s="15" t="s">
        <v>101</v>
      </c>
      <c r="E6" s="15" t="s">
        <v>733</v>
      </c>
      <c r="F6" s="15" t="s">
        <v>52</v>
      </c>
      <c r="G6" s="23" t="s">
        <v>78</v>
      </c>
      <c r="H6" s="22" t="s">
        <v>78</v>
      </c>
      <c r="I6" s="22" t="s">
        <v>95</v>
      </c>
      <c r="J6" s="21"/>
      <c r="K6" s="22" t="s">
        <v>103</v>
      </c>
      <c r="L6" s="22" t="s">
        <v>104</v>
      </c>
      <c r="M6" s="23" t="s">
        <v>105</v>
      </c>
      <c r="N6" s="21"/>
      <c r="O6" s="21" t="str">
        <f>"302,5"</f>
        <v>302,5</v>
      </c>
      <c r="P6" s="21" t="str">
        <f>"315,2050"</f>
        <v>315,2050</v>
      </c>
      <c r="Q6" s="15" t="s">
        <v>694</v>
      </c>
    </row>
    <row r="7" spans="1:17">
      <c r="B7" s="5" t="s">
        <v>30</v>
      </c>
    </row>
    <row r="8" spans="1:17" ht="16">
      <c r="A8" s="41" t="s">
        <v>42</v>
      </c>
      <c r="B8" s="41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</row>
    <row r="9" spans="1:17">
      <c r="A9" s="8" t="s">
        <v>29</v>
      </c>
      <c r="B9" s="7" t="s">
        <v>151</v>
      </c>
      <c r="C9" s="7" t="s">
        <v>152</v>
      </c>
      <c r="D9" s="7" t="s">
        <v>153</v>
      </c>
      <c r="E9" s="7" t="s">
        <v>733</v>
      </c>
      <c r="F9" s="7" t="s">
        <v>52</v>
      </c>
      <c r="G9" s="17" t="s">
        <v>120</v>
      </c>
      <c r="H9" s="17" t="s">
        <v>143</v>
      </c>
      <c r="I9" s="17" t="s">
        <v>154</v>
      </c>
      <c r="J9" s="8"/>
      <c r="K9" s="17" t="s">
        <v>155</v>
      </c>
      <c r="L9" s="17" t="s">
        <v>156</v>
      </c>
      <c r="M9" s="18" t="s">
        <v>53</v>
      </c>
      <c r="N9" s="8"/>
      <c r="O9" s="8" t="str">
        <f>"407,5"</f>
        <v>407,5</v>
      </c>
      <c r="P9" s="8" t="str">
        <f>"270,4577"</f>
        <v>270,4577</v>
      </c>
      <c r="Q9" s="7"/>
    </row>
    <row r="10" spans="1:17">
      <c r="A10" s="10" t="s">
        <v>29</v>
      </c>
      <c r="B10" s="9" t="s">
        <v>354</v>
      </c>
      <c r="C10" s="9" t="s">
        <v>624</v>
      </c>
      <c r="D10" s="9" t="s">
        <v>356</v>
      </c>
      <c r="E10" s="9" t="s">
        <v>736</v>
      </c>
      <c r="F10" s="9" t="s">
        <v>76</v>
      </c>
      <c r="G10" s="19" t="s">
        <v>17</v>
      </c>
      <c r="H10" s="19" t="s">
        <v>180</v>
      </c>
      <c r="I10" s="20" t="s">
        <v>46</v>
      </c>
      <c r="J10" s="10"/>
      <c r="K10" s="19" t="s">
        <v>149</v>
      </c>
      <c r="L10" s="20" t="s">
        <v>155</v>
      </c>
      <c r="M10" s="19" t="s">
        <v>156</v>
      </c>
      <c r="N10" s="10"/>
      <c r="O10" s="10" t="str">
        <f>"440,0"</f>
        <v>440,0</v>
      </c>
      <c r="P10" s="10" t="str">
        <f>"295,2766"</f>
        <v>295,2766</v>
      </c>
      <c r="Q10" s="9" t="s">
        <v>704</v>
      </c>
    </row>
    <row r="11" spans="1:17">
      <c r="B11" s="5" t="s">
        <v>30</v>
      </c>
    </row>
    <row r="12" spans="1:17" ht="16">
      <c r="A12" s="41" t="s">
        <v>10</v>
      </c>
      <c r="B12" s="41"/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/>
    </row>
    <row r="13" spans="1:17">
      <c r="A13" s="21" t="s">
        <v>29</v>
      </c>
      <c r="B13" s="15" t="s">
        <v>522</v>
      </c>
      <c r="C13" s="15" t="s">
        <v>523</v>
      </c>
      <c r="D13" s="15" t="s">
        <v>524</v>
      </c>
      <c r="E13" s="15" t="s">
        <v>733</v>
      </c>
      <c r="F13" s="15" t="s">
        <v>52</v>
      </c>
      <c r="G13" s="23" t="s">
        <v>41</v>
      </c>
      <c r="H13" s="22" t="s">
        <v>257</v>
      </c>
      <c r="I13" s="22" t="s">
        <v>56</v>
      </c>
      <c r="J13" s="21"/>
      <c r="K13" s="22" t="s">
        <v>137</v>
      </c>
      <c r="L13" s="22" t="s">
        <v>15</v>
      </c>
      <c r="M13" s="23" t="s">
        <v>525</v>
      </c>
      <c r="N13" s="21"/>
      <c r="O13" s="21" t="str">
        <f>"422,5"</f>
        <v>422,5</v>
      </c>
      <c r="P13" s="21" t="str">
        <f>"263,0485"</f>
        <v>263,0485</v>
      </c>
      <c r="Q13" s="15" t="s">
        <v>705</v>
      </c>
    </row>
    <row r="14" spans="1:17">
      <c r="B14" s="5" t="s">
        <v>30</v>
      </c>
    </row>
  </sheetData>
  <mergeCells count="15">
    <mergeCell ref="Q3:Q4"/>
    <mergeCell ref="A5:N5"/>
    <mergeCell ref="A1:Q2"/>
    <mergeCell ref="A3:A4"/>
    <mergeCell ref="C3:C4"/>
    <mergeCell ref="D3:D4"/>
    <mergeCell ref="E3:E4"/>
    <mergeCell ref="F3:F4"/>
    <mergeCell ref="G3:J3"/>
    <mergeCell ref="K3:N3"/>
    <mergeCell ref="A8:N8"/>
    <mergeCell ref="A12:N12"/>
    <mergeCell ref="B3:B4"/>
    <mergeCell ref="O3:O4"/>
    <mergeCell ref="P3:P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58EF0A-B73A-4224-8931-C134877E3BDB}">
  <dimension ref="A1:M30"/>
  <sheetViews>
    <sheetView workbookViewId="0">
      <selection sqref="A1:M2"/>
    </sheetView>
  </sheetViews>
  <sheetFormatPr baseColWidth="10" defaultColWidth="9.1640625" defaultRowHeight="13"/>
  <cols>
    <col min="1" max="1" width="7.1640625" style="5" bestFit="1" customWidth="1"/>
    <col min="2" max="2" width="21.33203125" style="5" bestFit="1" customWidth="1"/>
    <col min="3" max="3" width="26.5" style="5" bestFit="1" customWidth="1"/>
    <col min="4" max="4" width="20.83203125" style="5" bestFit="1" customWidth="1"/>
    <col min="5" max="5" width="10.1640625" style="5" bestFit="1" customWidth="1"/>
    <col min="6" max="6" width="28.5" style="5" bestFit="1" customWidth="1"/>
    <col min="7" max="9" width="5.5" style="6" customWidth="1"/>
    <col min="10" max="10" width="4.5" style="6" customWidth="1"/>
    <col min="11" max="11" width="10.5" style="6" bestFit="1" customWidth="1"/>
    <col min="12" max="12" width="8.5" style="6" bestFit="1" customWidth="1"/>
    <col min="13" max="13" width="18.6640625" style="5" bestFit="1" customWidth="1"/>
    <col min="14" max="16384" width="9.1640625" style="3"/>
  </cols>
  <sheetData>
    <row r="1" spans="1:13" s="2" customFormat="1" ht="29" customHeight="1">
      <c r="A1" s="53" t="s">
        <v>657</v>
      </c>
      <c r="B1" s="54"/>
      <c r="C1" s="55"/>
      <c r="D1" s="55"/>
      <c r="E1" s="55"/>
      <c r="F1" s="55"/>
      <c r="G1" s="55"/>
      <c r="H1" s="55"/>
      <c r="I1" s="55"/>
      <c r="J1" s="55"/>
      <c r="K1" s="55"/>
      <c r="L1" s="55"/>
      <c r="M1" s="56"/>
    </row>
    <row r="2" spans="1:13" s="2" customFormat="1" ht="62" customHeight="1" thickBot="1">
      <c r="A2" s="57"/>
      <c r="B2" s="58"/>
      <c r="C2" s="59"/>
      <c r="D2" s="59"/>
      <c r="E2" s="59"/>
      <c r="F2" s="59"/>
      <c r="G2" s="59"/>
      <c r="H2" s="59"/>
      <c r="I2" s="59"/>
      <c r="J2" s="59"/>
      <c r="K2" s="59"/>
      <c r="L2" s="59"/>
      <c r="M2" s="60"/>
    </row>
    <row r="3" spans="1:13" s="1" customFormat="1" ht="12.75" customHeight="1">
      <c r="A3" s="61" t="s">
        <v>730</v>
      </c>
      <c r="B3" s="43" t="s">
        <v>0</v>
      </c>
      <c r="C3" s="63" t="s">
        <v>731</v>
      </c>
      <c r="D3" s="63" t="s">
        <v>6</v>
      </c>
      <c r="E3" s="47" t="s">
        <v>732</v>
      </c>
      <c r="F3" s="47" t="s">
        <v>5</v>
      </c>
      <c r="G3" s="47" t="s">
        <v>7</v>
      </c>
      <c r="H3" s="47"/>
      <c r="I3" s="47"/>
      <c r="J3" s="47"/>
      <c r="K3" s="47" t="s">
        <v>401</v>
      </c>
      <c r="L3" s="47" t="s">
        <v>3</v>
      </c>
      <c r="M3" s="49" t="s">
        <v>2</v>
      </c>
    </row>
    <row r="4" spans="1:13" s="1" customFormat="1" ht="21" customHeight="1" thickBot="1">
      <c r="A4" s="62"/>
      <c r="B4" s="44"/>
      <c r="C4" s="48"/>
      <c r="D4" s="48"/>
      <c r="E4" s="48"/>
      <c r="F4" s="48"/>
      <c r="G4" s="4">
        <v>1</v>
      </c>
      <c r="H4" s="4">
        <v>2</v>
      </c>
      <c r="I4" s="4">
        <v>3</v>
      </c>
      <c r="J4" s="4" t="s">
        <v>4</v>
      </c>
      <c r="K4" s="48"/>
      <c r="L4" s="48"/>
      <c r="M4" s="50"/>
    </row>
    <row r="5" spans="1:13" ht="16">
      <c r="A5" s="51" t="s">
        <v>83</v>
      </c>
      <c r="B5" s="51"/>
      <c r="C5" s="52"/>
      <c r="D5" s="52"/>
      <c r="E5" s="52"/>
      <c r="F5" s="52"/>
      <c r="G5" s="52"/>
      <c r="H5" s="52"/>
      <c r="I5" s="52"/>
      <c r="J5" s="52"/>
    </row>
    <row r="6" spans="1:13">
      <c r="A6" s="21" t="s">
        <v>29</v>
      </c>
      <c r="B6" s="15" t="s">
        <v>84</v>
      </c>
      <c r="C6" s="15" t="s">
        <v>85</v>
      </c>
      <c r="D6" s="15" t="s">
        <v>86</v>
      </c>
      <c r="E6" s="15" t="s">
        <v>733</v>
      </c>
      <c r="F6" s="15" t="s">
        <v>680</v>
      </c>
      <c r="G6" s="22" t="s">
        <v>87</v>
      </c>
      <c r="H6" s="22" t="s">
        <v>88</v>
      </c>
      <c r="I6" s="23" t="s">
        <v>80</v>
      </c>
      <c r="J6" s="21"/>
      <c r="K6" s="21" t="str">
        <f>"102,5"</f>
        <v>102,5</v>
      </c>
      <c r="L6" s="21" t="str">
        <f>"130,8823"</f>
        <v>130,8823</v>
      </c>
      <c r="M6" s="15" t="s">
        <v>683</v>
      </c>
    </row>
    <row r="7" spans="1:13">
      <c r="B7" s="5" t="s">
        <v>30</v>
      </c>
    </row>
    <row r="8" spans="1:13" ht="16">
      <c r="A8" s="41" t="s">
        <v>31</v>
      </c>
      <c r="B8" s="41"/>
      <c r="C8" s="42"/>
      <c r="D8" s="42"/>
      <c r="E8" s="42"/>
      <c r="F8" s="42"/>
      <c r="G8" s="42"/>
      <c r="H8" s="42"/>
      <c r="I8" s="42"/>
      <c r="J8" s="42"/>
    </row>
    <row r="9" spans="1:13">
      <c r="A9" s="21" t="s">
        <v>29</v>
      </c>
      <c r="B9" s="15" t="s">
        <v>92</v>
      </c>
      <c r="C9" s="15" t="s">
        <v>93</v>
      </c>
      <c r="D9" s="15" t="s">
        <v>94</v>
      </c>
      <c r="E9" s="15" t="s">
        <v>733</v>
      </c>
      <c r="F9" s="15" t="s">
        <v>680</v>
      </c>
      <c r="G9" s="22" t="s">
        <v>87</v>
      </c>
      <c r="H9" s="22" t="s">
        <v>88</v>
      </c>
      <c r="I9" s="22" t="s">
        <v>95</v>
      </c>
      <c r="J9" s="21"/>
      <c r="K9" s="21" t="str">
        <f>"107,5"</f>
        <v>107,5</v>
      </c>
      <c r="L9" s="21" t="str">
        <f>"120,0022"</f>
        <v>120,0022</v>
      </c>
      <c r="M9" s="15" t="s">
        <v>683</v>
      </c>
    </row>
    <row r="10" spans="1:13">
      <c r="B10" s="5" t="s">
        <v>30</v>
      </c>
    </row>
    <row r="11" spans="1:13" ht="16">
      <c r="A11" s="41" t="s">
        <v>72</v>
      </c>
      <c r="B11" s="41"/>
      <c r="C11" s="42"/>
      <c r="D11" s="42"/>
      <c r="E11" s="42"/>
      <c r="F11" s="42"/>
      <c r="G11" s="42"/>
      <c r="H11" s="42"/>
      <c r="I11" s="42"/>
      <c r="J11" s="42"/>
    </row>
    <row r="12" spans="1:13">
      <c r="A12" s="8" t="s">
        <v>29</v>
      </c>
      <c r="B12" s="7" t="s">
        <v>231</v>
      </c>
      <c r="C12" s="7" t="s">
        <v>232</v>
      </c>
      <c r="D12" s="7" t="s">
        <v>233</v>
      </c>
      <c r="E12" s="7" t="s">
        <v>733</v>
      </c>
      <c r="F12" s="7" t="s">
        <v>681</v>
      </c>
      <c r="G12" s="17" t="s">
        <v>78</v>
      </c>
      <c r="H12" s="18" t="s">
        <v>80</v>
      </c>
      <c r="I12" s="17" t="s">
        <v>80</v>
      </c>
      <c r="J12" s="8"/>
      <c r="K12" s="8" t="str">
        <f>"110,0"</f>
        <v>110,0</v>
      </c>
      <c r="L12" s="8" t="str">
        <f>"112,2660"</f>
        <v>112,2660</v>
      </c>
      <c r="M12" s="7" t="s">
        <v>686</v>
      </c>
    </row>
    <row r="13" spans="1:13">
      <c r="A13" s="10" t="s">
        <v>203</v>
      </c>
      <c r="B13" s="9" t="s">
        <v>106</v>
      </c>
      <c r="C13" s="9" t="s">
        <v>107</v>
      </c>
      <c r="D13" s="9" t="s">
        <v>108</v>
      </c>
      <c r="E13" s="9" t="s">
        <v>733</v>
      </c>
      <c r="F13" s="9" t="s">
        <v>680</v>
      </c>
      <c r="G13" s="19" t="s">
        <v>109</v>
      </c>
      <c r="H13" s="19" t="s">
        <v>110</v>
      </c>
      <c r="I13" s="20" t="s">
        <v>87</v>
      </c>
      <c r="J13" s="10"/>
      <c r="K13" s="10" t="str">
        <f>"87,5"</f>
        <v>87,5</v>
      </c>
      <c r="L13" s="10" t="str">
        <f>"92,4350"</f>
        <v>92,4350</v>
      </c>
      <c r="M13" s="9" t="s">
        <v>683</v>
      </c>
    </row>
    <row r="14" spans="1:13">
      <c r="B14" s="5" t="s">
        <v>30</v>
      </c>
    </row>
    <row r="15" spans="1:13" ht="16">
      <c r="A15" s="41" t="s">
        <v>112</v>
      </c>
      <c r="B15" s="41"/>
      <c r="C15" s="42"/>
      <c r="D15" s="42"/>
      <c r="E15" s="42"/>
      <c r="F15" s="42"/>
      <c r="G15" s="42"/>
      <c r="H15" s="42"/>
      <c r="I15" s="42"/>
      <c r="J15" s="42"/>
    </row>
    <row r="16" spans="1:13">
      <c r="A16" s="8" t="s">
        <v>29</v>
      </c>
      <c r="B16" s="7" t="s">
        <v>121</v>
      </c>
      <c r="C16" s="7" t="s">
        <v>122</v>
      </c>
      <c r="D16" s="7" t="s">
        <v>123</v>
      </c>
      <c r="E16" s="7" t="s">
        <v>733</v>
      </c>
      <c r="F16" s="7" t="s">
        <v>680</v>
      </c>
      <c r="G16" s="17" t="s">
        <v>80</v>
      </c>
      <c r="H16" s="17" t="s">
        <v>81</v>
      </c>
      <c r="I16" s="18" t="s">
        <v>124</v>
      </c>
      <c r="J16" s="8"/>
      <c r="K16" s="8" t="str">
        <f>"120,0"</f>
        <v>120,0</v>
      </c>
      <c r="L16" s="8" t="str">
        <f>"114,0720"</f>
        <v>114,0720</v>
      </c>
      <c r="M16" s="7" t="s">
        <v>683</v>
      </c>
    </row>
    <row r="17" spans="1:13">
      <c r="A17" s="10" t="s">
        <v>203</v>
      </c>
      <c r="B17" s="9" t="s">
        <v>113</v>
      </c>
      <c r="C17" s="9" t="s">
        <v>114</v>
      </c>
      <c r="D17" s="9" t="s">
        <v>115</v>
      </c>
      <c r="E17" s="9" t="s">
        <v>733</v>
      </c>
      <c r="F17" s="9" t="s">
        <v>680</v>
      </c>
      <c r="G17" s="19" t="s">
        <v>95</v>
      </c>
      <c r="H17" s="19" t="s">
        <v>116</v>
      </c>
      <c r="I17" s="20" t="s">
        <v>117</v>
      </c>
      <c r="J17" s="10"/>
      <c r="K17" s="10" t="str">
        <f>"117,5"</f>
        <v>117,5</v>
      </c>
      <c r="L17" s="10" t="str">
        <f>"112,4592"</f>
        <v>112,4592</v>
      </c>
      <c r="M17" s="9" t="s">
        <v>683</v>
      </c>
    </row>
    <row r="18" spans="1:13">
      <c r="B18" s="5" t="s">
        <v>30</v>
      </c>
    </row>
    <row r="19" spans="1:13" ht="16">
      <c r="A19" s="41" t="s">
        <v>244</v>
      </c>
      <c r="B19" s="41"/>
      <c r="C19" s="42"/>
      <c r="D19" s="42"/>
      <c r="E19" s="42"/>
      <c r="F19" s="42"/>
      <c r="G19" s="42"/>
      <c r="H19" s="42"/>
      <c r="I19" s="42"/>
      <c r="J19" s="42"/>
    </row>
    <row r="20" spans="1:13">
      <c r="A20" s="21" t="s">
        <v>29</v>
      </c>
      <c r="B20" s="15" t="s">
        <v>245</v>
      </c>
      <c r="C20" s="15" t="s">
        <v>246</v>
      </c>
      <c r="D20" s="15" t="s">
        <v>247</v>
      </c>
      <c r="E20" s="15" t="s">
        <v>733</v>
      </c>
      <c r="F20" s="15" t="s">
        <v>681</v>
      </c>
      <c r="G20" s="22" t="s">
        <v>77</v>
      </c>
      <c r="H20" s="23" t="s">
        <v>98</v>
      </c>
      <c r="I20" s="22" t="s">
        <v>98</v>
      </c>
      <c r="J20" s="21"/>
      <c r="K20" s="21" t="str">
        <f>"112,5"</f>
        <v>112,5</v>
      </c>
      <c r="L20" s="21" t="str">
        <f>"90,8100"</f>
        <v>90,8100</v>
      </c>
      <c r="M20" s="15" t="s">
        <v>686</v>
      </c>
    </row>
    <row r="21" spans="1:13">
      <c r="B21" s="5" t="s">
        <v>30</v>
      </c>
    </row>
    <row r="22" spans="1:13" ht="16">
      <c r="A22" s="41" t="s">
        <v>31</v>
      </c>
      <c r="B22" s="41"/>
      <c r="C22" s="42"/>
      <c r="D22" s="42"/>
      <c r="E22" s="42"/>
      <c r="F22" s="42"/>
      <c r="G22" s="42"/>
      <c r="H22" s="42"/>
      <c r="I22" s="42"/>
      <c r="J22" s="42"/>
    </row>
    <row r="23" spans="1:13">
      <c r="A23" s="21" t="s">
        <v>29</v>
      </c>
      <c r="B23" s="15" t="s">
        <v>248</v>
      </c>
      <c r="C23" s="15" t="s">
        <v>249</v>
      </c>
      <c r="D23" s="15" t="s">
        <v>250</v>
      </c>
      <c r="E23" s="15" t="s">
        <v>735</v>
      </c>
      <c r="F23" s="15" t="s">
        <v>681</v>
      </c>
      <c r="G23" s="22" t="s">
        <v>97</v>
      </c>
      <c r="H23" s="22" t="s">
        <v>131</v>
      </c>
      <c r="I23" s="22" t="s">
        <v>38</v>
      </c>
      <c r="J23" s="21"/>
      <c r="K23" s="21" t="str">
        <f>"70,0"</f>
        <v>70,0</v>
      </c>
      <c r="L23" s="21" t="str">
        <f>"60,3470"</f>
        <v>60,3470</v>
      </c>
      <c r="M23" s="15" t="s">
        <v>688</v>
      </c>
    </row>
    <row r="24" spans="1:13">
      <c r="B24" s="5" t="s">
        <v>30</v>
      </c>
    </row>
    <row r="25" spans="1:13" ht="16">
      <c r="A25" s="41" t="s">
        <v>112</v>
      </c>
      <c r="B25" s="41"/>
      <c r="C25" s="42"/>
      <c r="D25" s="42"/>
      <c r="E25" s="42"/>
      <c r="F25" s="42"/>
      <c r="G25" s="42"/>
      <c r="H25" s="42"/>
      <c r="I25" s="42"/>
      <c r="J25" s="42"/>
    </row>
    <row r="26" spans="1:13">
      <c r="A26" s="21" t="s">
        <v>29</v>
      </c>
      <c r="B26" s="15" t="s">
        <v>254</v>
      </c>
      <c r="C26" s="15" t="s">
        <v>255</v>
      </c>
      <c r="D26" s="15" t="s">
        <v>256</v>
      </c>
      <c r="E26" s="15" t="s">
        <v>733</v>
      </c>
      <c r="F26" s="15" t="s">
        <v>681</v>
      </c>
      <c r="G26" s="22" t="s">
        <v>143</v>
      </c>
      <c r="H26" s="22" t="s">
        <v>40</v>
      </c>
      <c r="I26" s="22" t="s">
        <v>257</v>
      </c>
      <c r="J26" s="21"/>
      <c r="K26" s="21" t="str">
        <f>"167,5"</f>
        <v>167,5</v>
      </c>
      <c r="L26" s="21" t="str">
        <f>"120,3655"</f>
        <v>120,3655</v>
      </c>
      <c r="M26" s="15" t="s">
        <v>686</v>
      </c>
    </row>
    <row r="27" spans="1:13">
      <c r="B27" s="5" t="s">
        <v>30</v>
      </c>
    </row>
    <row r="28" spans="1:13" ht="16">
      <c r="A28" s="41" t="s">
        <v>183</v>
      </c>
      <c r="B28" s="41"/>
      <c r="C28" s="42"/>
      <c r="D28" s="42"/>
      <c r="E28" s="42"/>
      <c r="F28" s="42"/>
      <c r="G28" s="42"/>
      <c r="H28" s="42"/>
      <c r="I28" s="42"/>
      <c r="J28" s="42"/>
    </row>
    <row r="29" spans="1:13">
      <c r="A29" s="21" t="s">
        <v>29</v>
      </c>
      <c r="B29" s="15" t="s">
        <v>308</v>
      </c>
      <c r="C29" s="15" t="s">
        <v>309</v>
      </c>
      <c r="D29" s="15" t="s">
        <v>310</v>
      </c>
      <c r="E29" s="15" t="s">
        <v>733</v>
      </c>
      <c r="F29" s="15" t="s">
        <v>52</v>
      </c>
      <c r="G29" s="22" t="s">
        <v>46</v>
      </c>
      <c r="H29" s="22" t="s">
        <v>47</v>
      </c>
      <c r="I29" s="21"/>
      <c r="J29" s="21"/>
      <c r="K29" s="21" t="str">
        <f>"200,0"</f>
        <v>200,0</v>
      </c>
      <c r="L29" s="21" t="str">
        <f>"119,4000"</f>
        <v>119,4000</v>
      </c>
      <c r="M29" s="15"/>
    </row>
    <row r="30" spans="1:13">
      <c r="B30" s="5" t="s">
        <v>30</v>
      </c>
    </row>
  </sheetData>
  <mergeCells count="19"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  <mergeCell ref="A28:J28"/>
    <mergeCell ref="B3:B4"/>
    <mergeCell ref="A8:J8"/>
    <mergeCell ref="A11:J11"/>
    <mergeCell ref="A15:J15"/>
    <mergeCell ref="A19:J19"/>
    <mergeCell ref="A22:J22"/>
    <mergeCell ref="A25:J25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47344D-801B-476D-8A02-D1F51D41817A}">
  <dimension ref="A1:M24"/>
  <sheetViews>
    <sheetView workbookViewId="0">
      <selection sqref="A1:M2"/>
    </sheetView>
  </sheetViews>
  <sheetFormatPr baseColWidth="10" defaultColWidth="9.1640625" defaultRowHeight="13"/>
  <cols>
    <col min="1" max="1" width="7.1640625" style="5" bestFit="1" customWidth="1"/>
    <col min="2" max="2" width="21.33203125" style="5" bestFit="1" customWidth="1"/>
    <col min="3" max="3" width="28.6640625" style="5" bestFit="1" customWidth="1"/>
    <col min="4" max="4" width="20.83203125" style="5" bestFit="1" customWidth="1"/>
    <col min="5" max="5" width="10.1640625" style="5" bestFit="1" customWidth="1"/>
    <col min="6" max="6" width="28.5" style="5" bestFit="1" customWidth="1"/>
    <col min="7" max="9" width="5.5" style="6" customWidth="1"/>
    <col min="10" max="10" width="4.5" style="6" customWidth="1"/>
    <col min="11" max="11" width="7.6640625" style="6" bestFit="1" customWidth="1"/>
    <col min="12" max="12" width="8.5" style="6" bestFit="1" customWidth="1"/>
    <col min="13" max="13" width="16.5" style="5" bestFit="1" customWidth="1"/>
    <col min="14" max="16384" width="9.1640625" style="3"/>
  </cols>
  <sheetData>
    <row r="1" spans="1:13" s="2" customFormat="1" ht="29" customHeight="1">
      <c r="A1" s="53" t="s">
        <v>658</v>
      </c>
      <c r="B1" s="54"/>
      <c r="C1" s="55"/>
      <c r="D1" s="55"/>
      <c r="E1" s="55"/>
      <c r="F1" s="55"/>
      <c r="G1" s="55"/>
      <c r="H1" s="55"/>
      <c r="I1" s="55"/>
      <c r="J1" s="55"/>
      <c r="K1" s="55"/>
      <c r="L1" s="55"/>
      <c r="M1" s="56"/>
    </row>
    <row r="2" spans="1:13" s="2" customFormat="1" ht="62" customHeight="1" thickBot="1">
      <c r="A2" s="57"/>
      <c r="B2" s="58"/>
      <c r="C2" s="59"/>
      <c r="D2" s="59"/>
      <c r="E2" s="59"/>
      <c r="F2" s="59"/>
      <c r="G2" s="59"/>
      <c r="H2" s="59"/>
      <c r="I2" s="59"/>
      <c r="J2" s="59"/>
      <c r="K2" s="59"/>
      <c r="L2" s="59"/>
      <c r="M2" s="60"/>
    </row>
    <row r="3" spans="1:13" s="1" customFormat="1" ht="12.75" customHeight="1">
      <c r="A3" s="61" t="s">
        <v>730</v>
      </c>
      <c r="B3" s="43" t="s">
        <v>0</v>
      </c>
      <c r="C3" s="63" t="s">
        <v>731</v>
      </c>
      <c r="D3" s="63" t="s">
        <v>6</v>
      </c>
      <c r="E3" s="47" t="s">
        <v>732</v>
      </c>
      <c r="F3" s="47" t="s">
        <v>5</v>
      </c>
      <c r="G3" s="47" t="s">
        <v>7</v>
      </c>
      <c r="H3" s="47"/>
      <c r="I3" s="47"/>
      <c r="J3" s="47"/>
      <c r="K3" s="47" t="s">
        <v>401</v>
      </c>
      <c r="L3" s="47" t="s">
        <v>3</v>
      </c>
      <c r="M3" s="49" t="s">
        <v>2</v>
      </c>
    </row>
    <row r="4" spans="1:13" s="1" customFormat="1" ht="21" customHeight="1" thickBot="1">
      <c r="A4" s="62"/>
      <c r="B4" s="44"/>
      <c r="C4" s="48"/>
      <c r="D4" s="48"/>
      <c r="E4" s="48"/>
      <c r="F4" s="48"/>
      <c r="G4" s="4">
        <v>1</v>
      </c>
      <c r="H4" s="4">
        <v>2</v>
      </c>
      <c r="I4" s="4">
        <v>3</v>
      </c>
      <c r="J4" s="4" t="s">
        <v>4</v>
      </c>
      <c r="K4" s="48"/>
      <c r="L4" s="48"/>
      <c r="M4" s="50"/>
    </row>
    <row r="5" spans="1:13" ht="16">
      <c r="A5" s="51" t="s">
        <v>83</v>
      </c>
      <c r="B5" s="51"/>
      <c r="C5" s="52"/>
      <c r="D5" s="52"/>
      <c r="E5" s="52"/>
      <c r="F5" s="52"/>
      <c r="G5" s="52"/>
      <c r="H5" s="52"/>
      <c r="I5" s="52"/>
      <c r="J5" s="52"/>
    </row>
    <row r="6" spans="1:13">
      <c r="A6" s="21" t="s">
        <v>29</v>
      </c>
      <c r="B6" s="15" t="s">
        <v>84</v>
      </c>
      <c r="C6" s="15" t="s">
        <v>85</v>
      </c>
      <c r="D6" s="15" t="s">
        <v>86</v>
      </c>
      <c r="E6" s="15" t="s">
        <v>733</v>
      </c>
      <c r="F6" s="15" t="s">
        <v>680</v>
      </c>
      <c r="G6" s="22" t="s">
        <v>87</v>
      </c>
      <c r="H6" s="22" t="s">
        <v>88</v>
      </c>
      <c r="I6" s="23" t="s">
        <v>80</v>
      </c>
      <c r="J6" s="21"/>
      <c r="K6" s="21" t="str">
        <f>"102,5"</f>
        <v>102,5</v>
      </c>
      <c r="L6" s="21" t="str">
        <f>"130,8823"</f>
        <v>130,8823</v>
      </c>
      <c r="M6" s="15" t="s">
        <v>706</v>
      </c>
    </row>
    <row r="7" spans="1:13">
      <c r="B7" s="5" t="s">
        <v>30</v>
      </c>
    </row>
    <row r="8" spans="1:13" ht="16">
      <c r="A8" s="41" t="s">
        <v>31</v>
      </c>
      <c r="B8" s="41"/>
      <c r="C8" s="42"/>
      <c r="D8" s="42"/>
      <c r="E8" s="42"/>
      <c r="F8" s="42"/>
      <c r="G8" s="42"/>
      <c r="H8" s="42"/>
      <c r="I8" s="42"/>
      <c r="J8" s="42"/>
    </row>
    <row r="9" spans="1:13">
      <c r="A9" s="21" t="s">
        <v>29</v>
      </c>
      <c r="B9" s="15" t="s">
        <v>92</v>
      </c>
      <c r="C9" s="15" t="s">
        <v>93</v>
      </c>
      <c r="D9" s="15" t="s">
        <v>94</v>
      </c>
      <c r="E9" s="15" t="s">
        <v>733</v>
      </c>
      <c r="F9" s="15" t="s">
        <v>680</v>
      </c>
      <c r="G9" s="22" t="s">
        <v>87</v>
      </c>
      <c r="H9" s="22" t="s">
        <v>88</v>
      </c>
      <c r="I9" s="22" t="s">
        <v>95</v>
      </c>
      <c r="J9" s="21"/>
      <c r="K9" s="21" t="str">
        <f>"107,5"</f>
        <v>107,5</v>
      </c>
      <c r="L9" s="21" t="str">
        <f>"120,0022"</f>
        <v>120,0022</v>
      </c>
      <c r="M9" s="15" t="s">
        <v>706</v>
      </c>
    </row>
    <row r="10" spans="1:13">
      <c r="B10" s="5" t="s">
        <v>30</v>
      </c>
    </row>
    <row r="11" spans="1:13" ht="16">
      <c r="A11" s="41" t="s">
        <v>72</v>
      </c>
      <c r="B11" s="41"/>
      <c r="C11" s="42"/>
      <c r="D11" s="42"/>
      <c r="E11" s="42"/>
      <c r="F11" s="42"/>
      <c r="G11" s="42"/>
      <c r="H11" s="42"/>
      <c r="I11" s="42"/>
      <c r="J11" s="42"/>
    </row>
    <row r="12" spans="1:13">
      <c r="A12" s="21" t="s">
        <v>29</v>
      </c>
      <c r="B12" s="15" t="s">
        <v>106</v>
      </c>
      <c r="C12" s="15" t="s">
        <v>107</v>
      </c>
      <c r="D12" s="15" t="s">
        <v>108</v>
      </c>
      <c r="E12" s="15" t="s">
        <v>733</v>
      </c>
      <c r="F12" s="15" t="s">
        <v>680</v>
      </c>
      <c r="G12" s="22" t="s">
        <v>109</v>
      </c>
      <c r="H12" s="22" t="s">
        <v>110</v>
      </c>
      <c r="I12" s="23" t="s">
        <v>87</v>
      </c>
      <c r="J12" s="21"/>
      <c r="K12" s="21" t="str">
        <f>"87,5"</f>
        <v>87,5</v>
      </c>
      <c r="L12" s="21" t="str">
        <f>"92,4350"</f>
        <v>92,4350</v>
      </c>
      <c r="M12" s="15" t="s">
        <v>706</v>
      </c>
    </row>
    <row r="13" spans="1:13">
      <c r="B13" s="5" t="s">
        <v>30</v>
      </c>
    </row>
    <row r="14" spans="1:13" ht="16">
      <c r="A14" s="41" t="s">
        <v>112</v>
      </c>
      <c r="B14" s="41"/>
      <c r="C14" s="42"/>
      <c r="D14" s="42"/>
      <c r="E14" s="42"/>
      <c r="F14" s="42"/>
      <c r="G14" s="42"/>
      <c r="H14" s="42"/>
      <c r="I14" s="42"/>
      <c r="J14" s="42"/>
    </row>
    <row r="15" spans="1:13">
      <c r="A15" s="8" t="s">
        <v>29</v>
      </c>
      <c r="B15" s="7" t="s">
        <v>121</v>
      </c>
      <c r="C15" s="7" t="s">
        <v>122</v>
      </c>
      <c r="D15" s="7" t="s">
        <v>123</v>
      </c>
      <c r="E15" s="7" t="s">
        <v>733</v>
      </c>
      <c r="F15" s="7" t="s">
        <v>680</v>
      </c>
      <c r="G15" s="17" t="s">
        <v>80</v>
      </c>
      <c r="H15" s="17" t="s">
        <v>81</v>
      </c>
      <c r="I15" s="18" t="s">
        <v>124</v>
      </c>
      <c r="J15" s="8"/>
      <c r="K15" s="8" t="str">
        <f>"120,0"</f>
        <v>120,0</v>
      </c>
      <c r="L15" s="8" t="str">
        <f>"114,0720"</f>
        <v>114,0720</v>
      </c>
      <c r="M15" s="7" t="s">
        <v>706</v>
      </c>
    </row>
    <row r="16" spans="1:13">
      <c r="A16" s="10" t="s">
        <v>203</v>
      </c>
      <c r="B16" s="9" t="s">
        <v>113</v>
      </c>
      <c r="C16" s="9" t="s">
        <v>114</v>
      </c>
      <c r="D16" s="9" t="s">
        <v>115</v>
      </c>
      <c r="E16" s="9" t="s">
        <v>733</v>
      </c>
      <c r="F16" s="9" t="s">
        <v>680</v>
      </c>
      <c r="G16" s="19" t="s">
        <v>95</v>
      </c>
      <c r="H16" s="19" t="s">
        <v>116</v>
      </c>
      <c r="I16" s="20" t="s">
        <v>117</v>
      </c>
      <c r="J16" s="10"/>
      <c r="K16" s="10" t="str">
        <f>"117,5"</f>
        <v>117,5</v>
      </c>
      <c r="L16" s="10" t="str">
        <f>"112,4592"</f>
        <v>112,4592</v>
      </c>
      <c r="M16" s="9" t="s">
        <v>706</v>
      </c>
    </row>
    <row r="17" spans="1:13">
      <c r="B17" s="5" t="s">
        <v>30</v>
      </c>
    </row>
    <row r="18" spans="1:13" ht="16">
      <c r="A18" s="41" t="s">
        <v>126</v>
      </c>
      <c r="B18" s="41"/>
      <c r="C18" s="42"/>
      <c r="D18" s="42"/>
      <c r="E18" s="42"/>
      <c r="F18" s="42"/>
      <c r="G18" s="42"/>
      <c r="H18" s="42"/>
      <c r="I18" s="42"/>
      <c r="J18" s="42"/>
    </row>
    <row r="19" spans="1:13">
      <c r="A19" s="21" t="s">
        <v>29</v>
      </c>
      <c r="B19" s="15" t="s">
        <v>552</v>
      </c>
      <c r="C19" s="15" t="s">
        <v>553</v>
      </c>
      <c r="D19" s="15" t="s">
        <v>554</v>
      </c>
      <c r="E19" s="15" t="s">
        <v>733</v>
      </c>
      <c r="F19" s="15" t="s">
        <v>52</v>
      </c>
      <c r="G19" s="22" t="s">
        <v>77</v>
      </c>
      <c r="H19" s="22" t="s">
        <v>80</v>
      </c>
      <c r="I19" s="22" t="s">
        <v>132</v>
      </c>
      <c r="J19" s="21"/>
      <c r="K19" s="21" t="str">
        <f>"115,0"</f>
        <v>115,0</v>
      </c>
      <c r="L19" s="21" t="str">
        <f>"78,2000"</f>
        <v>78,2000</v>
      </c>
      <c r="M19" s="15" t="s">
        <v>707</v>
      </c>
    </row>
    <row r="20" spans="1:13">
      <c r="B20" s="5" t="s">
        <v>30</v>
      </c>
    </row>
    <row r="21" spans="1:13" ht="16">
      <c r="A21" s="41" t="s">
        <v>10</v>
      </c>
      <c r="B21" s="41"/>
      <c r="C21" s="42"/>
      <c r="D21" s="42"/>
      <c r="E21" s="42"/>
      <c r="F21" s="42"/>
      <c r="G21" s="42"/>
      <c r="H21" s="42"/>
      <c r="I21" s="42"/>
      <c r="J21" s="42"/>
    </row>
    <row r="22" spans="1:13">
      <c r="A22" s="8" t="s">
        <v>29</v>
      </c>
      <c r="B22" s="7" t="s">
        <v>172</v>
      </c>
      <c r="C22" s="7" t="s">
        <v>173</v>
      </c>
      <c r="D22" s="7" t="s">
        <v>174</v>
      </c>
      <c r="E22" s="7" t="s">
        <v>733</v>
      </c>
      <c r="F22" s="7" t="s">
        <v>52</v>
      </c>
      <c r="G22" s="17" t="s">
        <v>46</v>
      </c>
      <c r="H22" s="17" t="s">
        <v>48</v>
      </c>
      <c r="I22" s="17" t="s">
        <v>175</v>
      </c>
      <c r="J22" s="8"/>
      <c r="K22" s="8" t="str">
        <f>"225,0"</f>
        <v>225,0</v>
      </c>
      <c r="L22" s="8" t="str">
        <f>"138,6225"</f>
        <v>138,6225</v>
      </c>
      <c r="M22" s="7"/>
    </row>
    <row r="23" spans="1:13">
      <c r="A23" s="10" t="s">
        <v>29</v>
      </c>
      <c r="B23" s="9" t="s">
        <v>160</v>
      </c>
      <c r="C23" s="9" t="s">
        <v>625</v>
      </c>
      <c r="D23" s="9" t="s">
        <v>162</v>
      </c>
      <c r="E23" s="9" t="s">
        <v>736</v>
      </c>
      <c r="F23" s="9" t="s">
        <v>681</v>
      </c>
      <c r="G23" s="19" t="s">
        <v>14</v>
      </c>
      <c r="H23" s="20" t="s">
        <v>15</v>
      </c>
      <c r="I23" s="20" t="s">
        <v>15</v>
      </c>
      <c r="J23" s="10"/>
      <c r="K23" s="10" t="str">
        <f>"235,0"</f>
        <v>235,0</v>
      </c>
      <c r="L23" s="10" t="str">
        <f>"147,3880"</f>
        <v>147,3880</v>
      </c>
      <c r="M23" s="9" t="s">
        <v>708</v>
      </c>
    </row>
    <row r="24" spans="1:13">
      <c r="B24" s="5" t="s">
        <v>30</v>
      </c>
    </row>
  </sheetData>
  <mergeCells count="17">
    <mergeCell ref="A1:M2"/>
    <mergeCell ref="A3:A4"/>
    <mergeCell ref="C3:C4"/>
    <mergeCell ref="D3:D4"/>
    <mergeCell ref="E3:E4"/>
    <mergeCell ref="F3:F4"/>
    <mergeCell ref="G3:J3"/>
    <mergeCell ref="B3:B4"/>
    <mergeCell ref="K3:K4"/>
    <mergeCell ref="L3:L4"/>
    <mergeCell ref="M3:M4"/>
    <mergeCell ref="A21:J21"/>
    <mergeCell ref="A5:J5"/>
    <mergeCell ref="A8:J8"/>
    <mergeCell ref="A11:J11"/>
    <mergeCell ref="A14:J14"/>
    <mergeCell ref="A18:J18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9F9FD0-6877-435B-A4F2-FEA5F3A9158E}">
  <dimension ref="A1:M7"/>
  <sheetViews>
    <sheetView workbookViewId="0">
      <selection sqref="A1:M2"/>
    </sheetView>
  </sheetViews>
  <sheetFormatPr baseColWidth="10" defaultColWidth="9.1640625" defaultRowHeight="13"/>
  <cols>
    <col min="1" max="1" width="7.1640625" style="5" bestFit="1" customWidth="1"/>
    <col min="2" max="2" width="25.33203125" style="5" customWidth="1"/>
    <col min="3" max="3" width="28.6640625" style="5" bestFit="1" customWidth="1"/>
    <col min="4" max="4" width="20.83203125" style="5" bestFit="1" customWidth="1"/>
    <col min="5" max="5" width="10.1640625" style="5" bestFit="1" customWidth="1"/>
    <col min="6" max="6" width="28.5" style="5" bestFit="1" customWidth="1"/>
    <col min="7" max="9" width="5.5" style="6" customWidth="1"/>
    <col min="10" max="10" width="4.5" style="6" customWidth="1"/>
    <col min="11" max="11" width="10.5" style="6" bestFit="1" customWidth="1"/>
    <col min="12" max="12" width="8.5" style="6" bestFit="1" customWidth="1"/>
    <col min="13" max="13" width="14.6640625" style="5" bestFit="1" customWidth="1"/>
    <col min="14" max="16384" width="9.1640625" style="3"/>
  </cols>
  <sheetData>
    <row r="1" spans="1:13" s="2" customFormat="1" ht="29" customHeight="1">
      <c r="A1" s="53" t="s">
        <v>659</v>
      </c>
      <c r="B1" s="54"/>
      <c r="C1" s="55"/>
      <c r="D1" s="55"/>
      <c r="E1" s="55"/>
      <c r="F1" s="55"/>
      <c r="G1" s="55"/>
      <c r="H1" s="55"/>
      <c r="I1" s="55"/>
      <c r="J1" s="55"/>
      <c r="K1" s="55"/>
      <c r="L1" s="55"/>
      <c r="M1" s="56"/>
    </row>
    <row r="2" spans="1:13" s="2" customFormat="1" ht="62" customHeight="1" thickBot="1">
      <c r="A2" s="57"/>
      <c r="B2" s="58"/>
      <c r="C2" s="59"/>
      <c r="D2" s="59"/>
      <c r="E2" s="59"/>
      <c r="F2" s="59"/>
      <c r="G2" s="59"/>
      <c r="H2" s="59"/>
      <c r="I2" s="59"/>
      <c r="J2" s="59"/>
      <c r="K2" s="59"/>
      <c r="L2" s="59"/>
      <c r="M2" s="60"/>
    </row>
    <row r="3" spans="1:13" s="1" customFormat="1" ht="12.75" customHeight="1">
      <c r="A3" s="61" t="s">
        <v>730</v>
      </c>
      <c r="B3" s="43" t="s">
        <v>0</v>
      </c>
      <c r="C3" s="63" t="s">
        <v>731</v>
      </c>
      <c r="D3" s="63" t="s">
        <v>6</v>
      </c>
      <c r="E3" s="47" t="s">
        <v>732</v>
      </c>
      <c r="F3" s="47" t="s">
        <v>5</v>
      </c>
      <c r="G3" s="47" t="s">
        <v>7</v>
      </c>
      <c r="H3" s="47"/>
      <c r="I3" s="47"/>
      <c r="J3" s="47"/>
      <c r="K3" s="47" t="s">
        <v>401</v>
      </c>
      <c r="L3" s="47" t="s">
        <v>3</v>
      </c>
      <c r="M3" s="49" t="s">
        <v>2</v>
      </c>
    </row>
    <row r="4" spans="1:13" s="1" customFormat="1" ht="21" customHeight="1" thickBot="1">
      <c r="A4" s="62"/>
      <c r="B4" s="44"/>
      <c r="C4" s="48"/>
      <c r="D4" s="48"/>
      <c r="E4" s="48"/>
      <c r="F4" s="48"/>
      <c r="G4" s="4">
        <v>1</v>
      </c>
      <c r="H4" s="4">
        <v>2</v>
      </c>
      <c r="I4" s="4">
        <v>3</v>
      </c>
      <c r="J4" s="4" t="s">
        <v>4</v>
      </c>
      <c r="K4" s="48"/>
      <c r="L4" s="48"/>
      <c r="M4" s="50"/>
    </row>
    <row r="5" spans="1:13" ht="16">
      <c r="A5" s="51" t="s">
        <v>10</v>
      </c>
      <c r="B5" s="51"/>
      <c r="C5" s="52"/>
      <c r="D5" s="52"/>
      <c r="E5" s="52"/>
      <c r="F5" s="52"/>
      <c r="G5" s="52"/>
      <c r="H5" s="52"/>
      <c r="I5" s="52"/>
      <c r="J5" s="52"/>
    </row>
    <row r="6" spans="1:13">
      <c r="A6" s="21" t="s">
        <v>29</v>
      </c>
      <c r="B6" s="15" t="s">
        <v>11</v>
      </c>
      <c r="C6" s="15" t="s">
        <v>626</v>
      </c>
      <c r="D6" s="15" t="s">
        <v>13</v>
      </c>
      <c r="E6" s="15" t="s">
        <v>734</v>
      </c>
      <c r="F6" s="15" t="s">
        <v>680</v>
      </c>
      <c r="G6" s="22" t="s">
        <v>14</v>
      </c>
      <c r="H6" s="22" t="s">
        <v>15</v>
      </c>
      <c r="I6" s="23" t="s">
        <v>16</v>
      </c>
      <c r="J6" s="21"/>
      <c r="K6" s="21" t="str">
        <f>"250,0"</f>
        <v>250,0</v>
      </c>
      <c r="L6" s="21" t="str">
        <f>"176,6247"</f>
        <v>176,6247</v>
      </c>
      <c r="M6" s="15" t="s">
        <v>703</v>
      </c>
    </row>
    <row r="7" spans="1:13">
      <c r="B7" s="5" t="s">
        <v>30</v>
      </c>
    </row>
  </sheetData>
  <mergeCells count="12">
    <mergeCell ref="A5:J5"/>
    <mergeCell ref="B3:B4"/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0C677F-A218-4535-B961-DC2800DBA888}">
  <dimension ref="A1:M7"/>
  <sheetViews>
    <sheetView workbookViewId="0">
      <selection sqref="A1:M2"/>
    </sheetView>
  </sheetViews>
  <sheetFormatPr baseColWidth="10" defaultColWidth="9.1640625" defaultRowHeight="13"/>
  <cols>
    <col min="1" max="1" width="7.1640625" style="5" bestFit="1" customWidth="1"/>
    <col min="2" max="2" width="16" style="5" bestFit="1" customWidth="1"/>
    <col min="3" max="3" width="28.6640625" style="5" bestFit="1" customWidth="1"/>
    <col min="4" max="4" width="20.83203125" style="5" bestFit="1" customWidth="1"/>
    <col min="5" max="5" width="10.1640625" style="5" bestFit="1" customWidth="1"/>
    <col min="6" max="6" width="28.5" style="5" bestFit="1" customWidth="1"/>
    <col min="7" max="9" width="5.5" style="6" customWidth="1"/>
    <col min="10" max="10" width="4.5" style="6" customWidth="1"/>
    <col min="11" max="11" width="10.5" style="6" bestFit="1" customWidth="1"/>
    <col min="12" max="12" width="8.5" style="6" bestFit="1" customWidth="1"/>
    <col min="13" max="13" width="19.33203125" style="5" customWidth="1"/>
    <col min="14" max="16384" width="9.1640625" style="3"/>
  </cols>
  <sheetData>
    <row r="1" spans="1:13" s="2" customFormat="1" ht="29" customHeight="1">
      <c r="A1" s="53" t="s">
        <v>660</v>
      </c>
      <c r="B1" s="54"/>
      <c r="C1" s="55"/>
      <c r="D1" s="55"/>
      <c r="E1" s="55"/>
      <c r="F1" s="55"/>
      <c r="G1" s="55"/>
      <c r="H1" s="55"/>
      <c r="I1" s="55"/>
      <c r="J1" s="55"/>
      <c r="K1" s="55"/>
      <c r="L1" s="55"/>
      <c r="M1" s="56"/>
    </row>
    <row r="2" spans="1:13" s="2" customFormat="1" ht="62" customHeight="1" thickBot="1">
      <c r="A2" s="57"/>
      <c r="B2" s="58"/>
      <c r="C2" s="59"/>
      <c r="D2" s="59"/>
      <c r="E2" s="59"/>
      <c r="F2" s="59"/>
      <c r="G2" s="59"/>
      <c r="H2" s="59"/>
      <c r="I2" s="59"/>
      <c r="J2" s="59"/>
      <c r="K2" s="59"/>
      <c r="L2" s="59"/>
      <c r="M2" s="60"/>
    </row>
    <row r="3" spans="1:13" s="1" customFormat="1" ht="12.75" customHeight="1">
      <c r="A3" s="61" t="s">
        <v>730</v>
      </c>
      <c r="B3" s="43" t="s">
        <v>0</v>
      </c>
      <c r="C3" s="63" t="s">
        <v>731</v>
      </c>
      <c r="D3" s="63" t="s">
        <v>6</v>
      </c>
      <c r="E3" s="47" t="s">
        <v>732</v>
      </c>
      <c r="F3" s="47" t="s">
        <v>5</v>
      </c>
      <c r="G3" s="47" t="s">
        <v>7</v>
      </c>
      <c r="H3" s="47"/>
      <c r="I3" s="47"/>
      <c r="J3" s="47"/>
      <c r="K3" s="47" t="s">
        <v>401</v>
      </c>
      <c r="L3" s="47" t="s">
        <v>3</v>
      </c>
      <c r="M3" s="49" t="s">
        <v>2</v>
      </c>
    </row>
    <row r="4" spans="1:13" s="1" customFormat="1" ht="21" customHeight="1" thickBot="1">
      <c r="A4" s="62"/>
      <c r="B4" s="44"/>
      <c r="C4" s="48"/>
      <c r="D4" s="48"/>
      <c r="E4" s="48"/>
      <c r="F4" s="48"/>
      <c r="G4" s="4">
        <v>1</v>
      </c>
      <c r="H4" s="4">
        <v>2</v>
      </c>
      <c r="I4" s="4">
        <v>3</v>
      </c>
      <c r="J4" s="4" t="s">
        <v>4</v>
      </c>
      <c r="K4" s="48"/>
      <c r="L4" s="48"/>
      <c r="M4" s="50"/>
    </row>
    <row r="5" spans="1:13" ht="16">
      <c r="A5" s="51" t="s">
        <v>10</v>
      </c>
      <c r="B5" s="51"/>
      <c r="C5" s="52"/>
      <c r="D5" s="52"/>
      <c r="E5" s="52"/>
      <c r="F5" s="52"/>
      <c r="G5" s="52"/>
      <c r="H5" s="52"/>
      <c r="I5" s="52"/>
      <c r="J5" s="52"/>
    </row>
    <row r="6" spans="1:13">
      <c r="A6" s="21" t="s">
        <v>29</v>
      </c>
      <c r="B6" s="15" t="s">
        <v>11</v>
      </c>
      <c r="C6" s="15" t="s">
        <v>626</v>
      </c>
      <c r="D6" s="15" t="s">
        <v>13</v>
      </c>
      <c r="E6" s="15" t="s">
        <v>734</v>
      </c>
      <c r="F6" s="15" t="s">
        <v>680</v>
      </c>
      <c r="G6" s="22" t="s">
        <v>14</v>
      </c>
      <c r="H6" s="22" t="s">
        <v>15</v>
      </c>
      <c r="I6" s="23" t="s">
        <v>16</v>
      </c>
      <c r="J6" s="21"/>
      <c r="K6" s="21" t="str">
        <f>"250,0"</f>
        <v>250,0</v>
      </c>
      <c r="L6" s="21" t="str">
        <f>"176,6247"</f>
        <v>176,6247</v>
      </c>
      <c r="M6" s="15" t="s">
        <v>703</v>
      </c>
    </row>
    <row r="7" spans="1:13">
      <c r="B7" s="5" t="s">
        <v>30</v>
      </c>
    </row>
  </sheetData>
  <mergeCells count="12">
    <mergeCell ref="A5:J5"/>
    <mergeCell ref="B3:B4"/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95ADEA-5385-44DD-863F-27A7C1DB1166}">
  <dimension ref="A1:M81"/>
  <sheetViews>
    <sheetView workbookViewId="0">
      <selection activeCell="E71" sqref="E71"/>
    </sheetView>
  </sheetViews>
  <sheetFormatPr baseColWidth="10" defaultColWidth="9.1640625" defaultRowHeight="13"/>
  <cols>
    <col min="1" max="1" width="7.1640625" style="5" bestFit="1" customWidth="1"/>
    <col min="2" max="2" width="22.33203125" style="5" bestFit="1" customWidth="1"/>
    <col min="3" max="3" width="28.83203125" style="5" bestFit="1" customWidth="1"/>
    <col min="4" max="4" width="20.83203125" style="5" bestFit="1" customWidth="1"/>
    <col min="5" max="5" width="10.1640625" style="5" bestFit="1" customWidth="1"/>
    <col min="6" max="6" width="28.5" style="5" bestFit="1" customWidth="1"/>
    <col min="7" max="9" width="5.5" style="6" customWidth="1"/>
    <col min="10" max="10" width="4.5" style="6" customWidth="1"/>
    <col min="11" max="11" width="7.6640625" style="36" bestFit="1" customWidth="1"/>
    <col min="12" max="12" width="8.5" style="6" bestFit="1" customWidth="1"/>
    <col min="13" max="13" width="18.6640625" style="5" bestFit="1" customWidth="1"/>
    <col min="14" max="16384" width="9.1640625" style="3"/>
  </cols>
  <sheetData>
    <row r="1" spans="1:13" s="2" customFormat="1" ht="29" customHeight="1">
      <c r="A1" s="53" t="s">
        <v>670</v>
      </c>
      <c r="B1" s="54"/>
      <c r="C1" s="55"/>
      <c r="D1" s="55"/>
      <c r="E1" s="55"/>
      <c r="F1" s="55"/>
      <c r="G1" s="55"/>
      <c r="H1" s="55"/>
      <c r="I1" s="55"/>
      <c r="J1" s="55"/>
      <c r="K1" s="55"/>
      <c r="L1" s="55"/>
      <c r="M1" s="56"/>
    </row>
    <row r="2" spans="1:13" s="2" customFormat="1" ht="62" customHeight="1" thickBot="1">
      <c r="A2" s="57"/>
      <c r="B2" s="58"/>
      <c r="C2" s="59"/>
      <c r="D2" s="59"/>
      <c r="E2" s="59"/>
      <c r="F2" s="59"/>
      <c r="G2" s="59"/>
      <c r="H2" s="59"/>
      <c r="I2" s="59"/>
      <c r="J2" s="59"/>
      <c r="K2" s="59"/>
      <c r="L2" s="59"/>
      <c r="M2" s="60"/>
    </row>
    <row r="3" spans="1:13" s="1" customFormat="1" ht="12.75" customHeight="1">
      <c r="A3" s="61" t="s">
        <v>730</v>
      </c>
      <c r="B3" s="43" t="s">
        <v>0</v>
      </c>
      <c r="C3" s="63" t="s">
        <v>731</v>
      </c>
      <c r="D3" s="63" t="s">
        <v>6</v>
      </c>
      <c r="E3" s="47" t="s">
        <v>732</v>
      </c>
      <c r="F3" s="47" t="s">
        <v>5</v>
      </c>
      <c r="G3" s="47" t="s">
        <v>8</v>
      </c>
      <c r="H3" s="47"/>
      <c r="I3" s="47"/>
      <c r="J3" s="47"/>
      <c r="K3" s="45" t="s">
        <v>401</v>
      </c>
      <c r="L3" s="47" t="s">
        <v>3</v>
      </c>
      <c r="M3" s="49" t="s">
        <v>2</v>
      </c>
    </row>
    <row r="4" spans="1:13" s="1" customFormat="1" ht="21" customHeight="1" thickBot="1">
      <c r="A4" s="62"/>
      <c r="B4" s="44"/>
      <c r="C4" s="48"/>
      <c r="D4" s="48"/>
      <c r="E4" s="48"/>
      <c r="F4" s="48"/>
      <c r="G4" s="4">
        <v>1</v>
      </c>
      <c r="H4" s="4">
        <v>2</v>
      </c>
      <c r="I4" s="4">
        <v>3</v>
      </c>
      <c r="J4" s="4" t="s">
        <v>4</v>
      </c>
      <c r="K4" s="46"/>
      <c r="L4" s="48"/>
      <c r="M4" s="50"/>
    </row>
    <row r="5" spans="1:13" ht="16">
      <c r="A5" s="51" t="s">
        <v>83</v>
      </c>
      <c r="B5" s="51"/>
      <c r="C5" s="52"/>
      <c r="D5" s="52"/>
      <c r="E5" s="52"/>
      <c r="F5" s="52"/>
      <c r="G5" s="52"/>
      <c r="H5" s="52"/>
      <c r="I5" s="52"/>
      <c r="J5" s="52"/>
    </row>
    <row r="6" spans="1:13">
      <c r="A6" s="8" t="s">
        <v>29</v>
      </c>
      <c r="B6" s="7" t="s">
        <v>402</v>
      </c>
      <c r="C6" s="7" t="s">
        <v>403</v>
      </c>
      <c r="D6" s="7" t="s">
        <v>404</v>
      </c>
      <c r="E6" s="7" t="s">
        <v>733</v>
      </c>
      <c r="F6" s="7" t="s">
        <v>52</v>
      </c>
      <c r="G6" s="17" t="s">
        <v>96</v>
      </c>
      <c r="H6" s="18" t="s">
        <v>97</v>
      </c>
      <c r="I6" s="18" t="s">
        <v>97</v>
      </c>
      <c r="J6" s="8"/>
      <c r="K6" s="37" t="str">
        <f>"47,5"</f>
        <v>47,5</v>
      </c>
      <c r="L6" s="8" t="str">
        <f>"59,3037"</f>
        <v>59,3037</v>
      </c>
      <c r="M6" s="7" t="s">
        <v>710</v>
      </c>
    </row>
    <row r="7" spans="1:13">
      <c r="A7" s="25" t="s">
        <v>203</v>
      </c>
      <c r="B7" s="24" t="s">
        <v>84</v>
      </c>
      <c r="C7" s="24" t="s">
        <v>85</v>
      </c>
      <c r="D7" s="24" t="s">
        <v>86</v>
      </c>
      <c r="E7" s="24" t="s">
        <v>733</v>
      </c>
      <c r="F7" s="24" t="s">
        <v>680</v>
      </c>
      <c r="G7" s="26" t="s">
        <v>89</v>
      </c>
      <c r="H7" s="26" t="s">
        <v>90</v>
      </c>
      <c r="I7" s="27" t="s">
        <v>91</v>
      </c>
      <c r="J7" s="25"/>
      <c r="K7" s="40" t="str">
        <f>"40,0"</f>
        <v>40,0</v>
      </c>
      <c r="L7" s="25" t="str">
        <f>"51,0760"</f>
        <v>51,0760</v>
      </c>
      <c r="M7" s="24" t="s">
        <v>683</v>
      </c>
    </row>
    <row r="8" spans="1:13">
      <c r="A8" s="10" t="s">
        <v>29</v>
      </c>
      <c r="B8" s="9" t="s">
        <v>402</v>
      </c>
      <c r="C8" s="9" t="s">
        <v>631</v>
      </c>
      <c r="D8" s="9" t="s">
        <v>404</v>
      </c>
      <c r="E8" s="9" t="s">
        <v>734</v>
      </c>
      <c r="F8" s="9" t="s">
        <v>52</v>
      </c>
      <c r="G8" s="19" t="s">
        <v>96</v>
      </c>
      <c r="H8" s="20" t="s">
        <v>97</v>
      </c>
      <c r="I8" s="20" t="s">
        <v>97</v>
      </c>
      <c r="J8" s="10"/>
      <c r="K8" s="38" t="str">
        <f>"47,5"</f>
        <v>47,5</v>
      </c>
      <c r="L8" s="10" t="str">
        <f>"64,9969"</f>
        <v>64,9969</v>
      </c>
      <c r="M8" s="9" t="s">
        <v>710</v>
      </c>
    </row>
    <row r="9" spans="1:13">
      <c r="B9" s="5" t="s">
        <v>30</v>
      </c>
    </row>
    <row r="10" spans="1:13" ht="16">
      <c r="A10" s="41" t="s">
        <v>210</v>
      </c>
      <c r="B10" s="41"/>
      <c r="C10" s="42"/>
      <c r="D10" s="42"/>
      <c r="E10" s="42"/>
      <c r="F10" s="42"/>
      <c r="G10" s="42"/>
      <c r="H10" s="42"/>
      <c r="I10" s="42"/>
      <c r="J10" s="42"/>
    </row>
    <row r="11" spans="1:13">
      <c r="A11" s="21" t="s">
        <v>29</v>
      </c>
      <c r="B11" s="15" t="s">
        <v>211</v>
      </c>
      <c r="C11" s="15" t="s">
        <v>212</v>
      </c>
      <c r="D11" s="15" t="s">
        <v>213</v>
      </c>
      <c r="E11" s="15" t="s">
        <v>733</v>
      </c>
      <c r="F11" s="15" t="s">
        <v>214</v>
      </c>
      <c r="G11" s="22" t="s">
        <v>216</v>
      </c>
      <c r="H11" s="23" t="s">
        <v>119</v>
      </c>
      <c r="I11" s="23" t="s">
        <v>119</v>
      </c>
      <c r="J11" s="21"/>
      <c r="K11" s="39" t="str">
        <f>"55,0"</f>
        <v>55,0</v>
      </c>
      <c r="L11" s="21" t="str">
        <f>"64,8065"</f>
        <v>64,8065</v>
      </c>
      <c r="M11" s="15" t="s">
        <v>685</v>
      </c>
    </row>
    <row r="12" spans="1:13">
      <c r="B12" s="5" t="s">
        <v>30</v>
      </c>
    </row>
    <row r="13" spans="1:13" ht="16">
      <c r="A13" s="41" t="s">
        <v>31</v>
      </c>
      <c r="B13" s="41"/>
      <c r="C13" s="42"/>
      <c r="D13" s="42"/>
      <c r="E13" s="42"/>
      <c r="F13" s="42"/>
      <c r="G13" s="42"/>
      <c r="H13" s="42"/>
      <c r="I13" s="42"/>
      <c r="J13" s="42"/>
    </row>
    <row r="14" spans="1:13">
      <c r="A14" s="8" t="s">
        <v>29</v>
      </c>
      <c r="B14" s="7" t="s">
        <v>405</v>
      </c>
      <c r="C14" s="7" t="s">
        <v>632</v>
      </c>
      <c r="D14" s="7" t="s">
        <v>406</v>
      </c>
      <c r="E14" s="7" t="s">
        <v>737</v>
      </c>
      <c r="F14" s="7" t="s">
        <v>214</v>
      </c>
      <c r="G14" s="17" t="s">
        <v>97</v>
      </c>
      <c r="H14" s="17" t="s">
        <v>118</v>
      </c>
      <c r="I14" s="17" t="s">
        <v>131</v>
      </c>
      <c r="J14" s="8"/>
      <c r="K14" s="37" t="str">
        <f>"60,0"</f>
        <v>60,0</v>
      </c>
      <c r="L14" s="8" t="str">
        <f>"67,0680"</f>
        <v>67,0680</v>
      </c>
      <c r="M14" s="7"/>
    </row>
    <row r="15" spans="1:13">
      <c r="A15" s="10" t="s">
        <v>29</v>
      </c>
      <c r="B15" s="9" t="s">
        <v>92</v>
      </c>
      <c r="C15" s="9" t="s">
        <v>93</v>
      </c>
      <c r="D15" s="9" t="s">
        <v>94</v>
      </c>
      <c r="E15" s="9" t="s">
        <v>733</v>
      </c>
      <c r="F15" s="9" t="s">
        <v>680</v>
      </c>
      <c r="G15" s="19" t="s">
        <v>91</v>
      </c>
      <c r="H15" s="19" t="s">
        <v>96</v>
      </c>
      <c r="I15" s="20" t="s">
        <v>97</v>
      </c>
      <c r="J15" s="10"/>
      <c r="K15" s="38" t="str">
        <f>"47,5"</f>
        <v>47,5</v>
      </c>
      <c r="L15" s="10" t="str">
        <f>"53,0242"</f>
        <v>53,0242</v>
      </c>
      <c r="M15" s="9" t="s">
        <v>683</v>
      </c>
    </row>
    <row r="16" spans="1:13">
      <c r="B16" s="5" t="s">
        <v>30</v>
      </c>
    </row>
    <row r="17" spans="1:13" ht="16">
      <c r="A17" s="41" t="s">
        <v>72</v>
      </c>
      <c r="B17" s="41"/>
      <c r="C17" s="42"/>
      <c r="D17" s="42"/>
      <c r="E17" s="42"/>
      <c r="F17" s="42"/>
      <c r="G17" s="42"/>
      <c r="H17" s="42"/>
      <c r="I17" s="42"/>
      <c r="J17" s="42"/>
    </row>
    <row r="18" spans="1:13">
      <c r="A18" s="21" t="s">
        <v>29</v>
      </c>
      <c r="B18" s="15" t="s">
        <v>106</v>
      </c>
      <c r="C18" s="15" t="s">
        <v>107</v>
      </c>
      <c r="D18" s="15" t="s">
        <v>108</v>
      </c>
      <c r="E18" s="15" t="s">
        <v>733</v>
      </c>
      <c r="F18" s="15" t="s">
        <v>680</v>
      </c>
      <c r="G18" s="22" t="s">
        <v>91</v>
      </c>
      <c r="H18" s="23" t="s">
        <v>97</v>
      </c>
      <c r="I18" s="23" t="s">
        <v>97</v>
      </c>
      <c r="J18" s="21"/>
      <c r="K18" s="39" t="str">
        <f>"42,5"</f>
        <v>42,5</v>
      </c>
      <c r="L18" s="21" t="str">
        <f>"44,8970"</f>
        <v>44,8970</v>
      </c>
      <c r="M18" s="15" t="s">
        <v>683</v>
      </c>
    </row>
    <row r="19" spans="1:13">
      <c r="B19" s="5" t="s">
        <v>30</v>
      </c>
    </row>
    <row r="20" spans="1:13" ht="16">
      <c r="A20" s="41" t="s">
        <v>112</v>
      </c>
      <c r="B20" s="41"/>
      <c r="C20" s="42"/>
      <c r="D20" s="42"/>
      <c r="E20" s="42"/>
      <c r="F20" s="42"/>
      <c r="G20" s="42"/>
      <c r="H20" s="42"/>
      <c r="I20" s="42"/>
      <c r="J20" s="42"/>
    </row>
    <row r="21" spans="1:13">
      <c r="A21" s="8" t="s">
        <v>29</v>
      </c>
      <c r="B21" s="7" t="s">
        <v>121</v>
      </c>
      <c r="C21" s="7" t="s">
        <v>122</v>
      </c>
      <c r="D21" s="7" t="s">
        <v>123</v>
      </c>
      <c r="E21" s="7" t="s">
        <v>733</v>
      </c>
      <c r="F21" s="7" t="s">
        <v>680</v>
      </c>
      <c r="G21" s="17" t="s">
        <v>118</v>
      </c>
      <c r="H21" s="17" t="s">
        <v>119</v>
      </c>
      <c r="I21" s="18" t="s">
        <v>125</v>
      </c>
      <c r="J21" s="8"/>
      <c r="K21" s="37" t="str">
        <f>"62,5"</f>
        <v>62,5</v>
      </c>
      <c r="L21" s="8" t="str">
        <f>"59,4125"</f>
        <v>59,4125</v>
      </c>
      <c r="M21" s="7" t="s">
        <v>683</v>
      </c>
    </row>
    <row r="22" spans="1:13">
      <c r="A22" s="10" t="s">
        <v>203</v>
      </c>
      <c r="B22" s="9" t="s">
        <v>113</v>
      </c>
      <c r="C22" s="9" t="s">
        <v>114</v>
      </c>
      <c r="D22" s="9" t="s">
        <v>115</v>
      </c>
      <c r="E22" s="9" t="s">
        <v>733</v>
      </c>
      <c r="F22" s="9" t="s">
        <v>680</v>
      </c>
      <c r="G22" s="19" t="s">
        <v>118</v>
      </c>
      <c r="H22" s="20" t="s">
        <v>119</v>
      </c>
      <c r="I22" s="20" t="s">
        <v>119</v>
      </c>
      <c r="J22" s="10"/>
      <c r="K22" s="38" t="str">
        <f>"57,5"</f>
        <v>57,5</v>
      </c>
      <c r="L22" s="10" t="str">
        <f>"55,0332"</f>
        <v>55,0332</v>
      </c>
      <c r="M22" s="9" t="s">
        <v>683</v>
      </c>
    </row>
    <row r="23" spans="1:13">
      <c r="B23" s="5" t="s">
        <v>30</v>
      </c>
    </row>
    <row r="24" spans="1:13" ht="16">
      <c r="A24" s="41" t="s">
        <v>72</v>
      </c>
      <c r="B24" s="41"/>
      <c r="C24" s="42"/>
      <c r="D24" s="42"/>
      <c r="E24" s="42"/>
      <c r="F24" s="42"/>
      <c r="G24" s="42"/>
      <c r="H24" s="42"/>
      <c r="I24" s="42"/>
      <c r="J24" s="42"/>
    </row>
    <row r="25" spans="1:13">
      <c r="A25" s="21" t="s">
        <v>29</v>
      </c>
      <c r="B25" s="15" t="s">
        <v>407</v>
      </c>
      <c r="C25" s="15" t="s">
        <v>408</v>
      </c>
      <c r="D25" s="15" t="s">
        <v>409</v>
      </c>
      <c r="E25" s="15" t="s">
        <v>735</v>
      </c>
      <c r="F25" s="15" t="s">
        <v>214</v>
      </c>
      <c r="G25" s="23" t="s">
        <v>265</v>
      </c>
      <c r="H25" s="22" t="s">
        <v>265</v>
      </c>
      <c r="I25" s="22" t="s">
        <v>88</v>
      </c>
      <c r="J25" s="21"/>
      <c r="K25" s="39" t="str">
        <f>"102,5"</f>
        <v>102,5</v>
      </c>
      <c r="L25" s="21" t="str">
        <f>"79,3145"</f>
        <v>79,3145</v>
      </c>
      <c r="M25" s="15" t="s">
        <v>711</v>
      </c>
    </row>
    <row r="26" spans="1:13">
      <c r="B26" s="5" t="s">
        <v>30</v>
      </c>
    </row>
    <row r="27" spans="1:13" ht="16">
      <c r="A27" s="41" t="s">
        <v>112</v>
      </c>
      <c r="B27" s="41"/>
      <c r="C27" s="42"/>
      <c r="D27" s="42"/>
      <c r="E27" s="42"/>
      <c r="F27" s="42"/>
      <c r="G27" s="42"/>
      <c r="H27" s="42"/>
      <c r="I27" s="42"/>
      <c r="J27" s="42"/>
    </row>
    <row r="28" spans="1:13">
      <c r="A28" s="8" t="s">
        <v>29</v>
      </c>
      <c r="B28" s="7" t="s">
        <v>410</v>
      </c>
      <c r="C28" s="7" t="s">
        <v>411</v>
      </c>
      <c r="D28" s="7" t="s">
        <v>412</v>
      </c>
      <c r="E28" s="7" t="s">
        <v>735</v>
      </c>
      <c r="F28" s="7" t="s">
        <v>52</v>
      </c>
      <c r="G28" s="18" t="s">
        <v>229</v>
      </c>
      <c r="H28" s="17" t="s">
        <v>109</v>
      </c>
      <c r="I28" s="17" t="s">
        <v>224</v>
      </c>
      <c r="J28" s="8"/>
      <c r="K28" s="37" t="str">
        <f>"82,5"</f>
        <v>82,5</v>
      </c>
      <c r="L28" s="8" t="str">
        <f>"59,6888"</f>
        <v>59,6888</v>
      </c>
      <c r="M28" s="7" t="s">
        <v>712</v>
      </c>
    </row>
    <row r="29" spans="1:13">
      <c r="A29" s="25" t="s">
        <v>29</v>
      </c>
      <c r="B29" s="24" t="s">
        <v>413</v>
      </c>
      <c r="C29" s="24" t="s">
        <v>633</v>
      </c>
      <c r="D29" s="24" t="s">
        <v>115</v>
      </c>
      <c r="E29" s="24" t="s">
        <v>737</v>
      </c>
      <c r="F29" s="24" t="s">
        <v>214</v>
      </c>
      <c r="G29" s="26" t="s">
        <v>116</v>
      </c>
      <c r="H29" s="27" t="s">
        <v>81</v>
      </c>
      <c r="I29" s="26" t="s">
        <v>81</v>
      </c>
      <c r="J29" s="25"/>
      <c r="K29" s="40" t="str">
        <f>"120,0"</f>
        <v>120,0</v>
      </c>
      <c r="L29" s="25" t="str">
        <f>"86,1480"</f>
        <v>86,1480</v>
      </c>
      <c r="M29" s="24"/>
    </row>
    <row r="30" spans="1:13">
      <c r="A30" s="25" t="s">
        <v>203</v>
      </c>
      <c r="B30" s="24" t="s">
        <v>414</v>
      </c>
      <c r="C30" s="24" t="s">
        <v>634</v>
      </c>
      <c r="D30" s="24" t="s">
        <v>115</v>
      </c>
      <c r="E30" s="24" t="s">
        <v>737</v>
      </c>
      <c r="F30" s="24" t="s">
        <v>52</v>
      </c>
      <c r="G30" s="26" t="s">
        <v>265</v>
      </c>
      <c r="H30" s="26" t="s">
        <v>78</v>
      </c>
      <c r="I30" s="27" t="s">
        <v>98</v>
      </c>
      <c r="J30" s="25"/>
      <c r="K30" s="40" t="str">
        <f>"105,0"</f>
        <v>105,0</v>
      </c>
      <c r="L30" s="25" t="str">
        <f>"75,3795"</f>
        <v>75,3795</v>
      </c>
      <c r="M30" s="24" t="s">
        <v>685</v>
      </c>
    </row>
    <row r="31" spans="1:13">
      <c r="A31" s="25" t="s">
        <v>29</v>
      </c>
      <c r="B31" s="24" t="s">
        <v>415</v>
      </c>
      <c r="C31" s="24" t="s">
        <v>416</v>
      </c>
      <c r="D31" s="24" t="s">
        <v>417</v>
      </c>
      <c r="E31" s="24" t="s">
        <v>733</v>
      </c>
      <c r="F31" s="24" t="s">
        <v>223</v>
      </c>
      <c r="G31" s="26" t="s">
        <v>142</v>
      </c>
      <c r="H31" s="26" t="s">
        <v>170</v>
      </c>
      <c r="I31" s="26" t="s">
        <v>154</v>
      </c>
      <c r="J31" s="25"/>
      <c r="K31" s="40" t="str">
        <f>"147,5"</f>
        <v>147,5</v>
      </c>
      <c r="L31" s="25" t="str">
        <f>"106,4065"</f>
        <v>106,4065</v>
      </c>
      <c r="M31" s="24"/>
    </row>
    <row r="32" spans="1:13">
      <c r="A32" s="25" t="s">
        <v>203</v>
      </c>
      <c r="B32" s="24" t="s">
        <v>418</v>
      </c>
      <c r="C32" s="24" t="s">
        <v>419</v>
      </c>
      <c r="D32" s="24" t="s">
        <v>420</v>
      </c>
      <c r="E32" s="24" t="s">
        <v>733</v>
      </c>
      <c r="F32" s="24" t="s">
        <v>223</v>
      </c>
      <c r="G32" s="26" t="s">
        <v>143</v>
      </c>
      <c r="H32" s="26" t="s">
        <v>154</v>
      </c>
      <c r="I32" s="27" t="s">
        <v>40</v>
      </c>
      <c r="J32" s="25"/>
      <c r="K32" s="40" t="str">
        <f>"147,5"</f>
        <v>147,5</v>
      </c>
      <c r="L32" s="25" t="str">
        <f>"105,5953"</f>
        <v>105,5953</v>
      </c>
      <c r="M32" s="24"/>
    </row>
    <row r="33" spans="1:13">
      <c r="A33" s="25" t="s">
        <v>204</v>
      </c>
      <c r="B33" s="24" t="s">
        <v>254</v>
      </c>
      <c r="C33" s="24" t="s">
        <v>255</v>
      </c>
      <c r="D33" s="24" t="s">
        <v>256</v>
      </c>
      <c r="E33" s="24" t="s">
        <v>733</v>
      </c>
      <c r="F33" s="24" t="s">
        <v>681</v>
      </c>
      <c r="G33" s="26" t="s">
        <v>132</v>
      </c>
      <c r="H33" s="26" t="s">
        <v>111</v>
      </c>
      <c r="I33" s="26" t="s">
        <v>120</v>
      </c>
      <c r="J33" s="25"/>
      <c r="K33" s="40" t="str">
        <f>"130,0"</f>
        <v>130,0</v>
      </c>
      <c r="L33" s="25" t="str">
        <f>"93,4180"</f>
        <v>93,4180</v>
      </c>
      <c r="M33" s="24" t="s">
        <v>686</v>
      </c>
    </row>
    <row r="34" spans="1:13">
      <c r="A34" s="25" t="s">
        <v>205</v>
      </c>
      <c r="B34" s="24" t="s">
        <v>421</v>
      </c>
      <c r="C34" s="24" t="s">
        <v>422</v>
      </c>
      <c r="D34" s="24" t="s">
        <v>423</v>
      </c>
      <c r="E34" s="24" t="s">
        <v>733</v>
      </c>
      <c r="F34" s="24" t="s">
        <v>52</v>
      </c>
      <c r="G34" s="26" t="s">
        <v>78</v>
      </c>
      <c r="H34" s="26" t="s">
        <v>116</v>
      </c>
      <c r="I34" s="26" t="s">
        <v>124</v>
      </c>
      <c r="J34" s="25"/>
      <c r="K34" s="40" t="str">
        <f>"125,0"</f>
        <v>125,0</v>
      </c>
      <c r="L34" s="25" t="str">
        <f>"91,3375"</f>
        <v>91,3375</v>
      </c>
      <c r="M34" s="24"/>
    </row>
    <row r="35" spans="1:13">
      <c r="A35" s="25" t="s">
        <v>321</v>
      </c>
      <c r="B35" s="24" t="s">
        <v>424</v>
      </c>
      <c r="C35" s="24" t="s">
        <v>425</v>
      </c>
      <c r="D35" s="24" t="s">
        <v>417</v>
      </c>
      <c r="E35" s="24" t="s">
        <v>733</v>
      </c>
      <c r="F35" s="24" t="s">
        <v>52</v>
      </c>
      <c r="G35" s="26" t="s">
        <v>80</v>
      </c>
      <c r="H35" s="26" t="s">
        <v>116</v>
      </c>
      <c r="I35" s="26" t="s">
        <v>124</v>
      </c>
      <c r="J35" s="25"/>
      <c r="K35" s="40" t="str">
        <f>"125,0"</f>
        <v>125,0</v>
      </c>
      <c r="L35" s="25" t="str">
        <f>"90,1750"</f>
        <v>90,1750</v>
      </c>
      <c r="M35" s="24" t="s">
        <v>713</v>
      </c>
    </row>
    <row r="36" spans="1:13">
      <c r="A36" s="25" t="s">
        <v>502</v>
      </c>
      <c r="B36" s="24" t="s">
        <v>426</v>
      </c>
      <c r="C36" s="24" t="s">
        <v>427</v>
      </c>
      <c r="D36" s="24" t="s">
        <v>115</v>
      </c>
      <c r="E36" s="24" t="s">
        <v>733</v>
      </c>
      <c r="F36" s="24" t="s">
        <v>52</v>
      </c>
      <c r="G36" s="26" t="s">
        <v>80</v>
      </c>
      <c r="H36" s="26" t="s">
        <v>116</v>
      </c>
      <c r="I36" s="26" t="s">
        <v>111</v>
      </c>
      <c r="J36" s="25"/>
      <c r="K36" s="40" t="str">
        <f>"122,5"</f>
        <v>122,5</v>
      </c>
      <c r="L36" s="25" t="str">
        <f>"87,9427"</f>
        <v>87,9427</v>
      </c>
      <c r="M36" s="24"/>
    </row>
    <row r="37" spans="1:13">
      <c r="A37" s="25" t="s">
        <v>503</v>
      </c>
      <c r="B37" s="24" t="s">
        <v>428</v>
      </c>
      <c r="C37" s="24" t="s">
        <v>429</v>
      </c>
      <c r="D37" s="24" t="s">
        <v>430</v>
      </c>
      <c r="E37" s="24" t="s">
        <v>733</v>
      </c>
      <c r="F37" s="24" t="s">
        <v>52</v>
      </c>
      <c r="G37" s="26" t="s">
        <v>77</v>
      </c>
      <c r="H37" s="26" t="s">
        <v>78</v>
      </c>
      <c r="I37" s="27" t="s">
        <v>80</v>
      </c>
      <c r="J37" s="25"/>
      <c r="K37" s="40" t="str">
        <f>"105,0"</f>
        <v>105,0</v>
      </c>
      <c r="L37" s="25" t="str">
        <f>"74,9595"</f>
        <v>74,9595</v>
      </c>
      <c r="M37" s="24" t="s">
        <v>685</v>
      </c>
    </row>
    <row r="38" spans="1:13">
      <c r="A38" s="25" t="s">
        <v>504</v>
      </c>
      <c r="B38" s="24" t="s">
        <v>431</v>
      </c>
      <c r="C38" s="24" t="s">
        <v>432</v>
      </c>
      <c r="D38" s="24" t="s">
        <v>433</v>
      </c>
      <c r="E38" s="24" t="s">
        <v>733</v>
      </c>
      <c r="F38" s="24" t="s">
        <v>52</v>
      </c>
      <c r="G38" s="26" t="s">
        <v>77</v>
      </c>
      <c r="H38" s="26" t="s">
        <v>88</v>
      </c>
      <c r="I38" s="27" t="s">
        <v>95</v>
      </c>
      <c r="J38" s="25"/>
      <c r="K38" s="40" t="str">
        <f>"102,5"</f>
        <v>102,5</v>
      </c>
      <c r="L38" s="25" t="str">
        <f>"75,3580"</f>
        <v>75,3580</v>
      </c>
      <c r="M38" s="24" t="s">
        <v>710</v>
      </c>
    </row>
    <row r="39" spans="1:13">
      <c r="A39" s="10" t="s">
        <v>29</v>
      </c>
      <c r="B39" s="9" t="s">
        <v>434</v>
      </c>
      <c r="C39" s="9" t="s">
        <v>635</v>
      </c>
      <c r="D39" s="9" t="s">
        <v>435</v>
      </c>
      <c r="E39" s="9" t="s">
        <v>736</v>
      </c>
      <c r="F39" s="9" t="s">
        <v>52</v>
      </c>
      <c r="G39" s="20" t="s">
        <v>80</v>
      </c>
      <c r="H39" s="19" t="s">
        <v>80</v>
      </c>
      <c r="I39" s="20" t="s">
        <v>98</v>
      </c>
      <c r="J39" s="10"/>
      <c r="K39" s="38" t="str">
        <f>"110,0"</f>
        <v>110,0</v>
      </c>
      <c r="L39" s="10" t="str">
        <f>"82,0502"</f>
        <v>82,0502</v>
      </c>
      <c r="M39" s="9"/>
    </row>
    <row r="40" spans="1:13">
      <c r="B40" s="5" t="s">
        <v>30</v>
      </c>
    </row>
    <row r="41" spans="1:13" ht="16">
      <c r="A41" s="41" t="s">
        <v>126</v>
      </c>
      <c r="B41" s="41"/>
      <c r="C41" s="42"/>
      <c r="D41" s="42"/>
      <c r="E41" s="42"/>
      <c r="F41" s="42"/>
      <c r="G41" s="42"/>
      <c r="H41" s="42"/>
      <c r="I41" s="42"/>
      <c r="J41" s="42"/>
    </row>
    <row r="42" spans="1:13">
      <c r="A42" s="8" t="s">
        <v>29</v>
      </c>
      <c r="B42" s="7" t="s">
        <v>436</v>
      </c>
      <c r="C42" s="7" t="s">
        <v>437</v>
      </c>
      <c r="D42" s="7" t="s">
        <v>438</v>
      </c>
      <c r="E42" s="7" t="s">
        <v>735</v>
      </c>
      <c r="F42" s="7" t="s">
        <v>52</v>
      </c>
      <c r="G42" s="18" t="s">
        <v>87</v>
      </c>
      <c r="H42" s="18" t="s">
        <v>77</v>
      </c>
      <c r="I42" s="17" t="s">
        <v>77</v>
      </c>
      <c r="J42" s="8"/>
      <c r="K42" s="37" t="str">
        <f>"100,0"</f>
        <v>100,0</v>
      </c>
      <c r="L42" s="8" t="str">
        <f>"69,7500"</f>
        <v>69,7500</v>
      </c>
      <c r="M42" s="7" t="s">
        <v>714</v>
      </c>
    </row>
    <row r="43" spans="1:13">
      <c r="A43" s="25" t="s">
        <v>71</v>
      </c>
      <c r="B43" s="24" t="s">
        <v>439</v>
      </c>
      <c r="C43" s="24" t="s">
        <v>440</v>
      </c>
      <c r="D43" s="24" t="s">
        <v>441</v>
      </c>
      <c r="E43" s="24" t="s">
        <v>735</v>
      </c>
      <c r="F43" s="24" t="s">
        <v>52</v>
      </c>
      <c r="G43" s="27" t="s">
        <v>87</v>
      </c>
      <c r="H43" s="27" t="s">
        <v>78</v>
      </c>
      <c r="I43" s="27" t="s">
        <v>78</v>
      </c>
      <c r="J43" s="25"/>
      <c r="K43" s="40">
        <v>0</v>
      </c>
      <c r="L43" s="25" t="str">
        <f>"0,0000"</f>
        <v>0,0000</v>
      </c>
      <c r="M43" s="24" t="s">
        <v>715</v>
      </c>
    </row>
    <row r="44" spans="1:13">
      <c r="A44" s="25" t="s">
        <v>29</v>
      </c>
      <c r="B44" s="24" t="s">
        <v>442</v>
      </c>
      <c r="C44" s="24" t="s">
        <v>443</v>
      </c>
      <c r="D44" s="24" t="s">
        <v>444</v>
      </c>
      <c r="E44" s="24" t="s">
        <v>733</v>
      </c>
      <c r="F44" s="24" t="s">
        <v>52</v>
      </c>
      <c r="G44" s="26" t="s">
        <v>179</v>
      </c>
      <c r="H44" s="27" t="s">
        <v>257</v>
      </c>
      <c r="I44" s="26" t="s">
        <v>257</v>
      </c>
      <c r="J44" s="25"/>
      <c r="K44" s="40" t="str">
        <f>"167,5"</f>
        <v>167,5</v>
      </c>
      <c r="L44" s="25" t="str">
        <f>"112,4595"</f>
        <v>112,4595</v>
      </c>
      <c r="M44" s="24"/>
    </row>
    <row r="45" spans="1:13">
      <c r="A45" s="25" t="s">
        <v>203</v>
      </c>
      <c r="B45" s="24" t="s">
        <v>445</v>
      </c>
      <c r="C45" s="24" t="s">
        <v>446</v>
      </c>
      <c r="D45" s="24" t="s">
        <v>447</v>
      </c>
      <c r="E45" s="24" t="s">
        <v>733</v>
      </c>
      <c r="F45" s="24" t="s">
        <v>52</v>
      </c>
      <c r="G45" s="26" t="s">
        <v>143</v>
      </c>
      <c r="H45" s="26" t="s">
        <v>35</v>
      </c>
      <c r="I45" s="26" t="s">
        <v>40</v>
      </c>
      <c r="J45" s="25"/>
      <c r="K45" s="40" t="str">
        <f>"155,0"</f>
        <v>155,0</v>
      </c>
      <c r="L45" s="25" t="str">
        <f>"103,9120"</f>
        <v>103,9120</v>
      </c>
      <c r="M45" s="24"/>
    </row>
    <row r="46" spans="1:13">
      <c r="A46" s="25" t="s">
        <v>204</v>
      </c>
      <c r="B46" s="24" t="s">
        <v>448</v>
      </c>
      <c r="C46" s="24" t="s">
        <v>449</v>
      </c>
      <c r="D46" s="24" t="s">
        <v>450</v>
      </c>
      <c r="E46" s="24" t="s">
        <v>733</v>
      </c>
      <c r="F46" s="24" t="s">
        <v>52</v>
      </c>
      <c r="G46" s="26" t="s">
        <v>142</v>
      </c>
      <c r="H46" s="27" t="s">
        <v>35</v>
      </c>
      <c r="I46" s="26" t="s">
        <v>35</v>
      </c>
      <c r="J46" s="25"/>
      <c r="K46" s="40" t="str">
        <f>"145,0"</f>
        <v>145,0</v>
      </c>
      <c r="L46" s="25" t="str">
        <f>"98,2955"</f>
        <v>98,2955</v>
      </c>
      <c r="M46" s="24" t="s">
        <v>716</v>
      </c>
    </row>
    <row r="47" spans="1:13">
      <c r="A47" s="25" t="s">
        <v>205</v>
      </c>
      <c r="B47" s="24" t="s">
        <v>451</v>
      </c>
      <c r="C47" s="24" t="s">
        <v>452</v>
      </c>
      <c r="D47" s="24" t="s">
        <v>353</v>
      </c>
      <c r="E47" s="24" t="s">
        <v>733</v>
      </c>
      <c r="F47" s="24" t="s">
        <v>223</v>
      </c>
      <c r="G47" s="27" t="s">
        <v>143</v>
      </c>
      <c r="H47" s="26" t="s">
        <v>143</v>
      </c>
      <c r="I47" s="27" t="s">
        <v>35</v>
      </c>
      <c r="J47" s="25"/>
      <c r="K47" s="40" t="str">
        <f>"140,0"</f>
        <v>140,0</v>
      </c>
      <c r="L47" s="25" t="str">
        <f>"94,4160"</f>
        <v>94,4160</v>
      </c>
      <c r="M47" s="24"/>
    </row>
    <row r="48" spans="1:13">
      <c r="A48" s="25" t="s">
        <v>321</v>
      </c>
      <c r="B48" s="24" t="s">
        <v>453</v>
      </c>
      <c r="C48" s="24" t="s">
        <v>454</v>
      </c>
      <c r="D48" s="24" t="s">
        <v>455</v>
      </c>
      <c r="E48" s="24" t="s">
        <v>733</v>
      </c>
      <c r="F48" s="24" t="s">
        <v>52</v>
      </c>
      <c r="G48" s="27" t="s">
        <v>132</v>
      </c>
      <c r="H48" s="26" t="s">
        <v>116</v>
      </c>
      <c r="I48" s="26" t="s">
        <v>117</v>
      </c>
      <c r="J48" s="25"/>
      <c r="K48" s="40" t="str">
        <f>"127,5"</f>
        <v>127,5</v>
      </c>
      <c r="L48" s="25" t="str">
        <f>"87,9622"</f>
        <v>87,9622</v>
      </c>
      <c r="M48" s="24" t="s">
        <v>685</v>
      </c>
    </row>
    <row r="49" spans="1:13">
      <c r="A49" s="10" t="s">
        <v>29</v>
      </c>
      <c r="B49" s="9" t="s">
        <v>270</v>
      </c>
      <c r="C49" s="9" t="s">
        <v>636</v>
      </c>
      <c r="D49" s="9" t="s">
        <v>264</v>
      </c>
      <c r="E49" s="9" t="s">
        <v>736</v>
      </c>
      <c r="F49" s="9" t="s">
        <v>52</v>
      </c>
      <c r="G49" s="19" t="s">
        <v>132</v>
      </c>
      <c r="H49" s="20" t="s">
        <v>117</v>
      </c>
      <c r="I49" s="20" t="s">
        <v>117</v>
      </c>
      <c r="J49" s="10"/>
      <c r="K49" s="38" t="str">
        <f>"115,0"</f>
        <v>115,0</v>
      </c>
      <c r="L49" s="10" t="str">
        <f>"78,0016"</f>
        <v>78,0016</v>
      </c>
      <c r="M49" s="9"/>
    </row>
    <row r="50" spans="1:13">
      <c r="B50" s="5" t="s">
        <v>30</v>
      </c>
    </row>
    <row r="51" spans="1:13" ht="16">
      <c r="A51" s="41" t="s">
        <v>42</v>
      </c>
      <c r="B51" s="41"/>
      <c r="C51" s="42"/>
      <c r="D51" s="42"/>
      <c r="E51" s="42"/>
      <c r="F51" s="42"/>
      <c r="G51" s="42"/>
      <c r="H51" s="42"/>
      <c r="I51" s="42"/>
      <c r="J51" s="42"/>
    </row>
    <row r="52" spans="1:13">
      <c r="A52" s="8" t="s">
        <v>29</v>
      </c>
      <c r="B52" s="7" t="s">
        <v>456</v>
      </c>
      <c r="C52" s="7" t="s">
        <v>457</v>
      </c>
      <c r="D52" s="7" t="s">
        <v>458</v>
      </c>
      <c r="E52" s="7" t="s">
        <v>733</v>
      </c>
      <c r="F52" s="7" t="s">
        <v>709</v>
      </c>
      <c r="G52" s="17" t="s">
        <v>104</v>
      </c>
      <c r="H52" s="18" t="s">
        <v>47</v>
      </c>
      <c r="I52" s="17" t="s">
        <v>47</v>
      </c>
      <c r="J52" s="8"/>
      <c r="K52" s="37" t="str">
        <f>"200,0"</f>
        <v>200,0</v>
      </c>
      <c r="L52" s="8" t="str">
        <f>"128,8000"</f>
        <v>128,8000</v>
      </c>
      <c r="M52" s="7" t="s">
        <v>459</v>
      </c>
    </row>
    <row r="53" spans="1:13">
      <c r="A53" s="25" t="s">
        <v>203</v>
      </c>
      <c r="B53" s="24" t="s">
        <v>460</v>
      </c>
      <c r="C53" s="24" t="s">
        <v>461</v>
      </c>
      <c r="D53" s="24" t="s">
        <v>462</v>
      </c>
      <c r="E53" s="7" t="s">
        <v>733</v>
      </c>
      <c r="F53" s="24" t="s">
        <v>52</v>
      </c>
      <c r="G53" s="26" t="s">
        <v>40</v>
      </c>
      <c r="H53" s="26" t="s">
        <v>179</v>
      </c>
      <c r="I53" s="25"/>
      <c r="J53" s="25"/>
      <c r="K53" s="40" t="str">
        <f>"160,0"</f>
        <v>160,0</v>
      </c>
      <c r="L53" s="25" t="str">
        <f>"103,2160"</f>
        <v>103,2160</v>
      </c>
      <c r="M53" s="24"/>
    </row>
    <row r="54" spans="1:13">
      <c r="A54" s="25" t="s">
        <v>204</v>
      </c>
      <c r="B54" s="24" t="s">
        <v>275</v>
      </c>
      <c r="C54" s="24" t="s">
        <v>276</v>
      </c>
      <c r="D54" s="24" t="s">
        <v>277</v>
      </c>
      <c r="E54" s="7" t="s">
        <v>733</v>
      </c>
      <c r="F54" s="24" t="s">
        <v>167</v>
      </c>
      <c r="G54" s="26" t="s">
        <v>35</v>
      </c>
      <c r="H54" s="26" t="s">
        <v>36</v>
      </c>
      <c r="I54" s="26" t="s">
        <v>171</v>
      </c>
      <c r="J54" s="25"/>
      <c r="K54" s="40" t="str">
        <f>"157,5"</f>
        <v>157,5</v>
      </c>
      <c r="L54" s="25" t="str">
        <f>"102,6742"</f>
        <v>102,6742</v>
      </c>
      <c r="M54" s="24" t="s">
        <v>717</v>
      </c>
    </row>
    <row r="55" spans="1:13">
      <c r="A55" s="25" t="s">
        <v>205</v>
      </c>
      <c r="B55" s="24" t="s">
        <v>463</v>
      </c>
      <c r="C55" s="24" t="s">
        <v>464</v>
      </c>
      <c r="D55" s="24" t="s">
        <v>365</v>
      </c>
      <c r="E55" s="7" t="s">
        <v>733</v>
      </c>
      <c r="F55" s="24" t="s">
        <v>52</v>
      </c>
      <c r="G55" s="26" t="s">
        <v>35</v>
      </c>
      <c r="H55" s="26" t="s">
        <v>36</v>
      </c>
      <c r="I55" s="26" t="s">
        <v>40</v>
      </c>
      <c r="J55" s="25"/>
      <c r="K55" s="40" t="str">
        <f>"155,0"</f>
        <v>155,0</v>
      </c>
      <c r="L55" s="25" t="str">
        <f>"100,4245"</f>
        <v>100,4245</v>
      </c>
      <c r="M55" s="24" t="s">
        <v>685</v>
      </c>
    </row>
    <row r="56" spans="1:13">
      <c r="A56" s="25" t="s">
        <v>321</v>
      </c>
      <c r="B56" s="24" t="s">
        <v>465</v>
      </c>
      <c r="C56" s="24" t="s">
        <v>466</v>
      </c>
      <c r="D56" s="24" t="s">
        <v>467</v>
      </c>
      <c r="E56" s="7" t="s">
        <v>733</v>
      </c>
      <c r="F56" s="24" t="s">
        <v>52</v>
      </c>
      <c r="G56" s="26" t="s">
        <v>288</v>
      </c>
      <c r="H56" s="26" t="s">
        <v>142</v>
      </c>
      <c r="I56" s="26" t="s">
        <v>170</v>
      </c>
      <c r="J56" s="25"/>
      <c r="K56" s="40" t="str">
        <f>"142,5"</f>
        <v>142,5</v>
      </c>
      <c r="L56" s="25" t="str">
        <f>"94,3920"</f>
        <v>94,3920</v>
      </c>
      <c r="M56" s="24"/>
    </row>
    <row r="57" spans="1:13">
      <c r="A57" s="25" t="s">
        <v>502</v>
      </c>
      <c r="B57" s="24" t="s">
        <v>468</v>
      </c>
      <c r="C57" s="24" t="s">
        <v>469</v>
      </c>
      <c r="D57" s="24" t="s">
        <v>470</v>
      </c>
      <c r="E57" s="7" t="s">
        <v>733</v>
      </c>
      <c r="F57" s="24" t="s">
        <v>167</v>
      </c>
      <c r="G57" s="27" t="s">
        <v>142</v>
      </c>
      <c r="H57" s="26" t="s">
        <v>142</v>
      </c>
      <c r="I57" s="27" t="s">
        <v>170</v>
      </c>
      <c r="J57" s="25"/>
      <c r="K57" s="40" t="str">
        <f>"135,0"</f>
        <v>135,0</v>
      </c>
      <c r="L57" s="25" t="str">
        <f>"86,9940"</f>
        <v>86,9940</v>
      </c>
      <c r="M57" s="24"/>
    </row>
    <row r="58" spans="1:13">
      <c r="A58" s="25" t="s">
        <v>503</v>
      </c>
      <c r="B58" s="24" t="s">
        <v>471</v>
      </c>
      <c r="C58" s="24" t="s">
        <v>472</v>
      </c>
      <c r="D58" s="24" t="s">
        <v>473</v>
      </c>
      <c r="E58" s="7" t="s">
        <v>733</v>
      </c>
      <c r="F58" s="24" t="s">
        <v>52</v>
      </c>
      <c r="G58" s="26" t="s">
        <v>124</v>
      </c>
      <c r="H58" s="27" t="s">
        <v>288</v>
      </c>
      <c r="I58" s="27" t="s">
        <v>288</v>
      </c>
      <c r="J58" s="25"/>
      <c r="K58" s="40" t="str">
        <f>"125,0"</f>
        <v>125,0</v>
      </c>
      <c r="L58" s="25" t="str">
        <f>"82,8500"</f>
        <v>82,8500</v>
      </c>
      <c r="M58" s="24"/>
    </row>
    <row r="59" spans="1:13">
      <c r="A59" s="10" t="s">
        <v>29</v>
      </c>
      <c r="B59" s="9" t="s">
        <v>474</v>
      </c>
      <c r="C59" s="9" t="s">
        <v>637</v>
      </c>
      <c r="D59" s="9" t="s">
        <v>475</v>
      </c>
      <c r="E59" s="9" t="s">
        <v>736</v>
      </c>
      <c r="F59" s="9" t="s">
        <v>52</v>
      </c>
      <c r="G59" s="19" t="s">
        <v>476</v>
      </c>
      <c r="H59" s="20" t="s">
        <v>35</v>
      </c>
      <c r="I59" s="19" t="s">
        <v>35</v>
      </c>
      <c r="J59" s="10"/>
      <c r="K59" s="38" t="str">
        <f>"145,0"</f>
        <v>145,0</v>
      </c>
      <c r="L59" s="10" t="str">
        <f>"99,0782"</f>
        <v>99,0782</v>
      </c>
      <c r="M59" s="9" t="s">
        <v>712</v>
      </c>
    </row>
    <row r="60" spans="1:13">
      <c r="B60" s="5" t="s">
        <v>30</v>
      </c>
    </row>
    <row r="61" spans="1:13" ht="16">
      <c r="A61" s="41" t="s">
        <v>10</v>
      </c>
      <c r="B61" s="41"/>
      <c r="C61" s="42"/>
      <c r="D61" s="42"/>
      <c r="E61" s="42"/>
      <c r="F61" s="42"/>
      <c r="G61" s="42"/>
      <c r="H61" s="42"/>
      <c r="I61" s="42"/>
      <c r="J61" s="42"/>
    </row>
    <row r="62" spans="1:13">
      <c r="A62" s="8" t="s">
        <v>29</v>
      </c>
      <c r="B62" s="7" t="s">
        <v>477</v>
      </c>
      <c r="C62" s="7" t="s">
        <v>478</v>
      </c>
      <c r="D62" s="7" t="s">
        <v>479</v>
      </c>
      <c r="E62" s="7" t="s">
        <v>733</v>
      </c>
      <c r="F62" s="7" t="s">
        <v>214</v>
      </c>
      <c r="G62" s="17" t="s">
        <v>41</v>
      </c>
      <c r="H62" s="18" t="s">
        <v>257</v>
      </c>
      <c r="I62" s="8"/>
      <c r="J62" s="8"/>
      <c r="K62" s="37" t="str">
        <f>"162,5"</f>
        <v>162,5</v>
      </c>
      <c r="L62" s="8" t="str">
        <f>"99,7100"</f>
        <v>99,7100</v>
      </c>
      <c r="M62" s="7"/>
    </row>
    <row r="63" spans="1:13">
      <c r="A63" s="25" t="s">
        <v>203</v>
      </c>
      <c r="B63" s="24" t="s">
        <v>480</v>
      </c>
      <c r="C63" s="24" t="s">
        <v>481</v>
      </c>
      <c r="D63" s="24" t="s">
        <v>482</v>
      </c>
      <c r="E63" s="24" t="s">
        <v>733</v>
      </c>
      <c r="F63" s="24" t="s">
        <v>52</v>
      </c>
      <c r="G63" s="26" t="s">
        <v>179</v>
      </c>
      <c r="H63" s="27" t="s">
        <v>17</v>
      </c>
      <c r="I63" s="27" t="s">
        <v>17</v>
      </c>
      <c r="J63" s="25"/>
      <c r="K63" s="40" t="str">
        <f>"160,0"</f>
        <v>160,0</v>
      </c>
      <c r="L63" s="25" t="str">
        <f>"100,9760"</f>
        <v>100,9760</v>
      </c>
      <c r="M63" s="24" t="s">
        <v>483</v>
      </c>
    </row>
    <row r="64" spans="1:13">
      <c r="A64" s="10" t="s">
        <v>204</v>
      </c>
      <c r="B64" s="9" t="s">
        <v>484</v>
      </c>
      <c r="C64" s="9" t="s">
        <v>485</v>
      </c>
      <c r="D64" s="9" t="s">
        <v>486</v>
      </c>
      <c r="E64" s="9" t="s">
        <v>733</v>
      </c>
      <c r="F64" s="9" t="s">
        <v>214</v>
      </c>
      <c r="G64" s="19" t="s">
        <v>35</v>
      </c>
      <c r="H64" s="19" t="s">
        <v>40</v>
      </c>
      <c r="I64" s="19" t="s">
        <v>179</v>
      </c>
      <c r="J64" s="10"/>
      <c r="K64" s="38" t="str">
        <f>"160,0"</f>
        <v>160,0</v>
      </c>
      <c r="L64" s="10" t="str">
        <f>"99,8080"</f>
        <v>99,8080</v>
      </c>
      <c r="M64" s="9"/>
    </row>
    <row r="65" spans="1:13">
      <c r="B65" s="5" t="s">
        <v>30</v>
      </c>
    </row>
    <row r="66" spans="1:13" ht="16">
      <c r="A66" s="41" t="s">
        <v>183</v>
      </c>
      <c r="B66" s="41"/>
      <c r="C66" s="42"/>
      <c r="D66" s="42"/>
      <c r="E66" s="42"/>
      <c r="F66" s="42"/>
      <c r="G66" s="42"/>
      <c r="H66" s="42"/>
      <c r="I66" s="42"/>
      <c r="J66" s="42"/>
    </row>
    <row r="67" spans="1:13">
      <c r="A67" s="8" t="s">
        <v>29</v>
      </c>
      <c r="B67" s="7" t="s">
        <v>487</v>
      </c>
      <c r="C67" s="7" t="s">
        <v>638</v>
      </c>
      <c r="D67" s="7" t="s">
        <v>488</v>
      </c>
      <c r="E67" s="7" t="s">
        <v>737</v>
      </c>
      <c r="F67" s="7" t="s">
        <v>52</v>
      </c>
      <c r="G67" s="17" t="s">
        <v>17</v>
      </c>
      <c r="H67" s="17" t="s">
        <v>180</v>
      </c>
      <c r="I67" s="17" t="s">
        <v>46</v>
      </c>
      <c r="J67" s="8"/>
      <c r="K67" s="37" t="str">
        <f>"190,0"</f>
        <v>190,0</v>
      </c>
      <c r="L67" s="8" t="str">
        <f>"111,8720"</f>
        <v>111,8720</v>
      </c>
      <c r="M67" s="7" t="s">
        <v>718</v>
      </c>
    </row>
    <row r="68" spans="1:13">
      <c r="A68" s="25" t="s">
        <v>29</v>
      </c>
      <c r="B68" s="24" t="s">
        <v>487</v>
      </c>
      <c r="C68" s="24" t="s">
        <v>489</v>
      </c>
      <c r="D68" s="24" t="s">
        <v>488</v>
      </c>
      <c r="E68" s="24" t="s">
        <v>733</v>
      </c>
      <c r="F68" s="24" t="s">
        <v>52</v>
      </c>
      <c r="G68" s="26" t="s">
        <v>17</v>
      </c>
      <c r="H68" s="26" t="s">
        <v>180</v>
      </c>
      <c r="I68" s="26" t="s">
        <v>46</v>
      </c>
      <c r="J68" s="25"/>
      <c r="K68" s="40" t="str">
        <f>"190,0"</f>
        <v>190,0</v>
      </c>
      <c r="L68" s="25" t="str">
        <f>"111,8720"</f>
        <v>111,8720</v>
      </c>
      <c r="M68" s="24" t="s">
        <v>718</v>
      </c>
    </row>
    <row r="69" spans="1:13">
      <c r="A69" s="25" t="s">
        <v>203</v>
      </c>
      <c r="B69" s="24" t="s">
        <v>490</v>
      </c>
      <c r="C69" s="24" t="s">
        <v>491</v>
      </c>
      <c r="D69" s="24" t="s">
        <v>492</v>
      </c>
      <c r="E69" s="24" t="s">
        <v>733</v>
      </c>
      <c r="F69" s="24" t="s">
        <v>52</v>
      </c>
      <c r="G69" s="26" t="s">
        <v>179</v>
      </c>
      <c r="H69" s="27" t="s">
        <v>55</v>
      </c>
      <c r="I69" s="26" t="s">
        <v>55</v>
      </c>
      <c r="J69" s="25"/>
      <c r="K69" s="40" t="str">
        <f>"165,0"</f>
        <v>165,0</v>
      </c>
      <c r="L69" s="25" t="str">
        <f>"98,6040"</f>
        <v>98,6040</v>
      </c>
      <c r="M69" s="24"/>
    </row>
    <row r="70" spans="1:13">
      <c r="A70" s="25" t="s">
        <v>204</v>
      </c>
      <c r="B70" s="24" t="s">
        <v>493</v>
      </c>
      <c r="C70" s="24" t="s">
        <v>494</v>
      </c>
      <c r="D70" s="24" t="s">
        <v>495</v>
      </c>
      <c r="E70" s="24" t="s">
        <v>733</v>
      </c>
      <c r="F70" s="24" t="s">
        <v>223</v>
      </c>
      <c r="G70" s="26" t="s">
        <v>143</v>
      </c>
      <c r="H70" s="26" t="s">
        <v>154</v>
      </c>
      <c r="I70" s="27" t="s">
        <v>40</v>
      </c>
      <c r="J70" s="25"/>
      <c r="K70" s="40" t="str">
        <f>"147,5"</f>
        <v>147,5</v>
      </c>
      <c r="L70" s="25" t="str">
        <f>"88,0280"</f>
        <v>88,0280</v>
      </c>
      <c r="M70" s="24" t="s">
        <v>705</v>
      </c>
    </row>
    <row r="71" spans="1:13">
      <c r="A71" s="10" t="s">
        <v>205</v>
      </c>
      <c r="B71" s="9" t="s">
        <v>496</v>
      </c>
      <c r="C71" s="9" t="s">
        <v>497</v>
      </c>
      <c r="D71" s="9" t="s">
        <v>498</v>
      </c>
      <c r="E71" s="9" t="s">
        <v>733</v>
      </c>
      <c r="F71" s="9" t="s">
        <v>681</v>
      </c>
      <c r="G71" s="19" t="s">
        <v>120</v>
      </c>
      <c r="H71" s="19" t="s">
        <v>143</v>
      </c>
      <c r="I71" s="20" t="s">
        <v>154</v>
      </c>
      <c r="J71" s="10"/>
      <c r="K71" s="38" t="str">
        <f>"140,0"</f>
        <v>140,0</v>
      </c>
      <c r="L71" s="10" t="str">
        <f>"82,7400"</f>
        <v>82,7400</v>
      </c>
      <c r="M71" s="9"/>
    </row>
    <row r="72" spans="1:13">
      <c r="B72" s="5" t="s">
        <v>30</v>
      </c>
    </row>
    <row r="73" spans="1:13">
      <c r="B73" s="5" t="s">
        <v>30</v>
      </c>
    </row>
    <row r="74" spans="1:13">
      <c r="B74" s="5" t="s">
        <v>30</v>
      </c>
    </row>
    <row r="75" spans="1:13" ht="18">
      <c r="B75" s="11" t="s">
        <v>20</v>
      </c>
      <c r="C75" s="11"/>
      <c r="F75" s="3"/>
    </row>
    <row r="76" spans="1:13" ht="16">
      <c r="B76" s="12" t="s">
        <v>21</v>
      </c>
      <c r="C76" s="12"/>
    </row>
    <row r="77" spans="1:13" ht="14">
      <c r="B77" s="13"/>
      <c r="C77" s="14" t="s">
        <v>22</v>
      </c>
    </row>
    <row r="78" spans="1:13" ht="14">
      <c r="B78" s="16" t="s">
        <v>23</v>
      </c>
      <c r="C78" s="16" t="s">
        <v>24</v>
      </c>
      <c r="D78" s="16" t="s">
        <v>682</v>
      </c>
      <c r="E78" s="16" t="s">
        <v>397</v>
      </c>
      <c r="F78" s="16" t="s">
        <v>27</v>
      </c>
    </row>
    <row r="79" spans="1:13">
      <c r="B79" s="5" t="s">
        <v>456</v>
      </c>
      <c r="C79" s="5" t="s">
        <v>22</v>
      </c>
      <c r="D79" s="6" t="s">
        <v>200</v>
      </c>
      <c r="E79" s="6" t="s">
        <v>47</v>
      </c>
      <c r="F79" s="6" t="s">
        <v>500</v>
      </c>
    </row>
    <row r="80" spans="1:13">
      <c r="B80" s="5" t="s">
        <v>442</v>
      </c>
      <c r="C80" s="5" t="s">
        <v>22</v>
      </c>
      <c r="D80" s="6" t="s">
        <v>194</v>
      </c>
      <c r="E80" s="6" t="s">
        <v>257</v>
      </c>
      <c r="F80" s="6" t="s">
        <v>501</v>
      </c>
    </row>
    <row r="81" spans="2:6">
      <c r="B81" s="5" t="s">
        <v>487</v>
      </c>
      <c r="C81" s="5" t="s">
        <v>22</v>
      </c>
      <c r="D81" s="6" t="s">
        <v>195</v>
      </c>
      <c r="E81" s="6" t="s">
        <v>46</v>
      </c>
      <c r="F81" s="6" t="s">
        <v>499</v>
      </c>
    </row>
  </sheetData>
  <mergeCells count="22"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  <mergeCell ref="A41:J41"/>
    <mergeCell ref="A51:J51"/>
    <mergeCell ref="A61:J61"/>
    <mergeCell ref="A66:J66"/>
    <mergeCell ref="B3:B4"/>
    <mergeCell ref="A10:J10"/>
    <mergeCell ref="A13:J13"/>
    <mergeCell ref="A17:J17"/>
    <mergeCell ref="A20:J20"/>
    <mergeCell ref="A24:J24"/>
    <mergeCell ref="A27:J27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1D606A-E08F-4B02-A4B4-E4E44C14C076}">
  <dimension ref="A1:M65"/>
  <sheetViews>
    <sheetView workbookViewId="0">
      <selection sqref="A1:M2"/>
    </sheetView>
  </sheetViews>
  <sheetFormatPr baseColWidth="10" defaultColWidth="9.1640625" defaultRowHeight="13"/>
  <cols>
    <col min="1" max="1" width="7.1640625" style="5" bestFit="1" customWidth="1"/>
    <col min="2" max="2" width="21.83203125" style="5" bestFit="1" customWidth="1"/>
    <col min="3" max="3" width="28.6640625" style="5" bestFit="1" customWidth="1"/>
    <col min="4" max="4" width="20.83203125" style="5" bestFit="1" customWidth="1"/>
    <col min="5" max="5" width="10.1640625" style="5" bestFit="1" customWidth="1"/>
    <col min="6" max="6" width="28.5" style="5" bestFit="1" customWidth="1"/>
    <col min="7" max="9" width="5.5" style="6" customWidth="1"/>
    <col min="10" max="10" width="4.5" style="6" customWidth="1"/>
    <col min="11" max="11" width="10.5" style="36" bestFit="1" customWidth="1"/>
    <col min="12" max="12" width="8.5" style="6" bestFit="1" customWidth="1"/>
    <col min="13" max="13" width="19.5" style="5" bestFit="1" customWidth="1"/>
    <col min="14" max="16384" width="9.1640625" style="3"/>
  </cols>
  <sheetData>
    <row r="1" spans="1:13" s="2" customFormat="1" ht="29" customHeight="1">
      <c r="A1" s="53" t="s">
        <v>671</v>
      </c>
      <c r="B1" s="54"/>
      <c r="C1" s="55"/>
      <c r="D1" s="55"/>
      <c r="E1" s="55"/>
      <c r="F1" s="55"/>
      <c r="G1" s="55"/>
      <c r="H1" s="55"/>
      <c r="I1" s="55"/>
      <c r="J1" s="55"/>
      <c r="K1" s="55"/>
      <c r="L1" s="55"/>
      <c r="M1" s="56"/>
    </row>
    <row r="2" spans="1:13" s="2" customFormat="1" ht="62" customHeight="1" thickBot="1">
      <c r="A2" s="57"/>
      <c r="B2" s="58"/>
      <c r="C2" s="59"/>
      <c r="D2" s="59"/>
      <c r="E2" s="59"/>
      <c r="F2" s="59"/>
      <c r="G2" s="59"/>
      <c r="H2" s="59"/>
      <c r="I2" s="59"/>
      <c r="J2" s="59"/>
      <c r="K2" s="59"/>
      <c r="L2" s="59"/>
      <c r="M2" s="60"/>
    </row>
    <row r="3" spans="1:13" s="1" customFormat="1" ht="12.75" customHeight="1">
      <c r="A3" s="61" t="s">
        <v>730</v>
      </c>
      <c r="B3" s="43" t="s">
        <v>0</v>
      </c>
      <c r="C3" s="63" t="s">
        <v>731</v>
      </c>
      <c r="D3" s="63" t="s">
        <v>6</v>
      </c>
      <c r="E3" s="47" t="s">
        <v>732</v>
      </c>
      <c r="F3" s="47" t="s">
        <v>5</v>
      </c>
      <c r="G3" s="47" t="s">
        <v>8</v>
      </c>
      <c r="H3" s="47"/>
      <c r="I3" s="47"/>
      <c r="J3" s="47"/>
      <c r="K3" s="45" t="s">
        <v>401</v>
      </c>
      <c r="L3" s="47" t="s">
        <v>3</v>
      </c>
      <c r="M3" s="49" t="s">
        <v>2</v>
      </c>
    </row>
    <row r="4" spans="1:13" s="1" customFormat="1" ht="21" customHeight="1" thickBot="1">
      <c r="A4" s="62"/>
      <c r="B4" s="44"/>
      <c r="C4" s="48"/>
      <c r="D4" s="48"/>
      <c r="E4" s="48"/>
      <c r="F4" s="48"/>
      <c r="G4" s="4">
        <v>1</v>
      </c>
      <c r="H4" s="4">
        <v>2</v>
      </c>
      <c r="I4" s="4">
        <v>3</v>
      </c>
      <c r="J4" s="4" t="s">
        <v>4</v>
      </c>
      <c r="K4" s="46"/>
      <c r="L4" s="48"/>
      <c r="M4" s="50"/>
    </row>
    <row r="5" spans="1:13" ht="16">
      <c r="A5" s="51" t="s">
        <v>83</v>
      </c>
      <c r="B5" s="51"/>
      <c r="C5" s="52"/>
      <c r="D5" s="52"/>
      <c r="E5" s="52"/>
      <c r="F5" s="52"/>
      <c r="G5" s="52"/>
      <c r="H5" s="52"/>
      <c r="I5" s="52"/>
      <c r="J5" s="52"/>
    </row>
    <row r="6" spans="1:13">
      <c r="A6" s="21" t="s">
        <v>29</v>
      </c>
      <c r="B6" s="15" t="s">
        <v>84</v>
      </c>
      <c r="C6" s="15" t="s">
        <v>85</v>
      </c>
      <c r="D6" s="15" t="s">
        <v>86</v>
      </c>
      <c r="E6" s="15" t="s">
        <v>733</v>
      </c>
      <c r="F6" s="15" t="s">
        <v>680</v>
      </c>
      <c r="G6" s="22" t="s">
        <v>89</v>
      </c>
      <c r="H6" s="22" t="s">
        <v>90</v>
      </c>
      <c r="I6" s="23" t="s">
        <v>91</v>
      </c>
      <c r="J6" s="21"/>
      <c r="K6" s="39" t="str">
        <f>"40,0"</f>
        <v>40,0</v>
      </c>
      <c r="L6" s="21" t="str">
        <f>"51,0760"</f>
        <v>51,0760</v>
      </c>
      <c r="M6" s="15" t="s">
        <v>683</v>
      </c>
    </row>
    <row r="7" spans="1:13">
      <c r="B7" s="5" t="s">
        <v>30</v>
      </c>
    </row>
    <row r="8" spans="1:13" ht="16">
      <c r="A8" s="41" t="s">
        <v>31</v>
      </c>
      <c r="B8" s="41"/>
      <c r="C8" s="42"/>
      <c r="D8" s="42"/>
      <c r="E8" s="42"/>
      <c r="F8" s="42"/>
      <c r="G8" s="42"/>
      <c r="H8" s="42"/>
      <c r="I8" s="42"/>
      <c r="J8" s="42"/>
    </row>
    <row r="9" spans="1:13">
      <c r="A9" s="21" t="s">
        <v>29</v>
      </c>
      <c r="B9" s="15" t="s">
        <v>92</v>
      </c>
      <c r="C9" s="15" t="s">
        <v>93</v>
      </c>
      <c r="D9" s="15" t="s">
        <v>94</v>
      </c>
      <c r="E9" s="15" t="s">
        <v>733</v>
      </c>
      <c r="F9" s="15" t="s">
        <v>680</v>
      </c>
      <c r="G9" s="22" t="s">
        <v>91</v>
      </c>
      <c r="H9" s="22" t="s">
        <v>96</v>
      </c>
      <c r="I9" s="23" t="s">
        <v>97</v>
      </c>
      <c r="J9" s="21"/>
      <c r="K9" s="39" t="str">
        <f>"47,5"</f>
        <v>47,5</v>
      </c>
      <c r="L9" s="21" t="str">
        <f>"53,0242"</f>
        <v>53,0242</v>
      </c>
      <c r="M9" s="15" t="s">
        <v>683</v>
      </c>
    </row>
    <row r="10" spans="1:13">
      <c r="B10" s="5" t="s">
        <v>30</v>
      </c>
    </row>
    <row r="11" spans="1:13" ht="16">
      <c r="A11" s="41" t="s">
        <v>72</v>
      </c>
      <c r="B11" s="41"/>
      <c r="C11" s="42"/>
      <c r="D11" s="42"/>
      <c r="E11" s="42"/>
      <c r="F11" s="42"/>
      <c r="G11" s="42"/>
      <c r="H11" s="42"/>
      <c r="I11" s="42"/>
      <c r="J11" s="42"/>
    </row>
    <row r="12" spans="1:13">
      <c r="A12" s="8" t="s">
        <v>29</v>
      </c>
      <c r="B12" s="7" t="s">
        <v>99</v>
      </c>
      <c r="C12" s="7" t="s">
        <v>100</v>
      </c>
      <c r="D12" s="7" t="s">
        <v>101</v>
      </c>
      <c r="E12" s="7" t="s">
        <v>733</v>
      </c>
      <c r="F12" s="7" t="s">
        <v>52</v>
      </c>
      <c r="G12" s="18" t="s">
        <v>78</v>
      </c>
      <c r="H12" s="17" t="s">
        <v>78</v>
      </c>
      <c r="I12" s="17" t="s">
        <v>95</v>
      </c>
      <c r="J12" s="8"/>
      <c r="K12" s="37" t="str">
        <f>"107,5"</f>
        <v>107,5</v>
      </c>
      <c r="L12" s="8" t="str">
        <f>"112,0150"</f>
        <v>112,0150</v>
      </c>
      <c r="M12" s="7" t="s">
        <v>694</v>
      </c>
    </row>
    <row r="13" spans="1:13">
      <c r="A13" s="10" t="s">
        <v>203</v>
      </c>
      <c r="B13" s="9" t="s">
        <v>106</v>
      </c>
      <c r="C13" s="9" t="s">
        <v>107</v>
      </c>
      <c r="D13" s="9" t="s">
        <v>108</v>
      </c>
      <c r="E13" s="9" t="s">
        <v>733</v>
      </c>
      <c r="F13" s="9" t="s">
        <v>680</v>
      </c>
      <c r="G13" s="19" t="s">
        <v>91</v>
      </c>
      <c r="H13" s="20" t="s">
        <v>97</v>
      </c>
      <c r="I13" s="20" t="s">
        <v>97</v>
      </c>
      <c r="J13" s="10"/>
      <c r="K13" s="38" t="str">
        <f>"42,5"</f>
        <v>42,5</v>
      </c>
      <c r="L13" s="10" t="str">
        <f>"44,8970"</f>
        <v>44,8970</v>
      </c>
      <c r="M13" s="9" t="s">
        <v>683</v>
      </c>
    </row>
    <row r="14" spans="1:13">
      <c r="B14" s="5" t="s">
        <v>30</v>
      </c>
    </row>
    <row r="15" spans="1:13" ht="16">
      <c r="A15" s="41" t="s">
        <v>112</v>
      </c>
      <c r="B15" s="41"/>
      <c r="C15" s="42"/>
      <c r="D15" s="42"/>
      <c r="E15" s="42"/>
      <c r="F15" s="42"/>
      <c r="G15" s="42"/>
      <c r="H15" s="42"/>
      <c r="I15" s="42"/>
      <c r="J15" s="42"/>
    </row>
    <row r="16" spans="1:13">
      <c r="A16" s="8" t="s">
        <v>29</v>
      </c>
      <c r="B16" s="7" t="s">
        <v>121</v>
      </c>
      <c r="C16" s="7" t="s">
        <v>122</v>
      </c>
      <c r="D16" s="7" t="s">
        <v>123</v>
      </c>
      <c r="E16" s="7" t="s">
        <v>733</v>
      </c>
      <c r="F16" s="7" t="s">
        <v>680</v>
      </c>
      <c r="G16" s="17" t="s">
        <v>118</v>
      </c>
      <c r="H16" s="17" t="s">
        <v>119</v>
      </c>
      <c r="I16" s="18" t="s">
        <v>125</v>
      </c>
      <c r="J16" s="8"/>
      <c r="K16" s="37" t="str">
        <f>"62,5"</f>
        <v>62,5</v>
      </c>
      <c r="L16" s="8" t="str">
        <f>"59,4125"</f>
        <v>59,4125</v>
      </c>
      <c r="M16" s="7" t="s">
        <v>683</v>
      </c>
    </row>
    <row r="17" spans="1:13">
      <c r="A17" s="10" t="s">
        <v>203</v>
      </c>
      <c r="B17" s="9" t="s">
        <v>113</v>
      </c>
      <c r="C17" s="9" t="s">
        <v>114</v>
      </c>
      <c r="D17" s="9" t="s">
        <v>115</v>
      </c>
      <c r="E17" s="9" t="s">
        <v>733</v>
      </c>
      <c r="F17" s="9" t="s">
        <v>680</v>
      </c>
      <c r="G17" s="19" t="s">
        <v>118</v>
      </c>
      <c r="H17" s="20" t="s">
        <v>119</v>
      </c>
      <c r="I17" s="20" t="s">
        <v>119</v>
      </c>
      <c r="J17" s="10"/>
      <c r="K17" s="38" t="str">
        <f>"57,5"</f>
        <v>57,5</v>
      </c>
      <c r="L17" s="10" t="str">
        <f>"55,0332"</f>
        <v>55,0332</v>
      </c>
      <c r="M17" s="9" t="s">
        <v>683</v>
      </c>
    </row>
    <row r="18" spans="1:13">
      <c r="B18" s="5" t="s">
        <v>30</v>
      </c>
    </row>
    <row r="19" spans="1:13" ht="16">
      <c r="A19" s="41" t="s">
        <v>112</v>
      </c>
      <c r="B19" s="41"/>
      <c r="C19" s="42"/>
      <c r="D19" s="42"/>
      <c r="E19" s="42"/>
      <c r="F19" s="42"/>
      <c r="G19" s="42"/>
      <c r="H19" s="42"/>
      <c r="I19" s="42"/>
      <c r="J19" s="42"/>
    </row>
    <row r="20" spans="1:13">
      <c r="A20" s="8" t="s">
        <v>29</v>
      </c>
      <c r="B20" s="7" t="s">
        <v>336</v>
      </c>
      <c r="C20" s="7" t="s">
        <v>337</v>
      </c>
      <c r="D20" s="7" t="s">
        <v>338</v>
      </c>
      <c r="E20" s="7" t="s">
        <v>733</v>
      </c>
      <c r="F20" s="7" t="s">
        <v>223</v>
      </c>
      <c r="G20" s="17" t="s">
        <v>142</v>
      </c>
      <c r="H20" s="17" t="s">
        <v>170</v>
      </c>
      <c r="I20" s="18" t="s">
        <v>35</v>
      </c>
      <c r="J20" s="8"/>
      <c r="K20" s="37" t="str">
        <f>"142,5"</f>
        <v>142,5</v>
      </c>
      <c r="L20" s="8" t="str">
        <f>"102,6000"</f>
        <v>102,6000</v>
      </c>
      <c r="M20" s="7" t="s">
        <v>339</v>
      </c>
    </row>
    <row r="21" spans="1:13">
      <c r="A21" s="10" t="s">
        <v>203</v>
      </c>
      <c r="B21" s="9" t="s">
        <v>340</v>
      </c>
      <c r="C21" s="9" t="s">
        <v>341</v>
      </c>
      <c r="D21" s="9" t="s">
        <v>256</v>
      </c>
      <c r="E21" s="9" t="s">
        <v>733</v>
      </c>
      <c r="F21" s="9" t="s">
        <v>52</v>
      </c>
      <c r="G21" s="19" t="s">
        <v>142</v>
      </c>
      <c r="H21" s="20" t="s">
        <v>170</v>
      </c>
      <c r="I21" s="20" t="s">
        <v>35</v>
      </c>
      <c r="J21" s="10"/>
      <c r="K21" s="38" t="str">
        <f>"135,0"</f>
        <v>135,0</v>
      </c>
      <c r="L21" s="10" t="str">
        <f>"97,0110"</f>
        <v>97,0110</v>
      </c>
      <c r="M21" s="9" t="s">
        <v>719</v>
      </c>
    </row>
    <row r="22" spans="1:13">
      <c r="B22" s="5" t="s">
        <v>30</v>
      </c>
    </row>
    <row r="23" spans="1:13" ht="16">
      <c r="A23" s="41" t="s">
        <v>126</v>
      </c>
      <c r="B23" s="41"/>
      <c r="C23" s="42"/>
      <c r="D23" s="42"/>
      <c r="E23" s="42"/>
      <c r="F23" s="42"/>
      <c r="G23" s="42"/>
      <c r="H23" s="42"/>
      <c r="I23" s="42"/>
      <c r="J23" s="42"/>
    </row>
    <row r="24" spans="1:13">
      <c r="A24" s="8" t="s">
        <v>29</v>
      </c>
      <c r="B24" s="7" t="s">
        <v>342</v>
      </c>
      <c r="C24" s="7" t="s">
        <v>343</v>
      </c>
      <c r="D24" s="7" t="s">
        <v>344</v>
      </c>
      <c r="E24" s="7" t="s">
        <v>733</v>
      </c>
      <c r="F24" s="7" t="s">
        <v>167</v>
      </c>
      <c r="G24" s="17" t="s">
        <v>17</v>
      </c>
      <c r="H24" s="17" t="s">
        <v>180</v>
      </c>
      <c r="I24" s="18" t="s">
        <v>102</v>
      </c>
      <c r="J24" s="8"/>
      <c r="K24" s="37" t="str">
        <f>"180,0"</f>
        <v>180,0</v>
      </c>
      <c r="L24" s="8" t="str">
        <f>"121,2120"</f>
        <v>121,2120</v>
      </c>
      <c r="M24" s="7"/>
    </row>
    <row r="25" spans="1:13">
      <c r="A25" s="25" t="s">
        <v>203</v>
      </c>
      <c r="B25" s="24" t="s">
        <v>345</v>
      </c>
      <c r="C25" s="24" t="s">
        <v>346</v>
      </c>
      <c r="D25" s="24" t="s">
        <v>347</v>
      </c>
      <c r="E25" s="24" t="s">
        <v>733</v>
      </c>
      <c r="F25" s="24" t="s">
        <v>52</v>
      </c>
      <c r="G25" s="26" t="s">
        <v>17</v>
      </c>
      <c r="H25" s="27" t="s">
        <v>18</v>
      </c>
      <c r="I25" s="27" t="s">
        <v>18</v>
      </c>
      <c r="J25" s="25"/>
      <c r="K25" s="40" t="str">
        <f>"170,0"</f>
        <v>170,0</v>
      </c>
      <c r="L25" s="25" t="str">
        <f>"115,4300"</f>
        <v>115,4300</v>
      </c>
      <c r="M25" s="24" t="s">
        <v>719</v>
      </c>
    </row>
    <row r="26" spans="1:13">
      <c r="A26" s="25" t="s">
        <v>204</v>
      </c>
      <c r="B26" s="24" t="s">
        <v>348</v>
      </c>
      <c r="C26" s="24" t="s">
        <v>349</v>
      </c>
      <c r="D26" s="24" t="s">
        <v>350</v>
      </c>
      <c r="E26" s="24" t="s">
        <v>733</v>
      </c>
      <c r="F26" s="24" t="s">
        <v>52</v>
      </c>
      <c r="G26" s="26" t="s">
        <v>171</v>
      </c>
      <c r="H26" s="26" t="s">
        <v>41</v>
      </c>
      <c r="I26" s="26" t="s">
        <v>257</v>
      </c>
      <c r="J26" s="25"/>
      <c r="K26" s="40" t="str">
        <f>"167,5"</f>
        <v>167,5</v>
      </c>
      <c r="L26" s="25" t="str">
        <f>"114,0005"</f>
        <v>114,0005</v>
      </c>
      <c r="M26" s="24"/>
    </row>
    <row r="27" spans="1:13">
      <c r="A27" s="10" t="s">
        <v>71</v>
      </c>
      <c r="B27" s="9" t="s">
        <v>351</v>
      </c>
      <c r="C27" s="9" t="s">
        <v>352</v>
      </c>
      <c r="D27" s="9" t="s">
        <v>353</v>
      </c>
      <c r="E27" s="9" t="s">
        <v>733</v>
      </c>
      <c r="F27" s="9" t="s">
        <v>167</v>
      </c>
      <c r="G27" s="20" t="s">
        <v>17</v>
      </c>
      <c r="H27" s="20" t="s">
        <v>65</v>
      </c>
      <c r="I27" s="20" t="s">
        <v>65</v>
      </c>
      <c r="J27" s="10"/>
      <c r="K27" s="38">
        <v>0</v>
      </c>
      <c r="L27" s="10" t="str">
        <f>"0,0000"</f>
        <v>0,0000</v>
      </c>
      <c r="M27" s="9" t="s">
        <v>684</v>
      </c>
    </row>
    <row r="28" spans="1:13">
      <c r="B28" s="5" t="s">
        <v>30</v>
      </c>
    </row>
    <row r="29" spans="1:13" ht="16">
      <c r="A29" s="41" t="s">
        <v>42</v>
      </c>
      <c r="B29" s="41"/>
      <c r="C29" s="42"/>
      <c r="D29" s="42"/>
      <c r="E29" s="42"/>
      <c r="F29" s="42"/>
      <c r="G29" s="42"/>
      <c r="H29" s="42"/>
      <c r="I29" s="42"/>
      <c r="J29" s="42"/>
    </row>
    <row r="30" spans="1:13">
      <c r="A30" s="8" t="s">
        <v>29</v>
      </c>
      <c r="B30" s="7" t="s">
        <v>145</v>
      </c>
      <c r="C30" s="7" t="s">
        <v>146</v>
      </c>
      <c r="D30" s="7" t="s">
        <v>147</v>
      </c>
      <c r="E30" s="7" t="s">
        <v>733</v>
      </c>
      <c r="F30" s="7" t="s">
        <v>76</v>
      </c>
      <c r="G30" s="17" t="s">
        <v>104</v>
      </c>
      <c r="H30" s="17" t="s">
        <v>150</v>
      </c>
      <c r="I30" s="18" t="s">
        <v>48</v>
      </c>
      <c r="J30" s="8"/>
      <c r="K30" s="37" t="str">
        <f>"202,5"</f>
        <v>202,5</v>
      </c>
      <c r="L30" s="8" t="str">
        <f>"131,2807"</f>
        <v>131,2807</v>
      </c>
      <c r="M30" s="7"/>
    </row>
    <row r="31" spans="1:13">
      <c r="A31" s="25" t="s">
        <v>203</v>
      </c>
      <c r="B31" s="24" t="s">
        <v>354</v>
      </c>
      <c r="C31" s="24" t="s">
        <v>355</v>
      </c>
      <c r="D31" s="24" t="s">
        <v>356</v>
      </c>
      <c r="E31" s="24" t="s">
        <v>733</v>
      </c>
      <c r="F31" s="24" t="s">
        <v>76</v>
      </c>
      <c r="G31" s="26" t="s">
        <v>17</v>
      </c>
      <c r="H31" s="26" t="s">
        <v>180</v>
      </c>
      <c r="I31" s="27" t="s">
        <v>46</v>
      </c>
      <c r="J31" s="25"/>
      <c r="K31" s="40" t="str">
        <f>"180,0"</f>
        <v>180,0</v>
      </c>
      <c r="L31" s="25" t="str">
        <f>"115,7040"</f>
        <v>115,7040</v>
      </c>
      <c r="M31" s="24" t="s">
        <v>704</v>
      </c>
    </row>
    <row r="32" spans="1:13">
      <c r="A32" s="25" t="s">
        <v>71</v>
      </c>
      <c r="B32" s="24" t="s">
        <v>357</v>
      </c>
      <c r="C32" s="24" t="s">
        <v>358</v>
      </c>
      <c r="D32" s="24" t="s">
        <v>359</v>
      </c>
      <c r="E32" s="24" t="s">
        <v>733</v>
      </c>
      <c r="F32" s="24" t="s">
        <v>76</v>
      </c>
      <c r="G32" s="27" t="s">
        <v>181</v>
      </c>
      <c r="H32" s="27" t="s">
        <v>181</v>
      </c>
      <c r="I32" s="27" t="s">
        <v>181</v>
      </c>
      <c r="J32" s="25"/>
      <c r="K32" s="40">
        <v>0</v>
      </c>
      <c r="L32" s="25" t="str">
        <f>"0,0000"</f>
        <v>0,0000</v>
      </c>
      <c r="M32" s="24"/>
    </row>
    <row r="33" spans="1:13">
      <c r="A33" s="25" t="s">
        <v>29</v>
      </c>
      <c r="B33" s="24" t="s">
        <v>362</v>
      </c>
      <c r="C33" s="24" t="s">
        <v>639</v>
      </c>
      <c r="D33" s="24" t="s">
        <v>291</v>
      </c>
      <c r="E33" s="24" t="s">
        <v>736</v>
      </c>
      <c r="F33" s="24" t="s">
        <v>223</v>
      </c>
      <c r="G33" s="27" t="s">
        <v>17</v>
      </c>
      <c r="H33" s="26" t="s">
        <v>17</v>
      </c>
      <c r="I33" s="27" t="s">
        <v>65</v>
      </c>
      <c r="J33" s="25"/>
      <c r="K33" s="40" t="str">
        <f>"170,0"</f>
        <v>170,0</v>
      </c>
      <c r="L33" s="25" t="str">
        <f>"110,6852"</f>
        <v>110,6852</v>
      </c>
      <c r="M33" s="24" t="s">
        <v>720</v>
      </c>
    </row>
    <row r="34" spans="1:13">
      <c r="A34" s="25" t="s">
        <v>203</v>
      </c>
      <c r="B34" s="24" t="s">
        <v>363</v>
      </c>
      <c r="C34" s="24" t="s">
        <v>640</v>
      </c>
      <c r="D34" s="24" t="s">
        <v>359</v>
      </c>
      <c r="E34" s="24" t="s">
        <v>736</v>
      </c>
      <c r="F34" s="24" t="s">
        <v>52</v>
      </c>
      <c r="G34" s="27" t="s">
        <v>124</v>
      </c>
      <c r="H34" s="26" t="s">
        <v>117</v>
      </c>
      <c r="I34" s="26" t="s">
        <v>142</v>
      </c>
      <c r="J34" s="25"/>
      <c r="K34" s="40" t="str">
        <f>"135,0"</f>
        <v>135,0</v>
      </c>
      <c r="L34" s="25" t="str">
        <f>"87,6285"</f>
        <v>87,6285</v>
      </c>
      <c r="M34" s="24" t="s">
        <v>695</v>
      </c>
    </row>
    <row r="35" spans="1:13">
      <c r="A35" s="10" t="s">
        <v>29</v>
      </c>
      <c r="B35" s="9" t="s">
        <v>364</v>
      </c>
      <c r="C35" s="9" t="s">
        <v>641</v>
      </c>
      <c r="D35" s="9" t="s">
        <v>365</v>
      </c>
      <c r="E35" s="9" t="s">
        <v>738</v>
      </c>
      <c r="F35" s="9" t="s">
        <v>52</v>
      </c>
      <c r="G35" s="19" t="s">
        <v>116</v>
      </c>
      <c r="H35" s="19" t="s">
        <v>111</v>
      </c>
      <c r="I35" s="19" t="s">
        <v>124</v>
      </c>
      <c r="J35" s="10"/>
      <c r="K35" s="38" t="str">
        <f>"125,0"</f>
        <v>125,0</v>
      </c>
      <c r="L35" s="10" t="str">
        <f>"101,2344"</f>
        <v>101,2344</v>
      </c>
      <c r="M35" s="9" t="s">
        <v>719</v>
      </c>
    </row>
    <row r="36" spans="1:13">
      <c r="B36" s="5" t="s">
        <v>30</v>
      </c>
    </row>
    <row r="37" spans="1:13" ht="16">
      <c r="A37" s="41" t="s">
        <v>10</v>
      </c>
      <c r="B37" s="41"/>
      <c r="C37" s="42"/>
      <c r="D37" s="42"/>
      <c r="E37" s="42"/>
      <c r="F37" s="42"/>
      <c r="G37" s="42"/>
      <c r="H37" s="42"/>
      <c r="I37" s="42"/>
      <c r="J37" s="42"/>
    </row>
    <row r="38" spans="1:13">
      <c r="A38" s="8" t="s">
        <v>29</v>
      </c>
      <c r="B38" s="7" t="s">
        <v>366</v>
      </c>
      <c r="C38" s="7" t="s">
        <v>367</v>
      </c>
      <c r="D38" s="7" t="s">
        <v>368</v>
      </c>
      <c r="E38" s="7" t="s">
        <v>733</v>
      </c>
      <c r="F38" s="7" t="s">
        <v>52</v>
      </c>
      <c r="G38" s="17" t="s">
        <v>81</v>
      </c>
      <c r="H38" s="17" t="s">
        <v>120</v>
      </c>
      <c r="I38" s="18" t="s">
        <v>143</v>
      </c>
      <c r="J38" s="8"/>
      <c r="K38" s="37" t="str">
        <f>"130,0"</f>
        <v>130,0</v>
      </c>
      <c r="L38" s="8" t="str">
        <f>"79,5080"</f>
        <v>79,5080</v>
      </c>
      <c r="M38" s="7" t="s">
        <v>721</v>
      </c>
    </row>
    <row r="39" spans="1:13">
      <c r="A39" s="10" t="s">
        <v>203</v>
      </c>
      <c r="B39" s="9" t="s">
        <v>369</v>
      </c>
      <c r="C39" s="9" t="s">
        <v>370</v>
      </c>
      <c r="D39" s="9" t="s">
        <v>371</v>
      </c>
      <c r="E39" s="9" t="s">
        <v>733</v>
      </c>
      <c r="F39" s="9" t="s">
        <v>167</v>
      </c>
      <c r="G39" s="19" t="s">
        <v>124</v>
      </c>
      <c r="H39" s="20" t="s">
        <v>142</v>
      </c>
      <c r="I39" s="20" t="s">
        <v>142</v>
      </c>
      <c r="J39" s="10"/>
      <c r="K39" s="38" t="str">
        <f>"125,0"</f>
        <v>125,0</v>
      </c>
      <c r="L39" s="10" t="str">
        <f>"77,8625"</f>
        <v>77,8625</v>
      </c>
      <c r="M39" s="9" t="s">
        <v>372</v>
      </c>
    </row>
    <row r="40" spans="1:13">
      <c r="B40" s="5" t="s">
        <v>30</v>
      </c>
    </row>
    <row r="41" spans="1:13" ht="16">
      <c r="A41" s="41" t="s">
        <v>183</v>
      </c>
      <c r="B41" s="41"/>
      <c r="C41" s="42"/>
      <c r="D41" s="42"/>
      <c r="E41" s="42"/>
      <c r="F41" s="42"/>
      <c r="G41" s="42"/>
      <c r="H41" s="42"/>
      <c r="I41" s="42"/>
      <c r="J41" s="42"/>
    </row>
    <row r="42" spans="1:13">
      <c r="A42" s="8" t="s">
        <v>29</v>
      </c>
      <c r="B42" s="7" t="s">
        <v>328</v>
      </c>
      <c r="C42" s="7" t="s">
        <v>329</v>
      </c>
      <c r="D42" s="7" t="s">
        <v>330</v>
      </c>
      <c r="E42" s="7" t="s">
        <v>733</v>
      </c>
      <c r="F42" s="7" t="s">
        <v>680</v>
      </c>
      <c r="G42" s="17" t="s">
        <v>175</v>
      </c>
      <c r="H42" s="17" t="s">
        <v>14</v>
      </c>
      <c r="I42" s="8"/>
      <c r="J42" s="8"/>
      <c r="K42" s="37" t="str">
        <f>"235,0"</f>
        <v>235,0</v>
      </c>
      <c r="L42" s="8" t="str">
        <f>"139,3550"</f>
        <v>139,3550</v>
      </c>
      <c r="M42" s="7" t="s">
        <v>683</v>
      </c>
    </row>
    <row r="43" spans="1:13">
      <c r="A43" s="25" t="s">
        <v>203</v>
      </c>
      <c r="B43" s="24" t="s">
        <v>373</v>
      </c>
      <c r="C43" s="24" t="s">
        <v>374</v>
      </c>
      <c r="D43" s="24" t="s">
        <v>375</v>
      </c>
      <c r="E43" s="24" t="s">
        <v>733</v>
      </c>
      <c r="F43" s="24" t="s">
        <v>376</v>
      </c>
      <c r="G43" s="27" t="s">
        <v>103</v>
      </c>
      <c r="H43" s="26" t="s">
        <v>104</v>
      </c>
      <c r="I43" s="26" t="s">
        <v>181</v>
      </c>
      <c r="J43" s="25"/>
      <c r="K43" s="40" t="str">
        <f>"205,0"</f>
        <v>205,0</v>
      </c>
      <c r="L43" s="25" t="str">
        <f>"120,9500"</f>
        <v>120,9500</v>
      </c>
      <c r="M43" s="24"/>
    </row>
    <row r="44" spans="1:13">
      <c r="A44" s="25" t="s">
        <v>204</v>
      </c>
      <c r="B44" s="24" t="s">
        <v>377</v>
      </c>
      <c r="C44" s="24" t="s">
        <v>378</v>
      </c>
      <c r="D44" s="24" t="s">
        <v>379</v>
      </c>
      <c r="E44" s="24" t="s">
        <v>733</v>
      </c>
      <c r="F44" s="24" t="s">
        <v>52</v>
      </c>
      <c r="G44" s="27" t="s">
        <v>282</v>
      </c>
      <c r="H44" s="26" t="s">
        <v>282</v>
      </c>
      <c r="I44" s="26" t="s">
        <v>47</v>
      </c>
      <c r="J44" s="25"/>
      <c r="K44" s="40" t="str">
        <f>"200,0"</f>
        <v>200,0</v>
      </c>
      <c r="L44" s="25" t="str">
        <f>"120,6000"</f>
        <v>120,6000</v>
      </c>
      <c r="M44" s="24"/>
    </row>
    <row r="45" spans="1:13">
      <c r="A45" s="25" t="s">
        <v>205</v>
      </c>
      <c r="B45" s="24" t="s">
        <v>380</v>
      </c>
      <c r="C45" s="24" t="s">
        <v>381</v>
      </c>
      <c r="D45" s="24" t="s">
        <v>382</v>
      </c>
      <c r="E45" s="24" t="s">
        <v>733</v>
      </c>
      <c r="F45" s="24" t="s">
        <v>52</v>
      </c>
      <c r="G45" s="26" t="s">
        <v>17</v>
      </c>
      <c r="H45" s="27" t="s">
        <v>65</v>
      </c>
      <c r="I45" s="27" t="s">
        <v>65</v>
      </c>
      <c r="J45" s="25"/>
      <c r="K45" s="40" t="str">
        <f>"170,0"</f>
        <v>170,0</v>
      </c>
      <c r="L45" s="25" t="str">
        <f>"102,0000"</f>
        <v>102,0000</v>
      </c>
      <c r="M45" s="24" t="s">
        <v>685</v>
      </c>
    </row>
    <row r="46" spans="1:13">
      <c r="A46" s="25" t="s">
        <v>29</v>
      </c>
      <c r="B46" s="24" t="s">
        <v>383</v>
      </c>
      <c r="C46" s="24" t="s">
        <v>642</v>
      </c>
      <c r="D46" s="24" t="s">
        <v>379</v>
      </c>
      <c r="E46" s="24" t="s">
        <v>736</v>
      </c>
      <c r="F46" s="24" t="s">
        <v>52</v>
      </c>
      <c r="G46" s="26" t="s">
        <v>179</v>
      </c>
      <c r="H46" s="26" t="s">
        <v>17</v>
      </c>
      <c r="I46" s="27" t="s">
        <v>180</v>
      </c>
      <c r="J46" s="25"/>
      <c r="K46" s="40" t="str">
        <f>"170,0"</f>
        <v>170,0</v>
      </c>
      <c r="L46" s="25" t="str">
        <f>"103,0225"</f>
        <v>103,0225</v>
      </c>
      <c r="M46" s="24" t="s">
        <v>719</v>
      </c>
    </row>
    <row r="47" spans="1:13">
      <c r="A47" s="10" t="s">
        <v>29</v>
      </c>
      <c r="B47" s="9" t="s">
        <v>384</v>
      </c>
      <c r="C47" s="9" t="s">
        <v>643</v>
      </c>
      <c r="D47" s="9" t="s">
        <v>385</v>
      </c>
      <c r="E47" s="9" t="s">
        <v>738</v>
      </c>
      <c r="F47" s="9" t="s">
        <v>167</v>
      </c>
      <c r="G47" s="19" t="s">
        <v>81</v>
      </c>
      <c r="H47" s="20" t="s">
        <v>124</v>
      </c>
      <c r="I47" s="20" t="s">
        <v>124</v>
      </c>
      <c r="J47" s="10"/>
      <c r="K47" s="38" t="str">
        <f>"120,0"</f>
        <v>120,0</v>
      </c>
      <c r="L47" s="10" t="str">
        <f>"89,4900"</f>
        <v>89,4900</v>
      </c>
      <c r="M47" s="9"/>
    </row>
    <row r="48" spans="1:13">
      <c r="B48" s="5" t="s">
        <v>30</v>
      </c>
    </row>
    <row r="49" spans="1:13" ht="16">
      <c r="A49" s="41" t="s">
        <v>58</v>
      </c>
      <c r="B49" s="41"/>
      <c r="C49" s="42"/>
      <c r="D49" s="42"/>
      <c r="E49" s="42"/>
      <c r="F49" s="42"/>
      <c r="G49" s="42"/>
      <c r="H49" s="42"/>
      <c r="I49" s="42"/>
      <c r="J49" s="42"/>
    </row>
    <row r="50" spans="1:13">
      <c r="A50" s="8" t="s">
        <v>29</v>
      </c>
      <c r="B50" s="7" t="s">
        <v>386</v>
      </c>
      <c r="C50" s="7" t="s">
        <v>387</v>
      </c>
      <c r="D50" s="7" t="s">
        <v>388</v>
      </c>
      <c r="E50" s="7" t="s">
        <v>733</v>
      </c>
      <c r="F50" s="7" t="s">
        <v>700</v>
      </c>
      <c r="G50" s="17" t="s">
        <v>282</v>
      </c>
      <c r="H50" s="18" t="s">
        <v>389</v>
      </c>
      <c r="I50" s="18" t="s">
        <v>389</v>
      </c>
      <c r="J50" s="8"/>
      <c r="K50" s="37" t="str">
        <f>"192,5"</f>
        <v>192,5</v>
      </c>
      <c r="L50" s="8" t="str">
        <f>"111,8617"</f>
        <v>111,8617</v>
      </c>
      <c r="M50" s="7"/>
    </row>
    <row r="51" spans="1:13">
      <c r="A51" s="10" t="s">
        <v>29</v>
      </c>
      <c r="B51" s="9" t="s">
        <v>390</v>
      </c>
      <c r="C51" s="9" t="s">
        <v>644</v>
      </c>
      <c r="D51" s="9" t="s">
        <v>391</v>
      </c>
      <c r="E51" s="9" t="s">
        <v>736</v>
      </c>
      <c r="F51" s="9" t="s">
        <v>392</v>
      </c>
      <c r="G51" s="19" t="s">
        <v>180</v>
      </c>
      <c r="H51" s="19" t="s">
        <v>46</v>
      </c>
      <c r="I51" s="19" t="s">
        <v>47</v>
      </c>
      <c r="J51" s="10"/>
      <c r="K51" s="38" t="str">
        <f>"200,0"</f>
        <v>200,0</v>
      </c>
      <c r="L51" s="10" t="str">
        <f>"120,3171"</f>
        <v>120,3171</v>
      </c>
      <c r="M51" s="9"/>
    </row>
    <row r="52" spans="1:13">
      <c r="B52" s="5" t="s">
        <v>30</v>
      </c>
    </row>
    <row r="53" spans="1:13" ht="16">
      <c r="A53" s="41" t="s">
        <v>393</v>
      </c>
      <c r="B53" s="41"/>
      <c r="C53" s="42"/>
      <c r="D53" s="42"/>
      <c r="E53" s="42"/>
      <c r="F53" s="42"/>
      <c r="G53" s="42"/>
      <c r="H53" s="42"/>
      <c r="I53" s="42"/>
      <c r="J53" s="42"/>
    </row>
    <row r="54" spans="1:13">
      <c r="A54" s="8" t="s">
        <v>29</v>
      </c>
      <c r="B54" s="7" t="s">
        <v>394</v>
      </c>
      <c r="C54" s="7" t="s">
        <v>395</v>
      </c>
      <c r="D54" s="7" t="s">
        <v>396</v>
      </c>
      <c r="E54" s="7" t="s">
        <v>733</v>
      </c>
      <c r="F54" s="28" t="s">
        <v>52</v>
      </c>
      <c r="G54" s="30" t="s">
        <v>46</v>
      </c>
      <c r="H54" s="17" t="s">
        <v>104</v>
      </c>
      <c r="I54" s="31" t="s">
        <v>47</v>
      </c>
      <c r="J54" s="29"/>
      <c r="K54" s="37" t="str">
        <f>"200,0"</f>
        <v>200,0</v>
      </c>
      <c r="L54" s="8" t="str">
        <f>"113,4800"</f>
        <v>113,4800</v>
      </c>
      <c r="M54" s="7"/>
    </row>
    <row r="55" spans="1:13">
      <c r="A55" s="10" t="s">
        <v>29</v>
      </c>
      <c r="B55" s="9" t="s">
        <v>394</v>
      </c>
      <c r="C55" s="9" t="s">
        <v>645</v>
      </c>
      <c r="D55" s="9" t="s">
        <v>396</v>
      </c>
      <c r="E55" s="9" t="s">
        <v>736</v>
      </c>
      <c r="F55" s="34" t="s">
        <v>52</v>
      </c>
      <c r="G55" s="32" t="s">
        <v>46</v>
      </c>
      <c r="H55" s="19" t="s">
        <v>104</v>
      </c>
      <c r="I55" s="33" t="s">
        <v>47</v>
      </c>
      <c r="J55" s="35"/>
      <c r="K55" s="38" t="str">
        <f>"200,0"</f>
        <v>200,0</v>
      </c>
      <c r="L55" s="10" t="str">
        <f>"116,6574"</f>
        <v>116,6574</v>
      </c>
      <c r="M55" s="9"/>
    </row>
    <row r="56" spans="1:13">
      <c r="B56" s="5" t="s">
        <v>30</v>
      </c>
    </row>
    <row r="57" spans="1:13">
      <c r="B57" s="5" t="s">
        <v>30</v>
      </c>
    </row>
    <row r="58" spans="1:13">
      <c r="B58" s="5" t="s">
        <v>30</v>
      </c>
    </row>
    <row r="59" spans="1:13" ht="18">
      <c r="B59" s="11" t="s">
        <v>20</v>
      </c>
      <c r="C59" s="11"/>
      <c r="F59" s="3"/>
    </row>
    <row r="60" spans="1:13" ht="16">
      <c r="B60" s="12" t="s">
        <v>21</v>
      </c>
      <c r="C60" s="12"/>
    </row>
    <row r="61" spans="1:13" ht="14">
      <c r="B61" s="13"/>
      <c r="C61" s="14" t="s">
        <v>22</v>
      </c>
    </row>
    <row r="62" spans="1:13" ht="14">
      <c r="B62" s="16" t="s">
        <v>23</v>
      </c>
      <c r="C62" s="16" t="s">
        <v>24</v>
      </c>
      <c r="D62" s="16" t="s">
        <v>682</v>
      </c>
      <c r="E62" s="16" t="s">
        <v>397</v>
      </c>
      <c r="F62" s="16" t="s">
        <v>27</v>
      </c>
    </row>
    <row r="63" spans="1:13">
      <c r="B63" s="5" t="s">
        <v>328</v>
      </c>
      <c r="C63" s="5" t="s">
        <v>22</v>
      </c>
      <c r="D63" s="6" t="s">
        <v>195</v>
      </c>
      <c r="E63" s="6" t="s">
        <v>14</v>
      </c>
      <c r="F63" s="6" t="s">
        <v>398</v>
      </c>
    </row>
    <row r="64" spans="1:13">
      <c r="B64" s="5" t="s">
        <v>145</v>
      </c>
      <c r="C64" s="5" t="s">
        <v>22</v>
      </c>
      <c r="D64" s="6" t="s">
        <v>200</v>
      </c>
      <c r="E64" s="6" t="s">
        <v>150</v>
      </c>
      <c r="F64" s="6" t="s">
        <v>399</v>
      </c>
    </row>
    <row r="65" spans="2:6">
      <c r="B65" s="5" t="s">
        <v>342</v>
      </c>
      <c r="C65" s="5" t="s">
        <v>22</v>
      </c>
      <c r="D65" s="6" t="s">
        <v>194</v>
      </c>
      <c r="E65" s="6" t="s">
        <v>180</v>
      </c>
      <c r="F65" s="6" t="s">
        <v>400</v>
      </c>
    </row>
  </sheetData>
  <mergeCells count="22"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  <mergeCell ref="A37:J37"/>
    <mergeCell ref="A41:J41"/>
    <mergeCell ref="A49:J49"/>
    <mergeCell ref="A53:J53"/>
    <mergeCell ref="B3:B4"/>
    <mergeCell ref="A8:J8"/>
    <mergeCell ref="A11:J11"/>
    <mergeCell ref="A15:J15"/>
    <mergeCell ref="A19:J19"/>
    <mergeCell ref="A23:J23"/>
    <mergeCell ref="A29:J29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BAB881-E34A-4694-AF95-93919F0474C3}">
  <dimension ref="A1:M8"/>
  <sheetViews>
    <sheetView workbookViewId="0">
      <selection sqref="A1:M2"/>
    </sheetView>
  </sheetViews>
  <sheetFormatPr baseColWidth="10" defaultColWidth="9.1640625" defaultRowHeight="13"/>
  <cols>
    <col min="1" max="1" width="7.1640625" style="5" bestFit="1" customWidth="1"/>
    <col min="2" max="2" width="21.33203125" style="5" customWidth="1"/>
    <col min="3" max="3" width="25.1640625" style="5" bestFit="1" customWidth="1"/>
    <col min="4" max="4" width="20.83203125" style="5" bestFit="1" customWidth="1"/>
    <col min="5" max="5" width="10.1640625" style="5" bestFit="1" customWidth="1"/>
    <col min="6" max="6" width="25.6640625" style="5" bestFit="1" customWidth="1"/>
    <col min="7" max="9" width="5.5" style="6" customWidth="1"/>
    <col min="10" max="10" width="4.5" style="6" customWidth="1"/>
    <col min="11" max="11" width="10.5" style="6" bestFit="1" customWidth="1"/>
    <col min="12" max="12" width="8.6640625" style="6" bestFit="1" customWidth="1"/>
    <col min="13" max="13" width="14.6640625" style="5" bestFit="1" customWidth="1"/>
    <col min="14" max="16384" width="9.1640625" style="3"/>
  </cols>
  <sheetData>
    <row r="1" spans="1:13" s="2" customFormat="1" ht="29" customHeight="1">
      <c r="A1" s="53" t="s">
        <v>668</v>
      </c>
      <c r="B1" s="54"/>
      <c r="C1" s="55"/>
      <c r="D1" s="55"/>
      <c r="E1" s="55"/>
      <c r="F1" s="55"/>
      <c r="G1" s="55"/>
      <c r="H1" s="55"/>
      <c r="I1" s="55"/>
      <c r="J1" s="55"/>
      <c r="K1" s="55"/>
      <c r="L1" s="55"/>
      <c r="M1" s="56"/>
    </row>
    <row r="2" spans="1:13" s="2" customFormat="1" ht="62" customHeight="1" thickBot="1">
      <c r="A2" s="57"/>
      <c r="B2" s="58"/>
      <c r="C2" s="59"/>
      <c r="D2" s="59"/>
      <c r="E2" s="59"/>
      <c r="F2" s="59"/>
      <c r="G2" s="59"/>
      <c r="H2" s="59"/>
      <c r="I2" s="59"/>
      <c r="J2" s="59"/>
      <c r="K2" s="59"/>
      <c r="L2" s="59"/>
      <c r="M2" s="60"/>
    </row>
    <row r="3" spans="1:13" s="1" customFormat="1" ht="12.75" customHeight="1">
      <c r="A3" s="61" t="s">
        <v>730</v>
      </c>
      <c r="B3" s="43" t="s">
        <v>0</v>
      </c>
      <c r="C3" s="63" t="s">
        <v>731</v>
      </c>
      <c r="D3" s="63" t="s">
        <v>6</v>
      </c>
      <c r="E3" s="47" t="s">
        <v>732</v>
      </c>
      <c r="F3" s="47" t="s">
        <v>5</v>
      </c>
      <c r="G3" s="47" t="s">
        <v>8</v>
      </c>
      <c r="H3" s="47"/>
      <c r="I3" s="47"/>
      <c r="J3" s="47"/>
      <c r="K3" s="47" t="s">
        <v>401</v>
      </c>
      <c r="L3" s="47" t="s">
        <v>3</v>
      </c>
      <c r="M3" s="49" t="s">
        <v>2</v>
      </c>
    </row>
    <row r="4" spans="1:13" s="1" customFormat="1" ht="21" customHeight="1" thickBot="1">
      <c r="A4" s="62"/>
      <c r="B4" s="44"/>
      <c r="C4" s="48"/>
      <c r="D4" s="48"/>
      <c r="E4" s="48"/>
      <c r="F4" s="48"/>
      <c r="G4" s="4">
        <v>1</v>
      </c>
      <c r="H4" s="4">
        <v>2</v>
      </c>
      <c r="I4" s="4">
        <v>3</v>
      </c>
      <c r="J4" s="4" t="s">
        <v>4</v>
      </c>
      <c r="K4" s="48"/>
      <c r="L4" s="48"/>
      <c r="M4" s="50"/>
    </row>
    <row r="5" spans="1:13" ht="16">
      <c r="A5" s="51" t="s">
        <v>42</v>
      </c>
      <c r="B5" s="51"/>
      <c r="C5" s="52"/>
      <c r="D5" s="52"/>
      <c r="E5" s="52"/>
      <c r="F5" s="52"/>
      <c r="G5" s="52"/>
      <c r="H5" s="52"/>
      <c r="I5" s="52"/>
      <c r="J5" s="52"/>
    </row>
    <row r="6" spans="1:13">
      <c r="A6" s="21" t="s">
        <v>29</v>
      </c>
      <c r="B6" s="15" t="s">
        <v>43</v>
      </c>
      <c r="C6" s="15" t="s">
        <v>44</v>
      </c>
      <c r="D6" s="15" t="s">
        <v>45</v>
      </c>
      <c r="E6" s="15" t="s">
        <v>733</v>
      </c>
      <c r="F6" s="15" t="s">
        <v>700</v>
      </c>
      <c r="G6" s="22" t="s">
        <v>46</v>
      </c>
      <c r="H6" s="22" t="s">
        <v>47</v>
      </c>
      <c r="I6" s="22" t="s">
        <v>48</v>
      </c>
      <c r="J6" s="21"/>
      <c r="K6" s="21" t="str">
        <f>"210,0"</f>
        <v>210,0</v>
      </c>
      <c r="L6" s="21" t="str">
        <f>"134,3580"</f>
        <v>134,3580</v>
      </c>
      <c r="M6" s="15" t="s">
        <v>703</v>
      </c>
    </row>
    <row r="7" spans="1:13">
      <c r="B7" s="5" t="s">
        <v>30</v>
      </c>
    </row>
    <row r="8" spans="1:13">
      <c r="B8" s="5" t="s">
        <v>30</v>
      </c>
    </row>
  </sheetData>
  <mergeCells count="12">
    <mergeCell ref="A5:J5"/>
    <mergeCell ref="B3:B4"/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8690CF-1521-4467-A6D9-A7D0C3662BB9}">
  <dimension ref="A1:M11"/>
  <sheetViews>
    <sheetView workbookViewId="0">
      <selection sqref="A1:M2"/>
    </sheetView>
  </sheetViews>
  <sheetFormatPr baseColWidth="10" defaultColWidth="9.1640625" defaultRowHeight="13"/>
  <cols>
    <col min="1" max="1" width="7.1640625" style="5" bestFit="1" customWidth="1"/>
    <col min="2" max="2" width="21.1640625" style="5" customWidth="1"/>
    <col min="3" max="3" width="25.1640625" style="5" bestFit="1" customWidth="1"/>
    <col min="4" max="4" width="20.83203125" style="5" bestFit="1" customWidth="1"/>
    <col min="5" max="5" width="10.1640625" style="5" bestFit="1" customWidth="1"/>
    <col min="6" max="6" width="25.6640625" style="5" bestFit="1" customWidth="1"/>
    <col min="7" max="9" width="5.5" style="6" customWidth="1"/>
    <col min="10" max="10" width="4.5" style="6" customWidth="1"/>
    <col min="11" max="11" width="10.5" style="36" bestFit="1" customWidth="1"/>
    <col min="12" max="12" width="8.5" style="6" bestFit="1" customWidth="1"/>
    <col min="13" max="13" width="21.5" style="5" customWidth="1"/>
    <col min="14" max="16384" width="9.1640625" style="3"/>
  </cols>
  <sheetData>
    <row r="1" spans="1:13" s="2" customFormat="1" ht="29" customHeight="1">
      <c r="A1" s="53" t="s">
        <v>669</v>
      </c>
      <c r="B1" s="54"/>
      <c r="C1" s="55"/>
      <c r="D1" s="55"/>
      <c r="E1" s="55"/>
      <c r="F1" s="55"/>
      <c r="G1" s="55"/>
      <c r="H1" s="55"/>
      <c r="I1" s="55"/>
      <c r="J1" s="55"/>
      <c r="K1" s="55"/>
      <c r="L1" s="55"/>
      <c r="M1" s="56"/>
    </row>
    <row r="2" spans="1:13" s="2" customFormat="1" ht="62" customHeight="1" thickBot="1">
      <c r="A2" s="57"/>
      <c r="B2" s="58"/>
      <c r="C2" s="59"/>
      <c r="D2" s="59"/>
      <c r="E2" s="59"/>
      <c r="F2" s="59"/>
      <c r="G2" s="59"/>
      <c r="H2" s="59"/>
      <c r="I2" s="59"/>
      <c r="J2" s="59"/>
      <c r="K2" s="59"/>
      <c r="L2" s="59"/>
      <c r="M2" s="60"/>
    </row>
    <row r="3" spans="1:13" s="1" customFormat="1" ht="12.75" customHeight="1">
      <c r="A3" s="61" t="s">
        <v>730</v>
      </c>
      <c r="B3" s="43" t="s">
        <v>0</v>
      </c>
      <c r="C3" s="63" t="s">
        <v>731</v>
      </c>
      <c r="D3" s="63" t="s">
        <v>6</v>
      </c>
      <c r="E3" s="47" t="s">
        <v>732</v>
      </c>
      <c r="F3" s="47" t="s">
        <v>5</v>
      </c>
      <c r="G3" s="47" t="s">
        <v>8</v>
      </c>
      <c r="H3" s="47"/>
      <c r="I3" s="47"/>
      <c r="J3" s="47"/>
      <c r="K3" s="45" t="s">
        <v>401</v>
      </c>
      <c r="L3" s="47" t="s">
        <v>3</v>
      </c>
      <c r="M3" s="49" t="s">
        <v>2</v>
      </c>
    </row>
    <row r="4" spans="1:13" s="1" customFormat="1" ht="21" customHeight="1" thickBot="1">
      <c r="A4" s="62"/>
      <c r="B4" s="44"/>
      <c r="C4" s="48"/>
      <c r="D4" s="48"/>
      <c r="E4" s="48"/>
      <c r="F4" s="48"/>
      <c r="G4" s="4">
        <v>1</v>
      </c>
      <c r="H4" s="4">
        <v>2</v>
      </c>
      <c r="I4" s="4">
        <v>3</v>
      </c>
      <c r="J4" s="4" t="s">
        <v>4</v>
      </c>
      <c r="K4" s="46"/>
      <c r="L4" s="48"/>
      <c r="M4" s="50"/>
    </row>
    <row r="5" spans="1:13" ht="16">
      <c r="A5" s="51" t="s">
        <v>126</v>
      </c>
      <c r="B5" s="51"/>
      <c r="C5" s="52"/>
      <c r="D5" s="52"/>
      <c r="E5" s="52"/>
      <c r="F5" s="52"/>
      <c r="G5" s="52"/>
      <c r="H5" s="52"/>
      <c r="I5" s="52"/>
      <c r="J5" s="52"/>
    </row>
    <row r="6" spans="1:13">
      <c r="A6" s="8" t="s">
        <v>29</v>
      </c>
      <c r="B6" s="7" t="s">
        <v>505</v>
      </c>
      <c r="C6" s="7" t="s">
        <v>506</v>
      </c>
      <c r="D6" s="7" t="s">
        <v>141</v>
      </c>
      <c r="E6" s="7" t="s">
        <v>733</v>
      </c>
      <c r="F6" s="7" t="s">
        <v>52</v>
      </c>
      <c r="G6" s="18" t="s">
        <v>120</v>
      </c>
      <c r="H6" s="18" t="s">
        <v>120</v>
      </c>
      <c r="I6" s="17" t="s">
        <v>120</v>
      </c>
      <c r="J6" s="8"/>
      <c r="K6" s="37" t="str">
        <f>"130,0"</f>
        <v>130,0</v>
      </c>
      <c r="L6" s="8" t="str">
        <f>"87,8670"</f>
        <v>87,8670</v>
      </c>
      <c r="M6" s="7" t="s">
        <v>722</v>
      </c>
    </row>
    <row r="7" spans="1:13">
      <c r="A7" s="10" t="s">
        <v>71</v>
      </c>
      <c r="B7" s="9" t="s">
        <v>507</v>
      </c>
      <c r="C7" s="9" t="s">
        <v>508</v>
      </c>
      <c r="D7" s="9" t="s">
        <v>509</v>
      </c>
      <c r="E7" s="9" t="s">
        <v>733</v>
      </c>
      <c r="F7" s="9" t="s">
        <v>52</v>
      </c>
      <c r="G7" s="20" t="s">
        <v>46</v>
      </c>
      <c r="H7" s="20" t="s">
        <v>46</v>
      </c>
      <c r="I7" s="20" t="s">
        <v>46</v>
      </c>
      <c r="J7" s="10"/>
      <c r="K7" s="38">
        <v>0</v>
      </c>
      <c r="L7" s="10" t="str">
        <f>"0,0000"</f>
        <v>0,0000</v>
      </c>
      <c r="M7" s="9" t="s">
        <v>696</v>
      </c>
    </row>
    <row r="8" spans="1:13">
      <c r="B8" s="5" t="s">
        <v>30</v>
      </c>
    </row>
    <row r="9" spans="1:13" ht="16">
      <c r="A9" s="41" t="s">
        <v>42</v>
      </c>
      <c r="B9" s="41"/>
      <c r="C9" s="42"/>
      <c r="D9" s="42"/>
      <c r="E9" s="42"/>
      <c r="F9" s="42"/>
      <c r="G9" s="42"/>
      <c r="H9" s="42"/>
      <c r="I9" s="42"/>
      <c r="J9" s="42"/>
    </row>
    <row r="10" spans="1:13">
      <c r="A10" s="21" t="s">
        <v>29</v>
      </c>
      <c r="B10" s="15" t="s">
        <v>43</v>
      </c>
      <c r="C10" s="15" t="s">
        <v>44</v>
      </c>
      <c r="D10" s="15" t="s">
        <v>45</v>
      </c>
      <c r="E10" s="15" t="s">
        <v>733</v>
      </c>
      <c r="F10" s="15" t="s">
        <v>700</v>
      </c>
      <c r="G10" s="22" t="s">
        <v>46</v>
      </c>
      <c r="H10" s="22" t="s">
        <v>47</v>
      </c>
      <c r="I10" s="22" t="s">
        <v>48</v>
      </c>
      <c r="J10" s="21"/>
      <c r="K10" s="39" t="str">
        <f>"210,0"</f>
        <v>210,0</v>
      </c>
      <c r="L10" s="21" t="str">
        <f>"134,3580"</f>
        <v>134,3580</v>
      </c>
      <c r="M10" s="15" t="s">
        <v>703</v>
      </c>
    </row>
    <row r="11" spans="1:13">
      <c r="B11" s="5" t="s">
        <v>30</v>
      </c>
    </row>
  </sheetData>
  <mergeCells count="13">
    <mergeCell ref="A1:M2"/>
    <mergeCell ref="A3:A4"/>
    <mergeCell ref="C3:C4"/>
    <mergeCell ref="D3:D4"/>
    <mergeCell ref="E3:E4"/>
    <mergeCell ref="F3:F4"/>
    <mergeCell ref="G3:J3"/>
    <mergeCell ref="A9:J9"/>
    <mergeCell ref="B3:B4"/>
    <mergeCell ref="K3:K4"/>
    <mergeCell ref="L3:L4"/>
    <mergeCell ref="M3:M4"/>
    <mergeCell ref="A5:J5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E91455-75AD-48E8-AA14-0EC89CF818E6}">
  <dimension ref="A1:M7"/>
  <sheetViews>
    <sheetView workbookViewId="0">
      <selection sqref="A1:M2"/>
    </sheetView>
  </sheetViews>
  <sheetFormatPr baseColWidth="10" defaultColWidth="9.1640625" defaultRowHeight="13"/>
  <cols>
    <col min="1" max="1" width="7.1640625" style="5" bestFit="1" customWidth="1"/>
    <col min="2" max="2" width="16" style="5" bestFit="1" customWidth="1"/>
    <col min="3" max="3" width="28.6640625" style="5" bestFit="1" customWidth="1"/>
    <col min="4" max="4" width="20.83203125" style="5" bestFit="1" customWidth="1"/>
    <col min="5" max="5" width="10.1640625" style="5" bestFit="1" customWidth="1"/>
    <col min="6" max="6" width="28.5" style="5" bestFit="1" customWidth="1"/>
    <col min="7" max="8" width="5.5" style="6" customWidth="1"/>
    <col min="9" max="9" width="4.6640625" style="6" customWidth="1"/>
    <col min="10" max="10" width="4.5" style="6" customWidth="1"/>
    <col min="11" max="11" width="10.5" style="6" bestFit="1" customWidth="1"/>
    <col min="12" max="12" width="8.5" style="6" bestFit="1" customWidth="1"/>
    <col min="13" max="13" width="14.6640625" style="5" bestFit="1" customWidth="1"/>
    <col min="14" max="16384" width="9.1640625" style="3"/>
  </cols>
  <sheetData>
    <row r="1" spans="1:13" s="2" customFormat="1" ht="29" customHeight="1">
      <c r="A1" s="53" t="s">
        <v>666</v>
      </c>
      <c r="B1" s="54"/>
      <c r="C1" s="55"/>
      <c r="D1" s="55"/>
      <c r="E1" s="55"/>
      <c r="F1" s="55"/>
      <c r="G1" s="55"/>
      <c r="H1" s="55"/>
      <c r="I1" s="55"/>
      <c r="J1" s="55"/>
      <c r="K1" s="55"/>
      <c r="L1" s="55"/>
      <c r="M1" s="56"/>
    </row>
    <row r="2" spans="1:13" s="2" customFormat="1" ht="62" customHeight="1" thickBot="1">
      <c r="A2" s="57"/>
      <c r="B2" s="58"/>
      <c r="C2" s="59"/>
      <c r="D2" s="59"/>
      <c r="E2" s="59"/>
      <c r="F2" s="59"/>
      <c r="G2" s="59"/>
      <c r="H2" s="59"/>
      <c r="I2" s="59"/>
      <c r="J2" s="59"/>
      <c r="K2" s="59"/>
      <c r="L2" s="59"/>
      <c r="M2" s="60"/>
    </row>
    <row r="3" spans="1:13" s="1" customFormat="1" ht="12.75" customHeight="1">
      <c r="A3" s="61" t="s">
        <v>730</v>
      </c>
      <c r="B3" s="43" t="s">
        <v>0</v>
      </c>
      <c r="C3" s="63" t="s">
        <v>731</v>
      </c>
      <c r="D3" s="63" t="s">
        <v>6</v>
      </c>
      <c r="E3" s="47" t="s">
        <v>732</v>
      </c>
      <c r="F3" s="47" t="s">
        <v>5</v>
      </c>
      <c r="G3" s="47" t="s">
        <v>8</v>
      </c>
      <c r="H3" s="47"/>
      <c r="I3" s="47"/>
      <c r="J3" s="47"/>
      <c r="K3" s="47" t="s">
        <v>401</v>
      </c>
      <c r="L3" s="47" t="s">
        <v>3</v>
      </c>
      <c r="M3" s="49" t="s">
        <v>2</v>
      </c>
    </row>
    <row r="4" spans="1:13" s="1" customFormat="1" ht="21" customHeight="1" thickBot="1">
      <c r="A4" s="62"/>
      <c r="B4" s="44"/>
      <c r="C4" s="48"/>
      <c r="D4" s="48"/>
      <c r="E4" s="48"/>
      <c r="F4" s="48"/>
      <c r="G4" s="4">
        <v>1</v>
      </c>
      <c r="H4" s="4">
        <v>2</v>
      </c>
      <c r="I4" s="4">
        <v>3</v>
      </c>
      <c r="J4" s="4" t="s">
        <v>4</v>
      </c>
      <c r="K4" s="48"/>
      <c r="L4" s="48"/>
      <c r="M4" s="50"/>
    </row>
    <row r="5" spans="1:13" ht="16">
      <c r="A5" s="41" t="s">
        <v>10</v>
      </c>
      <c r="B5" s="41"/>
      <c r="C5" s="42"/>
      <c r="D5" s="42"/>
      <c r="E5" s="42"/>
      <c r="F5" s="42"/>
      <c r="G5" s="42"/>
      <c r="H5" s="42"/>
      <c r="I5" s="42"/>
      <c r="J5" s="42"/>
    </row>
    <row r="6" spans="1:13">
      <c r="A6" s="21" t="s">
        <v>29</v>
      </c>
      <c r="B6" s="15" t="s">
        <v>11</v>
      </c>
      <c r="C6" s="15" t="s">
        <v>626</v>
      </c>
      <c r="D6" s="15" t="s">
        <v>13</v>
      </c>
      <c r="E6" s="15" t="s">
        <v>734</v>
      </c>
      <c r="F6" s="15" t="s">
        <v>680</v>
      </c>
      <c r="G6" s="22" t="s">
        <v>17</v>
      </c>
      <c r="H6" s="22" t="s">
        <v>18</v>
      </c>
      <c r="I6" s="21"/>
      <c r="J6" s="21"/>
      <c r="K6" s="21" t="str">
        <f>"177,5"</f>
        <v>177,5</v>
      </c>
      <c r="L6" s="21" t="str">
        <f>"125,4035"</f>
        <v>125,4035</v>
      </c>
      <c r="M6" s="15" t="s">
        <v>703</v>
      </c>
    </row>
    <row r="7" spans="1:13">
      <c r="B7" s="5" t="s">
        <v>30</v>
      </c>
    </row>
  </sheetData>
  <mergeCells count="12">
    <mergeCell ref="A1:M2"/>
    <mergeCell ref="A3:A4"/>
    <mergeCell ref="C3:C4"/>
    <mergeCell ref="D3:D4"/>
    <mergeCell ref="E3:E4"/>
    <mergeCell ref="F3:F4"/>
    <mergeCell ref="G3:J3"/>
    <mergeCell ref="A5:J5"/>
    <mergeCell ref="B3:B4"/>
    <mergeCell ref="K3:K4"/>
    <mergeCell ref="L3:L4"/>
    <mergeCell ref="M3:M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81AE62-B39B-402F-82F9-8032D135EE41}">
  <dimension ref="A1:U50"/>
  <sheetViews>
    <sheetView topLeftCell="A11" workbookViewId="0">
      <selection activeCell="E41" sqref="E41"/>
    </sheetView>
  </sheetViews>
  <sheetFormatPr baseColWidth="10" defaultColWidth="9.1640625" defaultRowHeight="13"/>
  <cols>
    <col min="1" max="1" width="7.1640625" style="5" bestFit="1" customWidth="1"/>
    <col min="2" max="2" width="21.83203125" style="5" bestFit="1" customWidth="1"/>
    <col min="3" max="3" width="28.6640625" style="5" bestFit="1" customWidth="1"/>
    <col min="4" max="4" width="20.83203125" style="5" bestFit="1" customWidth="1"/>
    <col min="5" max="5" width="10.1640625" style="5" bestFit="1" customWidth="1"/>
    <col min="6" max="6" width="28.5" style="5" bestFit="1" customWidth="1"/>
    <col min="7" max="9" width="5.5" style="6" customWidth="1"/>
    <col min="10" max="10" width="4.5" style="6" customWidth="1"/>
    <col min="11" max="13" width="5.5" style="6" customWidth="1"/>
    <col min="14" max="14" width="4.5" style="6" customWidth="1"/>
    <col min="15" max="17" width="5.5" style="6" customWidth="1"/>
    <col min="18" max="18" width="4.5" style="6" customWidth="1"/>
    <col min="19" max="19" width="7.6640625" style="36" bestFit="1" customWidth="1"/>
    <col min="20" max="20" width="8.5" style="6" bestFit="1" customWidth="1"/>
    <col min="21" max="21" width="18.6640625" style="5" bestFit="1" customWidth="1"/>
    <col min="22" max="16384" width="9.1640625" style="3"/>
  </cols>
  <sheetData>
    <row r="1" spans="1:21" s="2" customFormat="1" ht="29" customHeight="1">
      <c r="A1" s="53" t="s">
        <v>675</v>
      </c>
      <c r="B1" s="54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6"/>
    </row>
    <row r="2" spans="1:21" s="2" customFormat="1" ht="62" customHeight="1" thickBot="1">
      <c r="A2" s="57"/>
      <c r="B2" s="58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60"/>
    </row>
    <row r="3" spans="1:21" s="1" customFormat="1" ht="12.75" customHeight="1">
      <c r="A3" s="61" t="s">
        <v>730</v>
      </c>
      <c r="B3" s="43" t="s">
        <v>0</v>
      </c>
      <c r="C3" s="63" t="s">
        <v>731</v>
      </c>
      <c r="D3" s="63" t="s">
        <v>6</v>
      </c>
      <c r="E3" s="47" t="s">
        <v>732</v>
      </c>
      <c r="F3" s="47" t="s">
        <v>5</v>
      </c>
      <c r="G3" s="47" t="s">
        <v>7</v>
      </c>
      <c r="H3" s="47"/>
      <c r="I3" s="47"/>
      <c r="J3" s="47"/>
      <c r="K3" s="47" t="s">
        <v>8</v>
      </c>
      <c r="L3" s="47"/>
      <c r="M3" s="47"/>
      <c r="N3" s="47"/>
      <c r="O3" s="47" t="s">
        <v>9</v>
      </c>
      <c r="P3" s="47"/>
      <c r="Q3" s="47"/>
      <c r="R3" s="47"/>
      <c r="S3" s="45" t="s">
        <v>1</v>
      </c>
      <c r="T3" s="47" t="s">
        <v>3</v>
      </c>
      <c r="U3" s="49" t="s">
        <v>2</v>
      </c>
    </row>
    <row r="4" spans="1:21" s="1" customFormat="1" ht="21" customHeight="1" thickBot="1">
      <c r="A4" s="62"/>
      <c r="B4" s="44"/>
      <c r="C4" s="48"/>
      <c r="D4" s="48"/>
      <c r="E4" s="48"/>
      <c r="F4" s="48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">
        <v>1</v>
      </c>
      <c r="P4" s="4">
        <v>2</v>
      </c>
      <c r="Q4" s="4">
        <v>3</v>
      </c>
      <c r="R4" s="4" t="s">
        <v>4</v>
      </c>
      <c r="S4" s="46"/>
      <c r="T4" s="48"/>
      <c r="U4" s="50"/>
    </row>
    <row r="5" spans="1:21" ht="16">
      <c r="A5" s="51" t="s">
        <v>83</v>
      </c>
      <c r="B5" s="51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</row>
    <row r="6" spans="1:21">
      <c r="A6" s="21" t="s">
        <v>29</v>
      </c>
      <c r="B6" s="15" t="s">
        <v>84</v>
      </c>
      <c r="C6" s="15" t="s">
        <v>85</v>
      </c>
      <c r="D6" s="15" t="s">
        <v>86</v>
      </c>
      <c r="E6" s="15" t="s">
        <v>733</v>
      </c>
      <c r="F6" s="15" t="s">
        <v>680</v>
      </c>
      <c r="G6" s="22" t="s">
        <v>87</v>
      </c>
      <c r="H6" s="22" t="s">
        <v>88</v>
      </c>
      <c r="I6" s="23" t="s">
        <v>80</v>
      </c>
      <c r="J6" s="21"/>
      <c r="K6" s="22" t="s">
        <v>89</v>
      </c>
      <c r="L6" s="22" t="s">
        <v>90</v>
      </c>
      <c r="M6" s="23" t="s">
        <v>91</v>
      </c>
      <c r="N6" s="21"/>
      <c r="O6" s="22" t="s">
        <v>87</v>
      </c>
      <c r="P6" s="22" t="s">
        <v>88</v>
      </c>
      <c r="Q6" s="22" t="s">
        <v>80</v>
      </c>
      <c r="R6" s="21"/>
      <c r="S6" s="39" t="str">
        <f>"252,5"</f>
        <v>252,5</v>
      </c>
      <c r="T6" s="21" t="str">
        <f>"322,4173"</f>
        <v>322,4173</v>
      </c>
      <c r="U6" s="15" t="s">
        <v>683</v>
      </c>
    </row>
    <row r="7" spans="1:21">
      <c r="B7" s="5" t="s">
        <v>30</v>
      </c>
    </row>
    <row r="8" spans="1:21" ht="16">
      <c r="A8" s="41" t="s">
        <v>31</v>
      </c>
      <c r="B8" s="41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</row>
    <row r="9" spans="1:21">
      <c r="A9" s="21" t="s">
        <v>29</v>
      </c>
      <c r="B9" s="15" t="s">
        <v>92</v>
      </c>
      <c r="C9" s="15" t="s">
        <v>93</v>
      </c>
      <c r="D9" s="15" t="s">
        <v>94</v>
      </c>
      <c r="E9" s="15" t="s">
        <v>733</v>
      </c>
      <c r="F9" s="15" t="s">
        <v>680</v>
      </c>
      <c r="G9" s="22" t="s">
        <v>87</v>
      </c>
      <c r="H9" s="22" t="s">
        <v>88</v>
      </c>
      <c r="I9" s="22" t="s">
        <v>95</v>
      </c>
      <c r="J9" s="21"/>
      <c r="K9" s="22" t="s">
        <v>91</v>
      </c>
      <c r="L9" s="22" t="s">
        <v>96</v>
      </c>
      <c r="M9" s="23" t="s">
        <v>97</v>
      </c>
      <c r="N9" s="21"/>
      <c r="O9" s="22" t="s">
        <v>87</v>
      </c>
      <c r="P9" s="22" t="s">
        <v>78</v>
      </c>
      <c r="Q9" s="23" t="s">
        <v>98</v>
      </c>
      <c r="R9" s="21"/>
      <c r="S9" s="39" t="str">
        <f>"260,0"</f>
        <v>260,0</v>
      </c>
      <c r="T9" s="21" t="str">
        <f>"290,2380"</f>
        <v>290,2380</v>
      </c>
      <c r="U9" s="15" t="s">
        <v>683</v>
      </c>
    </row>
    <row r="10" spans="1:21">
      <c r="B10" s="5" t="s">
        <v>30</v>
      </c>
    </row>
    <row r="11" spans="1:21" ht="16">
      <c r="A11" s="41" t="s">
        <v>72</v>
      </c>
      <c r="B11" s="41"/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</row>
    <row r="12" spans="1:21">
      <c r="A12" s="8" t="s">
        <v>29</v>
      </c>
      <c r="B12" s="7" t="s">
        <v>99</v>
      </c>
      <c r="C12" s="7" t="s">
        <v>100</v>
      </c>
      <c r="D12" s="7" t="s">
        <v>101</v>
      </c>
      <c r="E12" s="7" t="s">
        <v>733</v>
      </c>
      <c r="F12" s="7" t="s">
        <v>52</v>
      </c>
      <c r="G12" s="17" t="s">
        <v>55</v>
      </c>
      <c r="H12" s="17" t="s">
        <v>65</v>
      </c>
      <c r="I12" s="17" t="s">
        <v>102</v>
      </c>
      <c r="J12" s="8"/>
      <c r="K12" s="18" t="s">
        <v>78</v>
      </c>
      <c r="L12" s="17" t="s">
        <v>78</v>
      </c>
      <c r="M12" s="17" t="s">
        <v>95</v>
      </c>
      <c r="N12" s="8"/>
      <c r="O12" s="17" t="s">
        <v>103</v>
      </c>
      <c r="P12" s="17" t="s">
        <v>104</v>
      </c>
      <c r="Q12" s="18" t="s">
        <v>105</v>
      </c>
      <c r="R12" s="8"/>
      <c r="S12" s="37" t="str">
        <f>"485,0"</f>
        <v>485,0</v>
      </c>
      <c r="T12" s="8" t="str">
        <f>"505,3700"</f>
        <v>505,3700</v>
      </c>
      <c r="U12" s="7" t="s">
        <v>694</v>
      </c>
    </row>
    <row r="13" spans="1:21">
      <c r="A13" s="10" t="s">
        <v>203</v>
      </c>
      <c r="B13" s="9" t="s">
        <v>106</v>
      </c>
      <c r="C13" s="9" t="s">
        <v>107</v>
      </c>
      <c r="D13" s="9" t="s">
        <v>108</v>
      </c>
      <c r="E13" s="9" t="s">
        <v>733</v>
      </c>
      <c r="F13" s="9" t="s">
        <v>680</v>
      </c>
      <c r="G13" s="19" t="s">
        <v>109</v>
      </c>
      <c r="H13" s="19" t="s">
        <v>110</v>
      </c>
      <c r="I13" s="20" t="s">
        <v>87</v>
      </c>
      <c r="J13" s="10"/>
      <c r="K13" s="19" t="s">
        <v>91</v>
      </c>
      <c r="L13" s="20" t="s">
        <v>97</v>
      </c>
      <c r="M13" s="20" t="s">
        <v>97</v>
      </c>
      <c r="N13" s="10"/>
      <c r="O13" s="19" t="s">
        <v>78</v>
      </c>
      <c r="P13" s="19" t="s">
        <v>98</v>
      </c>
      <c r="Q13" s="20" t="s">
        <v>111</v>
      </c>
      <c r="R13" s="10"/>
      <c r="S13" s="38" t="str">
        <f>"242,5"</f>
        <v>242,5</v>
      </c>
      <c r="T13" s="10" t="str">
        <f>"256,1770"</f>
        <v>256,1770</v>
      </c>
      <c r="U13" s="9" t="s">
        <v>683</v>
      </c>
    </row>
    <row r="14" spans="1:21">
      <c r="B14" s="5" t="s">
        <v>30</v>
      </c>
    </row>
    <row r="15" spans="1:21" ht="16">
      <c r="A15" s="41" t="s">
        <v>112</v>
      </c>
      <c r="B15" s="41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</row>
    <row r="16" spans="1:21">
      <c r="A16" s="8" t="s">
        <v>29</v>
      </c>
      <c r="B16" s="7" t="s">
        <v>113</v>
      </c>
      <c r="C16" s="7" t="s">
        <v>114</v>
      </c>
      <c r="D16" s="7" t="s">
        <v>115</v>
      </c>
      <c r="E16" s="7" t="s">
        <v>733</v>
      </c>
      <c r="F16" s="7" t="s">
        <v>680</v>
      </c>
      <c r="G16" s="17" t="s">
        <v>95</v>
      </c>
      <c r="H16" s="17" t="s">
        <v>116</v>
      </c>
      <c r="I16" s="18" t="s">
        <v>117</v>
      </c>
      <c r="J16" s="8"/>
      <c r="K16" s="17" t="s">
        <v>118</v>
      </c>
      <c r="L16" s="18" t="s">
        <v>119</v>
      </c>
      <c r="M16" s="18" t="s">
        <v>119</v>
      </c>
      <c r="N16" s="8"/>
      <c r="O16" s="17" t="s">
        <v>120</v>
      </c>
      <c r="P16" s="17" t="s">
        <v>35</v>
      </c>
      <c r="Q16" s="17" t="s">
        <v>40</v>
      </c>
      <c r="R16" s="8"/>
      <c r="S16" s="37" t="str">
        <f>"330,0"</f>
        <v>330,0</v>
      </c>
      <c r="T16" s="8" t="str">
        <f>"315,8430"</f>
        <v>315,8430</v>
      </c>
      <c r="U16" s="7" t="s">
        <v>683</v>
      </c>
    </row>
    <row r="17" spans="1:21">
      <c r="A17" s="10" t="s">
        <v>203</v>
      </c>
      <c r="B17" s="9" t="s">
        <v>121</v>
      </c>
      <c r="C17" s="9" t="s">
        <v>122</v>
      </c>
      <c r="D17" s="9" t="s">
        <v>123</v>
      </c>
      <c r="E17" s="9" t="s">
        <v>733</v>
      </c>
      <c r="F17" s="9" t="s">
        <v>680</v>
      </c>
      <c r="G17" s="19" t="s">
        <v>80</v>
      </c>
      <c r="H17" s="19" t="s">
        <v>81</v>
      </c>
      <c r="I17" s="20" t="s">
        <v>124</v>
      </c>
      <c r="J17" s="10"/>
      <c r="K17" s="19" t="s">
        <v>118</v>
      </c>
      <c r="L17" s="19" t="s">
        <v>119</v>
      </c>
      <c r="M17" s="20" t="s">
        <v>125</v>
      </c>
      <c r="N17" s="10"/>
      <c r="O17" s="19" t="s">
        <v>120</v>
      </c>
      <c r="P17" s="20" t="s">
        <v>35</v>
      </c>
      <c r="Q17" s="20" t="s">
        <v>35</v>
      </c>
      <c r="R17" s="10"/>
      <c r="S17" s="38" t="str">
        <f>"312,5"</f>
        <v>312,5</v>
      </c>
      <c r="T17" s="10" t="str">
        <f>"297,0625"</f>
        <v>297,0625</v>
      </c>
      <c r="U17" s="9" t="s">
        <v>683</v>
      </c>
    </row>
    <row r="18" spans="1:21">
      <c r="B18" s="5" t="s">
        <v>30</v>
      </c>
    </row>
    <row r="19" spans="1:21" ht="16">
      <c r="A19" s="41" t="s">
        <v>126</v>
      </c>
      <c r="B19" s="41"/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</row>
    <row r="20" spans="1:21">
      <c r="A20" s="21" t="s">
        <v>29</v>
      </c>
      <c r="B20" s="15" t="s">
        <v>127</v>
      </c>
      <c r="C20" s="15" t="s">
        <v>648</v>
      </c>
      <c r="D20" s="15" t="s">
        <v>128</v>
      </c>
      <c r="E20" s="15" t="s">
        <v>734</v>
      </c>
      <c r="F20" s="15" t="s">
        <v>52</v>
      </c>
      <c r="G20" s="22" t="s">
        <v>129</v>
      </c>
      <c r="H20" s="23" t="s">
        <v>77</v>
      </c>
      <c r="I20" s="23" t="s">
        <v>88</v>
      </c>
      <c r="J20" s="21"/>
      <c r="K20" s="23" t="s">
        <v>130</v>
      </c>
      <c r="L20" s="22" t="s">
        <v>130</v>
      </c>
      <c r="M20" s="22" t="s">
        <v>131</v>
      </c>
      <c r="N20" s="21"/>
      <c r="O20" s="22" t="s">
        <v>95</v>
      </c>
      <c r="P20" s="22" t="s">
        <v>132</v>
      </c>
      <c r="Q20" s="23" t="s">
        <v>117</v>
      </c>
      <c r="R20" s="21"/>
      <c r="S20" s="39" t="str">
        <f>"265,0"</f>
        <v>265,0</v>
      </c>
      <c r="T20" s="21" t="str">
        <f>"255,2819"</f>
        <v>255,2819</v>
      </c>
      <c r="U20" s="15" t="s">
        <v>695</v>
      </c>
    </row>
    <row r="21" spans="1:21">
      <c r="B21" s="5" t="s">
        <v>30</v>
      </c>
    </row>
    <row r="22" spans="1:21" ht="16">
      <c r="A22" s="41" t="s">
        <v>126</v>
      </c>
      <c r="B22" s="41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42"/>
      <c r="P22" s="42"/>
      <c r="Q22" s="42"/>
      <c r="R22" s="42"/>
    </row>
    <row r="23" spans="1:21">
      <c r="A23" s="8" t="s">
        <v>29</v>
      </c>
      <c r="B23" s="7" t="s">
        <v>133</v>
      </c>
      <c r="C23" s="7" t="s">
        <v>134</v>
      </c>
      <c r="D23" s="7" t="s">
        <v>135</v>
      </c>
      <c r="E23" s="7" t="s">
        <v>733</v>
      </c>
      <c r="F23" s="7" t="s">
        <v>136</v>
      </c>
      <c r="G23" s="18" t="s">
        <v>137</v>
      </c>
      <c r="H23" s="17" t="s">
        <v>137</v>
      </c>
      <c r="I23" s="17" t="s">
        <v>57</v>
      </c>
      <c r="J23" s="8"/>
      <c r="K23" s="17" t="s">
        <v>138</v>
      </c>
      <c r="L23" s="17" t="s">
        <v>55</v>
      </c>
      <c r="M23" s="17" t="s">
        <v>56</v>
      </c>
      <c r="N23" s="8"/>
      <c r="O23" s="17" t="s">
        <v>53</v>
      </c>
      <c r="P23" s="17" t="s">
        <v>54</v>
      </c>
      <c r="Q23" s="18" t="s">
        <v>62</v>
      </c>
      <c r="R23" s="8"/>
      <c r="S23" s="37" t="str">
        <f>"712,5"</f>
        <v>712,5</v>
      </c>
      <c r="T23" s="8" t="str">
        <f>"480,1538"</f>
        <v>480,1538</v>
      </c>
      <c r="U23" s="7" t="s">
        <v>686</v>
      </c>
    </row>
    <row r="24" spans="1:21">
      <c r="A24" s="10" t="s">
        <v>203</v>
      </c>
      <c r="B24" s="9" t="s">
        <v>139</v>
      </c>
      <c r="C24" s="9" t="s">
        <v>140</v>
      </c>
      <c r="D24" s="9" t="s">
        <v>141</v>
      </c>
      <c r="E24" s="9" t="s">
        <v>733</v>
      </c>
      <c r="F24" s="9" t="s">
        <v>52</v>
      </c>
      <c r="G24" s="19" t="s">
        <v>137</v>
      </c>
      <c r="H24" s="20" t="s">
        <v>15</v>
      </c>
      <c r="I24" s="10"/>
      <c r="J24" s="10"/>
      <c r="K24" s="20" t="s">
        <v>120</v>
      </c>
      <c r="L24" s="19" t="s">
        <v>142</v>
      </c>
      <c r="M24" s="20" t="s">
        <v>143</v>
      </c>
      <c r="N24" s="10"/>
      <c r="O24" s="19" t="s">
        <v>144</v>
      </c>
      <c r="P24" s="20" t="s">
        <v>66</v>
      </c>
      <c r="Q24" s="20" t="s">
        <v>66</v>
      </c>
      <c r="R24" s="10"/>
      <c r="S24" s="38" t="str">
        <f>"665,0"</f>
        <v>665,0</v>
      </c>
      <c r="T24" s="10" t="str">
        <f>"449,4735"</f>
        <v>449,4735</v>
      </c>
      <c r="U24" s="9"/>
    </row>
    <row r="25" spans="1:21">
      <c r="B25" s="5" t="s">
        <v>30</v>
      </c>
    </row>
    <row r="26" spans="1:21" ht="16">
      <c r="A26" s="41" t="s">
        <v>42</v>
      </c>
      <c r="B26" s="41"/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</row>
    <row r="27" spans="1:21">
      <c r="A27" s="8" t="s">
        <v>29</v>
      </c>
      <c r="B27" s="7" t="s">
        <v>145</v>
      </c>
      <c r="C27" s="7" t="s">
        <v>146</v>
      </c>
      <c r="D27" s="7" t="s">
        <v>147</v>
      </c>
      <c r="E27" s="7" t="s">
        <v>733</v>
      </c>
      <c r="F27" s="7" t="s">
        <v>76</v>
      </c>
      <c r="G27" s="17" t="s">
        <v>148</v>
      </c>
      <c r="H27" s="17" t="s">
        <v>149</v>
      </c>
      <c r="I27" s="17" t="s">
        <v>137</v>
      </c>
      <c r="J27" s="8"/>
      <c r="K27" s="17" t="s">
        <v>104</v>
      </c>
      <c r="L27" s="17" t="s">
        <v>150</v>
      </c>
      <c r="M27" s="18" t="s">
        <v>48</v>
      </c>
      <c r="N27" s="8"/>
      <c r="O27" s="17" t="s">
        <v>137</v>
      </c>
      <c r="P27" s="17" t="s">
        <v>15</v>
      </c>
      <c r="Q27" s="18" t="s">
        <v>57</v>
      </c>
      <c r="R27" s="8"/>
      <c r="S27" s="37" t="str">
        <f>"692,5"</f>
        <v>692,5</v>
      </c>
      <c r="T27" s="8" t="str">
        <f>"448,9477"</f>
        <v>448,9477</v>
      </c>
      <c r="U27" s="7"/>
    </row>
    <row r="28" spans="1:21">
      <c r="A28" s="25" t="s">
        <v>203</v>
      </c>
      <c r="B28" s="24" t="s">
        <v>151</v>
      </c>
      <c r="C28" s="24" t="s">
        <v>152</v>
      </c>
      <c r="D28" s="24" t="s">
        <v>153</v>
      </c>
      <c r="E28" s="24" t="s">
        <v>733</v>
      </c>
      <c r="F28" s="24" t="s">
        <v>52</v>
      </c>
      <c r="G28" s="26" t="s">
        <v>47</v>
      </c>
      <c r="H28" s="26" t="s">
        <v>19</v>
      </c>
      <c r="I28" s="26" t="s">
        <v>149</v>
      </c>
      <c r="J28" s="25"/>
      <c r="K28" s="26" t="s">
        <v>120</v>
      </c>
      <c r="L28" s="26" t="s">
        <v>143</v>
      </c>
      <c r="M28" s="26" t="s">
        <v>154</v>
      </c>
      <c r="N28" s="25"/>
      <c r="O28" s="26" t="s">
        <v>155</v>
      </c>
      <c r="P28" s="26" t="s">
        <v>156</v>
      </c>
      <c r="Q28" s="27" t="s">
        <v>53</v>
      </c>
      <c r="R28" s="25"/>
      <c r="S28" s="40" t="str">
        <f>"637,5"</f>
        <v>637,5</v>
      </c>
      <c r="T28" s="25" t="str">
        <f>"423,1087"</f>
        <v>423,1087</v>
      </c>
      <c r="U28" s="24"/>
    </row>
    <row r="29" spans="1:21">
      <c r="A29" s="10" t="s">
        <v>71</v>
      </c>
      <c r="B29" s="9" t="s">
        <v>157</v>
      </c>
      <c r="C29" s="9" t="s">
        <v>158</v>
      </c>
      <c r="D29" s="9" t="s">
        <v>159</v>
      </c>
      <c r="E29" s="9" t="s">
        <v>733</v>
      </c>
      <c r="F29" s="9" t="s">
        <v>52</v>
      </c>
      <c r="G29" s="19" t="s">
        <v>47</v>
      </c>
      <c r="H29" s="20" t="s">
        <v>19</v>
      </c>
      <c r="I29" s="20" t="s">
        <v>19</v>
      </c>
      <c r="J29" s="10"/>
      <c r="K29" s="20" t="s">
        <v>17</v>
      </c>
      <c r="L29" s="10"/>
      <c r="M29" s="10"/>
      <c r="N29" s="10"/>
      <c r="O29" s="10"/>
      <c r="P29" s="10"/>
      <c r="Q29" s="10"/>
      <c r="R29" s="10"/>
      <c r="S29" s="38">
        <v>0</v>
      </c>
      <c r="T29" s="10" t="str">
        <f>"0,0000"</f>
        <v>0,0000</v>
      </c>
      <c r="U29" s="9" t="s">
        <v>696</v>
      </c>
    </row>
    <row r="30" spans="1:21">
      <c r="B30" s="5" t="s">
        <v>30</v>
      </c>
    </row>
    <row r="31" spans="1:21" ht="16">
      <c r="A31" s="41" t="s">
        <v>10</v>
      </c>
      <c r="B31" s="41"/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</row>
    <row r="32" spans="1:21">
      <c r="A32" s="8" t="s">
        <v>29</v>
      </c>
      <c r="B32" s="7" t="s">
        <v>160</v>
      </c>
      <c r="C32" s="7" t="s">
        <v>161</v>
      </c>
      <c r="D32" s="7" t="s">
        <v>162</v>
      </c>
      <c r="E32" s="7" t="s">
        <v>733</v>
      </c>
      <c r="F32" s="7" t="s">
        <v>681</v>
      </c>
      <c r="G32" s="17" t="s">
        <v>14</v>
      </c>
      <c r="H32" s="18" t="s">
        <v>15</v>
      </c>
      <c r="I32" s="18" t="s">
        <v>15</v>
      </c>
      <c r="J32" s="8"/>
      <c r="K32" s="17" t="s">
        <v>143</v>
      </c>
      <c r="L32" s="17" t="s">
        <v>138</v>
      </c>
      <c r="M32" s="18" t="s">
        <v>40</v>
      </c>
      <c r="N32" s="8"/>
      <c r="O32" s="18" t="s">
        <v>163</v>
      </c>
      <c r="P32" s="17" t="s">
        <v>163</v>
      </c>
      <c r="Q32" s="18" t="s">
        <v>66</v>
      </c>
      <c r="R32" s="8"/>
      <c r="S32" s="37" t="str">
        <f>"660,0"</f>
        <v>660,0</v>
      </c>
      <c r="T32" s="8" t="str">
        <f>"402,6660"</f>
        <v>402,6660</v>
      </c>
      <c r="U32" s="7" t="s">
        <v>697</v>
      </c>
    </row>
    <row r="33" spans="1:21">
      <c r="A33" s="25" t="s">
        <v>203</v>
      </c>
      <c r="B33" s="24" t="s">
        <v>164</v>
      </c>
      <c r="C33" s="24" t="s">
        <v>165</v>
      </c>
      <c r="D33" s="24" t="s">
        <v>166</v>
      </c>
      <c r="E33" s="24" t="s">
        <v>733</v>
      </c>
      <c r="F33" s="24" t="s">
        <v>167</v>
      </c>
      <c r="G33" s="26" t="s">
        <v>148</v>
      </c>
      <c r="H33" s="26" t="s">
        <v>168</v>
      </c>
      <c r="I33" s="27" t="s">
        <v>169</v>
      </c>
      <c r="J33" s="25"/>
      <c r="K33" s="26" t="s">
        <v>170</v>
      </c>
      <c r="L33" s="26" t="s">
        <v>36</v>
      </c>
      <c r="M33" s="26" t="s">
        <v>171</v>
      </c>
      <c r="N33" s="25"/>
      <c r="O33" s="26" t="s">
        <v>149</v>
      </c>
      <c r="P33" s="26" t="s">
        <v>137</v>
      </c>
      <c r="Q33" s="26" t="s">
        <v>57</v>
      </c>
      <c r="R33" s="25"/>
      <c r="S33" s="40" t="str">
        <f>"640,0"</f>
        <v>640,0</v>
      </c>
      <c r="T33" s="25" t="str">
        <f>"389,5040"</f>
        <v>389,5040</v>
      </c>
      <c r="U33" s="24"/>
    </row>
    <row r="34" spans="1:21">
      <c r="A34" s="25" t="s">
        <v>204</v>
      </c>
      <c r="B34" s="24" t="s">
        <v>172</v>
      </c>
      <c r="C34" s="24" t="s">
        <v>173</v>
      </c>
      <c r="D34" s="24" t="s">
        <v>174</v>
      </c>
      <c r="E34" s="24" t="s">
        <v>733</v>
      </c>
      <c r="F34" s="24" t="s">
        <v>52</v>
      </c>
      <c r="G34" s="26" t="s">
        <v>46</v>
      </c>
      <c r="H34" s="26" t="s">
        <v>48</v>
      </c>
      <c r="I34" s="26" t="s">
        <v>175</v>
      </c>
      <c r="J34" s="25"/>
      <c r="K34" s="26" t="s">
        <v>35</v>
      </c>
      <c r="L34" s="26" t="s">
        <v>40</v>
      </c>
      <c r="M34" s="26" t="s">
        <v>55</v>
      </c>
      <c r="N34" s="25"/>
      <c r="O34" s="26" t="s">
        <v>47</v>
      </c>
      <c r="P34" s="26" t="s">
        <v>19</v>
      </c>
      <c r="Q34" s="26" t="s">
        <v>149</v>
      </c>
      <c r="R34" s="25"/>
      <c r="S34" s="40" t="str">
        <f>"620,0"</f>
        <v>620,0</v>
      </c>
      <c r="T34" s="25" t="str">
        <f>"381,9820"</f>
        <v>381,9820</v>
      </c>
      <c r="U34" s="24"/>
    </row>
    <row r="35" spans="1:21">
      <c r="A35" s="25" t="s">
        <v>205</v>
      </c>
      <c r="B35" s="24" t="s">
        <v>176</v>
      </c>
      <c r="C35" s="24" t="s">
        <v>177</v>
      </c>
      <c r="D35" s="24" t="s">
        <v>178</v>
      </c>
      <c r="E35" s="24" t="s">
        <v>733</v>
      </c>
      <c r="F35" s="24" t="s">
        <v>52</v>
      </c>
      <c r="G35" s="26" t="s">
        <v>179</v>
      </c>
      <c r="H35" s="26" t="s">
        <v>65</v>
      </c>
      <c r="I35" s="27" t="s">
        <v>180</v>
      </c>
      <c r="J35" s="25"/>
      <c r="K35" s="26" t="s">
        <v>80</v>
      </c>
      <c r="L35" s="26" t="s">
        <v>132</v>
      </c>
      <c r="M35" s="26" t="s">
        <v>81</v>
      </c>
      <c r="N35" s="25"/>
      <c r="O35" s="26" t="s">
        <v>181</v>
      </c>
      <c r="P35" s="26" t="s">
        <v>48</v>
      </c>
      <c r="Q35" s="26" t="s">
        <v>19</v>
      </c>
      <c r="R35" s="25"/>
      <c r="S35" s="40" t="str">
        <f>"510,0"</f>
        <v>510,0</v>
      </c>
      <c r="T35" s="25" t="str">
        <f>"311,5080"</f>
        <v>311,5080</v>
      </c>
      <c r="U35" s="24" t="s">
        <v>182</v>
      </c>
    </row>
    <row r="36" spans="1:21">
      <c r="A36" s="10" t="s">
        <v>29</v>
      </c>
      <c r="B36" s="9" t="s">
        <v>160</v>
      </c>
      <c r="C36" s="9" t="s">
        <v>625</v>
      </c>
      <c r="D36" s="9" t="s">
        <v>162</v>
      </c>
      <c r="E36" s="9" t="s">
        <v>736</v>
      </c>
      <c r="F36" s="9" t="s">
        <v>681</v>
      </c>
      <c r="G36" s="19" t="s">
        <v>14</v>
      </c>
      <c r="H36" s="20" t="s">
        <v>15</v>
      </c>
      <c r="I36" s="20" t="s">
        <v>15</v>
      </c>
      <c r="J36" s="10"/>
      <c r="K36" s="19" t="s">
        <v>143</v>
      </c>
      <c r="L36" s="19" t="s">
        <v>138</v>
      </c>
      <c r="M36" s="20" t="s">
        <v>40</v>
      </c>
      <c r="N36" s="10"/>
      <c r="O36" s="20" t="s">
        <v>163</v>
      </c>
      <c r="P36" s="19" t="s">
        <v>163</v>
      </c>
      <c r="Q36" s="20" t="s">
        <v>66</v>
      </c>
      <c r="R36" s="10"/>
      <c r="S36" s="38" t="str">
        <f>"660,0"</f>
        <v>660,0</v>
      </c>
      <c r="T36" s="10" t="str">
        <f>"413,9406"</f>
        <v>413,9406</v>
      </c>
      <c r="U36" s="9" t="s">
        <v>697</v>
      </c>
    </row>
    <row r="37" spans="1:21">
      <c r="B37" s="5" t="s">
        <v>30</v>
      </c>
    </row>
    <row r="38" spans="1:21" ht="16">
      <c r="A38" s="41" t="s">
        <v>183</v>
      </c>
      <c r="B38" s="41"/>
      <c r="C38" s="42"/>
      <c r="D38" s="42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</row>
    <row r="39" spans="1:21">
      <c r="A39" s="8" t="s">
        <v>29</v>
      </c>
      <c r="B39" s="7" t="s">
        <v>184</v>
      </c>
      <c r="C39" s="7" t="s">
        <v>623</v>
      </c>
      <c r="D39" s="7" t="s">
        <v>185</v>
      </c>
      <c r="E39" s="7" t="s">
        <v>737</v>
      </c>
      <c r="F39" s="7" t="s">
        <v>52</v>
      </c>
      <c r="G39" s="17" t="s">
        <v>179</v>
      </c>
      <c r="H39" s="17" t="s">
        <v>17</v>
      </c>
      <c r="I39" s="18" t="s">
        <v>180</v>
      </c>
      <c r="J39" s="8"/>
      <c r="K39" s="17" t="s">
        <v>142</v>
      </c>
      <c r="L39" s="18" t="s">
        <v>170</v>
      </c>
      <c r="M39" s="18" t="s">
        <v>170</v>
      </c>
      <c r="N39" s="8"/>
      <c r="O39" s="17" t="s">
        <v>17</v>
      </c>
      <c r="P39" s="17" t="s">
        <v>103</v>
      </c>
      <c r="Q39" s="17" t="s">
        <v>47</v>
      </c>
      <c r="R39" s="8"/>
      <c r="S39" s="37" t="str">
        <f>"505,0"</f>
        <v>505,0</v>
      </c>
      <c r="T39" s="8" t="str">
        <f>"299,7175"</f>
        <v>299,7175</v>
      </c>
      <c r="U39" s="7"/>
    </row>
    <row r="40" spans="1:21">
      <c r="A40" s="10" t="s">
        <v>29</v>
      </c>
      <c r="B40" s="9" t="s">
        <v>186</v>
      </c>
      <c r="C40" s="9" t="s">
        <v>187</v>
      </c>
      <c r="D40" s="9" t="s">
        <v>188</v>
      </c>
      <c r="E40" s="9" t="s">
        <v>733</v>
      </c>
      <c r="F40" s="9" t="s">
        <v>52</v>
      </c>
      <c r="G40" s="19" t="s">
        <v>47</v>
      </c>
      <c r="H40" s="20" t="s">
        <v>137</v>
      </c>
      <c r="I40" s="20" t="s">
        <v>155</v>
      </c>
      <c r="J40" s="10"/>
      <c r="K40" s="19" t="s">
        <v>138</v>
      </c>
      <c r="L40" s="20" t="s">
        <v>179</v>
      </c>
      <c r="M40" s="19" t="s">
        <v>55</v>
      </c>
      <c r="N40" s="10"/>
      <c r="O40" s="19" t="s">
        <v>149</v>
      </c>
      <c r="P40" s="19" t="s">
        <v>15</v>
      </c>
      <c r="Q40" s="20" t="s">
        <v>53</v>
      </c>
      <c r="R40" s="10"/>
      <c r="S40" s="38" t="str">
        <f>"615,0"</f>
        <v>615,0</v>
      </c>
      <c r="T40" s="10" t="str">
        <f>"364,0185"</f>
        <v>364,0185</v>
      </c>
      <c r="U40" s="9" t="s">
        <v>695</v>
      </c>
    </row>
    <row r="41" spans="1:21">
      <c r="B41" s="5" t="s">
        <v>30</v>
      </c>
    </row>
    <row r="42" spans="1:21">
      <c r="B42" s="5" t="s">
        <v>30</v>
      </c>
    </row>
    <row r="43" spans="1:21">
      <c r="B43" s="5" t="s">
        <v>30</v>
      </c>
    </row>
    <row r="44" spans="1:21" ht="18">
      <c r="B44" s="11" t="s">
        <v>20</v>
      </c>
      <c r="C44" s="11"/>
      <c r="F44" s="3"/>
    </row>
    <row r="45" spans="1:21" ht="16">
      <c r="B45" s="12" t="s">
        <v>21</v>
      </c>
      <c r="C45" s="12"/>
    </row>
    <row r="46" spans="1:21" ht="14">
      <c r="B46" s="13"/>
      <c r="C46" s="14" t="s">
        <v>22</v>
      </c>
    </row>
    <row r="47" spans="1:21" ht="14">
      <c r="B47" s="16" t="s">
        <v>23</v>
      </c>
      <c r="C47" s="16" t="s">
        <v>24</v>
      </c>
      <c r="D47" s="16" t="s">
        <v>682</v>
      </c>
      <c r="E47" s="16" t="s">
        <v>26</v>
      </c>
      <c r="F47" s="16" t="s">
        <v>27</v>
      </c>
    </row>
    <row r="48" spans="1:21">
      <c r="B48" s="5" t="s">
        <v>133</v>
      </c>
      <c r="C48" s="5" t="s">
        <v>22</v>
      </c>
      <c r="D48" s="6" t="s">
        <v>194</v>
      </c>
      <c r="E48" s="6" t="s">
        <v>196</v>
      </c>
      <c r="F48" s="6" t="s">
        <v>197</v>
      </c>
    </row>
    <row r="49" spans="2:6">
      <c r="B49" s="5" t="s">
        <v>139</v>
      </c>
      <c r="C49" s="5" t="s">
        <v>22</v>
      </c>
      <c r="D49" s="6" t="s">
        <v>194</v>
      </c>
      <c r="E49" s="6" t="s">
        <v>198</v>
      </c>
      <c r="F49" s="6" t="s">
        <v>199</v>
      </c>
    </row>
    <row r="50" spans="2:6">
      <c r="B50" s="5" t="s">
        <v>145</v>
      </c>
      <c r="C50" s="5" t="s">
        <v>22</v>
      </c>
      <c r="D50" s="6" t="s">
        <v>200</v>
      </c>
      <c r="E50" s="6" t="s">
        <v>201</v>
      </c>
      <c r="F50" s="6" t="s">
        <v>202</v>
      </c>
    </row>
  </sheetData>
  <mergeCells count="22">
    <mergeCell ref="S3:S4"/>
    <mergeCell ref="T3:T4"/>
    <mergeCell ref="U3:U4"/>
    <mergeCell ref="A5:R5"/>
    <mergeCell ref="A1:U2"/>
    <mergeCell ref="A3:A4"/>
    <mergeCell ref="C3:C4"/>
    <mergeCell ref="D3:D4"/>
    <mergeCell ref="E3:E4"/>
    <mergeCell ref="F3:F4"/>
    <mergeCell ref="G3:J3"/>
    <mergeCell ref="K3:N3"/>
    <mergeCell ref="O3:R3"/>
    <mergeCell ref="A31:R31"/>
    <mergeCell ref="A38:R38"/>
    <mergeCell ref="B3:B4"/>
    <mergeCell ref="A8:R8"/>
    <mergeCell ref="A11:R11"/>
    <mergeCell ref="A15:R15"/>
    <mergeCell ref="A19:R19"/>
    <mergeCell ref="A22:R22"/>
    <mergeCell ref="A26:R26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42BF08-220A-468E-9325-F0AB7F189838}">
  <dimension ref="A1:M7"/>
  <sheetViews>
    <sheetView workbookViewId="0">
      <selection sqref="A1:M2"/>
    </sheetView>
  </sheetViews>
  <sheetFormatPr baseColWidth="10" defaultColWidth="9.1640625" defaultRowHeight="13"/>
  <cols>
    <col min="1" max="1" width="7.1640625" style="5" bestFit="1" customWidth="1"/>
    <col min="2" max="2" width="20.1640625" style="5" customWidth="1"/>
    <col min="3" max="3" width="28.6640625" style="5" bestFit="1" customWidth="1"/>
    <col min="4" max="4" width="20.83203125" style="5" bestFit="1" customWidth="1"/>
    <col min="5" max="5" width="10.1640625" style="5" bestFit="1" customWidth="1"/>
    <col min="6" max="6" width="28.5" style="5" bestFit="1" customWidth="1"/>
    <col min="7" max="8" width="5.5" style="6" customWidth="1"/>
    <col min="9" max="9" width="4.6640625" style="6" customWidth="1"/>
    <col min="10" max="10" width="4.5" style="6" customWidth="1"/>
    <col min="11" max="11" width="10.5" style="6" bestFit="1" customWidth="1"/>
    <col min="12" max="12" width="8.5" style="6" bestFit="1" customWidth="1"/>
    <col min="13" max="13" width="14.6640625" style="5" bestFit="1" customWidth="1"/>
    <col min="14" max="16384" width="9.1640625" style="3"/>
  </cols>
  <sheetData>
    <row r="1" spans="1:13" s="2" customFormat="1" ht="29" customHeight="1">
      <c r="A1" s="53" t="s">
        <v>667</v>
      </c>
      <c r="B1" s="54"/>
      <c r="C1" s="55"/>
      <c r="D1" s="55"/>
      <c r="E1" s="55"/>
      <c r="F1" s="55"/>
      <c r="G1" s="55"/>
      <c r="H1" s="55"/>
      <c r="I1" s="55"/>
      <c r="J1" s="55"/>
      <c r="K1" s="55"/>
      <c r="L1" s="55"/>
      <c r="M1" s="56"/>
    </row>
    <row r="2" spans="1:13" s="2" customFormat="1" ht="62" customHeight="1" thickBot="1">
      <c r="A2" s="57"/>
      <c r="B2" s="58"/>
      <c r="C2" s="59"/>
      <c r="D2" s="59"/>
      <c r="E2" s="59"/>
      <c r="F2" s="59"/>
      <c r="G2" s="59"/>
      <c r="H2" s="59"/>
      <c r="I2" s="59"/>
      <c r="J2" s="59"/>
      <c r="K2" s="59"/>
      <c r="L2" s="59"/>
      <c r="M2" s="60"/>
    </row>
    <row r="3" spans="1:13" s="1" customFormat="1" ht="12.75" customHeight="1">
      <c r="A3" s="61" t="s">
        <v>730</v>
      </c>
      <c r="B3" s="43" t="s">
        <v>0</v>
      </c>
      <c r="C3" s="63" t="s">
        <v>731</v>
      </c>
      <c r="D3" s="63" t="s">
        <v>6</v>
      </c>
      <c r="E3" s="47" t="s">
        <v>732</v>
      </c>
      <c r="F3" s="47" t="s">
        <v>5</v>
      </c>
      <c r="G3" s="47" t="s">
        <v>8</v>
      </c>
      <c r="H3" s="47"/>
      <c r="I3" s="47"/>
      <c r="J3" s="47"/>
      <c r="K3" s="47" t="s">
        <v>401</v>
      </c>
      <c r="L3" s="47" t="s">
        <v>3</v>
      </c>
      <c r="M3" s="49" t="s">
        <v>2</v>
      </c>
    </row>
    <row r="4" spans="1:13" s="1" customFormat="1" ht="21" customHeight="1" thickBot="1">
      <c r="A4" s="62"/>
      <c r="B4" s="44"/>
      <c r="C4" s="48"/>
      <c r="D4" s="48"/>
      <c r="E4" s="48"/>
      <c r="F4" s="48"/>
      <c r="G4" s="4">
        <v>1</v>
      </c>
      <c r="H4" s="4">
        <v>2</v>
      </c>
      <c r="I4" s="4">
        <v>3</v>
      </c>
      <c r="J4" s="4" t="s">
        <v>4</v>
      </c>
      <c r="K4" s="48"/>
      <c r="L4" s="48"/>
      <c r="M4" s="50"/>
    </row>
    <row r="5" spans="1:13" ht="16">
      <c r="A5" s="51" t="s">
        <v>10</v>
      </c>
      <c r="B5" s="51"/>
      <c r="C5" s="52"/>
      <c r="D5" s="52"/>
      <c r="E5" s="52"/>
      <c r="F5" s="52"/>
      <c r="G5" s="52"/>
      <c r="H5" s="52"/>
      <c r="I5" s="52"/>
      <c r="J5" s="52"/>
    </row>
    <row r="6" spans="1:13">
      <c r="A6" s="21" t="s">
        <v>29</v>
      </c>
      <c r="B6" s="15" t="s">
        <v>11</v>
      </c>
      <c r="C6" s="15" t="s">
        <v>626</v>
      </c>
      <c r="D6" s="15" t="s">
        <v>13</v>
      </c>
      <c r="E6" s="15" t="s">
        <v>734</v>
      </c>
      <c r="F6" s="15" t="s">
        <v>680</v>
      </c>
      <c r="G6" s="22" t="s">
        <v>17</v>
      </c>
      <c r="H6" s="22" t="s">
        <v>18</v>
      </c>
      <c r="I6" s="21"/>
      <c r="J6" s="21"/>
      <c r="K6" s="21" t="str">
        <f>"177,5"</f>
        <v>177,5</v>
      </c>
      <c r="L6" s="21" t="str">
        <f>"125,4035"</f>
        <v>125,4035</v>
      </c>
      <c r="M6" s="15" t="s">
        <v>703</v>
      </c>
    </row>
    <row r="7" spans="1:13">
      <c r="B7" s="5" t="s">
        <v>30</v>
      </c>
    </row>
  </sheetData>
  <mergeCells count="12">
    <mergeCell ref="A5:J5"/>
    <mergeCell ref="B3:B4"/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C24BEB-A165-44E2-9AAE-B0D36DB8CA02}">
  <dimension ref="A1:M13"/>
  <sheetViews>
    <sheetView workbookViewId="0">
      <selection sqref="A1:M2"/>
    </sheetView>
  </sheetViews>
  <sheetFormatPr baseColWidth="10" defaultColWidth="9.1640625" defaultRowHeight="13"/>
  <cols>
    <col min="1" max="1" width="7.1640625" style="5" bestFit="1" customWidth="1"/>
    <col min="2" max="2" width="20.5" style="5" bestFit="1" customWidth="1"/>
    <col min="3" max="3" width="28.6640625" style="5" bestFit="1" customWidth="1"/>
    <col min="4" max="4" width="20.83203125" style="5" bestFit="1" customWidth="1"/>
    <col min="5" max="5" width="10.1640625" style="5" bestFit="1" customWidth="1"/>
    <col min="6" max="6" width="25.6640625" style="5" bestFit="1" customWidth="1"/>
    <col min="7" max="9" width="5.5" style="6" customWidth="1"/>
    <col min="10" max="10" width="4.5" style="6" customWidth="1"/>
    <col min="11" max="11" width="10.5" style="6" bestFit="1" customWidth="1"/>
    <col min="12" max="12" width="8.5" style="6" bestFit="1" customWidth="1"/>
    <col min="13" max="13" width="16.1640625" style="5" bestFit="1" customWidth="1"/>
    <col min="14" max="16384" width="9.1640625" style="3"/>
  </cols>
  <sheetData>
    <row r="1" spans="1:13" s="2" customFormat="1" ht="29" customHeight="1">
      <c r="A1" s="53" t="s">
        <v>608</v>
      </c>
      <c r="B1" s="54"/>
      <c r="C1" s="55"/>
      <c r="D1" s="55"/>
      <c r="E1" s="55"/>
      <c r="F1" s="55"/>
      <c r="G1" s="55"/>
      <c r="H1" s="55"/>
      <c r="I1" s="55"/>
      <c r="J1" s="55"/>
      <c r="K1" s="55"/>
      <c r="L1" s="55"/>
      <c r="M1" s="56"/>
    </row>
    <row r="2" spans="1:13" s="2" customFormat="1" ht="62" customHeight="1" thickBot="1">
      <c r="A2" s="57"/>
      <c r="B2" s="58"/>
      <c r="C2" s="59"/>
      <c r="D2" s="59"/>
      <c r="E2" s="59"/>
      <c r="F2" s="59"/>
      <c r="G2" s="59"/>
      <c r="H2" s="59"/>
      <c r="I2" s="59"/>
      <c r="J2" s="59"/>
      <c r="K2" s="59"/>
      <c r="L2" s="59"/>
      <c r="M2" s="60"/>
    </row>
    <row r="3" spans="1:13" s="1" customFormat="1" ht="12.75" customHeight="1">
      <c r="A3" s="61" t="s">
        <v>730</v>
      </c>
      <c r="B3" s="43" t="s">
        <v>0</v>
      </c>
      <c r="C3" s="63" t="s">
        <v>731</v>
      </c>
      <c r="D3" s="63" t="s">
        <v>6</v>
      </c>
      <c r="E3" s="47" t="s">
        <v>732</v>
      </c>
      <c r="F3" s="47" t="s">
        <v>5</v>
      </c>
      <c r="G3" s="47" t="s">
        <v>8</v>
      </c>
      <c r="H3" s="47"/>
      <c r="I3" s="47"/>
      <c r="J3" s="47"/>
      <c r="K3" s="47" t="s">
        <v>401</v>
      </c>
      <c r="L3" s="47" t="s">
        <v>3</v>
      </c>
      <c r="M3" s="49" t="s">
        <v>2</v>
      </c>
    </row>
    <row r="4" spans="1:13" s="1" customFormat="1" ht="21" customHeight="1" thickBot="1">
      <c r="A4" s="62"/>
      <c r="B4" s="44"/>
      <c r="C4" s="48"/>
      <c r="D4" s="48"/>
      <c r="E4" s="48"/>
      <c r="F4" s="48"/>
      <c r="G4" s="4">
        <v>1</v>
      </c>
      <c r="H4" s="4">
        <v>2</v>
      </c>
      <c r="I4" s="4">
        <v>3</v>
      </c>
      <c r="J4" s="4" t="s">
        <v>4</v>
      </c>
      <c r="K4" s="48"/>
      <c r="L4" s="48"/>
      <c r="M4" s="50"/>
    </row>
    <row r="5" spans="1:13" ht="16">
      <c r="A5" s="51" t="s">
        <v>126</v>
      </c>
      <c r="B5" s="51"/>
      <c r="C5" s="52"/>
      <c r="D5" s="52"/>
      <c r="E5" s="52"/>
      <c r="F5" s="52"/>
      <c r="G5" s="52"/>
      <c r="H5" s="52"/>
      <c r="I5" s="52"/>
      <c r="J5" s="52"/>
    </row>
    <row r="6" spans="1:13">
      <c r="A6" s="8" t="s">
        <v>29</v>
      </c>
      <c r="B6" s="7" t="s">
        <v>596</v>
      </c>
      <c r="C6" s="7" t="s">
        <v>597</v>
      </c>
      <c r="D6" s="7" t="s">
        <v>444</v>
      </c>
      <c r="E6" s="7" t="s">
        <v>733</v>
      </c>
      <c r="F6" s="7" t="s">
        <v>700</v>
      </c>
      <c r="G6" s="17" t="s">
        <v>282</v>
      </c>
      <c r="H6" s="17" t="s">
        <v>150</v>
      </c>
      <c r="I6" s="17" t="s">
        <v>48</v>
      </c>
      <c r="J6" s="8"/>
      <c r="K6" s="8" t="str">
        <f>"210,0"</f>
        <v>210,0</v>
      </c>
      <c r="L6" s="8" t="str">
        <f>"135,6915"</f>
        <v>135,6915</v>
      </c>
      <c r="M6" s="7" t="s">
        <v>701</v>
      </c>
    </row>
    <row r="7" spans="1:13">
      <c r="A7" s="25" t="s">
        <v>203</v>
      </c>
      <c r="B7" s="24" t="s">
        <v>598</v>
      </c>
      <c r="C7" s="24" t="s">
        <v>599</v>
      </c>
      <c r="D7" s="24" t="s">
        <v>347</v>
      </c>
      <c r="E7" s="24" t="s">
        <v>733</v>
      </c>
      <c r="F7" s="24" t="s">
        <v>52</v>
      </c>
      <c r="G7" s="26" t="s">
        <v>120</v>
      </c>
      <c r="H7" s="26" t="s">
        <v>143</v>
      </c>
      <c r="I7" s="27" t="s">
        <v>36</v>
      </c>
      <c r="J7" s="25"/>
      <c r="K7" s="25" t="str">
        <f>"140,0"</f>
        <v>140,0</v>
      </c>
      <c r="L7" s="25" t="str">
        <f>"91,5600"</f>
        <v>91,5600</v>
      </c>
      <c r="M7" s="24"/>
    </row>
    <row r="8" spans="1:13">
      <c r="A8" s="10" t="s">
        <v>29</v>
      </c>
      <c r="B8" s="9" t="s">
        <v>598</v>
      </c>
      <c r="C8" s="9" t="s">
        <v>611</v>
      </c>
      <c r="D8" s="9" t="s">
        <v>347</v>
      </c>
      <c r="E8" s="9" t="s">
        <v>734</v>
      </c>
      <c r="F8" s="9" t="s">
        <v>52</v>
      </c>
      <c r="G8" s="19" t="s">
        <v>120</v>
      </c>
      <c r="H8" s="19" t="s">
        <v>143</v>
      </c>
      <c r="I8" s="20" t="s">
        <v>36</v>
      </c>
      <c r="J8" s="10"/>
      <c r="K8" s="10" t="str">
        <f>"140,0"</f>
        <v>140,0</v>
      </c>
      <c r="L8" s="10" t="str">
        <f>"114,0838"</f>
        <v>114,0838</v>
      </c>
      <c r="M8" s="9"/>
    </row>
    <row r="9" spans="1:13">
      <c r="B9" s="5" t="s">
        <v>30</v>
      </c>
    </row>
    <row r="10" spans="1:13" ht="16">
      <c r="A10" s="41" t="s">
        <v>10</v>
      </c>
      <c r="B10" s="41"/>
      <c r="C10" s="42"/>
      <c r="D10" s="42"/>
      <c r="E10" s="42"/>
      <c r="F10" s="42"/>
      <c r="G10" s="42"/>
      <c r="H10" s="42"/>
      <c r="I10" s="42"/>
      <c r="J10" s="42"/>
    </row>
    <row r="11" spans="1:13">
      <c r="A11" s="8" t="s">
        <v>29</v>
      </c>
      <c r="B11" s="7" t="s">
        <v>600</v>
      </c>
      <c r="C11" s="7" t="s">
        <v>601</v>
      </c>
      <c r="D11" s="7" t="s">
        <v>300</v>
      </c>
      <c r="E11" s="7" t="s">
        <v>733</v>
      </c>
      <c r="F11" s="7" t="s">
        <v>700</v>
      </c>
      <c r="G11" s="17" t="s">
        <v>282</v>
      </c>
      <c r="H11" s="18" t="s">
        <v>150</v>
      </c>
      <c r="I11" s="18" t="s">
        <v>150</v>
      </c>
      <c r="J11" s="8"/>
      <c r="K11" s="8" t="str">
        <f>"192,5"</f>
        <v>192,5</v>
      </c>
      <c r="L11" s="8" t="str">
        <f>"113,0264"</f>
        <v>113,0264</v>
      </c>
      <c r="M11" s="7" t="s">
        <v>701</v>
      </c>
    </row>
    <row r="12" spans="1:13">
      <c r="A12" s="10" t="s">
        <v>29</v>
      </c>
      <c r="B12" s="9" t="s">
        <v>600</v>
      </c>
      <c r="C12" s="9" t="s">
        <v>612</v>
      </c>
      <c r="D12" s="9" t="s">
        <v>300</v>
      </c>
      <c r="E12" s="9" t="s">
        <v>736</v>
      </c>
      <c r="F12" s="9" t="s">
        <v>700</v>
      </c>
      <c r="G12" s="19" t="s">
        <v>282</v>
      </c>
      <c r="H12" s="20" t="s">
        <v>150</v>
      </c>
      <c r="I12" s="20" t="s">
        <v>150</v>
      </c>
      <c r="J12" s="10"/>
      <c r="K12" s="10" t="str">
        <f>"192,5"</f>
        <v>192,5</v>
      </c>
      <c r="L12" s="10" t="str">
        <f>"113,0264"</f>
        <v>113,0264</v>
      </c>
      <c r="M12" s="9" t="s">
        <v>701</v>
      </c>
    </row>
    <row r="13" spans="1:13">
      <c r="B13" s="5" t="s">
        <v>30</v>
      </c>
    </row>
  </sheetData>
  <mergeCells count="13">
    <mergeCell ref="A1:M2"/>
    <mergeCell ref="A3:A4"/>
    <mergeCell ref="C3:C4"/>
    <mergeCell ref="D3:D4"/>
    <mergeCell ref="E3:E4"/>
    <mergeCell ref="F3:F4"/>
    <mergeCell ref="G3:J3"/>
    <mergeCell ref="A10:J10"/>
    <mergeCell ref="B3:B4"/>
    <mergeCell ref="K3:K4"/>
    <mergeCell ref="L3:L4"/>
    <mergeCell ref="M3:M4"/>
    <mergeCell ref="A5:J5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DB636F-1F10-42B9-B32E-6E5AA0032693}">
  <dimension ref="A1:M10"/>
  <sheetViews>
    <sheetView workbookViewId="0">
      <selection sqref="A1:M2"/>
    </sheetView>
  </sheetViews>
  <sheetFormatPr baseColWidth="10" defaultColWidth="9.1640625" defaultRowHeight="13"/>
  <cols>
    <col min="1" max="1" width="7.1640625" style="5" bestFit="1" customWidth="1"/>
    <col min="2" max="2" width="15" style="5" bestFit="1" customWidth="1"/>
    <col min="3" max="3" width="28.6640625" style="5" bestFit="1" customWidth="1"/>
    <col min="4" max="4" width="20.83203125" style="5" bestFit="1" customWidth="1"/>
    <col min="5" max="5" width="10.1640625" style="5" bestFit="1" customWidth="1"/>
    <col min="6" max="6" width="25.6640625" style="5" bestFit="1" customWidth="1"/>
    <col min="7" max="9" width="5.5" style="6" customWidth="1"/>
    <col min="10" max="10" width="4.5" style="6" customWidth="1"/>
    <col min="11" max="11" width="10.5" style="6" bestFit="1" customWidth="1"/>
    <col min="12" max="12" width="8.5" style="6" bestFit="1" customWidth="1"/>
    <col min="13" max="13" width="19.5" style="5" bestFit="1" customWidth="1"/>
    <col min="14" max="16384" width="9.1640625" style="3"/>
  </cols>
  <sheetData>
    <row r="1" spans="1:13" s="2" customFormat="1" ht="29" customHeight="1">
      <c r="A1" s="53" t="s">
        <v>609</v>
      </c>
      <c r="B1" s="54"/>
      <c r="C1" s="55"/>
      <c r="D1" s="55"/>
      <c r="E1" s="55"/>
      <c r="F1" s="55"/>
      <c r="G1" s="55"/>
      <c r="H1" s="55"/>
      <c r="I1" s="55"/>
      <c r="J1" s="55"/>
      <c r="K1" s="55"/>
      <c r="L1" s="55"/>
      <c r="M1" s="56"/>
    </row>
    <row r="2" spans="1:13" s="2" customFormat="1" ht="62" customHeight="1" thickBot="1">
      <c r="A2" s="57"/>
      <c r="B2" s="58"/>
      <c r="C2" s="59"/>
      <c r="D2" s="59"/>
      <c r="E2" s="59"/>
      <c r="F2" s="59"/>
      <c r="G2" s="59"/>
      <c r="H2" s="59"/>
      <c r="I2" s="59"/>
      <c r="J2" s="59"/>
      <c r="K2" s="59"/>
      <c r="L2" s="59"/>
      <c r="M2" s="60"/>
    </row>
    <row r="3" spans="1:13" s="1" customFormat="1" ht="12.75" customHeight="1">
      <c r="A3" s="61" t="s">
        <v>730</v>
      </c>
      <c r="B3" s="43" t="s">
        <v>0</v>
      </c>
      <c r="C3" s="63" t="s">
        <v>731</v>
      </c>
      <c r="D3" s="63" t="s">
        <v>6</v>
      </c>
      <c r="E3" s="47" t="s">
        <v>732</v>
      </c>
      <c r="F3" s="47" t="s">
        <v>5</v>
      </c>
      <c r="G3" s="47" t="s">
        <v>8</v>
      </c>
      <c r="H3" s="47"/>
      <c r="I3" s="47"/>
      <c r="J3" s="47"/>
      <c r="K3" s="47" t="s">
        <v>401</v>
      </c>
      <c r="L3" s="47" t="s">
        <v>3</v>
      </c>
      <c r="M3" s="49" t="s">
        <v>2</v>
      </c>
    </row>
    <row r="4" spans="1:13" s="1" customFormat="1" ht="21" customHeight="1" thickBot="1">
      <c r="A4" s="62"/>
      <c r="B4" s="44"/>
      <c r="C4" s="48"/>
      <c r="D4" s="48"/>
      <c r="E4" s="48"/>
      <c r="F4" s="48"/>
      <c r="G4" s="4">
        <v>1</v>
      </c>
      <c r="H4" s="4">
        <v>2</v>
      </c>
      <c r="I4" s="4">
        <v>3</v>
      </c>
      <c r="J4" s="4" t="s">
        <v>4</v>
      </c>
      <c r="K4" s="48"/>
      <c r="L4" s="48"/>
      <c r="M4" s="50"/>
    </row>
    <row r="5" spans="1:13" ht="16">
      <c r="A5" s="51" t="s">
        <v>126</v>
      </c>
      <c r="B5" s="51"/>
      <c r="C5" s="52"/>
      <c r="D5" s="52"/>
      <c r="E5" s="52"/>
      <c r="F5" s="52"/>
      <c r="G5" s="52"/>
      <c r="H5" s="52"/>
      <c r="I5" s="52"/>
      <c r="J5" s="52"/>
    </row>
    <row r="6" spans="1:13">
      <c r="A6" s="21" t="s">
        <v>29</v>
      </c>
      <c r="B6" s="15" t="s">
        <v>596</v>
      </c>
      <c r="C6" s="15" t="s">
        <v>597</v>
      </c>
      <c r="D6" s="15" t="s">
        <v>444</v>
      </c>
      <c r="E6" s="15" t="s">
        <v>733</v>
      </c>
      <c r="F6" s="15" t="s">
        <v>700</v>
      </c>
      <c r="G6" s="22" t="s">
        <v>282</v>
      </c>
      <c r="H6" s="22" t="s">
        <v>150</v>
      </c>
      <c r="I6" s="22" t="s">
        <v>48</v>
      </c>
      <c r="J6" s="21"/>
      <c r="K6" s="21" t="str">
        <f>"210,0"</f>
        <v>210,0</v>
      </c>
      <c r="L6" s="21" t="str">
        <f>"135,6915"</f>
        <v>135,6915</v>
      </c>
      <c r="M6" s="15" t="s">
        <v>703</v>
      </c>
    </row>
    <row r="7" spans="1:13">
      <c r="B7" s="5" t="s">
        <v>30</v>
      </c>
    </row>
    <row r="8" spans="1:13" ht="16">
      <c r="A8" s="41" t="s">
        <v>42</v>
      </c>
      <c r="B8" s="41"/>
      <c r="C8" s="42"/>
      <c r="D8" s="42"/>
      <c r="E8" s="42"/>
      <c r="F8" s="42"/>
      <c r="G8" s="42"/>
      <c r="H8" s="42"/>
      <c r="I8" s="42"/>
      <c r="J8" s="42"/>
    </row>
    <row r="9" spans="1:13">
      <c r="A9" s="21" t="s">
        <v>71</v>
      </c>
      <c r="B9" s="15" t="s">
        <v>354</v>
      </c>
      <c r="C9" s="15" t="s">
        <v>613</v>
      </c>
      <c r="D9" s="15" t="s">
        <v>356</v>
      </c>
      <c r="E9" s="15" t="s">
        <v>736</v>
      </c>
      <c r="F9" s="15" t="s">
        <v>76</v>
      </c>
      <c r="G9" s="23" t="s">
        <v>149</v>
      </c>
      <c r="H9" s="23" t="s">
        <v>155</v>
      </c>
      <c r="I9" s="23" t="s">
        <v>155</v>
      </c>
      <c r="J9" s="21"/>
      <c r="K9" s="21" t="str">
        <f>"0.00"</f>
        <v>0.00</v>
      </c>
      <c r="L9" s="21" t="str">
        <f>"0,0000"</f>
        <v>0,0000</v>
      </c>
      <c r="M9" s="15" t="s">
        <v>704</v>
      </c>
    </row>
    <row r="10" spans="1:13">
      <c r="B10" s="5" t="s">
        <v>30</v>
      </c>
    </row>
  </sheetData>
  <mergeCells count="13">
    <mergeCell ref="A1:M2"/>
    <mergeCell ref="A3:A4"/>
    <mergeCell ref="C3:C4"/>
    <mergeCell ref="D3:D4"/>
    <mergeCell ref="E3:E4"/>
    <mergeCell ref="F3:F4"/>
    <mergeCell ref="G3:J3"/>
    <mergeCell ref="A8:J8"/>
    <mergeCell ref="B3:B4"/>
    <mergeCell ref="K3:K4"/>
    <mergeCell ref="L3:L4"/>
    <mergeCell ref="M3:M4"/>
    <mergeCell ref="A5:J5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477186-6F23-42AF-BB46-52DB5CEB6A8B}">
  <dimension ref="A1:M11"/>
  <sheetViews>
    <sheetView workbookViewId="0">
      <selection sqref="A1:M2"/>
    </sheetView>
  </sheetViews>
  <sheetFormatPr baseColWidth="10" defaultColWidth="9.1640625" defaultRowHeight="13"/>
  <cols>
    <col min="1" max="1" width="7.1640625" style="5" bestFit="1" customWidth="1"/>
    <col min="2" max="2" width="16" style="5" bestFit="1" customWidth="1"/>
    <col min="3" max="3" width="33" style="5" customWidth="1"/>
    <col min="4" max="4" width="20.83203125" style="5" bestFit="1" customWidth="1"/>
    <col min="5" max="5" width="10.1640625" style="5" bestFit="1" customWidth="1"/>
    <col min="6" max="6" width="28.5" style="5" bestFit="1" customWidth="1"/>
    <col min="7" max="9" width="5.5" style="6" customWidth="1"/>
    <col min="10" max="10" width="4.5" style="6" customWidth="1"/>
    <col min="11" max="11" width="10.5" style="6" bestFit="1" customWidth="1"/>
    <col min="12" max="12" width="8.5" style="6" bestFit="1" customWidth="1"/>
    <col min="13" max="13" width="16.1640625" style="5" bestFit="1" customWidth="1"/>
    <col min="14" max="16384" width="9.1640625" style="3"/>
  </cols>
  <sheetData>
    <row r="1" spans="1:13" s="2" customFormat="1" ht="29" customHeight="1">
      <c r="A1" s="53" t="s">
        <v>606</v>
      </c>
      <c r="B1" s="54"/>
      <c r="C1" s="55"/>
      <c r="D1" s="55"/>
      <c r="E1" s="55"/>
      <c r="F1" s="55"/>
      <c r="G1" s="55"/>
      <c r="H1" s="55"/>
      <c r="I1" s="55"/>
      <c r="J1" s="55"/>
      <c r="K1" s="55"/>
      <c r="L1" s="55"/>
      <c r="M1" s="56"/>
    </row>
    <row r="2" spans="1:13" s="2" customFormat="1" ht="62" customHeight="1" thickBot="1">
      <c r="A2" s="57"/>
      <c r="B2" s="58"/>
      <c r="C2" s="59"/>
      <c r="D2" s="59"/>
      <c r="E2" s="59"/>
      <c r="F2" s="59"/>
      <c r="G2" s="59"/>
      <c r="H2" s="59"/>
      <c r="I2" s="59"/>
      <c r="J2" s="59"/>
      <c r="K2" s="59"/>
      <c r="L2" s="59"/>
      <c r="M2" s="60"/>
    </row>
    <row r="3" spans="1:13" s="1" customFormat="1" ht="12.75" customHeight="1">
      <c r="A3" s="61" t="s">
        <v>730</v>
      </c>
      <c r="B3" s="43" t="s">
        <v>0</v>
      </c>
      <c r="C3" s="63" t="s">
        <v>731</v>
      </c>
      <c r="D3" s="63" t="s">
        <v>6</v>
      </c>
      <c r="E3" s="47" t="s">
        <v>732</v>
      </c>
      <c r="F3" s="47" t="s">
        <v>5</v>
      </c>
      <c r="G3" s="47" t="s">
        <v>8</v>
      </c>
      <c r="H3" s="47"/>
      <c r="I3" s="47"/>
      <c r="J3" s="47"/>
      <c r="K3" s="47" t="s">
        <v>401</v>
      </c>
      <c r="L3" s="47" t="s">
        <v>3</v>
      </c>
      <c r="M3" s="49" t="s">
        <v>2</v>
      </c>
    </row>
    <row r="4" spans="1:13" s="1" customFormat="1" ht="21" customHeight="1" thickBot="1">
      <c r="A4" s="62"/>
      <c r="B4" s="44"/>
      <c r="C4" s="48"/>
      <c r="D4" s="48"/>
      <c r="E4" s="48"/>
      <c r="F4" s="48"/>
      <c r="G4" s="4">
        <v>1</v>
      </c>
      <c r="H4" s="4">
        <v>2</v>
      </c>
      <c r="I4" s="4">
        <v>3</v>
      </c>
      <c r="J4" s="4" t="s">
        <v>4</v>
      </c>
      <c r="K4" s="48"/>
      <c r="L4" s="48"/>
      <c r="M4" s="50"/>
    </row>
    <row r="5" spans="1:13" ht="16">
      <c r="A5" s="51" t="s">
        <v>10</v>
      </c>
      <c r="B5" s="51"/>
      <c r="C5" s="52"/>
      <c r="D5" s="52"/>
      <c r="E5" s="52"/>
      <c r="F5" s="52"/>
      <c r="G5" s="52"/>
      <c r="H5" s="52"/>
      <c r="I5" s="52"/>
      <c r="J5" s="52"/>
    </row>
    <row r="6" spans="1:13">
      <c r="A6" s="8" t="s">
        <v>29</v>
      </c>
      <c r="B6" s="7" t="s">
        <v>11</v>
      </c>
      <c r="C6" s="7" t="s">
        <v>12</v>
      </c>
      <c r="D6" s="7" t="s">
        <v>13</v>
      </c>
      <c r="E6" s="7" t="s">
        <v>733</v>
      </c>
      <c r="F6" s="7" t="s">
        <v>680</v>
      </c>
      <c r="G6" s="17" t="s">
        <v>181</v>
      </c>
      <c r="H6" s="17" t="s">
        <v>175</v>
      </c>
      <c r="I6" s="18" t="s">
        <v>602</v>
      </c>
      <c r="J6" s="8"/>
      <c r="K6" s="8" t="str">
        <f>"225,0"</f>
        <v>225,0</v>
      </c>
      <c r="L6" s="8" t="str">
        <f>"136,6875"</f>
        <v>136,6875</v>
      </c>
      <c r="M6" s="7" t="s">
        <v>703</v>
      </c>
    </row>
    <row r="7" spans="1:13">
      <c r="A7" s="10" t="s">
        <v>29</v>
      </c>
      <c r="B7" s="9" t="s">
        <v>11</v>
      </c>
      <c r="C7" s="9" t="s">
        <v>610</v>
      </c>
      <c r="D7" s="9" t="s">
        <v>13</v>
      </c>
      <c r="E7" s="9" t="s">
        <v>736</v>
      </c>
      <c r="F7" s="9" t="s">
        <v>680</v>
      </c>
      <c r="G7" s="19" t="s">
        <v>181</v>
      </c>
      <c r="H7" s="19" t="s">
        <v>175</v>
      </c>
      <c r="I7" s="20" t="s">
        <v>602</v>
      </c>
      <c r="J7" s="10"/>
      <c r="K7" s="10" t="str">
        <f>"225,0"</f>
        <v>225,0</v>
      </c>
      <c r="L7" s="10" t="str">
        <f>"149,9462"</f>
        <v>149,9462</v>
      </c>
      <c r="M7" s="9" t="s">
        <v>703</v>
      </c>
    </row>
    <row r="8" spans="1:13">
      <c r="B8" s="5" t="s">
        <v>30</v>
      </c>
    </row>
    <row r="9" spans="1:13" ht="16">
      <c r="A9" s="41" t="s">
        <v>58</v>
      </c>
      <c r="B9" s="41"/>
      <c r="C9" s="42"/>
      <c r="D9" s="42"/>
      <c r="E9" s="42"/>
      <c r="F9" s="42"/>
      <c r="G9" s="42"/>
      <c r="H9" s="42"/>
      <c r="I9" s="42"/>
      <c r="J9" s="42"/>
    </row>
    <row r="10" spans="1:13">
      <c r="A10" s="21" t="s">
        <v>29</v>
      </c>
      <c r="B10" s="15" t="s">
        <v>603</v>
      </c>
      <c r="C10" s="15" t="s">
        <v>604</v>
      </c>
      <c r="D10" s="15" t="s">
        <v>605</v>
      </c>
      <c r="E10" s="15" t="s">
        <v>733</v>
      </c>
      <c r="F10" s="15" t="s">
        <v>700</v>
      </c>
      <c r="G10" s="22" t="s">
        <v>137</v>
      </c>
      <c r="H10" s="22" t="s">
        <v>156</v>
      </c>
      <c r="I10" s="22" t="s">
        <v>53</v>
      </c>
      <c r="J10" s="21"/>
      <c r="K10" s="21" t="str">
        <f>"270,0"</f>
        <v>270,0</v>
      </c>
      <c r="L10" s="21" t="str">
        <f>"148,7025"</f>
        <v>148,7025</v>
      </c>
      <c r="M10" s="15"/>
    </row>
    <row r="11" spans="1:13">
      <c r="B11" s="5" t="s">
        <v>30</v>
      </c>
    </row>
  </sheetData>
  <mergeCells count="13">
    <mergeCell ref="A1:M2"/>
    <mergeCell ref="A3:A4"/>
    <mergeCell ref="C3:C4"/>
    <mergeCell ref="D3:D4"/>
    <mergeCell ref="E3:E4"/>
    <mergeCell ref="F3:F4"/>
    <mergeCell ref="G3:J3"/>
    <mergeCell ref="A9:J9"/>
    <mergeCell ref="B3:B4"/>
    <mergeCell ref="K3:K4"/>
    <mergeCell ref="L3:L4"/>
    <mergeCell ref="M3:M4"/>
    <mergeCell ref="A5:J5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903204-1589-4615-A110-9F6B26018872}">
  <dimension ref="A1:M11"/>
  <sheetViews>
    <sheetView workbookViewId="0">
      <selection sqref="A1:M2"/>
    </sheetView>
  </sheetViews>
  <sheetFormatPr baseColWidth="10" defaultColWidth="9.1640625" defaultRowHeight="13"/>
  <cols>
    <col min="1" max="1" width="7.1640625" style="5" bestFit="1" customWidth="1"/>
    <col min="2" max="2" width="19.6640625" style="5" customWidth="1"/>
    <col min="3" max="3" width="28.6640625" style="5" bestFit="1" customWidth="1"/>
    <col min="4" max="4" width="20.83203125" style="5" bestFit="1" customWidth="1"/>
    <col min="5" max="5" width="10.1640625" style="5" bestFit="1" customWidth="1"/>
    <col min="6" max="6" width="28.5" style="5" bestFit="1" customWidth="1"/>
    <col min="7" max="9" width="5.5" style="6" customWidth="1"/>
    <col min="10" max="10" width="4.5" style="6" customWidth="1"/>
    <col min="11" max="11" width="10.5" style="6" bestFit="1" customWidth="1"/>
    <col min="12" max="12" width="8.5" style="6" bestFit="1" customWidth="1"/>
    <col min="13" max="13" width="16.1640625" style="5" bestFit="1" customWidth="1"/>
    <col min="14" max="16384" width="9.1640625" style="3"/>
  </cols>
  <sheetData>
    <row r="1" spans="1:13" s="2" customFormat="1" ht="29" customHeight="1">
      <c r="A1" s="53" t="s">
        <v>607</v>
      </c>
      <c r="B1" s="54"/>
      <c r="C1" s="55"/>
      <c r="D1" s="55"/>
      <c r="E1" s="55"/>
      <c r="F1" s="55"/>
      <c r="G1" s="55"/>
      <c r="H1" s="55"/>
      <c r="I1" s="55"/>
      <c r="J1" s="55"/>
      <c r="K1" s="55"/>
      <c r="L1" s="55"/>
      <c r="M1" s="56"/>
    </row>
    <row r="2" spans="1:13" s="2" customFormat="1" ht="62" customHeight="1" thickBot="1">
      <c r="A2" s="57"/>
      <c r="B2" s="58"/>
      <c r="C2" s="59"/>
      <c r="D2" s="59"/>
      <c r="E2" s="59"/>
      <c r="F2" s="59"/>
      <c r="G2" s="59"/>
      <c r="H2" s="59"/>
      <c r="I2" s="59"/>
      <c r="J2" s="59"/>
      <c r="K2" s="59"/>
      <c r="L2" s="59"/>
      <c r="M2" s="60"/>
    </row>
    <row r="3" spans="1:13" s="1" customFormat="1" ht="12.75" customHeight="1">
      <c r="A3" s="61" t="s">
        <v>730</v>
      </c>
      <c r="B3" s="43" t="s">
        <v>0</v>
      </c>
      <c r="C3" s="63" t="s">
        <v>731</v>
      </c>
      <c r="D3" s="63" t="s">
        <v>6</v>
      </c>
      <c r="E3" s="47" t="s">
        <v>732</v>
      </c>
      <c r="F3" s="47" t="s">
        <v>5</v>
      </c>
      <c r="G3" s="47" t="s">
        <v>8</v>
      </c>
      <c r="H3" s="47"/>
      <c r="I3" s="47"/>
      <c r="J3" s="47"/>
      <c r="K3" s="47" t="s">
        <v>401</v>
      </c>
      <c r="L3" s="47" t="s">
        <v>3</v>
      </c>
      <c r="M3" s="49" t="s">
        <v>2</v>
      </c>
    </row>
    <row r="4" spans="1:13" s="1" customFormat="1" ht="21" customHeight="1" thickBot="1">
      <c r="A4" s="62"/>
      <c r="B4" s="44"/>
      <c r="C4" s="48"/>
      <c r="D4" s="48"/>
      <c r="E4" s="48"/>
      <c r="F4" s="48"/>
      <c r="G4" s="4">
        <v>1</v>
      </c>
      <c r="H4" s="4">
        <v>2</v>
      </c>
      <c r="I4" s="4">
        <v>3</v>
      </c>
      <c r="J4" s="4" t="s">
        <v>4</v>
      </c>
      <c r="K4" s="48"/>
      <c r="L4" s="48"/>
      <c r="M4" s="50"/>
    </row>
    <row r="5" spans="1:13" ht="16">
      <c r="A5" s="51" t="s">
        <v>10</v>
      </c>
      <c r="B5" s="51"/>
      <c r="C5" s="52"/>
      <c r="D5" s="52"/>
      <c r="E5" s="52"/>
      <c r="F5" s="52"/>
      <c r="G5" s="52"/>
      <c r="H5" s="52"/>
      <c r="I5" s="52"/>
      <c r="J5" s="52"/>
    </row>
    <row r="6" spans="1:13">
      <c r="A6" s="21" t="s">
        <v>29</v>
      </c>
      <c r="B6" s="15" t="s">
        <v>11</v>
      </c>
      <c r="C6" s="15" t="s">
        <v>610</v>
      </c>
      <c r="D6" s="15" t="s">
        <v>13</v>
      </c>
      <c r="E6" s="15" t="s">
        <v>736</v>
      </c>
      <c r="F6" s="15" t="s">
        <v>680</v>
      </c>
      <c r="G6" s="22" t="s">
        <v>181</v>
      </c>
      <c r="H6" s="22" t="s">
        <v>175</v>
      </c>
      <c r="I6" s="23" t="s">
        <v>602</v>
      </c>
      <c r="J6" s="21"/>
      <c r="K6" s="21" t="str">
        <f>"225,0"</f>
        <v>225,0</v>
      </c>
      <c r="L6" s="21" t="str">
        <f>"149,9462"</f>
        <v>149,9462</v>
      </c>
      <c r="M6" s="15" t="s">
        <v>703</v>
      </c>
    </row>
    <row r="7" spans="1:13">
      <c r="B7" s="5" t="s">
        <v>30</v>
      </c>
    </row>
    <row r="8" spans="1:13" ht="16">
      <c r="A8" s="41" t="s">
        <v>58</v>
      </c>
      <c r="B8" s="41"/>
      <c r="C8" s="42"/>
      <c r="D8" s="42"/>
      <c r="E8" s="42"/>
      <c r="F8" s="42"/>
      <c r="G8" s="42"/>
      <c r="H8" s="42"/>
      <c r="I8" s="42"/>
      <c r="J8" s="42"/>
    </row>
    <row r="9" spans="1:13">
      <c r="A9" s="8" t="s">
        <v>29</v>
      </c>
      <c r="B9" s="7" t="s">
        <v>386</v>
      </c>
      <c r="C9" s="7" t="s">
        <v>387</v>
      </c>
      <c r="D9" s="7" t="s">
        <v>388</v>
      </c>
      <c r="E9" s="7" t="s">
        <v>733</v>
      </c>
      <c r="F9" s="7" t="s">
        <v>700</v>
      </c>
      <c r="G9" s="17" t="s">
        <v>137</v>
      </c>
      <c r="H9" s="17" t="s">
        <v>57</v>
      </c>
      <c r="I9" s="17" t="s">
        <v>53</v>
      </c>
      <c r="J9" s="8"/>
      <c r="K9" s="8" t="str">
        <f>"270,0"</f>
        <v>270,0</v>
      </c>
      <c r="L9" s="8" t="str">
        <f>"150,1875"</f>
        <v>150,1875</v>
      </c>
      <c r="M9" s="7"/>
    </row>
    <row r="10" spans="1:13">
      <c r="A10" s="10" t="s">
        <v>203</v>
      </c>
      <c r="B10" s="9" t="s">
        <v>603</v>
      </c>
      <c r="C10" s="9" t="s">
        <v>604</v>
      </c>
      <c r="D10" s="9" t="s">
        <v>605</v>
      </c>
      <c r="E10" s="9" t="s">
        <v>733</v>
      </c>
      <c r="F10" s="9" t="s">
        <v>700</v>
      </c>
      <c r="G10" s="19" t="s">
        <v>137</v>
      </c>
      <c r="H10" s="19" t="s">
        <v>156</v>
      </c>
      <c r="I10" s="19" t="s">
        <v>53</v>
      </c>
      <c r="J10" s="10"/>
      <c r="K10" s="10" t="str">
        <f>"270,0"</f>
        <v>270,0</v>
      </c>
      <c r="L10" s="10" t="str">
        <f>"148,7025"</f>
        <v>148,7025</v>
      </c>
      <c r="M10" s="9"/>
    </row>
    <row r="11" spans="1:13">
      <c r="B11" s="5" t="s">
        <v>30</v>
      </c>
    </row>
  </sheetData>
  <mergeCells count="13">
    <mergeCell ref="A1:M2"/>
    <mergeCell ref="A3:A4"/>
    <mergeCell ref="C3:C4"/>
    <mergeCell ref="D3:D4"/>
    <mergeCell ref="E3:E4"/>
    <mergeCell ref="F3:F4"/>
    <mergeCell ref="G3:J3"/>
    <mergeCell ref="A8:J8"/>
    <mergeCell ref="B3:B4"/>
    <mergeCell ref="K3:K4"/>
    <mergeCell ref="L3:L4"/>
    <mergeCell ref="M3:M4"/>
    <mergeCell ref="A5:J5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DE33D4-8F26-4647-B345-DF55C6AE35F3}">
  <dimension ref="A1:M60"/>
  <sheetViews>
    <sheetView workbookViewId="0">
      <selection activeCell="E51" sqref="E51"/>
    </sheetView>
  </sheetViews>
  <sheetFormatPr baseColWidth="10" defaultColWidth="9.1640625" defaultRowHeight="13"/>
  <cols>
    <col min="1" max="1" width="7.1640625" style="5" bestFit="1" customWidth="1"/>
    <col min="2" max="2" width="22.6640625" style="5" bestFit="1" customWidth="1"/>
    <col min="3" max="3" width="28.6640625" style="5" bestFit="1" customWidth="1"/>
    <col min="4" max="4" width="20.83203125" style="5" bestFit="1" customWidth="1"/>
    <col min="5" max="5" width="10.1640625" style="5" bestFit="1" customWidth="1"/>
    <col min="6" max="6" width="28.6640625" style="5" bestFit="1" customWidth="1"/>
    <col min="7" max="9" width="5.5" style="6" customWidth="1"/>
    <col min="10" max="10" width="4.5" style="6" customWidth="1"/>
    <col min="11" max="11" width="7.6640625" style="6" bestFit="1" customWidth="1"/>
    <col min="12" max="12" width="8.5" style="6" bestFit="1" customWidth="1"/>
    <col min="13" max="13" width="19" style="5" bestFit="1" customWidth="1"/>
    <col min="14" max="16384" width="9.1640625" style="3"/>
  </cols>
  <sheetData>
    <row r="1" spans="1:13" s="2" customFormat="1" ht="29" customHeight="1">
      <c r="A1" s="53" t="s">
        <v>664</v>
      </c>
      <c r="B1" s="54"/>
      <c r="C1" s="55"/>
      <c r="D1" s="55"/>
      <c r="E1" s="55"/>
      <c r="F1" s="55"/>
      <c r="G1" s="55"/>
      <c r="H1" s="55"/>
      <c r="I1" s="55"/>
      <c r="J1" s="55"/>
      <c r="K1" s="55"/>
      <c r="L1" s="55"/>
      <c r="M1" s="56"/>
    </row>
    <row r="2" spans="1:13" s="2" customFormat="1" ht="62" customHeight="1" thickBot="1">
      <c r="A2" s="57"/>
      <c r="B2" s="58"/>
      <c r="C2" s="59"/>
      <c r="D2" s="59"/>
      <c r="E2" s="59"/>
      <c r="F2" s="59"/>
      <c r="G2" s="59"/>
      <c r="H2" s="59"/>
      <c r="I2" s="59"/>
      <c r="J2" s="59"/>
      <c r="K2" s="59"/>
      <c r="L2" s="59"/>
      <c r="M2" s="60"/>
    </row>
    <row r="3" spans="1:13" s="1" customFormat="1" ht="12.75" customHeight="1">
      <c r="A3" s="61" t="s">
        <v>730</v>
      </c>
      <c r="B3" s="43" t="s">
        <v>0</v>
      </c>
      <c r="C3" s="63" t="s">
        <v>731</v>
      </c>
      <c r="D3" s="63" t="s">
        <v>6</v>
      </c>
      <c r="E3" s="47" t="s">
        <v>732</v>
      </c>
      <c r="F3" s="47" t="s">
        <v>5</v>
      </c>
      <c r="G3" s="47" t="s">
        <v>9</v>
      </c>
      <c r="H3" s="47"/>
      <c r="I3" s="47"/>
      <c r="J3" s="47"/>
      <c r="K3" s="47" t="s">
        <v>401</v>
      </c>
      <c r="L3" s="47" t="s">
        <v>3</v>
      </c>
      <c r="M3" s="49" t="s">
        <v>2</v>
      </c>
    </row>
    <row r="4" spans="1:13" s="1" customFormat="1" ht="21" customHeight="1" thickBot="1">
      <c r="A4" s="62"/>
      <c r="B4" s="44"/>
      <c r="C4" s="48"/>
      <c r="D4" s="48"/>
      <c r="E4" s="48"/>
      <c r="F4" s="48"/>
      <c r="G4" s="4">
        <v>1</v>
      </c>
      <c r="H4" s="4">
        <v>2</v>
      </c>
      <c r="I4" s="4">
        <v>3</v>
      </c>
      <c r="J4" s="4" t="s">
        <v>4</v>
      </c>
      <c r="K4" s="48"/>
      <c r="L4" s="48"/>
      <c r="M4" s="50"/>
    </row>
    <row r="5" spans="1:13" ht="16">
      <c r="A5" s="51" t="s">
        <v>83</v>
      </c>
      <c r="B5" s="51"/>
      <c r="C5" s="52"/>
      <c r="D5" s="52"/>
      <c r="E5" s="52"/>
      <c r="F5" s="52"/>
      <c r="G5" s="52"/>
      <c r="H5" s="52"/>
      <c r="I5" s="52"/>
      <c r="J5" s="52"/>
    </row>
    <row r="6" spans="1:13">
      <c r="A6" s="8" t="s">
        <v>29</v>
      </c>
      <c r="B6" s="7" t="s">
        <v>84</v>
      </c>
      <c r="C6" s="7" t="s">
        <v>85</v>
      </c>
      <c r="D6" s="7" t="s">
        <v>86</v>
      </c>
      <c r="E6" s="7" t="s">
        <v>733</v>
      </c>
      <c r="F6" s="7" t="s">
        <v>680</v>
      </c>
      <c r="G6" s="17" t="s">
        <v>87</v>
      </c>
      <c r="H6" s="17" t="s">
        <v>88</v>
      </c>
      <c r="I6" s="17" t="s">
        <v>80</v>
      </c>
      <c r="J6" s="8"/>
      <c r="K6" s="8" t="str">
        <f>"110,0"</f>
        <v>110,0</v>
      </c>
      <c r="L6" s="8" t="str">
        <f>"140,4590"</f>
        <v>140,4590</v>
      </c>
      <c r="M6" s="7" t="s">
        <v>683</v>
      </c>
    </row>
    <row r="7" spans="1:13">
      <c r="A7" s="10" t="s">
        <v>29</v>
      </c>
      <c r="B7" s="9" t="s">
        <v>528</v>
      </c>
      <c r="C7" s="9" t="s">
        <v>627</v>
      </c>
      <c r="D7" s="9" t="s">
        <v>529</v>
      </c>
      <c r="E7" s="9" t="s">
        <v>736</v>
      </c>
      <c r="F7" s="9" t="s">
        <v>52</v>
      </c>
      <c r="G7" s="19" t="s">
        <v>80</v>
      </c>
      <c r="H7" s="19" t="s">
        <v>132</v>
      </c>
      <c r="I7" s="19" t="s">
        <v>81</v>
      </c>
      <c r="J7" s="10"/>
      <c r="K7" s="10" t="str">
        <f>"120,0"</f>
        <v>120,0</v>
      </c>
      <c r="L7" s="10" t="str">
        <f>"155,8755"</f>
        <v>155,8755</v>
      </c>
      <c r="M7" s="9" t="s">
        <v>710</v>
      </c>
    </row>
    <row r="8" spans="1:13">
      <c r="B8" s="5" t="s">
        <v>30</v>
      </c>
    </row>
    <row r="9" spans="1:13" ht="16">
      <c r="A9" s="41" t="s">
        <v>210</v>
      </c>
      <c r="B9" s="41"/>
      <c r="C9" s="42"/>
      <c r="D9" s="42"/>
      <c r="E9" s="42"/>
      <c r="F9" s="42"/>
      <c r="G9" s="42"/>
      <c r="H9" s="42"/>
      <c r="I9" s="42"/>
      <c r="J9" s="42"/>
    </row>
    <row r="10" spans="1:13">
      <c r="A10" s="21" t="s">
        <v>29</v>
      </c>
      <c r="B10" s="15" t="s">
        <v>530</v>
      </c>
      <c r="C10" s="15" t="s">
        <v>628</v>
      </c>
      <c r="D10" s="15" t="s">
        <v>531</v>
      </c>
      <c r="E10" s="15" t="s">
        <v>736</v>
      </c>
      <c r="F10" s="15" t="s">
        <v>52</v>
      </c>
      <c r="G10" s="22" t="s">
        <v>80</v>
      </c>
      <c r="H10" s="22" t="s">
        <v>81</v>
      </c>
      <c r="I10" s="23" t="s">
        <v>124</v>
      </c>
      <c r="J10" s="21"/>
      <c r="K10" s="21" t="str">
        <f>"120,0"</f>
        <v>120,0</v>
      </c>
      <c r="L10" s="21" t="str">
        <f>"143,5140"</f>
        <v>143,5140</v>
      </c>
      <c r="M10" s="15" t="s">
        <v>685</v>
      </c>
    </row>
    <row r="11" spans="1:13">
      <c r="B11" s="5" t="s">
        <v>30</v>
      </c>
    </row>
    <row r="12" spans="1:13" ht="16">
      <c r="A12" s="41" t="s">
        <v>31</v>
      </c>
      <c r="B12" s="41"/>
      <c r="C12" s="42"/>
      <c r="D12" s="42"/>
      <c r="E12" s="42"/>
      <c r="F12" s="42"/>
      <c r="G12" s="42"/>
      <c r="H12" s="42"/>
      <c r="I12" s="42"/>
      <c r="J12" s="42"/>
    </row>
    <row r="13" spans="1:13">
      <c r="A13" s="21" t="s">
        <v>29</v>
      </c>
      <c r="B13" s="15" t="s">
        <v>92</v>
      </c>
      <c r="C13" s="15" t="s">
        <v>93</v>
      </c>
      <c r="D13" s="15" t="s">
        <v>94</v>
      </c>
      <c r="E13" s="15" t="s">
        <v>733</v>
      </c>
      <c r="F13" s="15" t="s">
        <v>680</v>
      </c>
      <c r="G13" s="22" t="s">
        <v>87</v>
      </c>
      <c r="H13" s="22" t="s">
        <v>78</v>
      </c>
      <c r="I13" s="23" t="s">
        <v>98</v>
      </c>
      <c r="J13" s="21"/>
      <c r="K13" s="21" t="str">
        <f>"105,0"</f>
        <v>105,0</v>
      </c>
      <c r="L13" s="21" t="str">
        <f>"117,2115"</f>
        <v>117,2115</v>
      </c>
      <c r="M13" s="15" t="s">
        <v>683</v>
      </c>
    </row>
    <row r="14" spans="1:13">
      <c r="B14" s="5" t="s">
        <v>30</v>
      </c>
    </row>
    <row r="15" spans="1:13" ht="16">
      <c r="A15" s="41" t="s">
        <v>72</v>
      </c>
      <c r="B15" s="41"/>
      <c r="C15" s="42"/>
      <c r="D15" s="42"/>
      <c r="E15" s="42"/>
      <c r="F15" s="42"/>
      <c r="G15" s="42"/>
      <c r="H15" s="42"/>
      <c r="I15" s="42"/>
      <c r="J15" s="42"/>
    </row>
    <row r="16" spans="1:13">
      <c r="A16" s="8" t="s">
        <v>29</v>
      </c>
      <c r="B16" s="7" t="s">
        <v>234</v>
      </c>
      <c r="C16" s="7" t="s">
        <v>235</v>
      </c>
      <c r="D16" s="7" t="s">
        <v>236</v>
      </c>
      <c r="E16" s="7" t="s">
        <v>733</v>
      </c>
      <c r="F16" s="7" t="s">
        <v>52</v>
      </c>
      <c r="G16" s="18" t="s">
        <v>132</v>
      </c>
      <c r="H16" s="18" t="s">
        <v>81</v>
      </c>
      <c r="I16" s="17" t="s">
        <v>81</v>
      </c>
      <c r="J16" s="8"/>
      <c r="K16" s="8" t="str">
        <f>"120,0"</f>
        <v>120,0</v>
      </c>
      <c r="L16" s="8" t="str">
        <f>"131,5920"</f>
        <v>131,5920</v>
      </c>
      <c r="M16" s="7" t="s">
        <v>687</v>
      </c>
    </row>
    <row r="17" spans="1:13">
      <c r="A17" s="10" t="s">
        <v>203</v>
      </c>
      <c r="B17" s="9" t="s">
        <v>106</v>
      </c>
      <c r="C17" s="9" t="s">
        <v>107</v>
      </c>
      <c r="D17" s="9" t="s">
        <v>108</v>
      </c>
      <c r="E17" s="9" t="s">
        <v>733</v>
      </c>
      <c r="F17" s="9" t="s">
        <v>680</v>
      </c>
      <c r="G17" s="19" t="s">
        <v>78</v>
      </c>
      <c r="H17" s="19" t="s">
        <v>98</v>
      </c>
      <c r="I17" s="20" t="s">
        <v>111</v>
      </c>
      <c r="J17" s="10"/>
      <c r="K17" s="10" t="str">
        <f>"112,5"</f>
        <v>112,5</v>
      </c>
      <c r="L17" s="10" t="str">
        <f>"118,8450"</f>
        <v>118,8450</v>
      </c>
      <c r="M17" s="9" t="s">
        <v>683</v>
      </c>
    </row>
    <row r="18" spans="1:13">
      <c r="B18" s="5" t="s">
        <v>30</v>
      </c>
    </row>
    <row r="19" spans="1:13" ht="16">
      <c r="A19" s="41" t="s">
        <v>112</v>
      </c>
      <c r="B19" s="41"/>
      <c r="C19" s="42"/>
      <c r="D19" s="42"/>
      <c r="E19" s="42"/>
      <c r="F19" s="42"/>
      <c r="G19" s="42"/>
      <c r="H19" s="42"/>
      <c r="I19" s="42"/>
      <c r="J19" s="42"/>
    </row>
    <row r="20" spans="1:13">
      <c r="A20" s="8" t="s">
        <v>29</v>
      </c>
      <c r="B20" s="7" t="s">
        <v>113</v>
      </c>
      <c r="C20" s="7" t="s">
        <v>114</v>
      </c>
      <c r="D20" s="7" t="s">
        <v>115</v>
      </c>
      <c r="E20" s="7" t="s">
        <v>733</v>
      </c>
      <c r="F20" s="7" t="s">
        <v>680</v>
      </c>
      <c r="G20" s="17" t="s">
        <v>120</v>
      </c>
      <c r="H20" s="17" t="s">
        <v>35</v>
      </c>
      <c r="I20" s="17" t="s">
        <v>40</v>
      </c>
      <c r="J20" s="8"/>
      <c r="K20" s="8" t="str">
        <f>"155,0"</f>
        <v>155,0</v>
      </c>
      <c r="L20" s="8" t="str">
        <f>"148,3505"</f>
        <v>148,3505</v>
      </c>
      <c r="M20" s="7" t="s">
        <v>683</v>
      </c>
    </row>
    <row r="21" spans="1:13">
      <c r="A21" s="10" t="s">
        <v>203</v>
      </c>
      <c r="B21" s="9" t="s">
        <v>121</v>
      </c>
      <c r="C21" s="9" t="s">
        <v>122</v>
      </c>
      <c r="D21" s="9" t="s">
        <v>123</v>
      </c>
      <c r="E21" s="9" t="s">
        <v>733</v>
      </c>
      <c r="F21" s="9" t="s">
        <v>680</v>
      </c>
      <c r="G21" s="19" t="s">
        <v>120</v>
      </c>
      <c r="H21" s="20" t="s">
        <v>35</v>
      </c>
      <c r="I21" s="20" t="s">
        <v>35</v>
      </c>
      <c r="J21" s="10"/>
      <c r="K21" s="10" t="str">
        <f>"130,0"</f>
        <v>130,0</v>
      </c>
      <c r="L21" s="10" t="str">
        <f>"123,5780"</f>
        <v>123,5780</v>
      </c>
      <c r="M21" s="9" t="s">
        <v>683</v>
      </c>
    </row>
    <row r="22" spans="1:13">
      <c r="B22" s="5" t="s">
        <v>30</v>
      </c>
    </row>
    <row r="23" spans="1:13" ht="16">
      <c r="A23" s="41" t="s">
        <v>31</v>
      </c>
      <c r="B23" s="41"/>
      <c r="C23" s="42"/>
      <c r="D23" s="42"/>
      <c r="E23" s="42"/>
      <c r="F23" s="42"/>
      <c r="G23" s="42"/>
      <c r="H23" s="42"/>
      <c r="I23" s="42"/>
      <c r="J23" s="42"/>
    </row>
    <row r="24" spans="1:13">
      <c r="A24" s="21" t="s">
        <v>29</v>
      </c>
      <c r="B24" s="15" t="s">
        <v>248</v>
      </c>
      <c r="C24" s="15" t="s">
        <v>249</v>
      </c>
      <c r="D24" s="15" t="s">
        <v>250</v>
      </c>
      <c r="E24" s="15" t="s">
        <v>735</v>
      </c>
      <c r="F24" s="15" t="s">
        <v>681</v>
      </c>
      <c r="G24" s="22" t="s">
        <v>37</v>
      </c>
      <c r="H24" s="22" t="s">
        <v>39</v>
      </c>
      <c r="I24" s="23" t="s">
        <v>209</v>
      </c>
      <c r="J24" s="21"/>
      <c r="K24" s="21" t="str">
        <f>"75,0"</f>
        <v>75,0</v>
      </c>
      <c r="L24" s="21" t="str">
        <f>"64,6575"</f>
        <v>64,6575</v>
      </c>
      <c r="M24" s="15" t="s">
        <v>688</v>
      </c>
    </row>
    <row r="25" spans="1:13">
      <c r="B25" s="5" t="s">
        <v>30</v>
      </c>
    </row>
    <row r="26" spans="1:13" ht="16">
      <c r="A26" s="41" t="s">
        <v>72</v>
      </c>
      <c r="B26" s="41"/>
      <c r="C26" s="42"/>
      <c r="D26" s="42"/>
      <c r="E26" s="42"/>
      <c r="F26" s="42"/>
      <c r="G26" s="42"/>
      <c r="H26" s="42"/>
      <c r="I26" s="42"/>
      <c r="J26" s="42"/>
    </row>
    <row r="27" spans="1:13">
      <c r="A27" s="21" t="s">
        <v>29</v>
      </c>
      <c r="B27" s="15" t="s">
        <v>532</v>
      </c>
      <c r="C27" s="15" t="s">
        <v>533</v>
      </c>
      <c r="D27" s="15" t="s">
        <v>534</v>
      </c>
      <c r="E27" s="15" t="s">
        <v>735</v>
      </c>
      <c r="F27" s="15" t="s">
        <v>223</v>
      </c>
      <c r="G27" s="22" t="s">
        <v>117</v>
      </c>
      <c r="H27" s="22" t="s">
        <v>142</v>
      </c>
      <c r="I27" s="22" t="s">
        <v>170</v>
      </c>
      <c r="J27" s="21"/>
      <c r="K27" s="21" t="str">
        <f>"142,5"</f>
        <v>142,5</v>
      </c>
      <c r="L27" s="21" t="str">
        <f>"112,1760"</f>
        <v>112,1760</v>
      </c>
      <c r="M27" s="15" t="s">
        <v>339</v>
      </c>
    </row>
    <row r="28" spans="1:13">
      <c r="B28" s="5" t="s">
        <v>30</v>
      </c>
    </row>
    <row r="29" spans="1:13" ht="16">
      <c r="A29" s="41" t="s">
        <v>112</v>
      </c>
      <c r="B29" s="41"/>
      <c r="C29" s="42"/>
      <c r="D29" s="42"/>
      <c r="E29" s="42"/>
      <c r="F29" s="42"/>
      <c r="G29" s="42"/>
      <c r="H29" s="42"/>
      <c r="I29" s="42"/>
      <c r="J29" s="42"/>
    </row>
    <row r="30" spans="1:13">
      <c r="A30" s="8" t="s">
        <v>29</v>
      </c>
      <c r="B30" s="7" t="s">
        <v>535</v>
      </c>
      <c r="C30" s="7" t="s">
        <v>536</v>
      </c>
      <c r="D30" s="7" t="s">
        <v>537</v>
      </c>
      <c r="E30" s="7" t="s">
        <v>735</v>
      </c>
      <c r="F30" s="7" t="s">
        <v>52</v>
      </c>
      <c r="G30" s="17" t="s">
        <v>46</v>
      </c>
      <c r="H30" s="18" t="s">
        <v>538</v>
      </c>
      <c r="I30" s="8"/>
      <c r="J30" s="8"/>
      <c r="K30" s="8" t="str">
        <f>"190,0"</f>
        <v>190,0</v>
      </c>
      <c r="L30" s="8" t="str">
        <f>"136,9330"</f>
        <v>136,9330</v>
      </c>
      <c r="M30" s="7" t="s">
        <v>685</v>
      </c>
    </row>
    <row r="31" spans="1:13">
      <c r="A31" s="25" t="s">
        <v>29</v>
      </c>
      <c r="B31" s="24" t="s">
        <v>539</v>
      </c>
      <c r="C31" s="24" t="s">
        <v>540</v>
      </c>
      <c r="D31" s="24" t="s">
        <v>541</v>
      </c>
      <c r="E31" s="24" t="s">
        <v>733</v>
      </c>
      <c r="F31" s="24" t="s">
        <v>52</v>
      </c>
      <c r="G31" s="26" t="s">
        <v>389</v>
      </c>
      <c r="H31" s="26" t="s">
        <v>538</v>
      </c>
      <c r="I31" s="26" t="s">
        <v>48</v>
      </c>
      <c r="J31" s="25"/>
      <c r="K31" s="25" t="str">
        <f>"210,0"</f>
        <v>210,0</v>
      </c>
      <c r="L31" s="25" t="str">
        <f>"150,1920"</f>
        <v>150,1920</v>
      </c>
      <c r="M31" s="24"/>
    </row>
    <row r="32" spans="1:13">
      <c r="A32" s="25" t="s">
        <v>203</v>
      </c>
      <c r="B32" s="24" t="s">
        <v>542</v>
      </c>
      <c r="C32" s="24" t="s">
        <v>543</v>
      </c>
      <c r="D32" s="24" t="s">
        <v>544</v>
      </c>
      <c r="E32" s="24" t="s">
        <v>733</v>
      </c>
      <c r="F32" s="24" t="s">
        <v>167</v>
      </c>
      <c r="G32" s="26" t="s">
        <v>104</v>
      </c>
      <c r="H32" s="26" t="s">
        <v>150</v>
      </c>
      <c r="I32" s="27" t="s">
        <v>538</v>
      </c>
      <c r="J32" s="25"/>
      <c r="K32" s="25" t="str">
        <f>"202,5"</f>
        <v>202,5</v>
      </c>
      <c r="L32" s="25" t="str">
        <f>"144,7065"</f>
        <v>144,7065</v>
      </c>
      <c r="M32" s="24" t="s">
        <v>717</v>
      </c>
    </row>
    <row r="33" spans="1:13">
      <c r="A33" s="25" t="s">
        <v>204</v>
      </c>
      <c r="B33" s="24" t="s">
        <v>254</v>
      </c>
      <c r="C33" s="24" t="s">
        <v>255</v>
      </c>
      <c r="D33" s="24" t="s">
        <v>256</v>
      </c>
      <c r="E33" s="24" t="s">
        <v>733</v>
      </c>
      <c r="F33" s="24" t="s">
        <v>681</v>
      </c>
      <c r="G33" s="27" t="s">
        <v>180</v>
      </c>
      <c r="H33" s="26" t="s">
        <v>103</v>
      </c>
      <c r="I33" s="26" t="s">
        <v>47</v>
      </c>
      <c r="J33" s="25"/>
      <c r="K33" s="25" t="str">
        <f>"200,0"</f>
        <v>200,0</v>
      </c>
      <c r="L33" s="25" t="str">
        <f>"143,7200"</f>
        <v>143,7200</v>
      </c>
      <c r="M33" s="24" t="s">
        <v>686</v>
      </c>
    </row>
    <row r="34" spans="1:13">
      <c r="A34" s="10" t="s">
        <v>205</v>
      </c>
      <c r="B34" s="9" t="s">
        <v>510</v>
      </c>
      <c r="C34" s="9" t="s">
        <v>511</v>
      </c>
      <c r="D34" s="9" t="s">
        <v>512</v>
      </c>
      <c r="E34" s="9" t="s">
        <v>733</v>
      </c>
      <c r="F34" s="9" t="s">
        <v>680</v>
      </c>
      <c r="G34" s="19" t="s">
        <v>77</v>
      </c>
      <c r="H34" s="19" t="s">
        <v>132</v>
      </c>
      <c r="I34" s="19" t="s">
        <v>124</v>
      </c>
      <c r="J34" s="10"/>
      <c r="K34" s="10" t="str">
        <f>"125,0"</f>
        <v>125,0</v>
      </c>
      <c r="L34" s="10" t="str">
        <f>"90,6125"</f>
        <v>90,6125</v>
      </c>
      <c r="M34" s="9" t="s">
        <v>683</v>
      </c>
    </row>
    <row r="35" spans="1:13">
      <c r="B35" s="5" t="s">
        <v>30</v>
      </c>
    </row>
    <row r="36" spans="1:13" ht="16">
      <c r="A36" s="41" t="s">
        <v>126</v>
      </c>
      <c r="B36" s="41"/>
      <c r="C36" s="42"/>
      <c r="D36" s="42"/>
      <c r="E36" s="42"/>
      <c r="F36" s="42"/>
      <c r="G36" s="42"/>
      <c r="H36" s="42"/>
      <c r="I36" s="42"/>
      <c r="J36" s="42"/>
    </row>
    <row r="37" spans="1:13">
      <c r="A37" s="8" t="s">
        <v>29</v>
      </c>
      <c r="B37" s="7" t="s">
        <v>513</v>
      </c>
      <c r="C37" s="7" t="s">
        <v>514</v>
      </c>
      <c r="D37" s="7" t="s">
        <v>509</v>
      </c>
      <c r="E37" s="7" t="s">
        <v>733</v>
      </c>
      <c r="F37" s="7" t="s">
        <v>700</v>
      </c>
      <c r="G37" s="17" t="s">
        <v>181</v>
      </c>
      <c r="H37" s="17" t="s">
        <v>19</v>
      </c>
      <c r="I37" s="17" t="s">
        <v>148</v>
      </c>
      <c r="J37" s="8"/>
      <c r="K37" s="8" t="str">
        <f>"220,0"</f>
        <v>220,0</v>
      </c>
      <c r="L37" s="8" t="str">
        <f>"147,3780"</f>
        <v>147,3780</v>
      </c>
      <c r="M37" s="7" t="s">
        <v>703</v>
      </c>
    </row>
    <row r="38" spans="1:13">
      <c r="A38" s="10" t="s">
        <v>203</v>
      </c>
      <c r="B38" s="9" t="s">
        <v>451</v>
      </c>
      <c r="C38" s="9" t="s">
        <v>452</v>
      </c>
      <c r="D38" s="9" t="s">
        <v>353</v>
      </c>
      <c r="E38" s="9" t="s">
        <v>733</v>
      </c>
      <c r="F38" s="9" t="s">
        <v>223</v>
      </c>
      <c r="G38" s="19" t="s">
        <v>181</v>
      </c>
      <c r="H38" s="20" t="s">
        <v>538</v>
      </c>
      <c r="I38" s="20" t="s">
        <v>538</v>
      </c>
      <c r="J38" s="10"/>
      <c r="K38" s="10" t="str">
        <f>"205,0"</f>
        <v>205,0</v>
      </c>
      <c r="L38" s="10" t="str">
        <f>"138,2520"</f>
        <v>138,2520</v>
      </c>
      <c r="M38" s="9"/>
    </row>
    <row r="39" spans="1:13">
      <c r="B39" s="5" t="s">
        <v>30</v>
      </c>
    </row>
    <row r="40" spans="1:13" ht="16">
      <c r="A40" s="41" t="s">
        <v>42</v>
      </c>
      <c r="B40" s="41"/>
      <c r="C40" s="42"/>
      <c r="D40" s="42"/>
      <c r="E40" s="42"/>
      <c r="F40" s="42"/>
      <c r="G40" s="42"/>
      <c r="H40" s="42"/>
      <c r="I40" s="42"/>
      <c r="J40" s="42"/>
    </row>
    <row r="41" spans="1:13">
      <c r="A41" s="8" t="s">
        <v>29</v>
      </c>
      <c r="B41" s="7" t="s">
        <v>271</v>
      </c>
      <c r="C41" s="7" t="s">
        <v>272</v>
      </c>
      <c r="D41" s="7" t="s">
        <v>273</v>
      </c>
      <c r="E41" s="7" t="s">
        <v>733</v>
      </c>
      <c r="F41" s="7" t="s">
        <v>52</v>
      </c>
      <c r="G41" s="18" t="s">
        <v>137</v>
      </c>
      <c r="H41" s="17" t="s">
        <v>274</v>
      </c>
      <c r="I41" s="17" t="s">
        <v>57</v>
      </c>
      <c r="J41" s="8"/>
      <c r="K41" s="8" t="str">
        <f>"255,0"</f>
        <v>255,0</v>
      </c>
      <c r="L41" s="8" t="str">
        <f>"163,2510"</f>
        <v>163,2510</v>
      </c>
      <c r="M41" s="7" t="s">
        <v>721</v>
      </c>
    </row>
    <row r="42" spans="1:13">
      <c r="A42" s="25" t="s">
        <v>203</v>
      </c>
      <c r="B42" s="24" t="s">
        <v>275</v>
      </c>
      <c r="C42" s="24" t="s">
        <v>276</v>
      </c>
      <c r="D42" s="24" t="s">
        <v>277</v>
      </c>
      <c r="E42" s="24" t="s">
        <v>733</v>
      </c>
      <c r="F42" s="24" t="s">
        <v>167</v>
      </c>
      <c r="G42" s="26" t="s">
        <v>19</v>
      </c>
      <c r="H42" s="26" t="s">
        <v>278</v>
      </c>
      <c r="I42" s="27" t="s">
        <v>149</v>
      </c>
      <c r="J42" s="25"/>
      <c r="K42" s="25" t="str">
        <f>"222,5"</f>
        <v>222,5</v>
      </c>
      <c r="L42" s="25" t="str">
        <f>"145,0477"</f>
        <v>145,0477</v>
      </c>
      <c r="M42" s="24" t="s">
        <v>717</v>
      </c>
    </row>
    <row r="43" spans="1:13">
      <c r="A43" s="10" t="s">
        <v>29</v>
      </c>
      <c r="B43" s="9" t="s">
        <v>284</v>
      </c>
      <c r="C43" s="9" t="s">
        <v>629</v>
      </c>
      <c r="D43" s="9" t="s">
        <v>286</v>
      </c>
      <c r="E43" s="9" t="s">
        <v>736</v>
      </c>
      <c r="F43" s="9" t="s">
        <v>287</v>
      </c>
      <c r="G43" s="19" t="s">
        <v>46</v>
      </c>
      <c r="H43" s="19" t="s">
        <v>48</v>
      </c>
      <c r="I43" s="19" t="s">
        <v>149</v>
      </c>
      <c r="J43" s="10"/>
      <c r="K43" s="10" t="str">
        <f>"230,0"</f>
        <v>230,0</v>
      </c>
      <c r="L43" s="10" t="str">
        <f>"151,7731"</f>
        <v>151,7731</v>
      </c>
      <c r="M43" s="9"/>
    </row>
    <row r="44" spans="1:13">
      <c r="B44" s="5" t="s">
        <v>30</v>
      </c>
    </row>
    <row r="45" spans="1:13" ht="16">
      <c r="A45" s="41" t="s">
        <v>10</v>
      </c>
      <c r="B45" s="41"/>
      <c r="C45" s="42"/>
      <c r="D45" s="42"/>
      <c r="E45" s="42"/>
      <c r="F45" s="42"/>
      <c r="G45" s="42"/>
      <c r="H45" s="42"/>
      <c r="I45" s="42"/>
      <c r="J45" s="42"/>
    </row>
    <row r="46" spans="1:13">
      <c r="A46" s="21" t="s">
        <v>29</v>
      </c>
      <c r="B46" s="15" t="s">
        <v>298</v>
      </c>
      <c r="C46" s="15" t="s">
        <v>299</v>
      </c>
      <c r="D46" s="15" t="s">
        <v>300</v>
      </c>
      <c r="E46" s="15" t="s">
        <v>733</v>
      </c>
      <c r="F46" s="15" t="s">
        <v>52</v>
      </c>
      <c r="G46" s="22" t="s">
        <v>180</v>
      </c>
      <c r="H46" s="22" t="s">
        <v>47</v>
      </c>
      <c r="I46" s="22" t="s">
        <v>48</v>
      </c>
      <c r="J46" s="21"/>
      <c r="K46" s="21" t="str">
        <f>"210,0"</f>
        <v>210,0</v>
      </c>
      <c r="L46" s="21" t="str">
        <f>"129,0240"</f>
        <v>129,0240</v>
      </c>
      <c r="M46" s="15"/>
    </row>
    <row r="47" spans="1:13">
      <c r="B47" s="5" t="s">
        <v>30</v>
      </c>
    </row>
    <row r="48" spans="1:13" ht="16">
      <c r="A48" s="41" t="s">
        <v>183</v>
      </c>
      <c r="B48" s="41"/>
      <c r="C48" s="42"/>
      <c r="D48" s="42"/>
      <c r="E48" s="42"/>
      <c r="F48" s="42"/>
      <c r="G48" s="42"/>
      <c r="H48" s="42"/>
      <c r="I48" s="42"/>
      <c r="J48" s="42"/>
    </row>
    <row r="49" spans="1:13">
      <c r="A49" s="8" t="s">
        <v>29</v>
      </c>
      <c r="B49" s="7" t="s">
        <v>304</v>
      </c>
      <c r="C49" s="7" t="s">
        <v>305</v>
      </c>
      <c r="D49" s="7" t="s">
        <v>306</v>
      </c>
      <c r="E49" s="7" t="s">
        <v>733</v>
      </c>
      <c r="F49" s="7" t="s">
        <v>681</v>
      </c>
      <c r="G49" s="17" t="s">
        <v>156</v>
      </c>
      <c r="H49" s="17" t="s">
        <v>307</v>
      </c>
      <c r="I49" s="18" t="s">
        <v>144</v>
      </c>
      <c r="J49" s="8"/>
      <c r="K49" s="8" t="str">
        <f>"280,0"</f>
        <v>280,0</v>
      </c>
      <c r="L49" s="8" t="str">
        <f>"165,0600"</f>
        <v>165,0600</v>
      </c>
      <c r="M49" s="7"/>
    </row>
    <row r="50" spans="1:13">
      <c r="A50" s="10" t="s">
        <v>203</v>
      </c>
      <c r="B50" s="9" t="s">
        <v>308</v>
      </c>
      <c r="C50" s="9" t="s">
        <v>309</v>
      </c>
      <c r="D50" s="9" t="s">
        <v>310</v>
      </c>
      <c r="E50" s="9" t="s">
        <v>733</v>
      </c>
      <c r="F50" s="9" t="s">
        <v>52</v>
      </c>
      <c r="G50" s="20" t="s">
        <v>137</v>
      </c>
      <c r="H50" s="19" t="s">
        <v>137</v>
      </c>
      <c r="I50" s="19" t="s">
        <v>274</v>
      </c>
      <c r="J50" s="10"/>
      <c r="K50" s="10" t="str">
        <f>"247,5"</f>
        <v>247,5</v>
      </c>
      <c r="L50" s="10" t="str">
        <f>"147,7575"</f>
        <v>147,7575</v>
      </c>
      <c r="M50" s="9"/>
    </row>
    <row r="51" spans="1:13">
      <c r="B51" s="5" t="s">
        <v>30</v>
      </c>
    </row>
    <row r="52" spans="1:13">
      <c r="B52" s="5" t="s">
        <v>30</v>
      </c>
    </row>
    <row r="53" spans="1:13">
      <c r="B53" s="5" t="s">
        <v>30</v>
      </c>
    </row>
    <row r="54" spans="1:13" ht="18">
      <c r="B54" s="11" t="s">
        <v>20</v>
      </c>
      <c r="C54" s="11"/>
      <c r="F54" s="3"/>
    </row>
    <row r="55" spans="1:13" ht="16">
      <c r="B55" s="12" t="s">
        <v>69</v>
      </c>
      <c r="C55" s="12"/>
      <c r="F55" s="3"/>
    </row>
    <row r="56" spans="1:13" ht="14">
      <c r="B56" s="13"/>
      <c r="C56" s="14" t="s">
        <v>22</v>
      </c>
      <c r="F56" s="3"/>
    </row>
    <row r="57" spans="1:13" ht="14">
      <c r="B57" s="16" t="s">
        <v>23</v>
      </c>
      <c r="C57" s="16" t="s">
        <v>24</v>
      </c>
      <c r="D57" s="16" t="s">
        <v>25</v>
      </c>
      <c r="E57" s="16" t="s">
        <v>397</v>
      </c>
      <c r="F57" s="16" t="s">
        <v>27</v>
      </c>
    </row>
    <row r="58" spans="1:13">
      <c r="B58" s="5" t="s">
        <v>113</v>
      </c>
      <c r="C58" s="5" t="s">
        <v>22</v>
      </c>
      <c r="D58" s="6" t="s">
        <v>192</v>
      </c>
      <c r="E58" s="6" t="s">
        <v>40</v>
      </c>
      <c r="F58" s="6" t="s">
        <v>526</v>
      </c>
    </row>
    <row r="59" spans="1:13">
      <c r="B59" s="5" t="s">
        <v>84</v>
      </c>
      <c r="C59" s="5" t="s">
        <v>22</v>
      </c>
      <c r="D59" s="6" t="s">
        <v>189</v>
      </c>
      <c r="E59" s="6" t="s">
        <v>80</v>
      </c>
      <c r="F59" s="6" t="s">
        <v>527</v>
      </c>
    </row>
    <row r="60" spans="1:13">
      <c r="B60" s="5" t="s">
        <v>234</v>
      </c>
      <c r="C60" s="5" t="s">
        <v>22</v>
      </c>
      <c r="D60" s="6" t="s">
        <v>82</v>
      </c>
      <c r="E60" s="6" t="s">
        <v>81</v>
      </c>
      <c r="F60" s="6" t="s">
        <v>545</v>
      </c>
    </row>
  </sheetData>
  <mergeCells count="23">
    <mergeCell ref="A1:M2"/>
    <mergeCell ref="A3:A4"/>
    <mergeCell ref="C3:C4"/>
    <mergeCell ref="D3:D4"/>
    <mergeCell ref="E3:E4"/>
    <mergeCell ref="F3:F4"/>
    <mergeCell ref="G3:J3"/>
    <mergeCell ref="A23:J23"/>
    <mergeCell ref="A26:J26"/>
    <mergeCell ref="K3:K4"/>
    <mergeCell ref="L3:L4"/>
    <mergeCell ref="M3:M4"/>
    <mergeCell ref="A5:J5"/>
    <mergeCell ref="B3:B4"/>
    <mergeCell ref="A9:J9"/>
    <mergeCell ref="A12:J12"/>
    <mergeCell ref="A15:J15"/>
    <mergeCell ref="A19:J19"/>
    <mergeCell ref="A29:J29"/>
    <mergeCell ref="A36:J36"/>
    <mergeCell ref="A40:J40"/>
    <mergeCell ref="A45:J45"/>
    <mergeCell ref="A48:J48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7BAC39-B194-43EB-B173-6C70CD2CD54B}">
  <dimension ref="A1:M30"/>
  <sheetViews>
    <sheetView workbookViewId="0">
      <selection sqref="A1:M2"/>
    </sheetView>
  </sheetViews>
  <sheetFormatPr baseColWidth="10" defaultColWidth="9.1640625" defaultRowHeight="13"/>
  <cols>
    <col min="1" max="1" width="7.1640625" style="5" bestFit="1" customWidth="1"/>
    <col min="2" max="2" width="21.33203125" style="5" bestFit="1" customWidth="1"/>
    <col min="3" max="3" width="28.6640625" style="5" bestFit="1" customWidth="1"/>
    <col min="4" max="4" width="20.83203125" style="5" bestFit="1" customWidth="1"/>
    <col min="5" max="5" width="10.1640625" style="5" bestFit="1" customWidth="1"/>
    <col min="6" max="6" width="29.1640625" style="5" bestFit="1" customWidth="1"/>
    <col min="7" max="9" width="5.5" style="6" customWidth="1"/>
    <col min="10" max="10" width="4.5" style="6" customWidth="1"/>
    <col min="11" max="11" width="10.5" style="36" bestFit="1" customWidth="1"/>
    <col min="12" max="12" width="8.5" style="6" bestFit="1" customWidth="1"/>
    <col min="13" max="13" width="16.5" style="5" bestFit="1" customWidth="1"/>
    <col min="14" max="16384" width="9.1640625" style="3"/>
  </cols>
  <sheetData>
    <row r="1" spans="1:13" s="2" customFormat="1" ht="29" customHeight="1">
      <c r="A1" s="53" t="s">
        <v>665</v>
      </c>
      <c r="B1" s="54"/>
      <c r="C1" s="55"/>
      <c r="D1" s="55"/>
      <c r="E1" s="55"/>
      <c r="F1" s="55"/>
      <c r="G1" s="55"/>
      <c r="H1" s="55"/>
      <c r="I1" s="55"/>
      <c r="J1" s="55"/>
      <c r="K1" s="55"/>
      <c r="L1" s="55"/>
      <c r="M1" s="56"/>
    </row>
    <row r="2" spans="1:13" s="2" customFormat="1" ht="62" customHeight="1" thickBot="1">
      <c r="A2" s="57"/>
      <c r="B2" s="58"/>
      <c r="C2" s="59"/>
      <c r="D2" s="59"/>
      <c r="E2" s="59"/>
      <c r="F2" s="59"/>
      <c r="G2" s="59"/>
      <c r="H2" s="59"/>
      <c r="I2" s="59"/>
      <c r="J2" s="59"/>
      <c r="K2" s="59"/>
      <c r="L2" s="59"/>
      <c r="M2" s="60"/>
    </row>
    <row r="3" spans="1:13" s="1" customFormat="1" ht="12.75" customHeight="1">
      <c r="A3" s="61" t="s">
        <v>730</v>
      </c>
      <c r="B3" s="43" t="s">
        <v>0</v>
      </c>
      <c r="C3" s="63" t="s">
        <v>731</v>
      </c>
      <c r="D3" s="63" t="s">
        <v>6</v>
      </c>
      <c r="E3" s="47" t="s">
        <v>732</v>
      </c>
      <c r="F3" s="47" t="s">
        <v>5</v>
      </c>
      <c r="G3" s="47" t="s">
        <v>9</v>
      </c>
      <c r="H3" s="47"/>
      <c r="I3" s="47"/>
      <c r="J3" s="47"/>
      <c r="K3" s="45" t="s">
        <v>401</v>
      </c>
      <c r="L3" s="47" t="s">
        <v>3</v>
      </c>
      <c r="M3" s="49" t="s">
        <v>2</v>
      </c>
    </row>
    <row r="4" spans="1:13" s="1" customFormat="1" ht="21" customHeight="1" thickBot="1">
      <c r="A4" s="62"/>
      <c r="B4" s="44"/>
      <c r="C4" s="48"/>
      <c r="D4" s="48"/>
      <c r="E4" s="48"/>
      <c r="F4" s="48"/>
      <c r="G4" s="4">
        <v>1</v>
      </c>
      <c r="H4" s="4">
        <v>2</v>
      </c>
      <c r="I4" s="4">
        <v>3</v>
      </c>
      <c r="J4" s="4" t="s">
        <v>4</v>
      </c>
      <c r="K4" s="46"/>
      <c r="L4" s="48"/>
      <c r="M4" s="50"/>
    </row>
    <row r="5" spans="1:13" ht="16">
      <c r="A5" s="51" t="s">
        <v>83</v>
      </c>
      <c r="B5" s="51"/>
      <c r="C5" s="52"/>
      <c r="D5" s="52"/>
      <c r="E5" s="52"/>
      <c r="F5" s="52"/>
      <c r="G5" s="52"/>
      <c r="H5" s="52"/>
      <c r="I5" s="52"/>
      <c r="J5" s="52"/>
    </row>
    <row r="6" spans="1:13">
      <c r="A6" s="21" t="s">
        <v>29</v>
      </c>
      <c r="B6" s="15" t="s">
        <v>84</v>
      </c>
      <c r="C6" s="15" t="s">
        <v>85</v>
      </c>
      <c r="D6" s="15" t="s">
        <v>86</v>
      </c>
      <c r="E6" s="15" t="s">
        <v>733</v>
      </c>
      <c r="F6" s="15" t="s">
        <v>680</v>
      </c>
      <c r="G6" s="22" t="s">
        <v>87</v>
      </c>
      <c r="H6" s="22" t="s">
        <v>88</v>
      </c>
      <c r="I6" s="22" t="s">
        <v>80</v>
      </c>
      <c r="J6" s="21"/>
      <c r="K6" s="39" t="str">
        <f>"110,0"</f>
        <v>110,0</v>
      </c>
      <c r="L6" s="21" t="str">
        <f>"140,4590"</f>
        <v>140,4590</v>
      </c>
      <c r="M6" s="15" t="s">
        <v>683</v>
      </c>
    </row>
    <row r="7" spans="1:13">
      <c r="B7" s="5" t="s">
        <v>30</v>
      </c>
    </row>
    <row r="8" spans="1:13" ht="16">
      <c r="A8" s="41" t="s">
        <v>31</v>
      </c>
      <c r="B8" s="41"/>
      <c r="C8" s="42"/>
      <c r="D8" s="42"/>
      <c r="E8" s="42"/>
      <c r="F8" s="42"/>
      <c r="G8" s="42"/>
      <c r="H8" s="42"/>
      <c r="I8" s="42"/>
      <c r="J8" s="42"/>
    </row>
    <row r="9" spans="1:13">
      <c r="A9" s="21" t="s">
        <v>29</v>
      </c>
      <c r="B9" s="15" t="s">
        <v>92</v>
      </c>
      <c r="C9" s="15" t="s">
        <v>93</v>
      </c>
      <c r="D9" s="15" t="s">
        <v>94</v>
      </c>
      <c r="E9" s="15" t="s">
        <v>733</v>
      </c>
      <c r="F9" s="15" t="s">
        <v>680</v>
      </c>
      <c r="G9" s="22" t="s">
        <v>87</v>
      </c>
      <c r="H9" s="22" t="s">
        <v>78</v>
      </c>
      <c r="I9" s="23" t="s">
        <v>98</v>
      </c>
      <c r="J9" s="21"/>
      <c r="K9" s="39" t="str">
        <f>"105,0"</f>
        <v>105,0</v>
      </c>
      <c r="L9" s="21" t="str">
        <f>"117,2115"</f>
        <v>117,2115</v>
      </c>
      <c r="M9" s="15" t="s">
        <v>683</v>
      </c>
    </row>
    <row r="10" spans="1:13">
      <c r="B10" s="5" t="s">
        <v>30</v>
      </c>
    </row>
    <row r="11" spans="1:13" ht="16">
      <c r="A11" s="41" t="s">
        <v>72</v>
      </c>
      <c r="B11" s="41"/>
      <c r="C11" s="42"/>
      <c r="D11" s="42"/>
      <c r="E11" s="42"/>
      <c r="F11" s="42"/>
      <c r="G11" s="42"/>
      <c r="H11" s="42"/>
      <c r="I11" s="42"/>
      <c r="J11" s="42"/>
    </row>
    <row r="12" spans="1:13">
      <c r="A12" s="21" t="s">
        <v>29</v>
      </c>
      <c r="B12" s="15" t="s">
        <v>106</v>
      </c>
      <c r="C12" s="15" t="s">
        <v>107</v>
      </c>
      <c r="D12" s="15" t="s">
        <v>108</v>
      </c>
      <c r="E12" s="15" t="s">
        <v>733</v>
      </c>
      <c r="F12" s="15" t="s">
        <v>680</v>
      </c>
      <c r="G12" s="22" t="s">
        <v>78</v>
      </c>
      <c r="H12" s="22" t="s">
        <v>98</v>
      </c>
      <c r="I12" s="23" t="s">
        <v>111</v>
      </c>
      <c r="J12" s="21"/>
      <c r="K12" s="39" t="str">
        <f>"112,5"</f>
        <v>112,5</v>
      </c>
      <c r="L12" s="21" t="str">
        <f>"118,8450"</f>
        <v>118,8450</v>
      </c>
      <c r="M12" s="15" t="s">
        <v>683</v>
      </c>
    </row>
    <row r="13" spans="1:13">
      <c r="B13" s="5" t="s">
        <v>30</v>
      </c>
    </row>
    <row r="14" spans="1:13" ht="16">
      <c r="A14" s="41" t="s">
        <v>112</v>
      </c>
      <c r="B14" s="41"/>
      <c r="C14" s="42"/>
      <c r="D14" s="42"/>
      <c r="E14" s="42"/>
      <c r="F14" s="42"/>
      <c r="G14" s="42"/>
      <c r="H14" s="42"/>
      <c r="I14" s="42"/>
      <c r="J14" s="42"/>
    </row>
    <row r="15" spans="1:13">
      <c r="A15" s="8" t="s">
        <v>29</v>
      </c>
      <c r="B15" s="7" t="s">
        <v>113</v>
      </c>
      <c r="C15" s="7" t="s">
        <v>114</v>
      </c>
      <c r="D15" s="7" t="s">
        <v>115</v>
      </c>
      <c r="E15" s="7" t="s">
        <v>733</v>
      </c>
      <c r="F15" s="7" t="s">
        <v>680</v>
      </c>
      <c r="G15" s="17" t="s">
        <v>120</v>
      </c>
      <c r="H15" s="17" t="s">
        <v>35</v>
      </c>
      <c r="I15" s="17" t="s">
        <v>40</v>
      </c>
      <c r="J15" s="8"/>
      <c r="K15" s="37" t="str">
        <f>"155,0"</f>
        <v>155,0</v>
      </c>
      <c r="L15" s="8" t="str">
        <f>"148,3505"</f>
        <v>148,3505</v>
      </c>
      <c r="M15" s="7" t="s">
        <v>683</v>
      </c>
    </row>
    <row r="16" spans="1:13">
      <c r="A16" s="10" t="s">
        <v>203</v>
      </c>
      <c r="B16" s="9" t="s">
        <v>121</v>
      </c>
      <c r="C16" s="9" t="s">
        <v>122</v>
      </c>
      <c r="D16" s="9" t="s">
        <v>123</v>
      </c>
      <c r="E16" s="9" t="s">
        <v>733</v>
      </c>
      <c r="F16" s="9" t="s">
        <v>680</v>
      </c>
      <c r="G16" s="19" t="s">
        <v>120</v>
      </c>
      <c r="H16" s="20" t="s">
        <v>35</v>
      </c>
      <c r="I16" s="20" t="s">
        <v>35</v>
      </c>
      <c r="J16" s="10"/>
      <c r="K16" s="38" t="str">
        <f>"130,0"</f>
        <v>130,0</v>
      </c>
      <c r="L16" s="10" t="str">
        <f>"123,5780"</f>
        <v>123,5780</v>
      </c>
      <c r="M16" s="9" t="s">
        <v>683</v>
      </c>
    </row>
    <row r="17" spans="1:13">
      <c r="B17" s="5" t="s">
        <v>30</v>
      </c>
    </row>
    <row r="18" spans="1:13" ht="16">
      <c r="A18" s="41" t="s">
        <v>112</v>
      </c>
      <c r="B18" s="41"/>
      <c r="C18" s="42"/>
      <c r="D18" s="42"/>
      <c r="E18" s="42"/>
      <c r="F18" s="42"/>
      <c r="G18" s="42"/>
      <c r="H18" s="42"/>
      <c r="I18" s="42"/>
      <c r="J18" s="42"/>
    </row>
    <row r="19" spans="1:13">
      <c r="A19" s="21" t="s">
        <v>29</v>
      </c>
      <c r="B19" s="15" t="s">
        <v>510</v>
      </c>
      <c r="C19" s="15" t="s">
        <v>511</v>
      </c>
      <c r="D19" s="15" t="s">
        <v>512</v>
      </c>
      <c r="E19" s="15" t="s">
        <v>733</v>
      </c>
      <c r="F19" s="15" t="s">
        <v>680</v>
      </c>
      <c r="G19" s="22" t="s">
        <v>77</v>
      </c>
      <c r="H19" s="22" t="s">
        <v>132</v>
      </c>
      <c r="I19" s="22" t="s">
        <v>124</v>
      </c>
      <c r="J19" s="21"/>
      <c r="K19" s="39" t="str">
        <f>"125,0"</f>
        <v>125,0</v>
      </c>
      <c r="L19" s="21" t="str">
        <f>"90,6125"</f>
        <v>90,6125</v>
      </c>
      <c r="M19" s="15" t="s">
        <v>683</v>
      </c>
    </row>
    <row r="20" spans="1:13">
      <c r="B20" s="5" t="s">
        <v>30</v>
      </c>
    </row>
    <row r="21" spans="1:13" ht="16">
      <c r="A21" s="41" t="s">
        <v>126</v>
      </c>
      <c r="B21" s="41"/>
      <c r="C21" s="42"/>
      <c r="D21" s="42"/>
      <c r="E21" s="42"/>
      <c r="F21" s="42"/>
      <c r="G21" s="42"/>
      <c r="H21" s="42"/>
      <c r="I21" s="42"/>
      <c r="J21" s="42"/>
    </row>
    <row r="22" spans="1:13">
      <c r="A22" s="8" t="s">
        <v>29</v>
      </c>
      <c r="B22" s="7" t="s">
        <v>139</v>
      </c>
      <c r="C22" s="7" t="s">
        <v>140</v>
      </c>
      <c r="D22" s="7" t="s">
        <v>141</v>
      </c>
      <c r="E22" s="7" t="s">
        <v>733</v>
      </c>
      <c r="F22" s="7" t="s">
        <v>52</v>
      </c>
      <c r="G22" s="17" t="s">
        <v>144</v>
      </c>
      <c r="H22" s="18" t="s">
        <v>66</v>
      </c>
      <c r="I22" s="18" t="s">
        <v>66</v>
      </c>
      <c r="J22" s="8"/>
      <c r="K22" s="37" t="str">
        <f>"290,0"</f>
        <v>290,0</v>
      </c>
      <c r="L22" s="8" t="str">
        <f>"196,0110"</f>
        <v>196,0110</v>
      </c>
      <c r="M22" s="7"/>
    </row>
    <row r="23" spans="1:13">
      <c r="A23" s="25" t="s">
        <v>203</v>
      </c>
      <c r="B23" s="24" t="s">
        <v>513</v>
      </c>
      <c r="C23" s="24" t="s">
        <v>514</v>
      </c>
      <c r="D23" s="24" t="s">
        <v>509</v>
      </c>
      <c r="E23" s="24" t="s">
        <v>733</v>
      </c>
      <c r="F23" s="24" t="s">
        <v>700</v>
      </c>
      <c r="G23" s="26" t="s">
        <v>181</v>
      </c>
      <c r="H23" s="26" t="s">
        <v>19</v>
      </c>
      <c r="I23" s="26" t="s">
        <v>148</v>
      </c>
      <c r="J23" s="25"/>
      <c r="K23" s="40" t="str">
        <f>"220,0"</f>
        <v>220,0</v>
      </c>
      <c r="L23" s="25" t="str">
        <f>"147,3780"</f>
        <v>147,3780</v>
      </c>
      <c r="M23" s="24" t="s">
        <v>703</v>
      </c>
    </row>
    <row r="24" spans="1:13">
      <c r="A24" s="10" t="s">
        <v>71</v>
      </c>
      <c r="B24" s="9" t="s">
        <v>515</v>
      </c>
      <c r="C24" s="9" t="s">
        <v>516</v>
      </c>
      <c r="D24" s="9" t="s">
        <v>517</v>
      </c>
      <c r="E24" s="9" t="s">
        <v>733</v>
      </c>
      <c r="F24" s="9" t="s">
        <v>518</v>
      </c>
      <c r="G24" s="20" t="s">
        <v>307</v>
      </c>
      <c r="H24" s="20" t="s">
        <v>307</v>
      </c>
      <c r="I24" s="20" t="s">
        <v>307</v>
      </c>
      <c r="J24" s="10"/>
      <c r="K24" s="38">
        <v>0</v>
      </c>
      <c r="L24" s="10" t="str">
        <f>"0,0000"</f>
        <v>0,0000</v>
      </c>
      <c r="M24" s="9"/>
    </row>
    <row r="25" spans="1:13">
      <c r="B25" s="5" t="s">
        <v>30</v>
      </c>
    </row>
    <row r="26" spans="1:13" ht="16">
      <c r="A26" s="41" t="s">
        <v>10</v>
      </c>
      <c r="B26" s="41"/>
      <c r="C26" s="42"/>
      <c r="D26" s="42"/>
      <c r="E26" s="42"/>
      <c r="F26" s="42"/>
      <c r="G26" s="42"/>
      <c r="H26" s="42"/>
      <c r="I26" s="42"/>
      <c r="J26" s="42"/>
    </row>
    <row r="27" spans="1:13">
      <c r="A27" s="8" t="s">
        <v>29</v>
      </c>
      <c r="B27" s="7" t="s">
        <v>519</v>
      </c>
      <c r="C27" s="7" t="s">
        <v>630</v>
      </c>
      <c r="D27" s="7" t="s">
        <v>520</v>
      </c>
      <c r="E27" s="7" t="s">
        <v>737</v>
      </c>
      <c r="F27" s="7" t="s">
        <v>52</v>
      </c>
      <c r="G27" s="17" t="s">
        <v>148</v>
      </c>
      <c r="H27" s="17" t="s">
        <v>155</v>
      </c>
      <c r="I27" s="18" t="s">
        <v>521</v>
      </c>
      <c r="J27" s="8"/>
      <c r="K27" s="37" t="str">
        <f>"245,0"</f>
        <v>245,0</v>
      </c>
      <c r="L27" s="8" t="str">
        <f>"149,7195"</f>
        <v>149,7195</v>
      </c>
      <c r="M27" s="7"/>
    </row>
    <row r="28" spans="1:13">
      <c r="A28" s="25" t="s">
        <v>29</v>
      </c>
      <c r="B28" s="24" t="s">
        <v>522</v>
      </c>
      <c r="C28" s="24" t="s">
        <v>523</v>
      </c>
      <c r="D28" s="24" t="s">
        <v>524</v>
      </c>
      <c r="E28" s="24" t="s">
        <v>733</v>
      </c>
      <c r="F28" s="24" t="s">
        <v>52</v>
      </c>
      <c r="G28" s="26" t="s">
        <v>137</v>
      </c>
      <c r="H28" s="26" t="s">
        <v>15</v>
      </c>
      <c r="I28" s="27" t="s">
        <v>525</v>
      </c>
      <c r="J28" s="25"/>
      <c r="K28" s="40" t="str">
        <f>"250,0"</f>
        <v>250,0</v>
      </c>
      <c r="L28" s="25" t="str">
        <f>"155,6500"</f>
        <v>155,6500</v>
      </c>
      <c r="M28" s="24" t="s">
        <v>705</v>
      </c>
    </row>
    <row r="29" spans="1:13">
      <c r="A29" s="10" t="s">
        <v>29</v>
      </c>
      <c r="B29" s="9" t="s">
        <v>160</v>
      </c>
      <c r="C29" s="9" t="s">
        <v>625</v>
      </c>
      <c r="D29" s="9" t="s">
        <v>162</v>
      </c>
      <c r="E29" s="9" t="s">
        <v>736</v>
      </c>
      <c r="F29" s="9" t="s">
        <v>681</v>
      </c>
      <c r="G29" s="20" t="s">
        <v>163</v>
      </c>
      <c r="H29" s="19" t="s">
        <v>163</v>
      </c>
      <c r="I29" s="20" t="s">
        <v>66</v>
      </c>
      <c r="J29" s="10"/>
      <c r="K29" s="38" t="str">
        <f>"275,0"</f>
        <v>275,0</v>
      </c>
      <c r="L29" s="10" t="str">
        <f>"172,4753"</f>
        <v>172,4753</v>
      </c>
      <c r="M29" s="9" t="s">
        <v>697</v>
      </c>
    </row>
    <row r="30" spans="1:13">
      <c r="B30" s="5" t="s">
        <v>30</v>
      </c>
    </row>
  </sheetData>
  <mergeCells count="18">
    <mergeCell ref="A1:M2"/>
    <mergeCell ref="A3:A4"/>
    <mergeCell ref="C3:C4"/>
    <mergeCell ref="D3:D4"/>
    <mergeCell ref="E3:E4"/>
    <mergeCell ref="F3:F4"/>
    <mergeCell ref="G3:J3"/>
    <mergeCell ref="A26:J26"/>
    <mergeCell ref="K3:K4"/>
    <mergeCell ref="L3:L4"/>
    <mergeCell ref="M3:M4"/>
    <mergeCell ref="A5:J5"/>
    <mergeCell ref="B3:B4"/>
    <mergeCell ref="A8:J8"/>
    <mergeCell ref="A11:J11"/>
    <mergeCell ref="A14:J14"/>
    <mergeCell ref="A18:J18"/>
    <mergeCell ref="A21:J21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9C9CE3-66D4-4A8A-973C-E7782E3EB470}">
  <dimension ref="A1:M10"/>
  <sheetViews>
    <sheetView workbookViewId="0">
      <selection sqref="A1:M2"/>
    </sheetView>
  </sheetViews>
  <sheetFormatPr baseColWidth="10" defaultColWidth="9.1640625" defaultRowHeight="13"/>
  <cols>
    <col min="1" max="1" width="7.1640625" style="5" bestFit="1" customWidth="1"/>
    <col min="2" max="2" width="18.83203125" style="5" bestFit="1" customWidth="1"/>
    <col min="3" max="3" width="25.1640625" style="5" bestFit="1" customWidth="1"/>
    <col min="4" max="4" width="20.83203125" style="5" bestFit="1" customWidth="1"/>
    <col min="5" max="5" width="10.1640625" style="5" bestFit="1" customWidth="1"/>
    <col min="6" max="6" width="25.6640625" style="5" bestFit="1" customWidth="1"/>
    <col min="7" max="9" width="5.5" style="6" customWidth="1"/>
    <col min="10" max="10" width="4.5" style="6" customWidth="1"/>
    <col min="11" max="11" width="10.5" style="6" bestFit="1" customWidth="1"/>
    <col min="12" max="12" width="8.5" style="6" bestFit="1" customWidth="1"/>
    <col min="13" max="13" width="17.5" style="5" bestFit="1" customWidth="1"/>
    <col min="14" max="16384" width="9.1640625" style="3"/>
  </cols>
  <sheetData>
    <row r="1" spans="1:13" s="2" customFormat="1" ht="29" customHeight="1">
      <c r="A1" s="53" t="s">
        <v>661</v>
      </c>
      <c r="B1" s="54"/>
      <c r="C1" s="55"/>
      <c r="D1" s="55"/>
      <c r="E1" s="55"/>
      <c r="F1" s="55"/>
      <c r="G1" s="55"/>
      <c r="H1" s="55"/>
      <c r="I1" s="55"/>
      <c r="J1" s="55"/>
      <c r="K1" s="55"/>
      <c r="L1" s="55"/>
      <c r="M1" s="56"/>
    </row>
    <row r="2" spans="1:13" s="2" customFormat="1" ht="62" customHeight="1" thickBot="1">
      <c r="A2" s="57"/>
      <c r="B2" s="58"/>
      <c r="C2" s="59"/>
      <c r="D2" s="59"/>
      <c r="E2" s="59"/>
      <c r="F2" s="59"/>
      <c r="G2" s="59"/>
      <c r="H2" s="59"/>
      <c r="I2" s="59"/>
      <c r="J2" s="59"/>
      <c r="K2" s="59"/>
      <c r="L2" s="59"/>
      <c r="M2" s="60"/>
    </row>
    <row r="3" spans="1:13" s="1" customFormat="1" ht="12.75" customHeight="1">
      <c r="A3" s="61" t="s">
        <v>730</v>
      </c>
      <c r="B3" s="43" t="s">
        <v>0</v>
      </c>
      <c r="C3" s="63" t="s">
        <v>731</v>
      </c>
      <c r="D3" s="63" t="s">
        <v>6</v>
      </c>
      <c r="E3" s="47" t="s">
        <v>732</v>
      </c>
      <c r="F3" s="47" t="s">
        <v>5</v>
      </c>
      <c r="G3" s="47" t="s">
        <v>9</v>
      </c>
      <c r="H3" s="47"/>
      <c r="I3" s="47"/>
      <c r="J3" s="47"/>
      <c r="K3" s="47" t="s">
        <v>401</v>
      </c>
      <c r="L3" s="47" t="s">
        <v>3</v>
      </c>
      <c r="M3" s="49" t="s">
        <v>2</v>
      </c>
    </row>
    <row r="4" spans="1:13" s="1" customFormat="1" ht="21" customHeight="1" thickBot="1">
      <c r="A4" s="62"/>
      <c r="B4" s="44"/>
      <c r="C4" s="48"/>
      <c r="D4" s="48"/>
      <c r="E4" s="48"/>
      <c r="F4" s="48"/>
      <c r="G4" s="4">
        <v>1</v>
      </c>
      <c r="H4" s="4">
        <v>2</v>
      </c>
      <c r="I4" s="4">
        <v>3</v>
      </c>
      <c r="J4" s="4" t="s">
        <v>4</v>
      </c>
      <c r="K4" s="48"/>
      <c r="L4" s="48"/>
      <c r="M4" s="50"/>
    </row>
    <row r="5" spans="1:13" ht="16">
      <c r="A5" s="51" t="s">
        <v>42</v>
      </c>
      <c r="B5" s="51"/>
      <c r="C5" s="52"/>
      <c r="D5" s="52"/>
      <c r="E5" s="52"/>
      <c r="F5" s="52"/>
      <c r="G5" s="52"/>
      <c r="H5" s="52"/>
      <c r="I5" s="52"/>
      <c r="J5" s="52"/>
    </row>
    <row r="6" spans="1:13">
      <c r="A6" s="21" t="s">
        <v>29</v>
      </c>
      <c r="B6" s="15" t="s">
        <v>546</v>
      </c>
      <c r="C6" s="15" t="s">
        <v>547</v>
      </c>
      <c r="D6" s="15" t="s">
        <v>548</v>
      </c>
      <c r="E6" s="15" t="s">
        <v>733</v>
      </c>
      <c r="F6" s="15" t="s">
        <v>76</v>
      </c>
      <c r="G6" s="22" t="s">
        <v>144</v>
      </c>
      <c r="H6" s="23" t="s">
        <v>63</v>
      </c>
      <c r="I6" s="21"/>
      <c r="J6" s="21"/>
      <c r="K6" s="21" t="str">
        <f>"290,0"</f>
        <v>290,0</v>
      </c>
      <c r="L6" s="21" t="str">
        <f>"188,8190"</f>
        <v>188,8190</v>
      </c>
      <c r="M6" s="15" t="s">
        <v>723</v>
      </c>
    </row>
    <row r="7" spans="1:13">
      <c r="B7" s="5" t="s">
        <v>30</v>
      </c>
    </row>
    <row r="8" spans="1:13" ht="16">
      <c r="A8" s="41" t="s">
        <v>10</v>
      </c>
      <c r="B8" s="41"/>
      <c r="C8" s="42"/>
      <c r="D8" s="42"/>
      <c r="E8" s="42"/>
      <c r="F8" s="42"/>
      <c r="G8" s="42"/>
      <c r="H8" s="42"/>
      <c r="I8" s="42"/>
      <c r="J8" s="42"/>
    </row>
    <row r="9" spans="1:13">
      <c r="A9" s="21" t="s">
        <v>29</v>
      </c>
      <c r="B9" s="15" t="s">
        <v>549</v>
      </c>
      <c r="C9" s="15" t="s">
        <v>550</v>
      </c>
      <c r="D9" s="15" t="s">
        <v>551</v>
      </c>
      <c r="E9" s="15" t="s">
        <v>733</v>
      </c>
      <c r="F9" s="15" t="s">
        <v>52</v>
      </c>
      <c r="G9" s="22" t="s">
        <v>57</v>
      </c>
      <c r="H9" s="22" t="s">
        <v>53</v>
      </c>
      <c r="I9" s="22" t="s">
        <v>54</v>
      </c>
      <c r="J9" s="21"/>
      <c r="K9" s="21" t="str">
        <f>"285,0"</f>
        <v>285,0</v>
      </c>
      <c r="L9" s="21" t="str">
        <f>"178,3245"</f>
        <v>178,3245</v>
      </c>
      <c r="M9" s="15" t="s">
        <v>695</v>
      </c>
    </row>
    <row r="10" spans="1:13">
      <c r="B10" s="5" t="s">
        <v>30</v>
      </c>
    </row>
  </sheetData>
  <mergeCells count="13">
    <mergeCell ref="A1:M2"/>
    <mergeCell ref="A3:A4"/>
    <mergeCell ref="C3:C4"/>
    <mergeCell ref="D3:D4"/>
    <mergeCell ref="E3:E4"/>
    <mergeCell ref="F3:F4"/>
    <mergeCell ref="G3:J3"/>
    <mergeCell ref="A8:J8"/>
    <mergeCell ref="B3:B4"/>
    <mergeCell ref="K3:K4"/>
    <mergeCell ref="L3:L4"/>
    <mergeCell ref="M3:M4"/>
    <mergeCell ref="A5:J5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513488-CAC8-4424-AA19-9EA837AE4399}">
  <dimension ref="A1:M7"/>
  <sheetViews>
    <sheetView workbookViewId="0">
      <selection sqref="A1:M2"/>
    </sheetView>
  </sheetViews>
  <sheetFormatPr baseColWidth="10" defaultColWidth="9.1640625" defaultRowHeight="13"/>
  <cols>
    <col min="1" max="1" width="7.1640625" style="5" bestFit="1" customWidth="1"/>
    <col min="2" max="2" width="16" style="5" bestFit="1" customWidth="1"/>
    <col min="3" max="3" width="28.6640625" style="5" bestFit="1" customWidth="1"/>
    <col min="4" max="4" width="20.83203125" style="5" bestFit="1" customWidth="1"/>
    <col min="5" max="5" width="10.1640625" style="5" bestFit="1" customWidth="1"/>
    <col min="6" max="6" width="28.5" style="5" bestFit="1" customWidth="1"/>
    <col min="7" max="9" width="5.5" style="6" customWidth="1"/>
    <col min="10" max="10" width="4.5" style="6" customWidth="1"/>
    <col min="11" max="11" width="10.5" style="6" bestFit="1" customWidth="1"/>
    <col min="12" max="12" width="8.5" style="6" bestFit="1" customWidth="1"/>
    <col min="13" max="13" width="14.6640625" style="5" bestFit="1" customWidth="1"/>
    <col min="14" max="16384" width="9.1640625" style="3"/>
  </cols>
  <sheetData>
    <row r="1" spans="1:13" s="2" customFormat="1" ht="29" customHeight="1">
      <c r="A1" s="53" t="s">
        <v>662</v>
      </c>
      <c r="B1" s="54"/>
      <c r="C1" s="55"/>
      <c r="D1" s="55"/>
      <c r="E1" s="55"/>
      <c r="F1" s="55"/>
      <c r="G1" s="55"/>
      <c r="H1" s="55"/>
      <c r="I1" s="55"/>
      <c r="J1" s="55"/>
      <c r="K1" s="55"/>
      <c r="L1" s="55"/>
      <c r="M1" s="56"/>
    </row>
    <row r="2" spans="1:13" s="2" customFormat="1" ht="62" customHeight="1" thickBot="1">
      <c r="A2" s="57"/>
      <c r="B2" s="58"/>
      <c r="C2" s="59"/>
      <c r="D2" s="59"/>
      <c r="E2" s="59"/>
      <c r="F2" s="59"/>
      <c r="G2" s="59"/>
      <c r="H2" s="59"/>
      <c r="I2" s="59"/>
      <c r="J2" s="59"/>
      <c r="K2" s="59"/>
      <c r="L2" s="59"/>
      <c r="M2" s="60"/>
    </row>
    <row r="3" spans="1:13" s="1" customFormat="1" ht="12.75" customHeight="1">
      <c r="A3" s="61" t="s">
        <v>730</v>
      </c>
      <c r="B3" s="43" t="s">
        <v>0</v>
      </c>
      <c r="C3" s="63" t="s">
        <v>731</v>
      </c>
      <c r="D3" s="63" t="s">
        <v>6</v>
      </c>
      <c r="E3" s="47" t="s">
        <v>732</v>
      </c>
      <c r="F3" s="47" t="s">
        <v>5</v>
      </c>
      <c r="G3" s="47" t="s">
        <v>9</v>
      </c>
      <c r="H3" s="47"/>
      <c r="I3" s="47"/>
      <c r="J3" s="47"/>
      <c r="K3" s="47" t="s">
        <v>401</v>
      </c>
      <c r="L3" s="47" t="s">
        <v>3</v>
      </c>
      <c r="M3" s="49" t="s">
        <v>2</v>
      </c>
    </row>
    <row r="4" spans="1:13" s="1" customFormat="1" ht="21" customHeight="1" thickBot="1">
      <c r="A4" s="62"/>
      <c r="B4" s="44"/>
      <c r="C4" s="48"/>
      <c r="D4" s="48"/>
      <c r="E4" s="48"/>
      <c r="F4" s="48"/>
      <c r="G4" s="4">
        <v>1</v>
      </c>
      <c r="H4" s="4">
        <v>2</v>
      </c>
      <c r="I4" s="4">
        <v>3</v>
      </c>
      <c r="J4" s="4" t="s">
        <v>4</v>
      </c>
      <c r="K4" s="48"/>
      <c r="L4" s="48"/>
      <c r="M4" s="50"/>
    </row>
    <row r="5" spans="1:13" ht="16">
      <c r="A5" s="51" t="s">
        <v>10</v>
      </c>
      <c r="B5" s="51"/>
      <c r="C5" s="52"/>
      <c r="D5" s="52"/>
      <c r="E5" s="52"/>
      <c r="F5" s="52"/>
      <c r="G5" s="52"/>
      <c r="H5" s="52"/>
      <c r="I5" s="52"/>
      <c r="J5" s="52"/>
    </row>
    <row r="6" spans="1:13">
      <c r="A6" s="21" t="s">
        <v>29</v>
      </c>
      <c r="B6" s="15" t="s">
        <v>11</v>
      </c>
      <c r="C6" s="15" t="s">
        <v>626</v>
      </c>
      <c r="D6" s="15" t="s">
        <v>13</v>
      </c>
      <c r="E6" s="15" t="s">
        <v>734</v>
      </c>
      <c r="F6" s="15" t="s">
        <v>680</v>
      </c>
      <c r="G6" s="22" t="s">
        <v>19</v>
      </c>
      <c r="H6" s="22" t="s">
        <v>14</v>
      </c>
      <c r="I6" s="23" t="s">
        <v>15</v>
      </c>
      <c r="J6" s="21"/>
      <c r="K6" s="21" t="str">
        <f>"235,0"</f>
        <v>235,0</v>
      </c>
      <c r="L6" s="21" t="str">
        <f>"166,0272"</f>
        <v>166,0272</v>
      </c>
      <c r="M6" s="15" t="s">
        <v>703</v>
      </c>
    </row>
    <row r="7" spans="1:13">
      <c r="B7" s="5" t="s">
        <v>30</v>
      </c>
    </row>
  </sheetData>
  <mergeCells count="12">
    <mergeCell ref="A5:J5"/>
    <mergeCell ref="B3:B4"/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0A374D-C44E-4E0C-A66B-1197F25704EA}">
  <dimension ref="A1:M7"/>
  <sheetViews>
    <sheetView workbookViewId="0">
      <selection sqref="A1:M2"/>
    </sheetView>
  </sheetViews>
  <sheetFormatPr baseColWidth="10" defaultColWidth="9.1640625" defaultRowHeight="13"/>
  <cols>
    <col min="1" max="1" width="7.1640625" style="5" bestFit="1" customWidth="1"/>
    <col min="2" max="2" width="16" style="5" bestFit="1" customWidth="1"/>
    <col min="3" max="3" width="28.6640625" style="5" bestFit="1" customWidth="1"/>
    <col min="4" max="4" width="20.83203125" style="5" bestFit="1" customWidth="1"/>
    <col min="5" max="5" width="10.1640625" style="5" bestFit="1" customWidth="1"/>
    <col min="6" max="6" width="28.5" style="5" bestFit="1" customWidth="1"/>
    <col min="7" max="9" width="5.5" style="6" customWidth="1"/>
    <col min="10" max="10" width="4.5" style="6" customWidth="1"/>
    <col min="11" max="11" width="10.5" style="6" bestFit="1" customWidth="1"/>
    <col min="12" max="12" width="8.5" style="6" bestFit="1" customWidth="1"/>
    <col min="13" max="13" width="14.6640625" style="5" bestFit="1" customWidth="1"/>
    <col min="14" max="16384" width="9.1640625" style="3"/>
  </cols>
  <sheetData>
    <row r="1" spans="1:13" s="2" customFormat="1" ht="29" customHeight="1">
      <c r="A1" s="53" t="s">
        <v>663</v>
      </c>
      <c r="B1" s="54"/>
      <c r="C1" s="55"/>
      <c r="D1" s="55"/>
      <c r="E1" s="55"/>
      <c r="F1" s="55"/>
      <c r="G1" s="55"/>
      <c r="H1" s="55"/>
      <c r="I1" s="55"/>
      <c r="J1" s="55"/>
      <c r="K1" s="55"/>
      <c r="L1" s="55"/>
      <c r="M1" s="56"/>
    </row>
    <row r="2" spans="1:13" s="2" customFormat="1" ht="62" customHeight="1" thickBot="1">
      <c r="A2" s="57"/>
      <c r="B2" s="58"/>
      <c r="C2" s="59"/>
      <c r="D2" s="59"/>
      <c r="E2" s="59"/>
      <c r="F2" s="59"/>
      <c r="G2" s="59"/>
      <c r="H2" s="59"/>
      <c r="I2" s="59"/>
      <c r="J2" s="59"/>
      <c r="K2" s="59"/>
      <c r="L2" s="59"/>
      <c r="M2" s="60"/>
    </row>
    <row r="3" spans="1:13" s="1" customFormat="1" ht="12.75" customHeight="1">
      <c r="A3" s="61" t="s">
        <v>730</v>
      </c>
      <c r="B3" s="43" t="s">
        <v>0</v>
      </c>
      <c r="C3" s="63" t="s">
        <v>731</v>
      </c>
      <c r="D3" s="63" t="s">
        <v>6</v>
      </c>
      <c r="E3" s="47" t="s">
        <v>732</v>
      </c>
      <c r="F3" s="47" t="s">
        <v>5</v>
      </c>
      <c r="G3" s="47" t="s">
        <v>9</v>
      </c>
      <c r="H3" s="47"/>
      <c r="I3" s="47"/>
      <c r="J3" s="47"/>
      <c r="K3" s="47" t="s">
        <v>401</v>
      </c>
      <c r="L3" s="47" t="s">
        <v>3</v>
      </c>
      <c r="M3" s="49" t="s">
        <v>2</v>
      </c>
    </row>
    <row r="4" spans="1:13" s="1" customFormat="1" ht="21" customHeight="1" thickBot="1">
      <c r="A4" s="62"/>
      <c r="B4" s="44"/>
      <c r="C4" s="48"/>
      <c r="D4" s="48"/>
      <c r="E4" s="48"/>
      <c r="F4" s="48"/>
      <c r="G4" s="4">
        <v>1</v>
      </c>
      <c r="H4" s="4">
        <v>2</v>
      </c>
      <c r="I4" s="4">
        <v>3</v>
      </c>
      <c r="J4" s="4" t="s">
        <v>4</v>
      </c>
      <c r="K4" s="48"/>
      <c r="L4" s="48"/>
      <c r="M4" s="50"/>
    </row>
    <row r="5" spans="1:13" ht="16">
      <c r="A5" s="51" t="s">
        <v>10</v>
      </c>
      <c r="B5" s="51"/>
      <c r="C5" s="52"/>
      <c r="D5" s="52"/>
      <c r="E5" s="52"/>
      <c r="F5" s="52"/>
      <c r="G5" s="52"/>
      <c r="H5" s="52"/>
      <c r="I5" s="52"/>
      <c r="J5" s="52"/>
    </row>
    <row r="6" spans="1:13">
      <c r="A6" s="21" t="s">
        <v>29</v>
      </c>
      <c r="B6" s="15" t="s">
        <v>11</v>
      </c>
      <c r="C6" s="15" t="s">
        <v>626</v>
      </c>
      <c r="D6" s="15" t="s">
        <v>13</v>
      </c>
      <c r="E6" s="15" t="s">
        <v>734</v>
      </c>
      <c r="F6" s="15" t="s">
        <v>680</v>
      </c>
      <c r="G6" s="22" t="s">
        <v>19</v>
      </c>
      <c r="H6" s="22" t="s">
        <v>14</v>
      </c>
      <c r="I6" s="23" t="s">
        <v>15</v>
      </c>
      <c r="J6" s="21"/>
      <c r="K6" s="21" t="str">
        <f>"235,0"</f>
        <v>235,0</v>
      </c>
      <c r="L6" s="21" t="str">
        <f>"166,0272"</f>
        <v>166,0272</v>
      </c>
      <c r="M6" s="15" t="s">
        <v>703</v>
      </c>
    </row>
    <row r="7" spans="1:13">
      <c r="B7" s="5" t="s">
        <v>30</v>
      </c>
    </row>
  </sheetData>
  <mergeCells count="12">
    <mergeCell ref="A5:J5"/>
    <mergeCell ref="B3:B4"/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961C4A-C594-477C-9FC7-E96BC8E3A270}">
  <dimension ref="A1:U7"/>
  <sheetViews>
    <sheetView workbookViewId="0">
      <selection sqref="A1:U2"/>
    </sheetView>
  </sheetViews>
  <sheetFormatPr baseColWidth="10" defaultColWidth="9.1640625" defaultRowHeight="13"/>
  <cols>
    <col min="1" max="1" width="7.1640625" style="5" bestFit="1" customWidth="1"/>
    <col min="2" max="2" width="16.33203125" style="5" bestFit="1" customWidth="1"/>
    <col min="3" max="3" width="25.1640625" style="5" bestFit="1" customWidth="1"/>
    <col min="4" max="4" width="20.83203125" style="5" bestFit="1" customWidth="1"/>
    <col min="5" max="5" width="10.1640625" style="5" bestFit="1" customWidth="1"/>
    <col min="6" max="6" width="25.6640625" style="5" bestFit="1" customWidth="1"/>
    <col min="7" max="9" width="5.5" style="6" customWidth="1"/>
    <col min="10" max="10" width="4.5" style="6" customWidth="1"/>
    <col min="11" max="13" width="5.5" style="6" customWidth="1"/>
    <col min="14" max="14" width="4.5" style="6" customWidth="1"/>
    <col min="15" max="17" width="5.5" style="6" customWidth="1"/>
    <col min="18" max="18" width="4.5" style="6" customWidth="1"/>
    <col min="19" max="19" width="7.6640625" style="6" bestFit="1" customWidth="1"/>
    <col min="20" max="20" width="8.5" style="6" bestFit="1" customWidth="1"/>
    <col min="21" max="21" width="19.83203125" style="5" bestFit="1" customWidth="1"/>
    <col min="22" max="16384" width="9.1640625" style="3"/>
  </cols>
  <sheetData>
    <row r="1" spans="1:21" s="2" customFormat="1" ht="29" customHeight="1">
      <c r="A1" s="53" t="s">
        <v>672</v>
      </c>
      <c r="B1" s="54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6"/>
    </row>
    <row r="2" spans="1:21" s="2" customFormat="1" ht="62" customHeight="1" thickBot="1">
      <c r="A2" s="57"/>
      <c r="B2" s="58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60"/>
    </row>
    <row r="3" spans="1:21" s="1" customFormat="1" ht="12.75" customHeight="1">
      <c r="A3" s="61" t="s">
        <v>730</v>
      </c>
      <c r="B3" s="43" t="s">
        <v>0</v>
      </c>
      <c r="C3" s="63" t="s">
        <v>731</v>
      </c>
      <c r="D3" s="63" t="s">
        <v>6</v>
      </c>
      <c r="E3" s="47" t="s">
        <v>732</v>
      </c>
      <c r="F3" s="47" t="s">
        <v>5</v>
      </c>
      <c r="G3" s="47" t="s">
        <v>7</v>
      </c>
      <c r="H3" s="47"/>
      <c r="I3" s="47"/>
      <c r="J3" s="47"/>
      <c r="K3" s="47" t="s">
        <v>8</v>
      </c>
      <c r="L3" s="47"/>
      <c r="M3" s="47"/>
      <c r="N3" s="47"/>
      <c r="O3" s="47" t="s">
        <v>9</v>
      </c>
      <c r="P3" s="47"/>
      <c r="Q3" s="47"/>
      <c r="R3" s="47"/>
      <c r="S3" s="47" t="s">
        <v>1</v>
      </c>
      <c r="T3" s="47" t="s">
        <v>3</v>
      </c>
      <c r="U3" s="49" t="s">
        <v>2</v>
      </c>
    </row>
    <row r="4" spans="1:21" s="1" customFormat="1" ht="21" customHeight="1" thickBot="1">
      <c r="A4" s="62"/>
      <c r="B4" s="44"/>
      <c r="C4" s="48"/>
      <c r="D4" s="48"/>
      <c r="E4" s="48"/>
      <c r="F4" s="48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">
        <v>1</v>
      </c>
      <c r="P4" s="4">
        <v>2</v>
      </c>
      <c r="Q4" s="4">
        <v>3</v>
      </c>
      <c r="R4" s="4" t="s">
        <v>4</v>
      </c>
      <c r="S4" s="48"/>
      <c r="T4" s="48"/>
      <c r="U4" s="50"/>
    </row>
    <row r="5" spans="1:21" ht="16">
      <c r="A5" s="51" t="s">
        <v>42</v>
      </c>
      <c r="B5" s="51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</row>
    <row r="6" spans="1:21">
      <c r="A6" s="21" t="s">
        <v>29</v>
      </c>
      <c r="B6" s="15" t="s">
        <v>333</v>
      </c>
      <c r="C6" s="15" t="s">
        <v>334</v>
      </c>
      <c r="D6" s="15" t="s">
        <v>335</v>
      </c>
      <c r="E6" s="15" t="s">
        <v>733</v>
      </c>
      <c r="F6" s="15" t="s">
        <v>52</v>
      </c>
      <c r="G6" s="23" t="s">
        <v>55</v>
      </c>
      <c r="H6" s="22" t="s">
        <v>55</v>
      </c>
      <c r="I6" s="23" t="s">
        <v>65</v>
      </c>
      <c r="J6" s="21"/>
      <c r="K6" s="22" t="s">
        <v>116</v>
      </c>
      <c r="L6" s="22" t="s">
        <v>111</v>
      </c>
      <c r="M6" s="23" t="s">
        <v>120</v>
      </c>
      <c r="N6" s="21"/>
      <c r="O6" s="22" t="s">
        <v>65</v>
      </c>
      <c r="P6" s="22" t="s">
        <v>180</v>
      </c>
      <c r="Q6" s="23" t="s">
        <v>103</v>
      </c>
      <c r="R6" s="21"/>
      <c r="S6" s="21" t="str">
        <f>"467,5"</f>
        <v>467,5</v>
      </c>
      <c r="T6" s="21" t="str">
        <f>"302,7062"</f>
        <v>302,7062</v>
      </c>
      <c r="U6" s="15" t="s">
        <v>698</v>
      </c>
    </row>
    <row r="7" spans="1:21">
      <c r="B7" s="5" t="s">
        <v>30</v>
      </c>
    </row>
  </sheetData>
  <mergeCells count="14">
    <mergeCell ref="A5:R5"/>
    <mergeCell ref="B3:B4"/>
    <mergeCell ref="A1:U2"/>
    <mergeCell ref="A3:A4"/>
    <mergeCell ref="C3:C4"/>
    <mergeCell ref="D3:D4"/>
    <mergeCell ref="E3:E4"/>
    <mergeCell ref="F3:F4"/>
    <mergeCell ref="G3:J3"/>
    <mergeCell ref="K3:N3"/>
    <mergeCell ref="O3:R3"/>
    <mergeCell ref="S3:S4"/>
    <mergeCell ref="T3:T4"/>
    <mergeCell ref="U3:U4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B14F14-95FA-40B7-9FBE-DFBEF1B56DD7}">
  <dimension ref="A1:Q11"/>
  <sheetViews>
    <sheetView workbookViewId="0">
      <selection sqref="A1:Q2"/>
    </sheetView>
  </sheetViews>
  <sheetFormatPr baseColWidth="10" defaultColWidth="9.1640625" defaultRowHeight="13"/>
  <cols>
    <col min="1" max="1" width="7.1640625" style="5" bestFit="1" customWidth="1"/>
    <col min="2" max="2" width="21" style="5" customWidth="1"/>
    <col min="3" max="3" width="29" style="5" bestFit="1" customWidth="1"/>
    <col min="4" max="4" width="20.83203125" style="5" bestFit="1" customWidth="1"/>
    <col min="5" max="5" width="10.1640625" style="5" bestFit="1" customWidth="1"/>
    <col min="6" max="6" width="26.5" style="5" bestFit="1" customWidth="1"/>
    <col min="7" max="14" width="4.5" style="6" customWidth="1"/>
    <col min="15" max="15" width="7.6640625" style="36" bestFit="1" customWidth="1"/>
    <col min="16" max="16" width="7.5" style="6" bestFit="1" customWidth="1"/>
    <col min="17" max="17" width="17.5" style="5" bestFit="1" customWidth="1"/>
    <col min="18" max="16384" width="9.1640625" style="3"/>
  </cols>
  <sheetData>
    <row r="1" spans="1:17" s="2" customFormat="1" ht="29" customHeight="1">
      <c r="A1" s="53" t="s">
        <v>649</v>
      </c>
      <c r="B1" s="54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6"/>
    </row>
    <row r="2" spans="1:17" s="2" customFormat="1" ht="62" customHeight="1" thickBot="1">
      <c r="A2" s="57"/>
      <c r="B2" s="58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60"/>
    </row>
    <row r="3" spans="1:17" s="1" customFormat="1" ht="12.75" customHeight="1">
      <c r="A3" s="61" t="s">
        <v>730</v>
      </c>
      <c r="B3" s="43" t="s">
        <v>0</v>
      </c>
      <c r="C3" s="63" t="s">
        <v>731</v>
      </c>
      <c r="D3" s="63" t="s">
        <v>6</v>
      </c>
      <c r="E3" s="47" t="s">
        <v>732</v>
      </c>
      <c r="F3" s="47" t="s">
        <v>5</v>
      </c>
      <c r="G3" s="47" t="s">
        <v>555</v>
      </c>
      <c r="H3" s="47"/>
      <c r="I3" s="47"/>
      <c r="J3" s="47"/>
      <c r="K3" s="47" t="s">
        <v>729</v>
      </c>
      <c r="L3" s="47"/>
      <c r="M3" s="47"/>
      <c r="N3" s="47"/>
      <c r="O3" s="45" t="s">
        <v>1</v>
      </c>
      <c r="P3" s="47" t="s">
        <v>3</v>
      </c>
      <c r="Q3" s="49" t="s">
        <v>2</v>
      </c>
    </row>
    <row r="4" spans="1:17" s="1" customFormat="1" ht="21" customHeight="1" thickBot="1">
      <c r="A4" s="62"/>
      <c r="B4" s="44"/>
      <c r="C4" s="48"/>
      <c r="D4" s="48"/>
      <c r="E4" s="48"/>
      <c r="F4" s="48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6"/>
      <c r="P4" s="48"/>
      <c r="Q4" s="50"/>
    </row>
    <row r="5" spans="1:17" ht="16">
      <c r="A5" s="51" t="s">
        <v>83</v>
      </c>
      <c r="B5" s="51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</row>
    <row r="6" spans="1:17">
      <c r="A6" s="8" t="s">
        <v>71</v>
      </c>
      <c r="B6" s="7" t="s">
        <v>588</v>
      </c>
      <c r="C6" s="7" t="s">
        <v>616</v>
      </c>
      <c r="D6" s="7" t="s">
        <v>529</v>
      </c>
      <c r="E6" s="7" t="s">
        <v>735</v>
      </c>
      <c r="F6" s="7" t="s">
        <v>214</v>
      </c>
      <c r="G6" s="17" t="s">
        <v>589</v>
      </c>
      <c r="H6" s="17" t="s">
        <v>590</v>
      </c>
      <c r="I6" s="17" t="s">
        <v>251</v>
      </c>
      <c r="J6" s="8"/>
      <c r="K6" s="18" t="s">
        <v>591</v>
      </c>
      <c r="L6" s="18" t="s">
        <v>591</v>
      </c>
      <c r="M6" s="18" t="s">
        <v>591</v>
      </c>
      <c r="N6" s="8"/>
      <c r="O6" s="37">
        <v>0</v>
      </c>
      <c r="P6" s="8" t="str">
        <f>"0,0000"</f>
        <v>0,0000</v>
      </c>
      <c r="Q6" s="7" t="s">
        <v>592</v>
      </c>
    </row>
    <row r="7" spans="1:17">
      <c r="A7" s="10" t="s">
        <v>29</v>
      </c>
      <c r="B7" s="9" t="s">
        <v>593</v>
      </c>
      <c r="C7" s="9" t="s">
        <v>594</v>
      </c>
      <c r="D7" s="9" t="s">
        <v>595</v>
      </c>
      <c r="E7" s="9" t="s">
        <v>733</v>
      </c>
      <c r="F7" s="9" t="s">
        <v>214</v>
      </c>
      <c r="G7" s="19" t="s">
        <v>589</v>
      </c>
      <c r="H7" s="19" t="s">
        <v>590</v>
      </c>
      <c r="I7" s="20" t="s">
        <v>251</v>
      </c>
      <c r="J7" s="10"/>
      <c r="K7" s="19" t="s">
        <v>589</v>
      </c>
      <c r="L7" s="20" t="s">
        <v>251</v>
      </c>
      <c r="M7" s="20" t="s">
        <v>251</v>
      </c>
      <c r="N7" s="10"/>
      <c r="O7" s="38" t="str">
        <f>"52,5"</f>
        <v>52,5</v>
      </c>
      <c r="P7" s="10" t="str">
        <f>"60,0652"</f>
        <v>60,0652</v>
      </c>
      <c r="Q7" s="9" t="s">
        <v>592</v>
      </c>
    </row>
    <row r="8" spans="1:17">
      <c r="B8" s="5" t="s">
        <v>30</v>
      </c>
    </row>
    <row r="9" spans="1:17" ht="16">
      <c r="A9" s="41" t="s">
        <v>126</v>
      </c>
      <c r="B9" s="41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</row>
    <row r="10" spans="1:17">
      <c r="A10" s="21" t="s">
        <v>29</v>
      </c>
      <c r="B10" s="15" t="s">
        <v>557</v>
      </c>
      <c r="C10" s="15" t="s">
        <v>558</v>
      </c>
      <c r="D10" s="15" t="s">
        <v>559</v>
      </c>
      <c r="E10" s="15" t="s">
        <v>733</v>
      </c>
      <c r="F10" s="15" t="s">
        <v>52</v>
      </c>
      <c r="G10" s="23" t="s">
        <v>216</v>
      </c>
      <c r="H10" s="22" t="s">
        <v>216</v>
      </c>
      <c r="I10" s="22" t="s">
        <v>37</v>
      </c>
      <c r="J10" s="21"/>
      <c r="K10" s="23" t="s">
        <v>216</v>
      </c>
      <c r="L10" s="22" t="s">
        <v>216</v>
      </c>
      <c r="M10" s="23" t="s">
        <v>118</v>
      </c>
      <c r="N10" s="21"/>
      <c r="O10" s="39" t="str">
        <f>"120,0"</f>
        <v>120,0</v>
      </c>
      <c r="P10" s="21" t="str">
        <f>"77,7180"</f>
        <v>77,7180</v>
      </c>
      <c r="Q10" s="15" t="s">
        <v>724</v>
      </c>
    </row>
    <row r="11" spans="1:17">
      <c r="B11" s="5" t="s">
        <v>30</v>
      </c>
    </row>
  </sheetData>
  <mergeCells count="14">
    <mergeCell ref="A1:Q2"/>
    <mergeCell ref="A3:A4"/>
    <mergeCell ref="C3:C4"/>
    <mergeCell ref="D3:D4"/>
    <mergeCell ref="E3:E4"/>
    <mergeCell ref="F3:F4"/>
    <mergeCell ref="G3:J3"/>
    <mergeCell ref="K3:N3"/>
    <mergeCell ref="A9:N9"/>
    <mergeCell ref="B3:B4"/>
    <mergeCell ref="O3:O4"/>
    <mergeCell ref="P3:P4"/>
    <mergeCell ref="Q3:Q4"/>
    <mergeCell ref="A5:N5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0CF79B-1EAA-4720-8BD9-0A31E4A9E5C1}">
  <dimension ref="A1:Q11"/>
  <sheetViews>
    <sheetView workbookViewId="0">
      <selection sqref="A1:Q2"/>
    </sheetView>
  </sheetViews>
  <sheetFormatPr baseColWidth="10" defaultColWidth="9.1640625" defaultRowHeight="13"/>
  <cols>
    <col min="1" max="1" width="7.1640625" style="5" bestFit="1" customWidth="1"/>
    <col min="2" max="2" width="21" style="5" customWidth="1"/>
    <col min="3" max="3" width="28.5" style="5" bestFit="1" customWidth="1"/>
    <col min="4" max="4" width="20.83203125" style="5" bestFit="1" customWidth="1"/>
    <col min="5" max="5" width="10.1640625" style="5" bestFit="1" customWidth="1"/>
    <col min="6" max="6" width="28.5" style="5" bestFit="1" customWidth="1"/>
    <col min="7" max="9" width="5.5" style="6" customWidth="1"/>
    <col min="10" max="14" width="4.5" style="6" customWidth="1"/>
    <col min="15" max="15" width="7.6640625" style="6" bestFit="1" customWidth="1"/>
    <col min="16" max="16" width="8.5" style="6" bestFit="1" customWidth="1"/>
    <col min="17" max="17" width="16.83203125" style="5" bestFit="1" customWidth="1"/>
    <col min="18" max="16384" width="9.1640625" style="3"/>
  </cols>
  <sheetData>
    <row r="1" spans="1:17" s="2" customFormat="1" ht="29" customHeight="1">
      <c r="A1" s="53" t="s">
        <v>650</v>
      </c>
      <c r="B1" s="54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6"/>
    </row>
    <row r="2" spans="1:17" s="2" customFormat="1" ht="62" customHeight="1" thickBot="1">
      <c r="A2" s="57"/>
      <c r="B2" s="58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60"/>
    </row>
    <row r="3" spans="1:17" s="1" customFormat="1" ht="12.75" customHeight="1">
      <c r="A3" s="61" t="s">
        <v>730</v>
      </c>
      <c r="B3" s="43" t="s">
        <v>0</v>
      </c>
      <c r="C3" s="63" t="s">
        <v>731</v>
      </c>
      <c r="D3" s="63" t="s">
        <v>6</v>
      </c>
      <c r="E3" s="47" t="s">
        <v>732</v>
      </c>
      <c r="F3" s="47" t="s">
        <v>5</v>
      </c>
      <c r="G3" s="47" t="s">
        <v>555</v>
      </c>
      <c r="H3" s="47"/>
      <c r="I3" s="47"/>
      <c r="J3" s="47"/>
      <c r="K3" s="47" t="s">
        <v>729</v>
      </c>
      <c r="L3" s="47"/>
      <c r="M3" s="47"/>
      <c r="N3" s="47"/>
      <c r="O3" s="47" t="s">
        <v>1</v>
      </c>
      <c r="P3" s="47" t="s">
        <v>3</v>
      </c>
      <c r="Q3" s="49" t="s">
        <v>2</v>
      </c>
    </row>
    <row r="4" spans="1:17" s="1" customFormat="1" ht="21" customHeight="1" thickBot="1">
      <c r="A4" s="62"/>
      <c r="B4" s="44"/>
      <c r="C4" s="48"/>
      <c r="D4" s="48"/>
      <c r="E4" s="48"/>
      <c r="F4" s="48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8"/>
      <c r="P4" s="48"/>
      <c r="Q4" s="50"/>
    </row>
    <row r="5" spans="1:17" ht="16">
      <c r="A5" s="51" t="s">
        <v>112</v>
      </c>
      <c r="B5" s="51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</row>
    <row r="6" spans="1:17">
      <c r="A6" s="8" t="s">
        <v>29</v>
      </c>
      <c r="B6" s="7" t="s">
        <v>584</v>
      </c>
      <c r="C6" s="7" t="s">
        <v>614</v>
      </c>
      <c r="D6" s="7" t="s">
        <v>585</v>
      </c>
      <c r="E6" s="7" t="s">
        <v>735</v>
      </c>
      <c r="F6" s="7" t="s">
        <v>680</v>
      </c>
      <c r="G6" s="17" t="s">
        <v>131</v>
      </c>
      <c r="H6" s="17" t="s">
        <v>37</v>
      </c>
      <c r="I6" s="18" t="s">
        <v>38</v>
      </c>
      <c r="J6" s="8"/>
      <c r="K6" s="17" t="s">
        <v>568</v>
      </c>
      <c r="L6" s="17" t="s">
        <v>216</v>
      </c>
      <c r="M6" s="17" t="s">
        <v>118</v>
      </c>
      <c r="N6" s="8"/>
      <c r="O6" s="8" t="str">
        <f>"122,5"</f>
        <v>122,5</v>
      </c>
      <c r="P6" s="8" t="str">
        <f>"86,0746"</f>
        <v>86,0746</v>
      </c>
      <c r="Q6" s="7"/>
    </row>
    <row r="7" spans="1:17">
      <c r="A7" s="10" t="s">
        <v>29</v>
      </c>
      <c r="B7" s="9" t="s">
        <v>586</v>
      </c>
      <c r="C7" s="9" t="s">
        <v>617</v>
      </c>
      <c r="D7" s="9" t="s">
        <v>587</v>
      </c>
      <c r="E7" s="9" t="s">
        <v>737</v>
      </c>
      <c r="F7" s="9" t="s">
        <v>680</v>
      </c>
      <c r="G7" s="19" t="s">
        <v>131</v>
      </c>
      <c r="H7" s="19" t="s">
        <v>125</v>
      </c>
      <c r="I7" s="19" t="s">
        <v>38</v>
      </c>
      <c r="J7" s="10"/>
      <c r="K7" s="19" t="s">
        <v>97</v>
      </c>
      <c r="L7" s="19" t="s">
        <v>216</v>
      </c>
      <c r="M7" s="19" t="s">
        <v>131</v>
      </c>
      <c r="N7" s="10"/>
      <c r="O7" s="10" t="str">
        <f>"130,0"</f>
        <v>130,0</v>
      </c>
      <c r="P7" s="10" t="str">
        <f>"93,1385"</f>
        <v>93,1385</v>
      </c>
      <c r="Q7" s="9"/>
    </row>
    <row r="8" spans="1:17">
      <c r="B8" s="5" t="s">
        <v>30</v>
      </c>
    </row>
    <row r="9" spans="1:17" ht="16">
      <c r="A9" s="41" t="s">
        <v>42</v>
      </c>
      <c r="B9" s="41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</row>
    <row r="10" spans="1:17">
      <c r="A10" s="21" t="s">
        <v>29</v>
      </c>
      <c r="B10" s="15" t="s">
        <v>360</v>
      </c>
      <c r="C10" s="15" t="s">
        <v>361</v>
      </c>
      <c r="D10" s="15" t="s">
        <v>324</v>
      </c>
      <c r="E10" s="15" t="s">
        <v>733</v>
      </c>
      <c r="F10" s="15" t="s">
        <v>52</v>
      </c>
      <c r="G10" s="23" t="s">
        <v>77</v>
      </c>
      <c r="H10" s="23" t="s">
        <v>78</v>
      </c>
      <c r="I10" s="22" t="s">
        <v>78</v>
      </c>
      <c r="J10" s="21"/>
      <c r="K10" s="22" t="s">
        <v>37</v>
      </c>
      <c r="L10" s="22" t="s">
        <v>79</v>
      </c>
      <c r="M10" s="23" t="s">
        <v>556</v>
      </c>
      <c r="N10" s="21"/>
      <c r="O10" s="21" t="str">
        <f>"177,5"</f>
        <v>177,5</v>
      </c>
      <c r="P10" s="21" t="str">
        <f>"109,0116"</f>
        <v>109,0116</v>
      </c>
      <c r="Q10" s="15" t="s">
        <v>685</v>
      </c>
    </row>
    <row r="11" spans="1:17">
      <c r="B11" s="5" t="s">
        <v>30</v>
      </c>
    </row>
  </sheetData>
  <mergeCells count="14">
    <mergeCell ref="A1:Q2"/>
    <mergeCell ref="A3:A4"/>
    <mergeCell ref="C3:C4"/>
    <mergeCell ref="D3:D4"/>
    <mergeCell ref="E3:E4"/>
    <mergeCell ref="F3:F4"/>
    <mergeCell ref="G3:J3"/>
    <mergeCell ref="K3:N3"/>
    <mergeCell ref="A9:N9"/>
    <mergeCell ref="B3:B4"/>
    <mergeCell ref="O3:O4"/>
    <mergeCell ref="P3:P4"/>
    <mergeCell ref="Q3:Q4"/>
    <mergeCell ref="A5:N5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8CD942-788E-4E65-94D4-D82C00B2ABB0}">
  <dimension ref="A1:M13"/>
  <sheetViews>
    <sheetView workbookViewId="0">
      <selection sqref="A1:M2"/>
    </sheetView>
  </sheetViews>
  <sheetFormatPr baseColWidth="10" defaultColWidth="9.1640625" defaultRowHeight="13"/>
  <cols>
    <col min="1" max="1" width="7.1640625" style="5" bestFit="1" customWidth="1"/>
    <col min="2" max="2" width="18.83203125" style="5" bestFit="1" customWidth="1"/>
    <col min="3" max="3" width="25.1640625" style="5" bestFit="1" customWidth="1"/>
    <col min="4" max="4" width="20.83203125" style="5" bestFit="1" customWidth="1"/>
    <col min="5" max="5" width="10.1640625" style="5" bestFit="1" customWidth="1"/>
    <col min="6" max="6" width="25.6640625" style="5" bestFit="1" customWidth="1"/>
    <col min="7" max="8" width="4.5" style="6" customWidth="1"/>
    <col min="9" max="9" width="5.5" style="6" customWidth="1"/>
    <col min="10" max="10" width="4.5" style="6" customWidth="1"/>
    <col min="11" max="11" width="10.5" style="6" bestFit="1" customWidth="1"/>
    <col min="12" max="12" width="7.5" style="6" bestFit="1" customWidth="1"/>
    <col min="13" max="13" width="17.6640625" style="5" bestFit="1" customWidth="1"/>
    <col min="14" max="16384" width="9.1640625" style="3"/>
  </cols>
  <sheetData>
    <row r="1" spans="1:13" s="2" customFormat="1" ht="29" customHeight="1">
      <c r="A1" s="53" t="s">
        <v>653</v>
      </c>
      <c r="B1" s="54"/>
      <c r="C1" s="55"/>
      <c r="D1" s="55"/>
      <c r="E1" s="55"/>
      <c r="F1" s="55"/>
      <c r="G1" s="55"/>
      <c r="H1" s="55"/>
      <c r="I1" s="55"/>
      <c r="J1" s="55"/>
      <c r="K1" s="55"/>
      <c r="L1" s="55"/>
      <c r="M1" s="56"/>
    </row>
    <row r="2" spans="1:13" s="2" customFormat="1" ht="62" customHeight="1" thickBot="1">
      <c r="A2" s="57"/>
      <c r="B2" s="58"/>
      <c r="C2" s="59"/>
      <c r="D2" s="59"/>
      <c r="E2" s="59"/>
      <c r="F2" s="59"/>
      <c r="G2" s="59"/>
      <c r="H2" s="59"/>
      <c r="I2" s="59"/>
      <c r="J2" s="59"/>
      <c r="K2" s="59"/>
      <c r="L2" s="59"/>
      <c r="M2" s="60"/>
    </row>
    <row r="3" spans="1:13" s="1" customFormat="1" ht="12.75" customHeight="1">
      <c r="A3" s="61" t="s">
        <v>730</v>
      </c>
      <c r="B3" s="43" t="s">
        <v>0</v>
      </c>
      <c r="C3" s="63" t="s">
        <v>731</v>
      </c>
      <c r="D3" s="63" t="s">
        <v>6</v>
      </c>
      <c r="E3" s="47" t="s">
        <v>732</v>
      </c>
      <c r="F3" s="47" t="s">
        <v>5</v>
      </c>
      <c r="G3" s="47" t="s">
        <v>555</v>
      </c>
      <c r="H3" s="47"/>
      <c r="I3" s="47"/>
      <c r="J3" s="47"/>
      <c r="K3" s="47" t="s">
        <v>401</v>
      </c>
      <c r="L3" s="47" t="s">
        <v>3</v>
      </c>
      <c r="M3" s="49" t="s">
        <v>2</v>
      </c>
    </row>
    <row r="4" spans="1:13" s="1" customFormat="1" ht="21" customHeight="1" thickBot="1">
      <c r="A4" s="62"/>
      <c r="B4" s="44"/>
      <c r="C4" s="48"/>
      <c r="D4" s="48"/>
      <c r="E4" s="48"/>
      <c r="F4" s="48"/>
      <c r="G4" s="4">
        <v>1</v>
      </c>
      <c r="H4" s="4">
        <v>2</v>
      </c>
      <c r="I4" s="4">
        <v>3</v>
      </c>
      <c r="J4" s="4" t="s">
        <v>4</v>
      </c>
      <c r="K4" s="48"/>
      <c r="L4" s="48"/>
      <c r="M4" s="50"/>
    </row>
    <row r="5" spans="1:13" ht="16">
      <c r="A5" s="51" t="s">
        <v>126</v>
      </c>
      <c r="B5" s="51"/>
      <c r="C5" s="52"/>
      <c r="D5" s="52"/>
      <c r="E5" s="52"/>
      <c r="F5" s="52"/>
      <c r="G5" s="52"/>
      <c r="H5" s="52"/>
      <c r="I5" s="52"/>
      <c r="J5" s="52"/>
    </row>
    <row r="6" spans="1:13">
      <c r="A6" s="21" t="s">
        <v>29</v>
      </c>
      <c r="B6" s="15" t="s">
        <v>557</v>
      </c>
      <c r="C6" s="15" t="s">
        <v>558</v>
      </c>
      <c r="D6" s="15" t="s">
        <v>559</v>
      </c>
      <c r="E6" s="15" t="s">
        <v>733</v>
      </c>
      <c r="F6" s="15" t="s">
        <v>52</v>
      </c>
      <c r="G6" s="23" t="s">
        <v>216</v>
      </c>
      <c r="H6" s="22" t="s">
        <v>216</v>
      </c>
      <c r="I6" s="22" t="s">
        <v>37</v>
      </c>
      <c r="J6" s="21"/>
      <c r="K6" s="21" t="str">
        <f>"65,0"</f>
        <v>65,0</v>
      </c>
      <c r="L6" s="21" t="str">
        <f>"42,0973"</f>
        <v>42,0973</v>
      </c>
      <c r="M6" s="15" t="s">
        <v>695</v>
      </c>
    </row>
    <row r="7" spans="1:13">
      <c r="B7" s="5" t="s">
        <v>30</v>
      </c>
    </row>
    <row r="8" spans="1:13" ht="16">
      <c r="A8" s="41" t="s">
        <v>42</v>
      </c>
      <c r="B8" s="41"/>
      <c r="C8" s="42"/>
      <c r="D8" s="42"/>
      <c r="E8" s="42"/>
      <c r="F8" s="42"/>
      <c r="G8" s="42"/>
      <c r="H8" s="42"/>
      <c r="I8" s="42"/>
      <c r="J8" s="42"/>
    </row>
    <row r="9" spans="1:13">
      <c r="A9" s="21" t="s">
        <v>29</v>
      </c>
      <c r="B9" s="15" t="s">
        <v>560</v>
      </c>
      <c r="C9" s="15" t="s">
        <v>561</v>
      </c>
      <c r="D9" s="15" t="s">
        <v>562</v>
      </c>
      <c r="E9" s="15" t="s">
        <v>733</v>
      </c>
      <c r="F9" s="15" t="s">
        <v>52</v>
      </c>
      <c r="G9" s="22" t="s">
        <v>129</v>
      </c>
      <c r="H9" s="22" t="s">
        <v>265</v>
      </c>
      <c r="I9" s="23" t="s">
        <v>88</v>
      </c>
      <c r="J9" s="21"/>
      <c r="K9" s="21" t="str">
        <f>"97,5"</f>
        <v>97,5</v>
      </c>
      <c r="L9" s="21" t="str">
        <f>"61,8150"</f>
        <v>61,8150</v>
      </c>
      <c r="M9" s="15"/>
    </row>
    <row r="10" spans="1:13">
      <c r="B10" s="5" t="s">
        <v>30</v>
      </c>
    </row>
    <row r="11" spans="1:13" ht="16">
      <c r="A11" s="41" t="s">
        <v>10</v>
      </c>
      <c r="B11" s="41"/>
      <c r="C11" s="42"/>
      <c r="D11" s="42"/>
      <c r="E11" s="42"/>
      <c r="F11" s="42"/>
      <c r="G11" s="42"/>
      <c r="H11" s="42"/>
      <c r="I11" s="42"/>
      <c r="J11" s="42"/>
    </row>
    <row r="12" spans="1:13">
      <c r="A12" s="21" t="s">
        <v>29</v>
      </c>
      <c r="B12" s="15" t="s">
        <v>563</v>
      </c>
      <c r="C12" s="15" t="s">
        <v>564</v>
      </c>
      <c r="D12" s="15" t="s">
        <v>174</v>
      </c>
      <c r="E12" s="15" t="s">
        <v>733</v>
      </c>
      <c r="F12" s="15" t="s">
        <v>52</v>
      </c>
      <c r="G12" s="22" t="s">
        <v>109</v>
      </c>
      <c r="H12" s="22" t="s">
        <v>209</v>
      </c>
      <c r="I12" s="22" t="s">
        <v>110</v>
      </c>
      <c r="J12" s="21"/>
      <c r="K12" s="21" t="str">
        <f>"87,5"</f>
        <v>87,5</v>
      </c>
      <c r="L12" s="21" t="str">
        <f>"51,5244"</f>
        <v>51,5244</v>
      </c>
      <c r="M12" s="15" t="s">
        <v>725</v>
      </c>
    </row>
    <row r="13" spans="1:13">
      <c r="B13" s="5" t="s">
        <v>30</v>
      </c>
    </row>
  </sheetData>
  <mergeCells count="14">
    <mergeCell ref="M3:M4"/>
    <mergeCell ref="A5:J5"/>
    <mergeCell ref="A1:M2"/>
    <mergeCell ref="A3:A4"/>
    <mergeCell ref="C3:C4"/>
    <mergeCell ref="D3:D4"/>
    <mergeCell ref="E3:E4"/>
    <mergeCell ref="F3:F4"/>
    <mergeCell ref="G3:J3"/>
    <mergeCell ref="A8:J8"/>
    <mergeCell ref="A11:J11"/>
    <mergeCell ref="B3:B4"/>
    <mergeCell ref="K3:K4"/>
    <mergeCell ref="L3:L4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0C6641-41FC-473A-A3AC-6B65367BB16D}">
  <dimension ref="A1:M7"/>
  <sheetViews>
    <sheetView workbookViewId="0">
      <selection activeCell="F17" sqref="F17"/>
    </sheetView>
  </sheetViews>
  <sheetFormatPr baseColWidth="10" defaultColWidth="9.1640625" defaultRowHeight="13"/>
  <cols>
    <col min="1" max="1" width="7.1640625" style="5" bestFit="1" customWidth="1"/>
    <col min="2" max="2" width="19.6640625" style="5" customWidth="1"/>
    <col min="3" max="3" width="25.1640625" style="5" bestFit="1" customWidth="1"/>
    <col min="4" max="4" width="20.83203125" style="5" bestFit="1" customWidth="1"/>
    <col min="5" max="5" width="10.1640625" style="5" bestFit="1" customWidth="1"/>
    <col min="6" max="6" width="25.6640625" style="5" bestFit="1" customWidth="1"/>
    <col min="7" max="9" width="5.5" style="6" customWidth="1"/>
    <col min="10" max="10" width="4.5" style="6" customWidth="1"/>
    <col min="11" max="11" width="10.5" style="6" bestFit="1" customWidth="1"/>
    <col min="12" max="12" width="7.5" style="6" bestFit="1" customWidth="1"/>
    <col min="13" max="13" width="18.5" style="5" customWidth="1"/>
    <col min="14" max="16384" width="9.1640625" style="3"/>
  </cols>
  <sheetData>
    <row r="1" spans="1:13" s="2" customFormat="1" ht="29" customHeight="1">
      <c r="A1" s="53" t="s">
        <v>654</v>
      </c>
      <c r="B1" s="54"/>
      <c r="C1" s="55"/>
      <c r="D1" s="55"/>
      <c r="E1" s="55"/>
      <c r="F1" s="55"/>
      <c r="G1" s="55"/>
      <c r="H1" s="55"/>
      <c r="I1" s="55"/>
      <c r="J1" s="55"/>
      <c r="K1" s="55"/>
      <c r="L1" s="55"/>
      <c r="M1" s="56"/>
    </row>
    <row r="2" spans="1:13" s="2" customFormat="1" ht="62" customHeight="1" thickBot="1">
      <c r="A2" s="57"/>
      <c r="B2" s="58"/>
      <c r="C2" s="59"/>
      <c r="D2" s="59"/>
      <c r="E2" s="59"/>
      <c r="F2" s="59"/>
      <c r="G2" s="59"/>
      <c r="H2" s="59"/>
      <c r="I2" s="59"/>
      <c r="J2" s="59"/>
      <c r="K2" s="59"/>
      <c r="L2" s="59"/>
      <c r="M2" s="60"/>
    </row>
    <row r="3" spans="1:13" s="1" customFormat="1" ht="12.75" customHeight="1">
      <c r="A3" s="61" t="s">
        <v>730</v>
      </c>
      <c r="B3" s="43" t="s">
        <v>0</v>
      </c>
      <c r="C3" s="63" t="s">
        <v>731</v>
      </c>
      <c r="D3" s="63" t="s">
        <v>6</v>
      </c>
      <c r="E3" s="47" t="s">
        <v>732</v>
      </c>
      <c r="F3" s="47" t="s">
        <v>5</v>
      </c>
      <c r="G3" s="47" t="s">
        <v>555</v>
      </c>
      <c r="H3" s="47"/>
      <c r="I3" s="47"/>
      <c r="J3" s="47"/>
      <c r="K3" s="47" t="s">
        <v>401</v>
      </c>
      <c r="L3" s="47" t="s">
        <v>3</v>
      </c>
      <c r="M3" s="49" t="s">
        <v>2</v>
      </c>
    </row>
    <row r="4" spans="1:13" s="1" customFormat="1" ht="21" customHeight="1" thickBot="1">
      <c r="A4" s="62"/>
      <c r="B4" s="44"/>
      <c r="C4" s="48"/>
      <c r="D4" s="48"/>
      <c r="E4" s="48"/>
      <c r="F4" s="48"/>
      <c r="G4" s="4">
        <v>1</v>
      </c>
      <c r="H4" s="4">
        <v>2</v>
      </c>
      <c r="I4" s="4">
        <v>3</v>
      </c>
      <c r="J4" s="4" t="s">
        <v>4</v>
      </c>
      <c r="K4" s="48"/>
      <c r="L4" s="48"/>
      <c r="M4" s="50"/>
    </row>
    <row r="5" spans="1:13" ht="16">
      <c r="A5" s="51" t="s">
        <v>42</v>
      </c>
      <c r="B5" s="51"/>
      <c r="C5" s="52"/>
      <c r="D5" s="52"/>
      <c r="E5" s="52"/>
      <c r="F5" s="52"/>
      <c r="G5" s="52"/>
      <c r="H5" s="52"/>
      <c r="I5" s="52"/>
      <c r="J5" s="52"/>
    </row>
    <row r="6" spans="1:13">
      <c r="A6" s="21" t="s">
        <v>29</v>
      </c>
      <c r="B6" s="15" t="s">
        <v>360</v>
      </c>
      <c r="C6" s="15" t="s">
        <v>361</v>
      </c>
      <c r="D6" s="15" t="s">
        <v>324</v>
      </c>
      <c r="E6" s="15" t="str">
        <f>"0,6141"</f>
        <v>0,6141</v>
      </c>
      <c r="F6" s="15" t="s">
        <v>52</v>
      </c>
      <c r="G6" s="23" t="s">
        <v>77</v>
      </c>
      <c r="H6" s="23" t="s">
        <v>78</v>
      </c>
      <c r="I6" s="22" t="s">
        <v>78</v>
      </c>
      <c r="J6" s="21"/>
      <c r="K6" s="21" t="str">
        <f>"105,0"</f>
        <v>105,0</v>
      </c>
      <c r="L6" s="21" t="str">
        <f>"64,4857"</f>
        <v>64,4857</v>
      </c>
      <c r="M6" s="15" t="s">
        <v>685</v>
      </c>
    </row>
    <row r="7" spans="1:13">
      <c r="B7" s="5" t="s">
        <v>30</v>
      </c>
    </row>
  </sheetData>
  <mergeCells count="12">
    <mergeCell ref="A5:J5"/>
    <mergeCell ref="B3:B4"/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50F44E-2EC7-46F2-A1D8-DEF28E3A5B86}">
  <dimension ref="A1:M33"/>
  <sheetViews>
    <sheetView workbookViewId="0">
      <selection activeCell="E33" sqref="E33"/>
    </sheetView>
  </sheetViews>
  <sheetFormatPr baseColWidth="10" defaultColWidth="9.1640625" defaultRowHeight="13"/>
  <cols>
    <col min="1" max="1" width="7.1640625" style="5" bestFit="1" customWidth="1"/>
    <col min="2" max="2" width="20.1640625" style="5" bestFit="1" customWidth="1"/>
    <col min="3" max="3" width="28.6640625" style="5" bestFit="1" customWidth="1"/>
    <col min="4" max="4" width="20.83203125" style="5" bestFit="1" customWidth="1"/>
    <col min="5" max="5" width="10.1640625" style="5" bestFit="1" customWidth="1"/>
    <col min="6" max="6" width="26.5" style="5" bestFit="1" customWidth="1"/>
    <col min="7" max="10" width="4.5" style="6" customWidth="1"/>
    <col min="11" max="11" width="10.5" style="36" bestFit="1" customWidth="1"/>
    <col min="12" max="12" width="7.5" style="6" bestFit="1" customWidth="1"/>
    <col min="13" max="13" width="23.6640625" style="5" customWidth="1"/>
    <col min="14" max="16384" width="9.1640625" style="3"/>
  </cols>
  <sheetData>
    <row r="1" spans="1:13" s="2" customFormat="1" ht="29" customHeight="1">
      <c r="A1" s="53" t="s">
        <v>651</v>
      </c>
      <c r="B1" s="54"/>
      <c r="C1" s="55"/>
      <c r="D1" s="55"/>
      <c r="E1" s="55"/>
      <c r="F1" s="55"/>
      <c r="G1" s="55"/>
      <c r="H1" s="55"/>
      <c r="I1" s="55"/>
      <c r="J1" s="55"/>
      <c r="K1" s="55"/>
      <c r="L1" s="55"/>
      <c r="M1" s="56"/>
    </row>
    <row r="2" spans="1:13" s="2" customFormat="1" ht="62" customHeight="1" thickBot="1">
      <c r="A2" s="57"/>
      <c r="B2" s="58"/>
      <c r="C2" s="59"/>
      <c r="D2" s="59"/>
      <c r="E2" s="59"/>
      <c r="F2" s="59"/>
      <c r="G2" s="59"/>
      <c r="H2" s="59"/>
      <c r="I2" s="59"/>
      <c r="J2" s="59"/>
      <c r="K2" s="59"/>
      <c r="L2" s="59"/>
      <c r="M2" s="60"/>
    </row>
    <row r="3" spans="1:13" s="1" customFormat="1" ht="12.75" customHeight="1">
      <c r="A3" s="61" t="s">
        <v>730</v>
      </c>
      <c r="B3" s="43" t="s">
        <v>0</v>
      </c>
      <c r="C3" s="63" t="s">
        <v>731</v>
      </c>
      <c r="D3" s="63" t="s">
        <v>6</v>
      </c>
      <c r="E3" s="47" t="s">
        <v>732</v>
      </c>
      <c r="F3" s="47" t="s">
        <v>5</v>
      </c>
      <c r="G3" s="47" t="s">
        <v>728</v>
      </c>
      <c r="H3" s="47"/>
      <c r="I3" s="47"/>
      <c r="J3" s="47"/>
      <c r="K3" s="45" t="s">
        <v>401</v>
      </c>
      <c r="L3" s="47" t="s">
        <v>3</v>
      </c>
      <c r="M3" s="49" t="s">
        <v>2</v>
      </c>
    </row>
    <row r="4" spans="1:13" s="1" customFormat="1" ht="21" customHeight="1" thickBot="1">
      <c r="A4" s="62"/>
      <c r="B4" s="44"/>
      <c r="C4" s="48"/>
      <c r="D4" s="48"/>
      <c r="E4" s="48"/>
      <c r="F4" s="48"/>
      <c r="G4" s="4">
        <v>1</v>
      </c>
      <c r="H4" s="4">
        <v>2</v>
      </c>
      <c r="I4" s="4">
        <v>3</v>
      </c>
      <c r="J4" s="4" t="s">
        <v>4</v>
      </c>
      <c r="K4" s="46"/>
      <c r="L4" s="48"/>
      <c r="M4" s="50"/>
    </row>
    <row r="5" spans="1:13" ht="16">
      <c r="A5" s="51" t="s">
        <v>31</v>
      </c>
      <c r="B5" s="51"/>
      <c r="C5" s="52"/>
      <c r="D5" s="52"/>
      <c r="E5" s="52"/>
      <c r="F5" s="52"/>
      <c r="G5" s="52"/>
      <c r="H5" s="52"/>
      <c r="I5" s="52"/>
      <c r="J5" s="52"/>
    </row>
    <row r="6" spans="1:13">
      <c r="A6" s="21" t="s">
        <v>29</v>
      </c>
      <c r="B6" s="15" t="s">
        <v>566</v>
      </c>
      <c r="C6" s="15" t="s">
        <v>618</v>
      </c>
      <c r="D6" s="15" t="s">
        <v>567</v>
      </c>
      <c r="E6" s="15" t="s">
        <v>735</v>
      </c>
      <c r="F6" s="15" t="s">
        <v>214</v>
      </c>
      <c r="G6" s="22" t="s">
        <v>568</v>
      </c>
      <c r="H6" s="22" t="s">
        <v>96</v>
      </c>
      <c r="I6" s="23" t="s">
        <v>97</v>
      </c>
      <c r="J6" s="21"/>
      <c r="K6" s="39" t="str">
        <f>"47,5"</f>
        <v>47,5</v>
      </c>
      <c r="L6" s="21" t="str">
        <f>"41,0471"</f>
        <v>41,0471</v>
      </c>
      <c r="M6" s="15"/>
    </row>
    <row r="7" spans="1:13">
      <c r="B7" s="5" t="s">
        <v>30</v>
      </c>
    </row>
    <row r="8" spans="1:13" ht="16">
      <c r="A8" s="41" t="s">
        <v>72</v>
      </c>
      <c r="B8" s="41"/>
      <c r="C8" s="42"/>
      <c r="D8" s="42"/>
      <c r="E8" s="42"/>
      <c r="F8" s="42"/>
      <c r="G8" s="42"/>
      <c r="H8" s="42"/>
      <c r="I8" s="42"/>
      <c r="J8" s="42"/>
    </row>
    <row r="9" spans="1:13">
      <c r="A9" s="8" t="s">
        <v>29</v>
      </c>
      <c r="B9" s="7" t="s">
        <v>569</v>
      </c>
      <c r="C9" s="7" t="s">
        <v>619</v>
      </c>
      <c r="D9" s="7" t="s">
        <v>101</v>
      </c>
      <c r="E9" s="7" t="s">
        <v>735</v>
      </c>
      <c r="F9" s="7" t="s">
        <v>52</v>
      </c>
      <c r="G9" s="17" t="s">
        <v>570</v>
      </c>
      <c r="H9" s="17" t="s">
        <v>91</v>
      </c>
      <c r="I9" s="17" t="s">
        <v>97</v>
      </c>
      <c r="J9" s="8"/>
      <c r="K9" s="37" t="str">
        <f>"50,0"</f>
        <v>50,0</v>
      </c>
      <c r="L9" s="8" t="str">
        <f>"38,3525"</f>
        <v>38,3525</v>
      </c>
      <c r="M9" s="7"/>
    </row>
    <row r="10" spans="1:13">
      <c r="A10" s="25" t="s">
        <v>203</v>
      </c>
      <c r="B10" s="24" t="s">
        <v>571</v>
      </c>
      <c r="C10" s="24" t="s">
        <v>620</v>
      </c>
      <c r="D10" s="24" t="s">
        <v>409</v>
      </c>
      <c r="E10" s="24" t="s">
        <v>735</v>
      </c>
      <c r="F10" s="24" t="s">
        <v>214</v>
      </c>
      <c r="G10" s="26" t="s">
        <v>568</v>
      </c>
      <c r="H10" s="26" t="s">
        <v>96</v>
      </c>
      <c r="I10" s="26" t="s">
        <v>97</v>
      </c>
      <c r="J10" s="25"/>
      <c r="K10" s="40" t="str">
        <f>"50,0"</f>
        <v>50,0</v>
      </c>
      <c r="L10" s="25" t="str">
        <f>"37,5625"</f>
        <v>37,5625</v>
      </c>
      <c r="M10" s="24"/>
    </row>
    <row r="11" spans="1:13">
      <c r="A11" s="10" t="s">
        <v>71</v>
      </c>
      <c r="B11" s="9" t="s">
        <v>572</v>
      </c>
      <c r="C11" s="9" t="s">
        <v>573</v>
      </c>
      <c r="D11" s="9" t="s">
        <v>574</v>
      </c>
      <c r="E11" s="9" t="s">
        <v>733</v>
      </c>
      <c r="F11" s="9" t="s">
        <v>52</v>
      </c>
      <c r="G11" s="20" t="s">
        <v>216</v>
      </c>
      <c r="H11" s="20" t="s">
        <v>216</v>
      </c>
      <c r="I11" s="20" t="s">
        <v>216</v>
      </c>
      <c r="J11" s="10"/>
      <c r="K11" s="38">
        <v>0</v>
      </c>
      <c r="L11" s="10" t="str">
        <f>"0,0000"</f>
        <v>0,0000</v>
      </c>
      <c r="M11" s="9"/>
    </row>
    <row r="12" spans="1:13">
      <c r="B12" s="5" t="s">
        <v>30</v>
      </c>
    </row>
    <row r="13" spans="1:13" ht="16">
      <c r="A13" s="41" t="s">
        <v>112</v>
      </c>
      <c r="B13" s="41"/>
      <c r="C13" s="42"/>
      <c r="D13" s="42"/>
      <c r="E13" s="42"/>
      <c r="F13" s="42"/>
      <c r="G13" s="42"/>
      <c r="H13" s="42"/>
      <c r="I13" s="42"/>
      <c r="J13" s="42"/>
    </row>
    <row r="14" spans="1:13">
      <c r="A14" s="8" t="s">
        <v>29</v>
      </c>
      <c r="B14" s="7" t="s">
        <v>575</v>
      </c>
      <c r="C14" s="7" t="s">
        <v>576</v>
      </c>
      <c r="D14" s="7" t="s">
        <v>512</v>
      </c>
      <c r="E14" s="7" t="s">
        <v>733</v>
      </c>
      <c r="F14" s="7" t="s">
        <v>52</v>
      </c>
      <c r="G14" s="18" t="s">
        <v>97</v>
      </c>
      <c r="H14" s="17" t="s">
        <v>216</v>
      </c>
      <c r="I14" s="18" t="s">
        <v>131</v>
      </c>
      <c r="J14" s="8"/>
      <c r="K14" s="37" t="str">
        <f>"55,0"</f>
        <v>55,0</v>
      </c>
      <c r="L14" s="8" t="str">
        <f>"38,5633"</f>
        <v>38,5633</v>
      </c>
      <c r="M14" s="7"/>
    </row>
    <row r="15" spans="1:13">
      <c r="A15" s="25" t="s">
        <v>203</v>
      </c>
      <c r="B15" s="24" t="s">
        <v>577</v>
      </c>
      <c r="C15" s="24" t="s">
        <v>578</v>
      </c>
      <c r="D15" s="24" t="s">
        <v>412</v>
      </c>
      <c r="E15" s="24" t="s">
        <v>733</v>
      </c>
      <c r="F15" s="24" t="s">
        <v>52</v>
      </c>
      <c r="G15" s="26" t="s">
        <v>97</v>
      </c>
      <c r="H15" s="27" t="s">
        <v>216</v>
      </c>
      <c r="I15" s="26" t="s">
        <v>216</v>
      </c>
      <c r="J15" s="25"/>
      <c r="K15" s="40" t="str">
        <f>"55,0"</f>
        <v>55,0</v>
      </c>
      <c r="L15" s="25" t="str">
        <f>"38,4863"</f>
        <v>38,4863</v>
      </c>
      <c r="M15" s="24"/>
    </row>
    <row r="16" spans="1:13">
      <c r="A16" s="25" t="s">
        <v>204</v>
      </c>
      <c r="B16" s="24" t="s">
        <v>579</v>
      </c>
      <c r="C16" s="24" t="s">
        <v>580</v>
      </c>
      <c r="D16" s="24" t="s">
        <v>581</v>
      </c>
      <c r="E16" s="24" t="s">
        <v>733</v>
      </c>
      <c r="F16" s="24" t="s">
        <v>52</v>
      </c>
      <c r="G16" s="27" t="s">
        <v>568</v>
      </c>
      <c r="H16" s="26" t="s">
        <v>568</v>
      </c>
      <c r="I16" s="26" t="s">
        <v>97</v>
      </c>
      <c r="J16" s="25"/>
      <c r="K16" s="40" t="str">
        <f>"50,0"</f>
        <v>50,0</v>
      </c>
      <c r="L16" s="25" t="str">
        <f>"34,6325"</f>
        <v>34,6325</v>
      </c>
      <c r="M16" s="24"/>
    </row>
    <row r="17" spans="1:13">
      <c r="A17" s="10" t="s">
        <v>29</v>
      </c>
      <c r="B17" s="9" t="s">
        <v>434</v>
      </c>
      <c r="C17" s="9" t="s">
        <v>621</v>
      </c>
      <c r="D17" s="9" t="s">
        <v>435</v>
      </c>
      <c r="E17" s="9" t="s">
        <v>736</v>
      </c>
      <c r="F17" s="9" t="s">
        <v>52</v>
      </c>
      <c r="G17" s="19" t="s">
        <v>96</v>
      </c>
      <c r="H17" s="19" t="s">
        <v>97</v>
      </c>
      <c r="I17" s="20" t="s">
        <v>130</v>
      </c>
      <c r="J17" s="10"/>
      <c r="K17" s="38" t="str">
        <f>"50,0"</f>
        <v>50,0</v>
      </c>
      <c r="L17" s="10" t="str">
        <f>"36,3019"</f>
        <v>36,3019</v>
      </c>
      <c r="M17" s="9"/>
    </row>
    <row r="18" spans="1:13">
      <c r="B18" s="5" t="s">
        <v>30</v>
      </c>
    </row>
    <row r="19" spans="1:13" ht="16">
      <c r="A19" s="41" t="s">
        <v>126</v>
      </c>
      <c r="B19" s="41"/>
      <c r="C19" s="42"/>
      <c r="D19" s="42"/>
      <c r="E19" s="42"/>
      <c r="F19" s="42"/>
      <c r="G19" s="42"/>
      <c r="H19" s="42"/>
      <c r="I19" s="42"/>
      <c r="J19" s="42"/>
    </row>
    <row r="20" spans="1:13">
      <c r="A20" s="8" t="s">
        <v>29</v>
      </c>
      <c r="B20" s="7" t="s">
        <v>451</v>
      </c>
      <c r="C20" s="7" t="s">
        <v>452</v>
      </c>
      <c r="D20" s="7" t="s">
        <v>353</v>
      </c>
      <c r="E20" s="7" t="s">
        <v>733</v>
      </c>
      <c r="F20" s="7" t="s">
        <v>223</v>
      </c>
      <c r="G20" s="17" t="s">
        <v>131</v>
      </c>
      <c r="H20" s="18" t="s">
        <v>37</v>
      </c>
      <c r="I20" s="18" t="s">
        <v>37</v>
      </c>
      <c r="J20" s="8"/>
      <c r="K20" s="37" t="str">
        <f>"60,0"</f>
        <v>60,0</v>
      </c>
      <c r="L20" s="8" t="str">
        <f>"38,9550"</f>
        <v>38,9550</v>
      </c>
      <c r="M20" s="7"/>
    </row>
    <row r="21" spans="1:13">
      <c r="A21" s="10" t="s">
        <v>203</v>
      </c>
      <c r="B21" s="9" t="s">
        <v>557</v>
      </c>
      <c r="C21" s="9" t="s">
        <v>558</v>
      </c>
      <c r="D21" s="9" t="s">
        <v>559</v>
      </c>
      <c r="E21" s="9" t="s">
        <v>733</v>
      </c>
      <c r="F21" s="9" t="s">
        <v>52</v>
      </c>
      <c r="G21" s="20" t="s">
        <v>216</v>
      </c>
      <c r="H21" s="19" t="s">
        <v>216</v>
      </c>
      <c r="I21" s="20" t="s">
        <v>118</v>
      </c>
      <c r="J21" s="10"/>
      <c r="K21" s="38" t="str">
        <f>"55,0"</f>
        <v>55,0</v>
      </c>
      <c r="L21" s="10" t="str">
        <f>"35,6208"</f>
        <v>35,6208</v>
      </c>
      <c r="M21" s="9" t="s">
        <v>695</v>
      </c>
    </row>
    <row r="22" spans="1:13">
      <c r="B22" s="5" t="s">
        <v>30</v>
      </c>
    </row>
    <row r="23" spans="1:13" ht="16">
      <c r="A23" s="41" t="s">
        <v>42</v>
      </c>
      <c r="B23" s="41"/>
      <c r="C23" s="42"/>
      <c r="D23" s="42"/>
      <c r="E23" s="42"/>
      <c r="F23" s="42"/>
      <c r="G23" s="42"/>
      <c r="H23" s="42"/>
      <c r="I23" s="42"/>
      <c r="J23" s="42"/>
    </row>
    <row r="24" spans="1:13">
      <c r="A24" s="8" t="s">
        <v>29</v>
      </c>
      <c r="B24" s="7" t="s">
        <v>468</v>
      </c>
      <c r="C24" s="7" t="s">
        <v>469</v>
      </c>
      <c r="D24" s="7" t="s">
        <v>470</v>
      </c>
      <c r="E24" s="7" t="s">
        <v>733</v>
      </c>
      <c r="F24" s="7" t="s">
        <v>167</v>
      </c>
      <c r="G24" s="17" t="s">
        <v>131</v>
      </c>
      <c r="H24" s="17" t="s">
        <v>37</v>
      </c>
      <c r="I24" s="17" t="s">
        <v>125</v>
      </c>
      <c r="J24" s="8"/>
      <c r="K24" s="37" t="str">
        <f>"67,5"</f>
        <v>67,5</v>
      </c>
      <c r="L24" s="8" t="str">
        <f>"41,7217"</f>
        <v>41,7217</v>
      </c>
      <c r="M24" s="7"/>
    </row>
    <row r="25" spans="1:13">
      <c r="A25" s="10" t="s">
        <v>29</v>
      </c>
      <c r="B25" s="9" t="s">
        <v>582</v>
      </c>
      <c r="C25" s="9" t="s">
        <v>622</v>
      </c>
      <c r="D25" s="9" t="s">
        <v>583</v>
      </c>
      <c r="E25" s="9" t="s">
        <v>736</v>
      </c>
      <c r="F25" s="9" t="s">
        <v>52</v>
      </c>
      <c r="G25" s="19" t="s">
        <v>216</v>
      </c>
      <c r="H25" s="19" t="s">
        <v>131</v>
      </c>
      <c r="I25" s="20" t="s">
        <v>37</v>
      </c>
      <c r="J25" s="10"/>
      <c r="K25" s="38" t="str">
        <f>"60,0"</f>
        <v>60,0</v>
      </c>
      <c r="L25" s="10" t="str">
        <f>"37,7296"</f>
        <v>37,7296</v>
      </c>
      <c r="M25" s="9"/>
    </row>
    <row r="26" spans="1:13">
      <c r="B26" s="5" t="s">
        <v>30</v>
      </c>
    </row>
    <row r="27" spans="1:13" ht="16">
      <c r="A27" s="41" t="s">
        <v>10</v>
      </c>
      <c r="B27" s="41"/>
      <c r="C27" s="42"/>
      <c r="D27" s="42"/>
      <c r="E27" s="42"/>
      <c r="F27" s="42"/>
      <c r="G27" s="42"/>
      <c r="H27" s="42"/>
      <c r="I27" s="42"/>
      <c r="J27" s="42"/>
    </row>
    <row r="28" spans="1:13">
      <c r="A28" s="8" t="s">
        <v>29</v>
      </c>
      <c r="B28" s="7" t="s">
        <v>484</v>
      </c>
      <c r="C28" s="7" t="s">
        <v>485</v>
      </c>
      <c r="D28" s="7" t="s">
        <v>486</v>
      </c>
      <c r="E28" s="7" t="s">
        <v>733</v>
      </c>
      <c r="F28" s="7" t="s">
        <v>214</v>
      </c>
      <c r="G28" s="17" t="s">
        <v>118</v>
      </c>
      <c r="H28" s="17" t="s">
        <v>37</v>
      </c>
      <c r="I28" s="17" t="s">
        <v>38</v>
      </c>
      <c r="J28" s="8"/>
      <c r="K28" s="37" t="str">
        <f>"70,0"</f>
        <v>70,0</v>
      </c>
      <c r="L28" s="8" t="str">
        <f>"41,7725"</f>
        <v>41,7725</v>
      </c>
      <c r="M28" s="7"/>
    </row>
    <row r="29" spans="1:13">
      <c r="A29" s="10" t="s">
        <v>203</v>
      </c>
      <c r="B29" s="9" t="s">
        <v>563</v>
      </c>
      <c r="C29" s="9" t="s">
        <v>564</v>
      </c>
      <c r="D29" s="9" t="s">
        <v>174</v>
      </c>
      <c r="E29" s="9" t="s">
        <v>733</v>
      </c>
      <c r="F29" s="9" t="s">
        <v>52</v>
      </c>
      <c r="G29" s="19" t="s">
        <v>131</v>
      </c>
      <c r="H29" s="19" t="s">
        <v>37</v>
      </c>
      <c r="I29" s="20" t="s">
        <v>125</v>
      </c>
      <c r="J29" s="10"/>
      <c r="K29" s="38" t="str">
        <f>"65,0"</f>
        <v>65,0</v>
      </c>
      <c r="L29" s="10" t="str">
        <f>"38,2753"</f>
        <v>38,2753</v>
      </c>
      <c r="M29" s="9" t="s">
        <v>725</v>
      </c>
    </row>
    <row r="30" spans="1:13">
      <c r="B30" s="5" t="s">
        <v>30</v>
      </c>
    </row>
    <row r="31" spans="1:13" ht="16">
      <c r="A31" s="41" t="s">
        <v>183</v>
      </c>
      <c r="B31" s="41"/>
      <c r="C31" s="42"/>
      <c r="D31" s="42"/>
      <c r="E31" s="42"/>
      <c r="F31" s="42"/>
      <c r="G31" s="42"/>
      <c r="H31" s="42"/>
      <c r="I31" s="42"/>
      <c r="J31" s="42"/>
    </row>
    <row r="32" spans="1:13">
      <c r="A32" s="21" t="s">
        <v>29</v>
      </c>
      <c r="B32" s="15" t="s">
        <v>496</v>
      </c>
      <c r="C32" s="15" t="s">
        <v>497</v>
      </c>
      <c r="D32" s="15" t="s">
        <v>498</v>
      </c>
      <c r="E32" s="15" t="s">
        <v>733</v>
      </c>
      <c r="F32" s="15" t="s">
        <v>681</v>
      </c>
      <c r="G32" s="22" t="s">
        <v>97</v>
      </c>
      <c r="H32" s="22" t="s">
        <v>131</v>
      </c>
      <c r="I32" s="22" t="s">
        <v>37</v>
      </c>
      <c r="J32" s="21"/>
      <c r="K32" s="39" t="str">
        <f>"65,0"</f>
        <v>65,0</v>
      </c>
      <c r="L32" s="21" t="str">
        <f>"36,7055"</f>
        <v>36,7055</v>
      </c>
      <c r="M32" s="15"/>
    </row>
    <row r="33" spans="2:2">
      <c r="B33" s="5" t="s">
        <v>30</v>
      </c>
    </row>
  </sheetData>
  <mergeCells count="18">
    <mergeCell ref="A1:M2"/>
    <mergeCell ref="A3:A4"/>
    <mergeCell ref="C3:C4"/>
    <mergeCell ref="D3:D4"/>
    <mergeCell ref="E3:E4"/>
    <mergeCell ref="F3:F4"/>
    <mergeCell ref="G3:J3"/>
    <mergeCell ref="A31:J31"/>
    <mergeCell ref="K3:K4"/>
    <mergeCell ref="L3:L4"/>
    <mergeCell ref="M3:M4"/>
    <mergeCell ref="A5:J5"/>
    <mergeCell ref="B3:B4"/>
    <mergeCell ref="A8:J8"/>
    <mergeCell ref="A13:J13"/>
    <mergeCell ref="A19:J19"/>
    <mergeCell ref="A23:J23"/>
    <mergeCell ref="A27:J27"/>
  </mergeCell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498694-26A0-4FA4-B011-A22176EB20A5}">
  <dimension ref="A1:M17"/>
  <sheetViews>
    <sheetView tabSelected="1" workbookViewId="0">
      <selection sqref="A1:M2"/>
    </sheetView>
  </sheetViews>
  <sheetFormatPr baseColWidth="10" defaultColWidth="9.1640625" defaultRowHeight="13"/>
  <cols>
    <col min="1" max="1" width="7.1640625" style="5" bestFit="1" customWidth="1"/>
    <col min="2" max="2" width="19.5" style="5" bestFit="1" customWidth="1"/>
    <col min="3" max="3" width="28.5" style="5" bestFit="1" customWidth="1"/>
    <col min="4" max="4" width="20.83203125" style="5" bestFit="1" customWidth="1"/>
    <col min="5" max="5" width="10.1640625" style="5" bestFit="1" customWidth="1"/>
    <col min="6" max="6" width="25.6640625" style="5" bestFit="1" customWidth="1"/>
    <col min="7" max="10" width="4.5" style="6" customWidth="1"/>
    <col min="11" max="11" width="10.5" style="6" bestFit="1" customWidth="1"/>
    <col min="12" max="12" width="7.5" style="6" bestFit="1" customWidth="1"/>
    <col min="13" max="13" width="18.6640625" style="5" bestFit="1" customWidth="1"/>
    <col min="14" max="16384" width="9.1640625" style="3"/>
  </cols>
  <sheetData>
    <row r="1" spans="1:13" s="2" customFormat="1" ht="29" customHeight="1">
      <c r="A1" s="53" t="s">
        <v>652</v>
      </c>
      <c r="B1" s="54"/>
      <c r="C1" s="55"/>
      <c r="D1" s="55"/>
      <c r="E1" s="55"/>
      <c r="F1" s="55"/>
      <c r="G1" s="55"/>
      <c r="H1" s="55"/>
      <c r="I1" s="55"/>
      <c r="J1" s="55"/>
      <c r="K1" s="55"/>
      <c r="L1" s="55"/>
      <c r="M1" s="56"/>
    </row>
    <row r="2" spans="1:13" s="2" customFormat="1" ht="62" customHeight="1" thickBot="1">
      <c r="A2" s="57"/>
      <c r="B2" s="58"/>
      <c r="C2" s="59"/>
      <c r="D2" s="59"/>
      <c r="E2" s="59"/>
      <c r="F2" s="59"/>
      <c r="G2" s="59"/>
      <c r="H2" s="59"/>
      <c r="I2" s="59"/>
      <c r="J2" s="59"/>
      <c r="K2" s="59"/>
      <c r="L2" s="59"/>
      <c r="M2" s="60"/>
    </row>
    <row r="3" spans="1:13" s="1" customFormat="1" ht="12.75" customHeight="1">
      <c r="A3" s="61" t="s">
        <v>730</v>
      </c>
      <c r="B3" s="43" t="s">
        <v>0</v>
      </c>
      <c r="C3" s="63" t="s">
        <v>731</v>
      </c>
      <c r="D3" s="63" t="s">
        <v>6</v>
      </c>
      <c r="E3" s="47" t="s">
        <v>732</v>
      </c>
      <c r="F3" s="47" t="s">
        <v>5</v>
      </c>
      <c r="G3" s="47" t="s">
        <v>728</v>
      </c>
      <c r="H3" s="47"/>
      <c r="I3" s="47"/>
      <c r="J3" s="47"/>
      <c r="K3" s="47" t="s">
        <v>401</v>
      </c>
      <c r="L3" s="47" t="s">
        <v>3</v>
      </c>
      <c r="M3" s="49" t="s">
        <v>2</v>
      </c>
    </row>
    <row r="4" spans="1:13" s="1" customFormat="1" ht="21" customHeight="1" thickBot="1">
      <c r="A4" s="62"/>
      <c r="B4" s="44"/>
      <c r="C4" s="48"/>
      <c r="D4" s="48"/>
      <c r="E4" s="48"/>
      <c r="F4" s="48"/>
      <c r="G4" s="4">
        <v>1</v>
      </c>
      <c r="H4" s="4">
        <v>2</v>
      </c>
      <c r="I4" s="4">
        <v>3</v>
      </c>
      <c r="J4" s="4" t="s">
        <v>4</v>
      </c>
      <c r="K4" s="48"/>
      <c r="L4" s="48"/>
      <c r="M4" s="50"/>
    </row>
    <row r="5" spans="1:13" ht="16">
      <c r="A5" s="51" t="s">
        <v>112</v>
      </c>
      <c r="B5" s="51"/>
      <c r="C5" s="52"/>
      <c r="D5" s="52"/>
      <c r="E5" s="52"/>
      <c r="F5" s="52"/>
      <c r="G5" s="52"/>
      <c r="H5" s="52"/>
      <c r="I5" s="52"/>
      <c r="J5" s="52"/>
    </row>
    <row r="6" spans="1:13">
      <c r="A6" s="21" t="s">
        <v>29</v>
      </c>
      <c r="B6" s="15" t="s">
        <v>565</v>
      </c>
      <c r="C6" s="15" t="s">
        <v>615</v>
      </c>
      <c r="D6" s="15" t="s">
        <v>537</v>
      </c>
      <c r="E6" s="15" t="s">
        <v>735</v>
      </c>
      <c r="F6" s="15" t="s">
        <v>726</v>
      </c>
      <c r="G6" s="22" t="s">
        <v>89</v>
      </c>
      <c r="H6" s="22" t="s">
        <v>91</v>
      </c>
      <c r="I6" s="22" t="s">
        <v>97</v>
      </c>
      <c r="J6" s="21"/>
      <c r="K6" s="21" t="str">
        <f>"50,0"</f>
        <v>50,0</v>
      </c>
      <c r="L6" s="21" t="str">
        <f>"34,8425"</f>
        <v>34,8425</v>
      </c>
      <c r="M6" s="15" t="s">
        <v>727</v>
      </c>
    </row>
    <row r="7" spans="1:13">
      <c r="B7" s="5" t="s">
        <v>30</v>
      </c>
    </row>
    <row r="8" spans="1:13" ht="16">
      <c r="A8" s="41" t="s">
        <v>126</v>
      </c>
      <c r="B8" s="41"/>
      <c r="C8" s="42"/>
      <c r="D8" s="42"/>
      <c r="E8" s="42"/>
      <c r="F8" s="42"/>
      <c r="G8" s="42"/>
      <c r="H8" s="42"/>
      <c r="I8" s="42"/>
      <c r="J8" s="42"/>
    </row>
    <row r="9" spans="1:13">
      <c r="A9" s="21" t="s">
        <v>29</v>
      </c>
      <c r="B9" s="15" t="s">
        <v>133</v>
      </c>
      <c r="C9" s="15" t="s">
        <v>134</v>
      </c>
      <c r="D9" s="15" t="s">
        <v>135</v>
      </c>
      <c r="E9" s="15" t="s">
        <v>733</v>
      </c>
      <c r="F9" s="15" t="s">
        <v>136</v>
      </c>
      <c r="G9" s="22" t="s">
        <v>119</v>
      </c>
      <c r="H9" s="22" t="s">
        <v>125</v>
      </c>
      <c r="I9" s="23" t="s">
        <v>79</v>
      </c>
      <c r="J9" s="21"/>
      <c r="K9" s="21" t="str">
        <f>"67,5"</f>
        <v>67,5</v>
      </c>
      <c r="L9" s="21" t="str">
        <f>"43,7872"</f>
        <v>43,7872</v>
      </c>
      <c r="M9" s="15" t="s">
        <v>686</v>
      </c>
    </row>
    <row r="10" spans="1:13">
      <c r="B10" s="5" t="s">
        <v>30</v>
      </c>
    </row>
    <row r="11" spans="1:13" ht="16">
      <c r="A11" s="41" t="s">
        <v>42</v>
      </c>
      <c r="B11" s="41"/>
      <c r="C11" s="42"/>
      <c r="D11" s="42"/>
      <c r="E11" s="42"/>
      <c r="F11" s="42"/>
      <c r="G11" s="42"/>
      <c r="H11" s="42"/>
      <c r="I11" s="42"/>
      <c r="J11" s="42"/>
    </row>
    <row r="12" spans="1:13">
      <c r="A12" s="8" t="s">
        <v>29</v>
      </c>
      <c r="B12" s="7" t="s">
        <v>360</v>
      </c>
      <c r="C12" s="7" t="s">
        <v>361</v>
      </c>
      <c r="D12" s="7" t="s">
        <v>324</v>
      </c>
      <c r="E12" s="7" t="s">
        <v>733</v>
      </c>
      <c r="F12" s="7" t="s">
        <v>52</v>
      </c>
      <c r="G12" s="17" t="s">
        <v>37</v>
      </c>
      <c r="H12" s="17" t="s">
        <v>79</v>
      </c>
      <c r="I12" s="18" t="s">
        <v>556</v>
      </c>
      <c r="J12" s="8"/>
      <c r="K12" s="8" t="str">
        <f>"72,5"</f>
        <v>72,5</v>
      </c>
      <c r="L12" s="8" t="str">
        <f>"44,5259"</f>
        <v>44,5259</v>
      </c>
      <c r="M12" s="7" t="s">
        <v>685</v>
      </c>
    </row>
    <row r="13" spans="1:13">
      <c r="A13" s="10" t="s">
        <v>203</v>
      </c>
      <c r="B13" s="9" t="s">
        <v>151</v>
      </c>
      <c r="C13" s="9" t="s">
        <v>152</v>
      </c>
      <c r="D13" s="9" t="s">
        <v>153</v>
      </c>
      <c r="E13" s="9" t="s">
        <v>733</v>
      </c>
      <c r="F13" s="9" t="s">
        <v>52</v>
      </c>
      <c r="G13" s="20" t="s">
        <v>131</v>
      </c>
      <c r="H13" s="19" t="s">
        <v>131</v>
      </c>
      <c r="I13" s="20" t="s">
        <v>37</v>
      </c>
      <c r="J13" s="10"/>
      <c r="K13" s="10" t="str">
        <f>"60,0"</f>
        <v>60,0</v>
      </c>
      <c r="L13" s="10" t="str">
        <f>"38,2920"</f>
        <v>38,2920</v>
      </c>
      <c r="M13" s="9"/>
    </row>
    <row r="14" spans="1:13">
      <c r="B14" s="5" t="s">
        <v>30</v>
      </c>
    </row>
    <row r="15" spans="1:13" ht="16">
      <c r="A15" s="41" t="s">
        <v>183</v>
      </c>
      <c r="B15" s="41"/>
      <c r="C15" s="42"/>
      <c r="D15" s="42"/>
      <c r="E15" s="42"/>
      <c r="F15" s="42"/>
      <c r="G15" s="42"/>
      <c r="H15" s="42"/>
      <c r="I15" s="42"/>
      <c r="J15" s="42"/>
    </row>
    <row r="16" spans="1:13">
      <c r="A16" s="21" t="s">
        <v>29</v>
      </c>
      <c r="B16" s="15" t="s">
        <v>184</v>
      </c>
      <c r="C16" s="15" t="s">
        <v>623</v>
      </c>
      <c r="D16" s="15" t="s">
        <v>185</v>
      </c>
      <c r="E16" s="15" t="s">
        <v>737</v>
      </c>
      <c r="F16" s="15" t="s">
        <v>52</v>
      </c>
      <c r="G16" s="22" t="s">
        <v>38</v>
      </c>
      <c r="H16" s="22" t="s">
        <v>79</v>
      </c>
      <c r="I16" s="23" t="s">
        <v>39</v>
      </c>
      <c r="J16" s="21"/>
      <c r="K16" s="21" t="str">
        <f>"72,5"</f>
        <v>72,5</v>
      </c>
      <c r="L16" s="21" t="str">
        <f>"41,1039"</f>
        <v>41,1039</v>
      </c>
      <c r="M16" s="15"/>
    </row>
    <row r="17" spans="2:2">
      <c r="B17" s="5" t="s">
        <v>30</v>
      </c>
    </row>
  </sheetData>
  <mergeCells count="15"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  <mergeCell ref="A8:J8"/>
    <mergeCell ref="A11:J11"/>
    <mergeCell ref="A15:J15"/>
    <mergeCell ref="B3:B4"/>
    <mergeCell ref="K3:K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BCEC58-B5A1-440F-9156-A9EE0CA0E43B}">
  <dimension ref="A1:U13"/>
  <sheetViews>
    <sheetView workbookViewId="0">
      <selection sqref="A1:U2"/>
    </sheetView>
  </sheetViews>
  <sheetFormatPr baseColWidth="10" defaultColWidth="9.1640625" defaultRowHeight="13"/>
  <cols>
    <col min="1" max="1" width="7.1640625" style="5" bestFit="1" customWidth="1"/>
    <col min="2" max="2" width="19.6640625" style="5" bestFit="1" customWidth="1"/>
    <col min="3" max="3" width="25.1640625" style="5" bestFit="1" customWidth="1"/>
    <col min="4" max="4" width="20.83203125" style="5" bestFit="1" customWidth="1"/>
    <col min="5" max="5" width="10.1640625" style="5" bestFit="1" customWidth="1"/>
    <col min="6" max="6" width="28.5" style="5" bestFit="1" customWidth="1"/>
    <col min="7" max="9" width="5.5" style="6" customWidth="1"/>
    <col min="10" max="10" width="4.5" style="6" customWidth="1"/>
    <col min="11" max="13" width="5.5" style="6" customWidth="1"/>
    <col min="14" max="14" width="4.5" style="6" customWidth="1"/>
    <col min="15" max="17" width="5.5" style="6" customWidth="1"/>
    <col min="18" max="18" width="4.5" style="6" customWidth="1"/>
    <col min="19" max="19" width="7.6640625" style="6" bestFit="1" customWidth="1"/>
    <col min="20" max="20" width="8.5" style="6" bestFit="1" customWidth="1"/>
    <col min="21" max="21" width="20.33203125" style="5" bestFit="1" customWidth="1"/>
    <col min="22" max="16384" width="9.1640625" style="3"/>
  </cols>
  <sheetData>
    <row r="1" spans="1:21" s="2" customFormat="1" ht="29" customHeight="1">
      <c r="A1" s="53" t="s">
        <v>673</v>
      </c>
      <c r="B1" s="54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6"/>
    </row>
    <row r="2" spans="1:21" s="2" customFormat="1" ht="62" customHeight="1" thickBot="1">
      <c r="A2" s="57"/>
      <c r="B2" s="58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60"/>
    </row>
    <row r="3" spans="1:21" s="1" customFormat="1" ht="12.75" customHeight="1">
      <c r="A3" s="61" t="s">
        <v>730</v>
      </c>
      <c r="B3" s="43" t="s">
        <v>0</v>
      </c>
      <c r="C3" s="63" t="s">
        <v>731</v>
      </c>
      <c r="D3" s="63" t="s">
        <v>6</v>
      </c>
      <c r="E3" s="47" t="s">
        <v>732</v>
      </c>
      <c r="F3" s="47" t="s">
        <v>5</v>
      </c>
      <c r="G3" s="47" t="s">
        <v>7</v>
      </c>
      <c r="H3" s="47"/>
      <c r="I3" s="47"/>
      <c r="J3" s="47"/>
      <c r="K3" s="47" t="s">
        <v>8</v>
      </c>
      <c r="L3" s="47"/>
      <c r="M3" s="47"/>
      <c r="N3" s="47"/>
      <c r="O3" s="47" t="s">
        <v>9</v>
      </c>
      <c r="P3" s="47"/>
      <c r="Q3" s="47"/>
      <c r="R3" s="47"/>
      <c r="S3" s="47" t="s">
        <v>1</v>
      </c>
      <c r="T3" s="47" t="s">
        <v>3</v>
      </c>
      <c r="U3" s="49" t="s">
        <v>2</v>
      </c>
    </row>
    <row r="4" spans="1:21" s="1" customFormat="1" ht="21" customHeight="1" thickBot="1">
      <c r="A4" s="62"/>
      <c r="B4" s="44"/>
      <c r="C4" s="48"/>
      <c r="D4" s="48"/>
      <c r="E4" s="48"/>
      <c r="F4" s="48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">
        <v>1</v>
      </c>
      <c r="P4" s="4">
        <v>2</v>
      </c>
      <c r="Q4" s="4">
        <v>3</v>
      </c>
      <c r="R4" s="4" t="s">
        <v>4</v>
      </c>
      <c r="S4" s="48"/>
      <c r="T4" s="48"/>
      <c r="U4" s="50"/>
    </row>
    <row r="5" spans="1:21" ht="16">
      <c r="A5" s="41" t="s">
        <v>42</v>
      </c>
      <c r="B5" s="41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</row>
    <row r="6" spans="1:21">
      <c r="A6" s="21" t="s">
        <v>29</v>
      </c>
      <c r="B6" s="15" t="s">
        <v>322</v>
      </c>
      <c r="C6" s="15" t="s">
        <v>323</v>
      </c>
      <c r="D6" s="15" t="s">
        <v>324</v>
      </c>
      <c r="E6" s="15" t="s">
        <v>733</v>
      </c>
      <c r="F6" s="15" t="s">
        <v>52</v>
      </c>
      <c r="G6" s="22" t="s">
        <v>168</v>
      </c>
      <c r="H6" s="22" t="s">
        <v>14</v>
      </c>
      <c r="I6" s="23" t="s">
        <v>137</v>
      </c>
      <c r="J6" s="21"/>
      <c r="K6" s="22" t="s">
        <v>142</v>
      </c>
      <c r="L6" s="22" t="s">
        <v>143</v>
      </c>
      <c r="M6" s="22" t="s">
        <v>154</v>
      </c>
      <c r="N6" s="21"/>
      <c r="O6" s="23" t="s">
        <v>149</v>
      </c>
      <c r="P6" s="22" t="s">
        <v>137</v>
      </c>
      <c r="Q6" s="23" t="s">
        <v>53</v>
      </c>
      <c r="R6" s="21"/>
      <c r="S6" s="21" t="str">
        <f>"622,5"</f>
        <v>622,5</v>
      </c>
      <c r="T6" s="21" t="str">
        <f>"398,7735"</f>
        <v>398,7735</v>
      </c>
      <c r="U6" s="15" t="s">
        <v>699</v>
      </c>
    </row>
    <row r="7" spans="1:21">
      <c r="B7" s="5" t="s">
        <v>30</v>
      </c>
    </row>
    <row r="8" spans="1:21" ht="16">
      <c r="A8" s="41" t="s">
        <v>10</v>
      </c>
      <c r="B8" s="41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</row>
    <row r="9" spans="1:21">
      <c r="A9" s="21" t="s">
        <v>29</v>
      </c>
      <c r="B9" s="15" t="s">
        <v>325</v>
      </c>
      <c r="C9" s="15" t="s">
        <v>326</v>
      </c>
      <c r="D9" s="15" t="s">
        <v>327</v>
      </c>
      <c r="E9" s="15" t="s">
        <v>733</v>
      </c>
      <c r="F9" s="15" t="s">
        <v>52</v>
      </c>
      <c r="G9" s="22" t="s">
        <v>46</v>
      </c>
      <c r="H9" s="22" t="s">
        <v>47</v>
      </c>
      <c r="I9" s="22" t="s">
        <v>48</v>
      </c>
      <c r="J9" s="21"/>
      <c r="K9" s="23" t="s">
        <v>81</v>
      </c>
      <c r="L9" s="22" t="s">
        <v>117</v>
      </c>
      <c r="M9" s="22" t="s">
        <v>142</v>
      </c>
      <c r="N9" s="21"/>
      <c r="O9" s="22" t="s">
        <v>46</v>
      </c>
      <c r="P9" s="22" t="s">
        <v>181</v>
      </c>
      <c r="Q9" s="23" t="s">
        <v>175</v>
      </c>
      <c r="R9" s="21"/>
      <c r="S9" s="21" t="str">
        <f>"550,0"</f>
        <v>550,0</v>
      </c>
      <c r="T9" s="21" t="str">
        <f>"344,6300"</f>
        <v>344,6300</v>
      </c>
      <c r="U9" s="15" t="s">
        <v>695</v>
      </c>
    </row>
    <row r="10" spans="1:21">
      <c r="B10" s="5" t="s">
        <v>30</v>
      </c>
    </row>
    <row r="11" spans="1:21" ht="16">
      <c r="A11" s="41" t="s">
        <v>183</v>
      </c>
      <c r="B11" s="41"/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</row>
    <row r="12" spans="1:21">
      <c r="A12" s="21" t="s">
        <v>29</v>
      </c>
      <c r="B12" s="15" t="s">
        <v>328</v>
      </c>
      <c r="C12" s="15" t="s">
        <v>329</v>
      </c>
      <c r="D12" s="15" t="s">
        <v>330</v>
      </c>
      <c r="E12" s="15" t="s">
        <v>733</v>
      </c>
      <c r="F12" s="15" t="s">
        <v>680</v>
      </c>
      <c r="G12" s="22" t="s">
        <v>193</v>
      </c>
      <c r="H12" s="23" t="s">
        <v>331</v>
      </c>
      <c r="I12" s="22" t="s">
        <v>332</v>
      </c>
      <c r="J12" s="21"/>
      <c r="K12" s="22" t="s">
        <v>175</v>
      </c>
      <c r="L12" s="22" t="s">
        <v>14</v>
      </c>
      <c r="M12" s="21"/>
      <c r="N12" s="21"/>
      <c r="O12" s="22" t="s">
        <v>53</v>
      </c>
      <c r="P12" s="23" t="s">
        <v>144</v>
      </c>
      <c r="Q12" s="23" t="s">
        <v>144</v>
      </c>
      <c r="R12" s="21"/>
      <c r="S12" s="21" t="str">
        <f>"865,0"</f>
        <v>865,0</v>
      </c>
      <c r="T12" s="21" t="str">
        <f>"512,9450"</f>
        <v>512,9450</v>
      </c>
      <c r="U12" s="15" t="s">
        <v>683</v>
      </c>
    </row>
    <row r="13" spans="1:21">
      <c r="B13" s="5" t="s">
        <v>30</v>
      </c>
    </row>
  </sheetData>
  <mergeCells count="16">
    <mergeCell ref="T3:T4"/>
    <mergeCell ref="U3:U4"/>
    <mergeCell ref="A1:U2"/>
    <mergeCell ref="A3:A4"/>
    <mergeCell ref="C3:C4"/>
    <mergeCell ref="D3:D4"/>
    <mergeCell ref="E3:E4"/>
    <mergeCell ref="F3:F4"/>
    <mergeCell ref="G3:J3"/>
    <mergeCell ref="K3:N3"/>
    <mergeCell ref="O3:R3"/>
    <mergeCell ref="A5:R5"/>
    <mergeCell ref="A8:R8"/>
    <mergeCell ref="A11:R11"/>
    <mergeCell ref="B3:B4"/>
    <mergeCell ref="S3:S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3A24B7-03D5-4DB0-AF4B-2A1090E59464}">
  <dimension ref="A1:U10"/>
  <sheetViews>
    <sheetView workbookViewId="0">
      <selection sqref="A1:U2"/>
    </sheetView>
  </sheetViews>
  <sheetFormatPr baseColWidth="10" defaultColWidth="9.1640625" defaultRowHeight="13"/>
  <cols>
    <col min="1" max="1" width="7.1640625" style="5" bestFit="1" customWidth="1"/>
    <col min="2" max="2" width="20" style="5" bestFit="1" customWidth="1"/>
    <col min="3" max="3" width="25.1640625" style="5" bestFit="1" customWidth="1"/>
    <col min="4" max="4" width="20.83203125" style="5" bestFit="1" customWidth="1"/>
    <col min="5" max="5" width="10.1640625" style="5" bestFit="1" customWidth="1"/>
    <col min="6" max="6" width="24.6640625" style="5" bestFit="1" customWidth="1"/>
    <col min="7" max="9" width="5.5" style="6" customWidth="1"/>
    <col min="10" max="14" width="4.5" style="6" customWidth="1"/>
    <col min="15" max="17" width="5.5" style="6" customWidth="1"/>
    <col min="18" max="18" width="4.5" style="6" customWidth="1"/>
    <col min="19" max="19" width="7.6640625" style="6" bestFit="1" customWidth="1"/>
    <col min="20" max="20" width="8.5" style="6" bestFit="1" customWidth="1"/>
    <col min="21" max="21" width="19.5" style="5" bestFit="1" customWidth="1"/>
    <col min="22" max="16384" width="9.1640625" style="3"/>
  </cols>
  <sheetData>
    <row r="1" spans="1:21" s="2" customFormat="1" ht="29" customHeight="1">
      <c r="A1" s="53" t="s">
        <v>676</v>
      </c>
      <c r="B1" s="54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6"/>
    </row>
    <row r="2" spans="1:21" s="2" customFormat="1" ht="62" customHeight="1" thickBot="1">
      <c r="A2" s="57"/>
      <c r="B2" s="58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60"/>
    </row>
    <row r="3" spans="1:21" s="1" customFormat="1" ht="12.75" customHeight="1">
      <c r="A3" s="61" t="s">
        <v>730</v>
      </c>
      <c r="B3" s="43" t="s">
        <v>0</v>
      </c>
      <c r="C3" s="63" t="s">
        <v>731</v>
      </c>
      <c r="D3" s="63" t="s">
        <v>6</v>
      </c>
      <c r="E3" s="47" t="s">
        <v>732</v>
      </c>
      <c r="F3" s="47" t="s">
        <v>5</v>
      </c>
      <c r="G3" s="47" t="s">
        <v>7</v>
      </c>
      <c r="H3" s="47"/>
      <c r="I3" s="47"/>
      <c r="J3" s="47"/>
      <c r="K3" s="47" t="s">
        <v>8</v>
      </c>
      <c r="L3" s="47"/>
      <c r="M3" s="47"/>
      <c r="N3" s="47"/>
      <c r="O3" s="47" t="s">
        <v>9</v>
      </c>
      <c r="P3" s="47"/>
      <c r="Q3" s="47"/>
      <c r="R3" s="47"/>
      <c r="S3" s="47" t="s">
        <v>1</v>
      </c>
      <c r="T3" s="47" t="s">
        <v>3</v>
      </c>
      <c r="U3" s="49" t="s">
        <v>2</v>
      </c>
    </row>
    <row r="4" spans="1:21" s="1" customFormat="1" ht="21" customHeight="1" thickBot="1">
      <c r="A4" s="62"/>
      <c r="B4" s="44"/>
      <c r="C4" s="48"/>
      <c r="D4" s="48"/>
      <c r="E4" s="48"/>
      <c r="F4" s="48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">
        <v>1</v>
      </c>
      <c r="P4" s="4">
        <v>2</v>
      </c>
      <c r="Q4" s="4">
        <v>3</v>
      </c>
      <c r="R4" s="4" t="s">
        <v>4</v>
      </c>
      <c r="S4" s="48"/>
      <c r="T4" s="48"/>
      <c r="U4" s="50"/>
    </row>
    <row r="5" spans="1:21" ht="16">
      <c r="A5" s="51" t="s">
        <v>31</v>
      </c>
      <c r="B5" s="51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</row>
    <row r="6" spans="1:21">
      <c r="A6" s="21" t="s">
        <v>29</v>
      </c>
      <c r="B6" s="15" t="s">
        <v>32</v>
      </c>
      <c r="C6" s="15" t="s">
        <v>33</v>
      </c>
      <c r="D6" s="15" t="s">
        <v>34</v>
      </c>
      <c r="E6" s="15" t="s">
        <v>733</v>
      </c>
      <c r="F6" s="15" t="s">
        <v>700</v>
      </c>
      <c r="G6" s="22" t="s">
        <v>35</v>
      </c>
      <c r="H6" s="23" t="s">
        <v>36</v>
      </c>
      <c r="I6" s="22" t="s">
        <v>36</v>
      </c>
      <c r="J6" s="21"/>
      <c r="K6" s="22" t="s">
        <v>37</v>
      </c>
      <c r="L6" s="22" t="s">
        <v>38</v>
      </c>
      <c r="M6" s="22" t="s">
        <v>39</v>
      </c>
      <c r="N6" s="21"/>
      <c r="O6" s="22" t="s">
        <v>35</v>
      </c>
      <c r="P6" s="22" t="s">
        <v>40</v>
      </c>
      <c r="Q6" s="22" t="s">
        <v>41</v>
      </c>
      <c r="R6" s="21"/>
      <c r="S6" s="21" t="str">
        <f>"390,0"</f>
        <v>390,0</v>
      </c>
      <c r="T6" s="21" t="str">
        <f>"441,0900"</f>
        <v>441,0900</v>
      </c>
      <c r="U6" s="15" t="s">
        <v>701</v>
      </c>
    </row>
    <row r="7" spans="1:21">
      <c r="B7" s="5" t="s">
        <v>30</v>
      </c>
    </row>
    <row r="8" spans="1:21" ht="16">
      <c r="A8" s="41" t="s">
        <v>72</v>
      </c>
      <c r="B8" s="41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</row>
    <row r="9" spans="1:21">
      <c r="A9" s="21" t="s">
        <v>29</v>
      </c>
      <c r="B9" s="15" t="s">
        <v>73</v>
      </c>
      <c r="C9" s="15" t="s">
        <v>74</v>
      </c>
      <c r="D9" s="15" t="s">
        <v>75</v>
      </c>
      <c r="E9" s="15" t="s">
        <v>733</v>
      </c>
      <c r="F9" s="15" t="s">
        <v>76</v>
      </c>
      <c r="G9" s="23" t="s">
        <v>77</v>
      </c>
      <c r="H9" s="23" t="s">
        <v>78</v>
      </c>
      <c r="I9" s="22" t="s">
        <v>78</v>
      </c>
      <c r="J9" s="21"/>
      <c r="K9" s="22" t="s">
        <v>38</v>
      </c>
      <c r="L9" s="23" t="s">
        <v>79</v>
      </c>
      <c r="M9" s="23" t="s">
        <v>79</v>
      </c>
      <c r="N9" s="21"/>
      <c r="O9" s="22" t="s">
        <v>77</v>
      </c>
      <c r="P9" s="22" t="s">
        <v>80</v>
      </c>
      <c r="Q9" s="23" t="s">
        <v>81</v>
      </c>
      <c r="R9" s="21"/>
      <c r="S9" s="21" t="str">
        <f>"285,0"</f>
        <v>285,0</v>
      </c>
      <c r="T9" s="21" t="str">
        <f>"294,6615"</f>
        <v>294,6615</v>
      </c>
      <c r="U9" s="15" t="s">
        <v>702</v>
      </c>
    </row>
    <row r="10" spans="1:21">
      <c r="B10" s="5" t="s">
        <v>30</v>
      </c>
    </row>
  </sheetData>
  <mergeCells count="15">
    <mergeCell ref="A1:U2"/>
    <mergeCell ref="A3:A4"/>
    <mergeCell ref="C3:C4"/>
    <mergeCell ref="D3:D4"/>
    <mergeCell ref="E3:E4"/>
    <mergeCell ref="F3:F4"/>
    <mergeCell ref="G3:J3"/>
    <mergeCell ref="K3:N3"/>
    <mergeCell ref="O3:R3"/>
    <mergeCell ref="A8:R8"/>
    <mergeCell ref="B3:B4"/>
    <mergeCell ref="S3:S4"/>
    <mergeCell ref="T3:T4"/>
    <mergeCell ref="U3:U4"/>
    <mergeCell ref="A5:R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0E3AB2-FD72-4D1B-BDE4-F54482053D9D}">
  <dimension ref="A1:U13"/>
  <sheetViews>
    <sheetView workbookViewId="0">
      <selection sqref="A1:U2"/>
    </sheetView>
  </sheetViews>
  <sheetFormatPr baseColWidth="10" defaultColWidth="9.1640625" defaultRowHeight="13"/>
  <cols>
    <col min="1" max="1" width="7.1640625" style="5" bestFit="1" customWidth="1"/>
    <col min="2" max="2" width="20" style="5" bestFit="1" customWidth="1"/>
    <col min="3" max="3" width="25.1640625" style="5" bestFit="1" customWidth="1"/>
    <col min="4" max="4" width="20.83203125" style="5" bestFit="1" customWidth="1"/>
    <col min="5" max="5" width="10.1640625" style="5" bestFit="1" customWidth="1"/>
    <col min="6" max="6" width="25.6640625" style="5" bestFit="1" customWidth="1"/>
    <col min="7" max="9" width="5.5" style="6" customWidth="1"/>
    <col min="10" max="10" width="4.5" style="6" customWidth="1"/>
    <col min="11" max="13" width="5.5" style="6" customWidth="1"/>
    <col min="14" max="14" width="4.5" style="6" customWidth="1"/>
    <col min="15" max="17" width="5.5" style="6" customWidth="1"/>
    <col min="18" max="18" width="4.5" style="6" customWidth="1"/>
    <col min="19" max="19" width="7.6640625" style="6" bestFit="1" customWidth="1"/>
    <col min="20" max="20" width="8.5" style="6" bestFit="1" customWidth="1"/>
    <col min="21" max="21" width="17.5" style="5" bestFit="1" customWidth="1"/>
    <col min="22" max="16384" width="9.1640625" style="3"/>
  </cols>
  <sheetData>
    <row r="1" spans="1:21" s="2" customFormat="1" ht="29" customHeight="1">
      <c r="A1" s="53" t="s">
        <v>677</v>
      </c>
      <c r="B1" s="54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6"/>
    </row>
    <row r="2" spans="1:21" s="2" customFormat="1" ht="62" customHeight="1" thickBot="1">
      <c r="A2" s="57"/>
      <c r="B2" s="58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60"/>
    </row>
    <row r="3" spans="1:21" s="1" customFormat="1" ht="12.75" customHeight="1">
      <c r="A3" s="61" t="s">
        <v>730</v>
      </c>
      <c r="B3" s="43" t="s">
        <v>0</v>
      </c>
      <c r="C3" s="63" t="s">
        <v>731</v>
      </c>
      <c r="D3" s="63" t="s">
        <v>6</v>
      </c>
      <c r="E3" s="47" t="s">
        <v>732</v>
      </c>
      <c r="F3" s="47" t="s">
        <v>5</v>
      </c>
      <c r="G3" s="47" t="s">
        <v>7</v>
      </c>
      <c r="H3" s="47"/>
      <c r="I3" s="47"/>
      <c r="J3" s="47"/>
      <c r="K3" s="47" t="s">
        <v>8</v>
      </c>
      <c r="L3" s="47"/>
      <c r="M3" s="47"/>
      <c r="N3" s="47"/>
      <c r="O3" s="47" t="s">
        <v>9</v>
      </c>
      <c r="P3" s="47"/>
      <c r="Q3" s="47"/>
      <c r="R3" s="47"/>
      <c r="S3" s="47" t="s">
        <v>1</v>
      </c>
      <c r="T3" s="47" t="s">
        <v>3</v>
      </c>
      <c r="U3" s="49" t="s">
        <v>2</v>
      </c>
    </row>
    <row r="4" spans="1:21" s="1" customFormat="1" ht="21" customHeight="1" thickBot="1">
      <c r="A4" s="62"/>
      <c r="B4" s="44"/>
      <c r="C4" s="48"/>
      <c r="D4" s="48"/>
      <c r="E4" s="48"/>
      <c r="F4" s="48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">
        <v>1</v>
      </c>
      <c r="P4" s="4">
        <v>2</v>
      </c>
      <c r="Q4" s="4">
        <v>3</v>
      </c>
      <c r="R4" s="4" t="s">
        <v>4</v>
      </c>
      <c r="S4" s="48"/>
      <c r="T4" s="48"/>
      <c r="U4" s="50"/>
    </row>
    <row r="5" spans="1:21" ht="16">
      <c r="A5" s="51" t="s">
        <v>31</v>
      </c>
      <c r="B5" s="51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</row>
    <row r="6" spans="1:21">
      <c r="A6" s="21" t="s">
        <v>29</v>
      </c>
      <c r="B6" s="15" t="s">
        <v>32</v>
      </c>
      <c r="C6" s="15" t="s">
        <v>33</v>
      </c>
      <c r="D6" s="15" t="s">
        <v>34</v>
      </c>
      <c r="E6" s="15" t="s">
        <v>733</v>
      </c>
      <c r="F6" s="15" t="s">
        <v>700</v>
      </c>
      <c r="G6" s="22" t="s">
        <v>35</v>
      </c>
      <c r="H6" s="23" t="s">
        <v>36</v>
      </c>
      <c r="I6" s="22" t="s">
        <v>36</v>
      </c>
      <c r="J6" s="21"/>
      <c r="K6" s="22" t="s">
        <v>37</v>
      </c>
      <c r="L6" s="22" t="s">
        <v>38</v>
      </c>
      <c r="M6" s="22" t="s">
        <v>39</v>
      </c>
      <c r="N6" s="21"/>
      <c r="O6" s="22" t="s">
        <v>35</v>
      </c>
      <c r="P6" s="22" t="s">
        <v>40</v>
      </c>
      <c r="Q6" s="22" t="s">
        <v>41</v>
      </c>
      <c r="R6" s="21"/>
      <c r="S6" s="21" t="str">
        <f>"390,0"</f>
        <v>390,0</v>
      </c>
      <c r="T6" s="21" t="str">
        <f>"441,0900"</f>
        <v>441,0900</v>
      </c>
      <c r="U6" s="15" t="s">
        <v>703</v>
      </c>
    </row>
    <row r="7" spans="1:21">
      <c r="B7" s="5" t="s">
        <v>30</v>
      </c>
    </row>
    <row r="8" spans="1:21" ht="16">
      <c r="A8" s="41" t="s">
        <v>10</v>
      </c>
      <c r="B8" s="41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</row>
    <row r="9" spans="1:21">
      <c r="A9" s="21" t="s">
        <v>29</v>
      </c>
      <c r="B9" s="15" t="s">
        <v>49</v>
      </c>
      <c r="C9" s="15" t="s">
        <v>50</v>
      </c>
      <c r="D9" s="15" t="s">
        <v>51</v>
      </c>
      <c r="E9" s="15" t="s">
        <v>733</v>
      </c>
      <c r="F9" s="15" t="s">
        <v>52</v>
      </c>
      <c r="G9" s="23" t="s">
        <v>15</v>
      </c>
      <c r="H9" s="22" t="s">
        <v>53</v>
      </c>
      <c r="I9" s="22" t="s">
        <v>54</v>
      </c>
      <c r="J9" s="21"/>
      <c r="K9" s="23" t="s">
        <v>55</v>
      </c>
      <c r="L9" s="22" t="s">
        <v>55</v>
      </c>
      <c r="M9" s="23" t="s">
        <v>56</v>
      </c>
      <c r="N9" s="21"/>
      <c r="O9" s="22" t="s">
        <v>14</v>
      </c>
      <c r="P9" s="22" t="s">
        <v>57</v>
      </c>
      <c r="Q9" s="22" t="s">
        <v>53</v>
      </c>
      <c r="R9" s="21"/>
      <c r="S9" s="21" t="str">
        <f>"720,0"</f>
        <v>720,0</v>
      </c>
      <c r="T9" s="21" t="str">
        <f>"438,9120"</f>
        <v>438,9120</v>
      </c>
      <c r="U9" s="15" t="s">
        <v>695</v>
      </c>
    </row>
    <row r="10" spans="1:21">
      <c r="B10" s="5" t="s">
        <v>30</v>
      </c>
    </row>
    <row r="11" spans="1:21" ht="16">
      <c r="A11" s="41" t="s">
        <v>58</v>
      </c>
      <c r="B11" s="41"/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</row>
    <row r="12" spans="1:21">
      <c r="A12" s="21" t="s">
        <v>29</v>
      </c>
      <c r="B12" s="15" t="s">
        <v>59</v>
      </c>
      <c r="C12" s="15" t="s">
        <v>60</v>
      </c>
      <c r="D12" s="15" t="s">
        <v>61</v>
      </c>
      <c r="E12" s="15" t="s">
        <v>733</v>
      </c>
      <c r="F12" s="15" t="s">
        <v>52</v>
      </c>
      <c r="G12" s="23" t="s">
        <v>62</v>
      </c>
      <c r="H12" s="23" t="s">
        <v>63</v>
      </c>
      <c r="I12" s="22" t="s">
        <v>64</v>
      </c>
      <c r="J12" s="21"/>
      <c r="K12" s="22" t="s">
        <v>55</v>
      </c>
      <c r="L12" s="22" t="s">
        <v>65</v>
      </c>
      <c r="M12" s="23" t="s">
        <v>46</v>
      </c>
      <c r="N12" s="21"/>
      <c r="O12" s="22" t="s">
        <v>54</v>
      </c>
      <c r="P12" s="22" t="s">
        <v>66</v>
      </c>
      <c r="Q12" s="23" t="s">
        <v>67</v>
      </c>
      <c r="R12" s="21"/>
      <c r="S12" s="21" t="str">
        <f>"800,0"</f>
        <v>800,0</v>
      </c>
      <c r="T12" s="21" t="str">
        <f>"460,7200"</f>
        <v>460,7200</v>
      </c>
      <c r="U12" s="15" t="s">
        <v>68</v>
      </c>
    </row>
    <row r="13" spans="1:21">
      <c r="B13" s="5" t="s">
        <v>30</v>
      </c>
    </row>
  </sheetData>
  <mergeCells count="16">
    <mergeCell ref="U3:U4"/>
    <mergeCell ref="A5:R5"/>
    <mergeCell ref="A1:U2"/>
    <mergeCell ref="A3:A4"/>
    <mergeCell ref="C3:C4"/>
    <mergeCell ref="D3:D4"/>
    <mergeCell ref="E3:E4"/>
    <mergeCell ref="F3:F4"/>
    <mergeCell ref="G3:J3"/>
    <mergeCell ref="K3:N3"/>
    <mergeCell ref="O3:R3"/>
    <mergeCell ref="A8:R8"/>
    <mergeCell ref="A11:R11"/>
    <mergeCell ref="B3:B4"/>
    <mergeCell ref="S3:S4"/>
    <mergeCell ref="T3:T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A4AB1B-9FCF-4C89-BF0D-2CDA351198BF}">
  <dimension ref="A1:U8"/>
  <sheetViews>
    <sheetView workbookViewId="0">
      <selection sqref="A1:U2"/>
    </sheetView>
  </sheetViews>
  <sheetFormatPr baseColWidth="10" defaultColWidth="9.1640625" defaultRowHeight="13"/>
  <cols>
    <col min="1" max="1" width="7.1640625" style="5" bestFit="1" customWidth="1"/>
    <col min="2" max="2" width="16" style="5" bestFit="1" customWidth="1"/>
    <col min="3" max="3" width="28.6640625" style="5" bestFit="1" customWidth="1"/>
    <col min="4" max="4" width="20.83203125" style="5" bestFit="1" customWidth="1"/>
    <col min="5" max="5" width="10.1640625" style="5" bestFit="1" customWidth="1"/>
    <col min="6" max="6" width="28.5" style="5" bestFit="1" customWidth="1"/>
    <col min="7" max="9" width="5.5" style="6" customWidth="1"/>
    <col min="10" max="10" width="4.5" style="6" customWidth="1"/>
    <col min="11" max="12" width="5.5" style="6" customWidth="1"/>
    <col min="13" max="13" width="4.6640625" style="6" customWidth="1"/>
    <col min="14" max="14" width="4.5" style="6" customWidth="1"/>
    <col min="15" max="17" width="5.5" style="6" customWidth="1"/>
    <col min="18" max="18" width="4.5" style="6" customWidth="1"/>
    <col min="19" max="19" width="7.6640625" style="6" bestFit="1" customWidth="1"/>
    <col min="20" max="20" width="8.5" style="6" bestFit="1" customWidth="1"/>
    <col min="21" max="21" width="14.6640625" style="5" bestFit="1" customWidth="1"/>
    <col min="22" max="16384" width="9.1640625" style="3"/>
  </cols>
  <sheetData>
    <row r="1" spans="1:21" s="2" customFormat="1" ht="29" customHeight="1">
      <c r="A1" s="53" t="s">
        <v>678</v>
      </c>
      <c r="B1" s="54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6"/>
    </row>
    <row r="2" spans="1:21" s="2" customFormat="1" ht="62" customHeight="1" thickBot="1">
      <c r="A2" s="57"/>
      <c r="B2" s="58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60"/>
    </row>
    <row r="3" spans="1:21" s="1" customFormat="1" ht="12.75" customHeight="1">
      <c r="A3" s="61" t="s">
        <v>730</v>
      </c>
      <c r="B3" s="43" t="s">
        <v>0</v>
      </c>
      <c r="C3" s="63" t="s">
        <v>731</v>
      </c>
      <c r="D3" s="63" t="s">
        <v>6</v>
      </c>
      <c r="E3" s="47" t="s">
        <v>732</v>
      </c>
      <c r="F3" s="47" t="s">
        <v>5</v>
      </c>
      <c r="G3" s="47" t="s">
        <v>7</v>
      </c>
      <c r="H3" s="47"/>
      <c r="I3" s="47"/>
      <c r="J3" s="47"/>
      <c r="K3" s="47" t="s">
        <v>8</v>
      </c>
      <c r="L3" s="47"/>
      <c r="M3" s="47"/>
      <c r="N3" s="47"/>
      <c r="O3" s="47" t="s">
        <v>9</v>
      </c>
      <c r="P3" s="47"/>
      <c r="Q3" s="47"/>
      <c r="R3" s="47"/>
      <c r="S3" s="47" t="s">
        <v>1</v>
      </c>
      <c r="T3" s="47" t="s">
        <v>3</v>
      </c>
      <c r="U3" s="49" t="s">
        <v>2</v>
      </c>
    </row>
    <row r="4" spans="1:21" s="1" customFormat="1" ht="21" customHeight="1" thickBot="1">
      <c r="A4" s="62"/>
      <c r="B4" s="44"/>
      <c r="C4" s="48"/>
      <c r="D4" s="48"/>
      <c r="E4" s="48"/>
      <c r="F4" s="48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">
        <v>1</v>
      </c>
      <c r="P4" s="4">
        <v>2</v>
      </c>
      <c r="Q4" s="4">
        <v>3</v>
      </c>
      <c r="R4" s="4" t="s">
        <v>4</v>
      </c>
      <c r="S4" s="48"/>
      <c r="T4" s="48"/>
      <c r="U4" s="50"/>
    </row>
    <row r="5" spans="1:21" ht="16">
      <c r="A5" s="51" t="s">
        <v>10</v>
      </c>
      <c r="B5" s="51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</row>
    <row r="6" spans="1:21">
      <c r="A6" s="8" t="s">
        <v>29</v>
      </c>
      <c r="B6" s="7" t="s">
        <v>11</v>
      </c>
      <c r="C6" s="7" t="s">
        <v>12</v>
      </c>
      <c r="D6" s="7" t="s">
        <v>13</v>
      </c>
      <c r="E6" s="7" t="s">
        <v>733</v>
      </c>
      <c r="F6" s="7" t="s">
        <v>680</v>
      </c>
      <c r="G6" s="17" t="s">
        <v>14</v>
      </c>
      <c r="H6" s="17" t="s">
        <v>15</v>
      </c>
      <c r="I6" s="18" t="s">
        <v>16</v>
      </c>
      <c r="J6" s="8"/>
      <c r="K6" s="17" t="s">
        <v>17</v>
      </c>
      <c r="L6" s="17" t="s">
        <v>18</v>
      </c>
      <c r="M6" s="8"/>
      <c r="N6" s="8"/>
      <c r="O6" s="17" t="s">
        <v>19</v>
      </c>
      <c r="P6" s="17" t="s">
        <v>14</v>
      </c>
      <c r="Q6" s="18" t="s">
        <v>15</v>
      </c>
      <c r="R6" s="8"/>
      <c r="S6" s="8" t="str">
        <f>"662,5"</f>
        <v>662,5</v>
      </c>
      <c r="T6" s="8" t="str">
        <f>"420,1575"</f>
        <v>420,1575</v>
      </c>
      <c r="U6" s="7" t="s">
        <v>703</v>
      </c>
    </row>
    <row r="7" spans="1:21">
      <c r="A7" s="10" t="s">
        <v>29</v>
      </c>
      <c r="B7" s="9" t="s">
        <v>11</v>
      </c>
      <c r="C7" s="9" t="s">
        <v>626</v>
      </c>
      <c r="D7" s="9" t="s">
        <v>13</v>
      </c>
      <c r="E7" s="9" t="s">
        <v>734</v>
      </c>
      <c r="F7" s="9" t="s">
        <v>680</v>
      </c>
      <c r="G7" s="19" t="s">
        <v>14</v>
      </c>
      <c r="H7" s="19" t="s">
        <v>15</v>
      </c>
      <c r="I7" s="20" t="s">
        <v>16</v>
      </c>
      <c r="J7" s="10"/>
      <c r="K7" s="19" t="s">
        <v>17</v>
      </c>
      <c r="L7" s="19" t="s">
        <v>18</v>
      </c>
      <c r="M7" s="10"/>
      <c r="N7" s="10"/>
      <c r="O7" s="19" t="s">
        <v>19</v>
      </c>
      <c r="P7" s="19" t="s">
        <v>14</v>
      </c>
      <c r="Q7" s="20" t="s">
        <v>15</v>
      </c>
      <c r="R7" s="10"/>
      <c r="S7" s="10" t="str">
        <f>"662,5"</f>
        <v>662,5</v>
      </c>
      <c r="T7" s="10" t="str">
        <f>"468,0554"</f>
        <v>468,0554</v>
      </c>
      <c r="U7" s="9" t="s">
        <v>703</v>
      </c>
    </row>
    <row r="8" spans="1:21">
      <c r="B8" s="5" t="s">
        <v>30</v>
      </c>
    </row>
  </sheetData>
  <mergeCells count="14">
    <mergeCell ref="A5:R5"/>
    <mergeCell ref="B3:B4"/>
    <mergeCell ref="A1:U2"/>
    <mergeCell ref="A3:A4"/>
    <mergeCell ref="C3:C4"/>
    <mergeCell ref="D3:D4"/>
    <mergeCell ref="E3:E4"/>
    <mergeCell ref="F3:F4"/>
    <mergeCell ref="G3:J3"/>
    <mergeCell ref="K3:N3"/>
    <mergeCell ref="O3:R3"/>
    <mergeCell ref="S3:S4"/>
    <mergeCell ref="T3:T4"/>
    <mergeCell ref="U3:U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5">
    <pageSetUpPr fitToPage="1"/>
  </sheetPr>
  <dimension ref="A1:U8"/>
  <sheetViews>
    <sheetView workbookViewId="0">
      <selection sqref="A1:U2"/>
    </sheetView>
  </sheetViews>
  <sheetFormatPr baseColWidth="10" defaultColWidth="9.1640625" defaultRowHeight="13"/>
  <cols>
    <col min="1" max="1" width="7.1640625" style="5" bestFit="1" customWidth="1"/>
    <col min="2" max="2" width="16" style="5" bestFit="1" customWidth="1"/>
    <col min="3" max="3" width="28.6640625" style="5" bestFit="1" customWidth="1"/>
    <col min="4" max="4" width="20.83203125" style="5" bestFit="1" customWidth="1"/>
    <col min="5" max="5" width="10.1640625" style="5" bestFit="1" customWidth="1"/>
    <col min="6" max="6" width="28.5" style="5" bestFit="1" customWidth="1"/>
    <col min="7" max="9" width="5.5" style="6" customWidth="1"/>
    <col min="10" max="10" width="4.5" style="6" customWidth="1"/>
    <col min="11" max="12" width="5.5" style="6" customWidth="1"/>
    <col min="13" max="13" width="4.6640625" style="6" customWidth="1"/>
    <col min="14" max="14" width="4.5" style="6" customWidth="1"/>
    <col min="15" max="17" width="5.5" style="6" customWidth="1"/>
    <col min="18" max="18" width="4.5" style="6" customWidth="1"/>
    <col min="19" max="19" width="7.6640625" style="6" bestFit="1" customWidth="1"/>
    <col min="20" max="20" width="8.5" style="6" bestFit="1" customWidth="1"/>
    <col min="21" max="21" width="14.6640625" style="5" bestFit="1" customWidth="1"/>
    <col min="22" max="16384" width="9.1640625" style="3"/>
  </cols>
  <sheetData>
    <row r="1" spans="1:21" s="2" customFormat="1" ht="29" customHeight="1">
      <c r="A1" s="53" t="s">
        <v>679</v>
      </c>
      <c r="B1" s="54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6"/>
    </row>
    <row r="2" spans="1:21" s="2" customFormat="1" ht="62" customHeight="1" thickBot="1">
      <c r="A2" s="57"/>
      <c r="B2" s="58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60"/>
    </row>
    <row r="3" spans="1:21" s="1" customFormat="1" ht="12.75" customHeight="1">
      <c r="A3" s="61" t="s">
        <v>730</v>
      </c>
      <c r="B3" s="43" t="s">
        <v>0</v>
      </c>
      <c r="C3" s="63" t="s">
        <v>731</v>
      </c>
      <c r="D3" s="63" t="s">
        <v>6</v>
      </c>
      <c r="E3" s="47" t="s">
        <v>732</v>
      </c>
      <c r="F3" s="47" t="s">
        <v>5</v>
      </c>
      <c r="G3" s="47" t="s">
        <v>7</v>
      </c>
      <c r="H3" s="47"/>
      <c r="I3" s="47"/>
      <c r="J3" s="47"/>
      <c r="K3" s="47" t="s">
        <v>8</v>
      </c>
      <c r="L3" s="47"/>
      <c r="M3" s="47"/>
      <c r="N3" s="47"/>
      <c r="O3" s="47" t="s">
        <v>9</v>
      </c>
      <c r="P3" s="47"/>
      <c r="Q3" s="47"/>
      <c r="R3" s="47"/>
      <c r="S3" s="47" t="s">
        <v>1</v>
      </c>
      <c r="T3" s="47" t="s">
        <v>3</v>
      </c>
      <c r="U3" s="49" t="s">
        <v>2</v>
      </c>
    </row>
    <row r="4" spans="1:21" s="1" customFormat="1" ht="21" customHeight="1" thickBot="1">
      <c r="A4" s="62"/>
      <c r="B4" s="44"/>
      <c r="C4" s="48"/>
      <c r="D4" s="48"/>
      <c r="E4" s="48"/>
      <c r="F4" s="48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">
        <v>1</v>
      </c>
      <c r="P4" s="4">
        <v>2</v>
      </c>
      <c r="Q4" s="4">
        <v>3</v>
      </c>
      <c r="R4" s="4" t="s">
        <v>4</v>
      </c>
      <c r="S4" s="48"/>
      <c r="T4" s="48"/>
      <c r="U4" s="50"/>
    </row>
    <row r="5" spans="1:21" ht="16">
      <c r="A5" s="51" t="s">
        <v>10</v>
      </c>
      <c r="B5" s="51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</row>
    <row r="6" spans="1:21">
      <c r="A6" s="8" t="s">
        <v>29</v>
      </c>
      <c r="B6" s="7" t="s">
        <v>11</v>
      </c>
      <c r="C6" s="7" t="s">
        <v>12</v>
      </c>
      <c r="D6" s="7" t="s">
        <v>13</v>
      </c>
      <c r="E6" s="7" t="s">
        <v>733</v>
      </c>
      <c r="F6" s="7" t="s">
        <v>680</v>
      </c>
      <c r="G6" s="17" t="s">
        <v>14</v>
      </c>
      <c r="H6" s="17" t="s">
        <v>15</v>
      </c>
      <c r="I6" s="18" t="s">
        <v>16</v>
      </c>
      <c r="J6" s="8"/>
      <c r="K6" s="17" t="s">
        <v>17</v>
      </c>
      <c r="L6" s="17" t="s">
        <v>18</v>
      </c>
      <c r="M6" s="8"/>
      <c r="N6" s="8"/>
      <c r="O6" s="17" t="s">
        <v>19</v>
      </c>
      <c r="P6" s="17" t="s">
        <v>14</v>
      </c>
      <c r="Q6" s="18" t="s">
        <v>15</v>
      </c>
      <c r="R6" s="8"/>
      <c r="S6" s="8" t="str">
        <f>"662,5"</f>
        <v>662,5</v>
      </c>
      <c r="T6" s="8" t="str">
        <f>"420,1575"</f>
        <v>420,1575</v>
      </c>
      <c r="U6" s="7" t="s">
        <v>703</v>
      </c>
    </row>
    <row r="7" spans="1:21">
      <c r="A7" s="10" t="s">
        <v>29</v>
      </c>
      <c r="B7" s="9" t="s">
        <v>11</v>
      </c>
      <c r="C7" s="9" t="s">
        <v>626</v>
      </c>
      <c r="D7" s="9" t="s">
        <v>13</v>
      </c>
      <c r="E7" s="9" t="s">
        <v>734</v>
      </c>
      <c r="F7" s="9" t="s">
        <v>680</v>
      </c>
      <c r="G7" s="19" t="s">
        <v>14</v>
      </c>
      <c r="H7" s="19" t="s">
        <v>15</v>
      </c>
      <c r="I7" s="20" t="s">
        <v>16</v>
      </c>
      <c r="J7" s="10"/>
      <c r="K7" s="19" t="s">
        <v>17</v>
      </c>
      <c r="L7" s="19" t="s">
        <v>18</v>
      </c>
      <c r="M7" s="10"/>
      <c r="N7" s="10"/>
      <c r="O7" s="19" t="s">
        <v>19</v>
      </c>
      <c r="P7" s="19" t="s">
        <v>14</v>
      </c>
      <c r="Q7" s="20" t="s">
        <v>15</v>
      </c>
      <c r="R7" s="10"/>
      <c r="S7" s="10" t="str">
        <f>"662,5"</f>
        <v>662,5</v>
      </c>
      <c r="T7" s="10" t="str">
        <f>"468,0554"</f>
        <v>468,0554</v>
      </c>
      <c r="U7" s="9" t="s">
        <v>703</v>
      </c>
    </row>
    <row r="8" spans="1:21">
      <c r="B8" s="5" t="s">
        <v>30</v>
      </c>
    </row>
  </sheetData>
  <mergeCells count="14">
    <mergeCell ref="A1:U2"/>
    <mergeCell ref="G3:J3"/>
    <mergeCell ref="K3:N3"/>
    <mergeCell ref="O3:R3"/>
    <mergeCell ref="A3:A4"/>
    <mergeCell ref="C3:C4"/>
    <mergeCell ref="D3:D4"/>
    <mergeCell ref="U3:U4"/>
    <mergeCell ref="F3:F4"/>
    <mergeCell ref="A5:R5"/>
    <mergeCell ref="B3:B4"/>
    <mergeCell ref="E3:E4"/>
    <mergeCell ref="S3:S4"/>
    <mergeCell ref="T3:T4"/>
  </mergeCells>
  <phoneticPr fontId="0" type="noConversion"/>
  <pageMargins left="0.19685039370078741" right="0.47244094488188981" top="0.43307086614173229" bottom="0.47244094488188981" header="0.51181102362204722" footer="0.51181102362204722"/>
  <pageSetup scale="58" fitToHeight="100" orientation="landscape" horizontalDpi="300" verticalDpi="300" r:id="rId1"/>
  <headerFooter alignWithMargins="0">
    <oddFooter>&amp;L&amp;G&amp;R&amp;D&amp;T&amp;P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4E1FA5-FDC6-47FB-BF94-F9BC7E63FADB}">
  <dimension ref="A1:Q11"/>
  <sheetViews>
    <sheetView workbookViewId="0">
      <selection sqref="A1:Q2"/>
    </sheetView>
  </sheetViews>
  <sheetFormatPr baseColWidth="10" defaultColWidth="9.1640625" defaultRowHeight="13"/>
  <cols>
    <col min="1" max="1" width="7.1640625" style="5" bestFit="1" customWidth="1"/>
    <col min="2" max="2" width="17.83203125" style="5" bestFit="1" customWidth="1"/>
    <col min="3" max="3" width="25.1640625" style="5" bestFit="1" customWidth="1"/>
    <col min="4" max="4" width="20.83203125" style="5" bestFit="1" customWidth="1"/>
    <col min="5" max="5" width="10.1640625" style="5" bestFit="1" customWidth="1"/>
    <col min="6" max="6" width="25.6640625" style="5" bestFit="1" customWidth="1"/>
    <col min="7" max="9" width="5.5" style="6" customWidth="1"/>
    <col min="10" max="10" width="4.5" style="6" customWidth="1"/>
    <col min="11" max="13" width="5.5" style="6" customWidth="1"/>
    <col min="14" max="14" width="4.5" style="6" customWidth="1"/>
    <col min="15" max="15" width="7.6640625" style="6" bestFit="1" customWidth="1"/>
    <col min="16" max="16" width="8.5" style="6" bestFit="1" customWidth="1"/>
    <col min="17" max="17" width="19" style="5" bestFit="1" customWidth="1"/>
    <col min="18" max="16384" width="9.1640625" style="3"/>
  </cols>
  <sheetData>
    <row r="1" spans="1:17" s="2" customFormat="1" ht="29" customHeight="1">
      <c r="A1" s="53" t="s">
        <v>655</v>
      </c>
      <c r="B1" s="54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6"/>
    </row>
    <row r="2" spans="1:17" s="2" customFormat="1" ht="62" customHeight="1" thickBot="1">
      <c r="A2" s="57"/>
      <c r="B2" s="58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60"/>
    </row>
    <row r="3" spans="1:17" s="1" customFormat="1" ht="12.75" customHeight="1">
      <c r="A3" s="61" t="s">
        <v>730</v>
      </c>
      <c r="B3" s="43" t="s">
        <v>0</v>
      </c>
      <c r="C3" s="63" t="s">
        <v>731</v>
      </c>
      <c r="D3" s="63" t="s">
        <v>6</v>
      </c>
      <c r="E3" s="47" t="s">
        <v>732</v>
      </c>
      <c r="F3" s="47" t="s">
        <v>5</v>
      </c>
      <c r="G3" s="47" t="s">
        <v>8</v>
      </c>
      <c r="H3" s="47"/>
      <c r="I3" s="47"/>
      <c r="J3" s="47"/>
      <c r="K3" s="47" t="s">
        <v>9</v>
      </c>
      <c r="L3" s="47"/>
      <c r="M3" s="47"/>
      <c r="N3" s="47"/>
      <c r="O3" s="47" t="s">
        <v>1</v>
      </c>
      <c r="P3" s="47" t="s">
        <v>3</v>
      </c>
      <c r="Q3" s="49" t="s">
        <v>2</v>
      </c>
    </row>
    <row r="4" spans="1:17" s="1" customFormat="1" ht="21" customHeight="1" thickBot="1">
      <c r="A4" s="62"/>
      <c r="B4" s="44"/>
      <c r="C4" s="48"/>
      <c r="D4" s="48"/>
      <c r="E4" s="48"/>
      <c r="F4" s="48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8"/>
      <c r="P4" s="48"/>
      <c r="Q4" s="50"/>
    </row>
    <row r="5" spans="1:17" ht="16">
      <c r="A5" s="51" t="s">
        <v>42</v>
      </c>
      <c r="B5" s="51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</row>
    <row r="6" spans="1:17">
      <c r="A6" s="21" t="s">
        <v>29</v>
      </c>
      <c r="B6" s="15" t="s">
        <v>271</v>
      </c>
      <c r="C6" s="15" t="s">
        <v>272</v>
      </c>
      <c r="D6" s="15" t="s">
        <v>273</v>
      </c>
      <c r="E6" s="15" t="s">
        <v>733</v>
      </c>
      <c r="F6" s="15" t="s">
        <v>52</v>
      </c>
      <c r="G6" s="22" t="s">
        <v>142</v>
      </c>
      <c r="H6" s="22" t="s">
        <v>143</v>
      </c>
      <c r="I6" s="23" t="s">
        <v>170</v>
      </c>
      <c r="J6" s="21"/>
      <c r="K6" s="23" t="s">
        <v>137</v>
      </c>
      <c r="L6" s="22" t="s">
        <v>274</v>
      </c>
      <c r="M6" s="22" t="s">
        <v>57</v>
      </c>
      <c r="N6" s="21"/>
      <c r="O6" s="21" t="str">
        <f>"395,0"</f>
        <v>395,0</v>
      </c>
      <c r="P6" s="21" t="str">
        <f>"252,8790"</f>
        <v>252,8790</v>
      </c>
      <c r="Q6" s="15" t="s">
        <v>690</v>
      </c>
    </row>
    <row r="7" spans="1:17">
      <c r="B7" s="5" t="s">
        <v>30</v>
      </c>
    </row>
    <row r="8" spans="1:17" ht="16">
      <c r="A8" s="41" t="s">
        <v>10</v>
      </c>
      <c r="B8" s="41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</row>
    <row r="9" spans="1:17">
      <c r="A9" s="21" t="s">
        <v>29</v>
      </c>
      <c r="B9" s="15" t="s">
        <v>295</v>
      </c>
      <c r="C9" s="15" t="s">
        <v>296</v>
      </c>
      <c r="D9" s="15" t="s">
        <v>297</v>
      </c>
      <c r="E9" s="15" t="s">
        <v>733</v>
      </c>
      <c r="F9" s="15" t="s">
        <v>223</v>
      </c>
      <c r="G9" s="23" t="s">
        <v>124</v>
      </c>
      <c r="H9" s="22" t="s">
        <v>288</v>
      </c>
      <c r="I9" s="23" t="s">
        <v>143</v>
      </c>
      <c r="J9" s="21"/>
      <c r="K9" s="23" t="s">
        <v>148</v>
      </c>
      <c r="L9" s="22" t="s">
        <v>149</v>
      </c>
      <c r="M9" s="22" t="s">
        <v>155</v>
      </c>
      <c r="N9" s="21"/>
      <c r="O9" s="21" t="str">
        <f>"377,5"</f>
        <v>377,5</v>
      </c>
      <c r="P9" s="21" t="str">
        <f>"231,4452"</f>
        <v>231,4452</v>
      </c>
      <c r="Q9" s="15"/>
    </row>
    <row r="10" spans="1:17">
      <c r="B10" s="5" t="s">
        <v>30</v>
      </c>
    </row>
    <row r="11" spans="1:17">
      <c r="B11" s="5" t="s">
        <v>30</v>
      </c>
    </row>
  </sheetData>
  <mergeCells count="14">
    <mergeCell ref="A1:Q2"/>
    <mergeCell ref="A3:A4"/>
    <mergeCell ref="C3:C4"/>
    <mergeCell ref="D3:D4"/>
    <mergeCell ref="E3:E4"/>
    <mergeCell ref="F3:F4"/>
    <mergeCell ref="G3:J3"/>
    <mergeCell ref="K3:N3"/>
    <mergeCell ref="A8:N8"/>
    <mergeCell ref="B3:B4"/>
    <mergeCell ref="O3:O4"/>
    <mergeCell ref="P3:P4"/>
    <mergeCell ref="Q3:Q4"/>
    <mergeCell ref="A5:N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35</vt:i4>
      </vt:variant>
    </vt:vector>
  </HeadingPairs>
  <TitlesOfParts>
    <vt:vector size="35" baseType="lpstr">
      <vt:lpstr>IPL ПЛ без экипировки ДК</vt:lpstr>
      <vt:lpstr>IPL ПЛ без экипировки</vt:lpstr>
      <vt:lpstr>IPL ПЛ в бинтах ДК</vt:lpstr>
      <vt:lpstr>IPL ПЛ в бинтах</vt:lpstr>
      <vt:lpstr>IPL ПЛ однослой ДК</vt:lpstr>
      <vt:lpstr>IPL ПЛ однослой</vt:lpstr>
      <vt:lpstr>IPL ПЛ многослой ДК</vt:lpstr>
      <vt:lpstr>IPL ПЛ многослой</vt:lpstr>
      <vt:lpstr>IPL Двоеборье без экип ДК</vt:lpstr>
      <vt:lpstr>IPL Двоеборье без экип</vt:lpstr>
      <vt:lpstr>IPL Присед без экипировки ДК</vt:lpstr>
      <vt:lpstr>IPL Присед без экипировки</vt:lpstr>
      <vt:lpstr>IPL Присед многослой ДК</vt:lpstr>
      <vt:lpstr>IPL Присед многослой</vt:lpstr>
      <vt:lpstr>IPL Жим без экипировки ДК</vt:lpstr>
      <vt:lpstr>IPL Жим без экипировки</vt:lpstr>
      <vt:lpstr>IPL Жим однослой ДК</vt:lpstr>
      <vt:lpstr>IPL Жим однослой</vt:lpstr>
      <vt:lpstr>IPL Жим многослой ДК</vt:lpstr>
      <vt:lpstr>IPL Жим многослой</vt:lpstr>
      <vt:lpstr>СПР Жим софт однопетельная ДК</vt:lpstr>
      <vt:lpstr>СПР Жим софт однопетельная</vt:lpstr>
      <vt:lpstr>СПР Жим софт многопетельная ДК</vt:lpstr>
      <vt:lpstr>СПР Жим софт многопетельная</vt:lpstr>
      <vt:lpstr>IPL Тяга без экипировки ДК</vt:lpstr>
      <vt:lpstr>IPL Тяга без экипировки</vt:lpstr>
      <vt:lpstr>IPL Тяга однослой</vt:lpstr>
      <vt:lpstr>IPL Тяга многослой ДК</vt:lpstr>
      <vt:lpstr>IPL Тяга многослой</vt:lpstr>
      <vt:lpstr>СПР Пауэрспорт ДК</vt:lpstr>
      <vt:lpstr>СПР Пауэрспорт</vt:lpstr>
      <vt:lpstr>СПР Жим стоя ДК</vt:lpstr>
      <vt:lpstr>СПР Жим стоя</vt:lpstr>
      <vt:lpstr>СПР Подъем на бицепс ДК</vt:lpstr>
      <vt:lpstr>СПР Подъем на бицепс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Tomchin</dc:creator>
  <cp:lastModifiedBy>Екатерина Шевелева</cp:lastModifiedBy>
  <cp:lastPrinted>2015-07-16T19:10:53Z</cp:lastPrinted>
  <dcterms:created xsi:type="dcterms:W3CDTF">2002-06-16T13:36:44Z</dcterms:created>
  <dcterms:modified xsi:type="dcterms:W3CDTF">2020-12-09T19:59:03Z</dcterms:modified>
</cp:coreProperties>
</file>