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Февраль/"/>
    </mc:Choice>
  </mc:AlternateContent>
  <xr:revisionPtr revIDLastSave="0" documentId="13_ncr:1_{528C4D05-91FA-9C42-BDA5-2AA248DFEA68}" xr6:coauthVersionLast="45" xr6:coauthVersionMax="46" xr10:uidLastSave="{00000000-0000-0000-0000-000000000000}"/>
  <bookViews>
    <workbookView xWindow="0" yWindow="460" windowWidth="28800" windowHeight="16100" tabRatio="926" firstSheet="10" activeTab="15" xr2:uid="{00000000-000D-0000-FFFF-FFFF00000000}"/>
  </bookViews>
  <sheets>
    <sheet name="WRPF ПЛ без экипировки ДК" sheetId="9" r:id="rId1"/>
    <sheet name="WRPF ПЛ без экипировки" sheetId="8" r:id="rId2"/>
    <sheet name="WRPF ПЛ в бинтах ДК" sheetId="6" r:id="rId3"/>
    <sheet name="WRPF ПЛ в бинтах" sheetId="5" r:id="rId4"/>
    <sheet name="WRPF Двоеборье без экип ДК" sheetId="21" r:id="rId5"/>
    <sheet name="WRPF Двоеборье без экип" sheetId="20" r:id="rId6"/>
    <sheet name="WRPF Жим лежа без экип ДК" sheetId="12" r:id="rId7"/>
    <sheet name="WRPF Жим лежа без экип" sheetId="11" r:id="rId8"/>
    <sheet name="WEPF Жим софт однопетельная ДК" sheetId="13" r:id="rId9"/>
    <sheet name="WEPF Жим софт однопетельная" sheetId="10" r:id="rId10"/>
    <sheet name="WEPF Жим софт многопетельнаяДК" sheetId="16" r:id="rId11"/>
    <sheet name="WEPF Жим софт многопетельная" sheetId="15" r:id="rId12"/>
    <sheet name="WRPF Жим СФО" sheetId="43" r:id="rId13"/>
    <sheet name="WRPF Тяга без экипировки ДК" sheetId="19" r:id="rId14"/>
    <sheet name="WRPF Тяга без экипировки" sheetId="18" r:id="rId15"/>
    <sheet name="WRPF Подъем на бицепс" sheetId="22" r:id="rId16"/>
  </sheets>
  <definedNames>
    <definedName name="_FilterDatabase" localSheetId="3" hidden="1">'WRPF ПЛ в бинтах'!$A$1:$T$3</definedName>
  </definedNames>
  <calcPr calcId="191029" refMode="R1C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" i="43" l="1"/>
  <c r="L6" i="43"/>
  <c r="M34" i="22"/>
  <c r="L34" i="22"/>
  <c r="M33" i="22"/>
  <c r="L33" i="22"/>
  <c r="M32" i="22"/>
  <c r="L32" i="22"/>
  <c r="M31" i="22"/>
  <c r="L31" i="22"/>
  <c r="M28" i="22"/>
  <c r="L28" i="22"/>
  <c r="M27" i="22"/>
  <c r="L27" i="22"/>
  <c r="M24" i="22"/>
  <c r="L24" i="22"/>
  <c r="M23" i="22"/>
  <c r="L23" i="22"/>
  <c r="M20" i="22"/>
  <c r="L20" i="22"/>
  <c r="M19" i="22"/>
  <c r="L19" i="22"/>
  <c r="M18" i="22"/>
  <c r="L18" i="22"/>
  <c r="M17" i="22"/>
  <c r="L17" i="22"/>
  <c r="M14" i="22"/>
  <c r="L14" i="22"/>
  <c r="M13" i="22"/>
  <c r="L13" i="22"/>
  <c r="M10" i="22"/>
  <c r="L10" i="22"/>
  <c r="M9" i="22"/>
  <c r="L9" i="22"/>
  <c r="M6" i="22"/>
  <c r="L6" i="22"/>
  <c r="Q15" i="21"/>
  <c r="P15" i="21"/>
  <c r="Q14" i="21"/>
  <c r="P14" i="21"/>
  <c r="Q11" i="21"/>
  <c r="P11" i="21"/>
  <c r="Q10" i="21"/>
  <c r="P10" i="21"/>
  <c r="Q7" i="21"/>
  <c r="P7" i="21"/>
  <c r="Q6" i="21"/>
  <c r="P6" i="21"/>
  <c r="Q19" i="20"/>
  <c r="P19" i="20"/>
  <c r="Q18" i="20"/>
  <c r="P18" i="20"/>
  <c r="Q15" i="20"/>
  <c r="P15" i="20"/>
  <c r="Q12" i="20"/>
  <c r="P12" i="20"/>
  <c r="Q9" i="20"/>
  <c r="P9" i="20"/>
  <c r="Q6" i="20"/>
  <c r="P6" i="20"/>
  <c r="M45" i="19"/>
  <c r="L45" i="19"/>
  <c r="M44" i="19"/>
  <c r="L44" i="19"/>
  <c r="M41" i="19"/>
  <c r="L41" i="19"/>
  <c r="M38" i="19"/>
  <c r="L38" i="19"/>
  <c r="M37" i="19"/>
  <c r="L37" i="19"/>
  <c r="M36" i="19"/>
  <c r="L36" i="19"/>
  <c r="M35" i="19"/>
  <c r="L35" i="19"/>
  <c r="M32" i="19"/>
  <c r="L32" i="19"/>
  <c r="M31" i="19"/>
  <c r="L31" i="19"/>
  <c r="M30" i="19"/>
  <c r="L30" i="19"/>
  <c r="M29" i="19"/>
  <c r="L29" i="19"/>
  <c r="M28" i="19"/>
  <c r="L28" i="19"/>
  <c r="M25" i="19"/>
  <c r="L25" i="19"/>
  <c r="M24" i="19"/>
  <c r="L24" i="19"/>
  <c r="M23" i="19"/>
  <c r="L23" i="19"/>
  <c r="M20" i="19"/>
  <c r="L20" i="19"/>
  <c r="M17" i="19"/>
  <c r="L17" i="19"/>
  <c r="M16" i="19"/>
  <c r="L16" i="19"/>
  <c r="M15" i="19"/>
  <c r="L15" i="19"/>
  <c r="M12" i="19"/>
  <c r="L12" i="19"/>
  <c r="M9" i="19"/>
  <c r="L9" i="19"/>
  <c r="M6" i="19"/>
  <c r="L6" i="19"/>
  <c r="M29" i="18"/>
  <c r="L29" i="18"/>
  <c r="M26" i="18"/>
  <c r="L26" i="18"/>
  <c r="M25" i="18"/>
  <c r="L25" i="18"/>
  <c r="M22" i="18"/>
  <c r="L22" i="18"/>
  <c r="M21" i="18"/>
  <c r="L21" i="18"/>
  <c r="M20" i="18"/>
  <c r="L20" i="18"/>
  <c r="M17" i="18"/>
  <c r="L17" i="18"/>
  <c r="M16" i="18"/>
  <c r="L16" i="18"/>
  <c r="M13" i="18"/>
  <c r="L13" i="18"/>
  <c r="M12" i="18"/>
  <c r="L12" i="18"/>
  <c r="M9" i="18"/>
  <c r="L9" i="18"/>
  <c r="M6" i="18"/>
  <c r="L6" i="18"/>
  <c r="M6" i="16"/>
  <c r="L6" i="16"/>
  <c r="M9" i="15"/>
  <c r="L9" i="15"/>
  <c r="M6" i="15"/>
  <c r="L6" i="15"/>
  <c r="M19" i="13"/>
  <c r="L19" i="13"/>
  <c r="M16" i="13"/>
  <c r="L16" i="13"/>
  <c r="M13" i="13"/>
  <c r="L13" i="13"/>
  <c r="M12" i="13"/>
  <c r="L12" i="13"/>
  <c r="M9" i="13"/>
  <c r="L9" i="13"/>
  <c r="M6" i="13"/>
  <c r="L6" i="13"/>
  <c r="M92" i="12"/>
  <c r="L92" i="12"/>
  <c r="M91" i="12"/>
  <c r="L91" i="12"/>
  <c r="M90" i="12"/>
  <c r="L90" i="12"/>
  <c r="M87" i="12"/>
  <c r="L87" i="12"/>
  <c r="M86" i="12"/>
  <c r="L86" i="12"/>
  <c r="M85" i="12"/>
  <c r="L85" i="12"/>
  <c r="M84" i="12"/>
  <c r="L84" i="12"/>
  <c r="M81" i="12"/>
  <c r="L81" i="12"/>
  <c r="M80" i="12"/>
  <c r="L80" i="12"/>
  <c r="M79" i="12"/>
  <c r="M78" i="12"/>
  <c r="L78" i="12"/>
  <c r="M77" i="12"/>
  <c r="L77" i="12"/>
  <c r="M74" i="12"/>
  <c r="L74" i="12"/>
  <c r="M73" i="12"/>
  <c r="M72" i="12"/>
  <c r="L72" i="12"/>
  <c r="M71" i="12"/>
  <c r="L71" i="12"/>
  <c r="M70" i="12"/>
  <c r="L70" i="12"/>
  <c r="M69" i="12"/>
  <c r="L69" i="12"/>
  <c r="M68" i="12"/>
  <c r="L68" i="12"/>
  <c r="M67" i="12"/>
  <c r="L67" i="12"/>
  <c r="M66" i="12"/>
  <c r="L66" i="12"/>
  <c r="M65" i="12"/>
  <c r="L65" i="12"/>
  <c r="M62" i="12"/>
  <c r="M61" i="12"/>
  <c r="L61" i="12"/>
  <c r="M60" i="12"/>
  <c r="L60" i="12"/>
  <c r="M59" i="12"/>
  <c r="L59" i="12"/>
  <c r="M58" i="12"/>
  <c r="L58" i="12"/>
  <c r="M57" i="12"/>
  <c r="L57" i="12"/>
  <c r="M56" i="12"/>
  <c r="L56" i="12"/>
  <c r="M55" i="12"/>
  <c r="L55" i="12"/>
  <c r="M54" i="12"/>
  <c r="L54" i="12"/>
  <c r="M53" i="12"/>
  <c r="L53" i="12"/>
  <c r="M52" i="12"/>
  <c r="L52" i="12"/>
  <c r="M51" i="12"/>
  <c r="L51" i="12"/>
  <c r="M50" i="12"/>
  <c r="L50" i="12"/>
  <c r="M47" i="12"/>
  <c r="M46" i="12"/>
  <c r="M45" i="12"/>
  <c r="L45" i="12"/>
  <c r="M44" i="12"/>
  <c r="L44" i="12"/>
  <c r="M43" i="12"/>
  <c r="L43" i="12"/>
  <c r="M42" i="12"/>
  <c r="L42" i="12"/>
  <c r="M41" i="12"/>
  <c r="L41" i="12"/>
  <c r="M40" i="12"/>
  <c r="L40" i="12"/>
  <c r="M37" i="12"/>
  <c r="L37" i="12"/>
  <c r="M36" i="12"/>
  <c r="L36" i="12"/>
  <c r="M35" i="12"/>
  <c r="L35" i="12"/>
  <c r="M34" i="12"/>
  <c r="L34" i="12"/>
  <c r="M31" i="12"/>
  <c r="L31" i="12"/>
  <c r="M30" i="12"/>
  <c r="L30" i="12"/>
  <c r="M27" i="12"/>
  <c r="L27" i="12"/>
  <c r="M24" i="12"/>
  <c r="L24" i="12"/>
  <c r="M23" i="12"/>
  <c r="L23" i="12"/>
  <c r="M20" i="12"/>
  <c r="M19" i="12"/>
  <c r="L19" i="12"/>
  <c r="M18" i="12"/>
  <c r="L18" i="12"/>
  <c r="M15" i="12"/>
  <c r="L15" i="12"/>
  <c r="M12" i="12"/>
  <c r="L12" i="12"/>
  <c r="M11" i="12"/>
  <c r="L11" i="12"/>
  <c r="M10" i="12"/>
  <c r="L10" i="12"/>
  <c r="M7" i="12"/>
  <c r="L7" i="12"/>
  <c r="M6" i="12"/>
  <c r="M60" i="11"/>
  <c r="L60" i="11"/>
  <c r="M57" i="11"/>
  <c r="L57" i="11"/>
  <c r="M56" i="11"/>
  <c r="L56" i="11"/>
  <c r="M55" i="11"/>
  <c r="L55" i="11"/>
  <c r="M54" i="11"/>
  <c r="L54" i="11"/>
  <c r="M51" i="11"/>
  <c r="L51" i="11"/>
  <c r="M50" i="11"/>
  <c r="L50" i="11"/>
  <c r="M49" i="11"/>
  <c r="L49" i="11"/>
  <c r="M46" i="11"/>
  <c r="L46" i="11"/>
  <c r="M45" i="11"/>
  <c r="M44" i="11"/>
  <c r="L44" i="11"/>
  <c r="M43" i="11"/>
  <c r="L43" i="11"/>
  <c r="M42" i="11"/>
  <c r="L42" i="11"/>
  <c r="M41" i="11"/>
  <c r="L41" i="11"/>
  <c r="M38" i="11"/>
  <c r="M37" i="11"/>
  <c r="L37" i="11"/>
  <c r="M36" i="11"/>
  <c r="M35" i="11"/>
  <c r="L35" i="11"/>
  <c r="M34" i="11"/>
  <c r="L34" i="11"/>
  <c r="M33" i="11"/>
  <c r="L33" i="11"/>
  <c r="M32" i="11"/>
  <c r="L32" i="11"/>
  <c r="M31" i="11"/>
  <c r="L31" i="11"/>
  <c r="M28" i="11"/>
  <c r="L28" i="11"/>
  <c r="M27" i="11"/>
  <c r="L27" i="11"/>
  <c r="M26" i="11"/>
  <c r="L26" i="11"/>
  <c r="M25" i="11"/>
  <c r="L25" i="11"/>
  <c r="M22" i="11"/>
  <c r="L22" i="11"/>
  <c r="M21" i="11"/>
  <c r="L21" i="11"/>
  <c r="M20" i="11"/>
  <c r="L20" i="11"/>
  <c r="M19" i="11"/>
  <c r="L19" i="11"/>
  <c r="M18" i="11"/>
  <c r="L18" i="11"/>
  <c r="M17" i="11"/>
  <c r="L17" i="11"/>
  <c r="M14" i="11"/>
  <c r="L14" i="11"/>
  <c r="M13" i="11"/>
  <c r="L13" i="11"/>
  <c r="M10" i="11"/>
  <c r="L10" i="11"/>
  <c r="M9" i="11"/>
  <c r="L9" i="11"/>
  <c r="M6" i="11"/>
  <c r="L6" i="11"/>
  <c r="M17" i="10"/>
  <c r="L17" i="10"/>
  <c r="M16" i="10"/>
  <c r="L16" i="10"/>
  <c r="M13" i="10"/>
  <c r="L13" i="10"/>
  <c r="M10" i="10"/>
  <c r="L10" i="10"/>
  <c r="M9" i="10"/>
  <c r="L9" i="10"/>
  <c r="M6" i="10"/>
  <c r="L6" i="10"/>
  <c r="T88" i="9"/>
  <c r="S88" i="9"/>
  <c r="T85" i="9"/>
  <c r="S85" i="9"/>
  <c r="T84" i="9"/>
  <c r="S84" i="9"/>
  <c r="T81" i="9"/>
  <c r="S81" i="9"/>
  <c r="T80" i="9"/>
  <c r="S80" i="9"/>
  <c r="T79" i="9"/>
  <c r="S79" i="9"/>
  <c r="T76" i="9"/>
  <c r="S76" i="9"/>
  <c r="T75" i="9"/>
  <c r="S75" i="9"/>
  <c r="T74" i="9"/>
  <c r="S74" i="9"/>
  <c r="T73" i="9"/>
  <c r="S73" i="9"/>
  <c r="T72" i="9"/>
  <c r="S72" i="9"/>
  <c r="T71" i="9"/>
  <c r="S71" i="9"/>
  <c r="T68" i="9"/>
  <c r="S68" i="9"/>
  <c r="T67" i="9"/>
  <c r="S67" i="9"/>
  <c r="T66" i="9"/>
  <c r="S66" i="9"/>
  <c r="T65" i="9"/>
  <c r="S65" i="9"/>
  <c r="T64" i="9"/>
  <c r="S64" i="9"/>
  <c r="T61" i="9"/>
  <c r="T60" i="9"/>
  <c r="T59" i="9"/>
  <c r="S59" i="9"/>
  <c r="T56" i="9"/>
  <c r="S56" i="9"/>
  <c r="T55" i="9"/>
  <c r="S55" i="9"/>
  <c r="T54" i="9"/>
  <c r="S54" i="9"/>
  <c r="T51" i="9"/>
  <c r="S51" i="9"/>
  <c r="T50" i="9"/>
  <c r="S50" i="9"/>
  <c r="T47" i="9"/>
  <c r="S47" i="9"/>
  <c r="T44" i="9"/>
  <c r="S44" i="9"/>
  <c r="T41" i="9"/>
  <c r="S41" i="9"/>
  <c r="T38" i="9"/>
  <c r="S38" i="9"/>
  <c r="T37" i="9"/>
  <c r="S37" i="9"/>
  <c r="T34" i="9"/>
  <c r="S34" i="9"/>
  <c r="T33" i="9"/>
  <c r="S33" i="9"/>
  <c r="T32" i="9"/>
  <c r="S32" i="9"/>
  <c r="T31" i="9"/>
  <c r="S31" i="9"/>
  <c r="T30" i="9"/>
  <c r="S30" i="9"/>
  <c r="T29" i="9"/>
  <c r="S29" i="9"/>
  <c r="T26" i="9"/>
  <c r="S26" i="9"/>
  <c r="T25" i="9"/>
  <c r="S25" i="9"/>
  <c r="T24" i="9"/>
  <c r="S24" i="9"/>
  <c r="T23" i="9"/>
  <c r="S23" i="9"/>
  <c r="T20" i="9"/>
  <c r="S20" i="9"/>
  <c r="T19" i="9"/>
  <c r="S19" i="9"/>
  <c r="T16" i="9"/>
  <c r="T15" i="9"/>
  <c r="T14" i="9"/>
  <c r="T13" i="9"/>
  <c r="S13" i="9"/>
  <c r="T12" i="9"/>
  <c r="S12" i="9"/>
  <c r="T9" i="9"/>
  <c r="S9" i="9"/>
  <c r="T6" i="9"/>
  <c r="S6" i="9"/>
  <c r="U46" i="8"/>
  <c r="T46" i="8"/>
  <c r="U43" i="8"/>
  <c r="T43" i="8"/>
  <c r="U40" i="8"/>
  <c r="U39" i="8"/>
  <c r="T39" i="8"/>
  <c r="U38" i="8"/>
  <c r="T38" i="8"/>
  <c r="U37" i="8"/>
  <c r="T37" i="8"/>
  <c r="U34" i="8"/>
  <c r="T34" i="8"/>
  <c r="U33" i="8"/>
  <c r="T33" i="8"/>
  <c r="U32" i="8"/>
  <c r="T32" i="8"/>
  <c r="U31" i="8"/>
  <c r="T31" i="8"/>
  <c r="U30" i="8"/>
  <c r="T30" i="8"/>
  <c r="U27" i="8"/>
  <c r="T27" i="8"/>
  <c r="U26" i="8"/>
  <c r="T26" i="8"/>
  <c r="U25" i="8"/>
  <c r="T25" i="8"/>
  <c r="U24" i="8"/>
  <c r="T24" i="8"/>
  <c r="U21" i="8"/>
  <c r="T21" i="8"/>
  <c r="U20" i="8"/>
  <c r="T20" i="8"/>
  <c r="U17" i="8"/>
  <c r="T17" i="8"/>
  <c r="U14" i="8"/>
  <c r="T14" i="8"/>
  <c r="U13" i="8"/>
  <c r="T13" i="8"/>
  <c r="U10" i="8"/>
  <c r="T10" i="8"/>
  <c r="U9" i="8"/>
  <c r="T9" i="8"/>
  <c r="U6" i="8"/>
  <c r="T6" i="8"/>
  <c r="U18" i="6"/>
  <c r="T18" i="6"/>
  <c r="U15" i="6"/>
  <c r="T15" i="6"/>
  <c r="U12" i="6"/>
  <c r="T12" i="6"/>
  <c r="U9" i="6"/>
  <c r="T9" i="6"/>
  <c r="U6" i="6"/>
  <c r="T6" i="6"/>
  <c r="U6" i="5"/>
  <c r="T6" i="5"/>
</calcChain>
</file>

<file path=xl/sharedStrings.xml><?xml version="1.0" encoding="utf-8"?>
<sst xmlns="http://schemas.openxmlformats.org/spreadsheetml/2006/main" count="3695" uniqueCount="989">
  <si>
    <t>ФИО</t>
  </si>
  <si>
    <t>Сумма</t>
  </si>
  <si>
    <t>Тренер</t>
  </si>
  <si>
    <t>Очки</t>
  </si>
  <si>
    <t>Рек</t>
  </si>
  <si>
    <t>Собственный 
вес</t>
  </si>
  <si>
    <t>Приседание</t>
  </si>
  <si>
    <t>Жим лёжа</t>
  </si>
  <si>
    <t>Становая тяга</t>
  </si>
  <si>
    <t>ВЕСОВАЯ КАТЕГОРИЯ   110</t>
  </si>
  <si>
    <t>Мельниченко Илья</t>
  </si>
  <si>
    <t>Открытая (12.09.1990)/30</t>
  </si>
  <si>
    <t>105,60</t>
  </si>
  <si>
    <t>225,0</t>
  </si>
  <si>
    <t>235,0</t>
  </si>
  <si>
    <t>245,0</t>
  </si>
  <si>
    <t>167,5</t>
  </si>
  <si>
    <t>177,5</t>
  </si>
  <si>
    <t>182,5</t>
  </si>
  <si>
    <t>230,0</t>
  </si>
  <si>
    <t>240,0</t>
  </si>
  <si>
    <t xml:space="preserve">Михайлов Д. 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</si>
  <si>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</si>
  <si>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</si>
  <si>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</si>
  <si>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</si>
  <si>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</si>
  <si>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Сумма </t>
  </si>
  <si>
    <t xml:space="preserve">Wilks </t>
  </si>
  <si>
    <t>110</t>
  </si>
  <si>
    <t>1</t>
  </si>
  <si>
    <t/>
  </si>
  <si>
    <t>ВЕСОВАЯ КАТЕГОРИЯ   48</t>
  </si>
  <si>
    <t>Гусева Ксения</t>
  </si>
  <si>
    <t>Открытая (26.06.2000)/20</t>
  </si>
  <si>
    <t>47,70</t>
  </si>
  <si>
    <t xml:space="preserve">Лично </t>
  </si>
  <si>
    <t>80,0</t>
  </si>
  <si>
    <t>90,0</t>
  </si>
  <si>
    <t>97,5</t>
  </si>
  <si>
    <t>40,0</t>
  </si>
  <si>
    <t>42,5</t>
  </si>
  <si>
    <t>45,0</t>
  </si>
  <si>
    <t>85,0</t>
  </si>
  <si>
    <t>87,5</t>
  </si>
  <si>
    <t>ВЕСОВАЯ КАТЕГОРИЯ   67.5</t>
  </si>
  <si>
    <t>Полевая Виктория</t>
  </si>
  <si>
    <t>Девушки 17-19 (27.08.2003)/17</t>
  </si>
  <si>
    <t>65,30</t>
  </si>
  <si>
    <t>110,0</t>
  </si>
  <si>
    <t>120,0</t>
  </si>
  <si>
    <t>127,5</t>
  </si>
  <si>
    <t>65,0</t>
  </si>
  <si>
    <t>70,0</t>
  </si>
  <si>
    <t>72,5</t>
  </si>
  <si>
    <t>125,0</t>
  </si>
  <si>
    <t>137,5</t>
  </si>
  <si>
    <t xml:space="preserve">Андреев Е. </t>
  </si>
  <si>
    <t>ВЕСОВАЯ КАТЕГОРИЯ   60</t>
  </si>
  <si>
    <t>Яловой Станислав</t>
  </si>
  <si>
    <t>Юноши 17-19 (23.07.2002)/18</t>
  </si>
  <si>
    <t>58,60</t>
  </si>
  <si>
    <t xml:space="preserve">Прайд </t>
  </si>
  <si>
    <t>130,0</t>
  </si>
  <si>
    <t>135,0</t>
  </si>
  <si>
    <t>95,0</t>
  </si>
  <si>
    <t>100,0</t>
  </si>
  <si>
    <t>165,0</t>
  </si>
  <si>
    <t>175,0</t>
  </si>
  <si>
    <t>185,0</t>
  </si>
  <si>
    <t>ВЕСОВАЯ КАТЕГОРИЯ   82.5</t>
  </si>
  <si>
    <t>Юршин Евгений</t>
  </si>
  <si>
    <t>Открытая (01.05.1989)/31</t>
  </si>
  <si>
    <t>82,40</t>
  </si>
  <si>
    <t>200,0</t>
  </si>
  <si>
    <t>220,0</t>
  </si>
  <si>
    <t>132,5</t>
  </si>
  <si>
    <t>140,0</t>
  </si>
  <si>
    <t>190,0</t>
  </si>
  <si>
    <t>210,0</t>
  </si>
  <si>
    <t>ВЕСОВАЯ КАТЕГОРИЯ   100</t>
  </si>
  <si>
    <t>Золотов Сергей</t>
  </si>
  <si>
    <t>Открытая (13.11.1991)/29</t>
  </si>
  <si>
    <t>91,20</t>
  </si>
  <si>
    <t>180,0</t>
  </si>
  <si>
    <t>215,0</t>
  </si>
  <si>
    <t xml:space="preserve">Женщины </t>
  </si>
  <si>
    <t>67.5</t>
  </si>
  <si>
    <t>317,5</t>
  </si>
  <si>
    <t>100</t>
  </si>
  <si>
    <t>82.5</t>
  </si>
  <si>
    <t>Жук Юлия</t>
  </si>
  <si>
    <t>Открытая (01.04.1986)/34</t>
  </si>
  <si>
    <t>47,80</t>
  </si>
  <si>
    <t xml:space="preserve">Арена </t>
  </si>
  <si>
    <t>105,0</t>
  </si>
  <si>
    <t>50,0</t>
  </si>
  <si>
    <t>136,0</t>
  </si>
  <si>
    <t xml:space="preserve">Таранухин Г. </t>
  </si>
  <si>
    <t>ВЕСОВАЯ КАТЕГОРИЯ   56</t>
  </si>
  <si>
    <t>Абрамова Юлия</t>
  </si>
  <si>
    <t>Открытая (29.06.1982)/38</t>
  </si>
  <si>
    <t>55,90</t>
  </si>
  <si>
    <t>145,0</t>
  </si>
  <si>
    <t>150,0</t>
  </si>
  <si>
    <t>75,0</t>
  </si>
  <si>
    <t>82,5</t>
  </si>
  <si>
    <t>186,0</t>
  </si>
  <si>
    <t>Сустатова Александра</t>
  </si>
  <si>
    <t>Открытая (16.04.1989)/31</t>
  </si>
  <si>
    <t>56,00</t>
  </si>
  <si>
    <t>Стародубова Дарья</t>
  </si>
  <si>
    <t>Девушки 14-16 (27.09.2004)/16</t>
  </si>
  <si>
    <t>82,00</t>
  </si>
  <si>
    <t>170,0</t>
  </si>
  <si>
    <t xml:space="preserve">Кабишов С. </t>
  </si>
  <si>
    <t>Открытая (27.09.2004)/16</t>
  </si>
  <si>
    <t>ВЕСОВАЯ КАТЕГОРИЯ   75</t>
  </si>
  <si>
    <t>Рудик Вячеслав</t>
  </si>
  <si>
    <t>Открытая (16.10.1986)/34</t>
  </si>
  <si>
    <t>74,30</t>
  </si>
  <si>
    <t>142,5</t>
  </si>
  <si>
    <t>115,0</t>
  </si>
  <si>
    <t>155,0</t>
  </si>
  <si>
    <t>Рогожин Артем</t>
  </si>
  <si>
    <t>Открытая (05.05.1989)/31</t>
  </si>
  <si>
    <t>82,20</t>
  </si>
  <si>
    <t>187,5</t>
  </si>
  <si>
    <t>192,5</t>
  </si>
  <si>
    <t>265,0</t>
  </si>
  <si>
    <t>280,0</t>
  </si>
  <si>
    <t>292,5</t>
  </si>
  <si>
    <t>Спиридонов Степан</t>
  </si>
  <si>
    <t>Открытая (21.12.1993)/27</t>
  </si>
  <si>
    <t>82,50</t>
  </si>
  <si>
    <t xml:space="preserve">Московский политех </t>
  </si>
  <si>
    <t>160,0</t>
  </si>
  <si>
    <t>250,0</t>
  </si>
  <si>
    <t>260,0</t>
  </si>
  <si>
    <t>ВЕСОВАЯ КАТЕГОРИЯ   90</t>
  </si>
  <si>
    <t>Никишин Самир</t>
  </si>
  <si>
    <t>Юниоры (14.04.1997)/23</t>
  </si>
  <si>
    <t>90,00</t>
  </si>
  <si>
    <t xml:space="preserve">Сагдиев Р. </t>
  </si>
  <si>
    <t>Жеребёнков Александр</t>
  </si>
  <si>
    <t>Юниоры (06.04.1997)/23</t>
  </si>
  <si>
    <t>88,40</t>
  </si>
  <si>
    <t>205,0</t>
  </si>
  <si>
    <t>Кобелев Павел</t>
  </si>
  <si>
    <t>Открытая (04.08.1989)/31</t>
  </si>
  <si>
    <t>89,00</t>
  </si>
  <si>
    <t>300,0</t>
  </si>
  <si>
    <t>322,5</t>
  </si>
  <si>
    <t>345,0</t>
  </si>
  <si>
    <t>Дубков Дмитрий</t>
  </si>
  <si>
    <t>Мастера 40-49 (29.01.1980)/41</t>
  </si>
  <si>
    <t>88,70</t>
  </si>
  <si>
    <t xml:space="preserve">Dragons powerlifting team </t>
  </si>
  <si>
    <t>255,0</t>
  </si>
  <si>
    <t xml:space="preserve">Василенко А </t>
  </si>
  <si>
    <t>Басиров Рустам</t>
  </si>
  <si>
    <t>Открытая (31.07.1989)/31</t>
  </si>
  <si>
    <t>99,00</t>
  </si>
  <si>
    <t>305,0</t>
  </si>
  <si>
    <t>335,0</t>
  </si>
  <si>
    <t>Комисаров Михаил</t>
  </si>
  <si>
    <t>Открытая (23.08.1995)/25</t>
  </si>
  <si>
    <t>98,70</t>
  </si>
  <si>
    <t>290,0</t>
  </si>
  <si>
    <t>Михайлов Дмитрий</t>
  </si>
  <si>
    <t>Открытая (23.05.1984)/36</t>
  </si>
  <si>
    <t>99,40</t>
  </si>
  <si>
    <t>312,5</t>
  </si>
  <si>
    <t xml:space="preserve">Тимофеев Д. </t>
  </si>
  <si>
    <t>Кротиков Евгений</t>
  </si>
  <si>
    <t>Открытая (13.01.1992)/29</t>
  </si>
  <si>
    <t>94,90</t>
  </si>
  <si>
    <t>Бодряков Александр</t>
  </si>
  <si>
    <t>Открытая (10.04.1990)/30</t>
  </si>
  <si>
    <t>Попов Денис</t>
  </si>
  <si>
    <t>Открытая (18.05.1989)/31</t>
  </si>
  <si>
    <t>109,30</t>
  </si>
  <si>
    <t>217,5</t>
  </si>
  <si>
    <t>232,5</t>
  </si>
  <si>
    <t>172,5</t>
  </si>
  <si>
    <t>275,0</t>
  </si>
  <si>
    <t>302,5</t>
  </si>
  <si>
    <t>Еремеев Иван</t>
  </si>
  <si>
    <t>Открытая (21.08.1984)/36</t>
  </si>
  <si>
    <t>107,90</t>
  </si>
  <si>
    <t>157,5</t>
  </si>
  <si>
    <t>162,5</t>
  </si>
  <si>
    <t>Миронов Владимир</t>
  </si>
  <si>
    <t>Открытая (11.05.1985)/35</t>
  </si>
  <si>
    <t>100,30</t>
  </si>
  <si>
    <t>Дерягин Денис</t>
  </si>
  <si>
    <t>Открытая (28.02.1980)/41</t>
  </si>
  <si>
    <t>109,80</t>
  </si>
  <si>
    <t>ВЕСОВАЯ КАТЕГОРИЯ   125</t>
  </si>
  <si>
    <t>Смирнов Сергей</t>
  </si>
  <si>
    <t>Открытая (23.09.1981)/39</t>
  </si>
  <si>
    <t>117,20</t>
  </si>
  <si>
    <t>257,5</t>
  </si>
  <si>
    <t>ВЕСОВАЯ КАТЕГОРИЯ   140</t>
  </si>
  <si>
    <t>Безинских Максим</t>
  </si>
  <si>
    <t>Открытая (18.05.1986)/34</t>
  </si>
  <si>
    <t>138,60</t>
  </si>
  <si>
    <t>267,5</t>
  </si>
  <si>
    <t>212,5</t>
  </si>
  <si>
    <t>56</t>
  </si>
  <si>
    <t>90</t>
  </si>
  <si>
    <t>870,0</t>
  </si>
  <si>
    <t>531,6570</t>
  </si>
  <si>
    <t>140</t>
  </si>
  <si>
    <t>782,5</t>
  </si>
  <si>
    <t>437,9653</t>
  </si>
  <si>
    <t>735,0</t>
  </si>
  <si>
    <t>448,4235</t>
  </si>
  <si>
    <t>2</t>
  </si>
  <si>
    <t>3</t>
  </si>
  <si>
    <t>4</t>
  </si>
  <si>
    <t>5</t>
  </si>
  <si>
    <t>-</t>
  </si>
  <si>
    <t>ВЕСОВАЯ КАТЕГОРИЯ   44</t>
  </si>
  <si>
    <t>Нелогова Алёна</t>
  </si>
  <si>
    <t>Юниорки (01.09.1997)/23</t>
  </si>
  <si>
    <t>37,10</t>
  </si>
  <si>
    <t>55,0</t>
  </si>
  <si>
    <t>60,0</t>
  </si>
  <si>
    <t>25,0</t>
  </si>
  <si>
    <t>30,0</t>
  </si>
  <si>
    <t xml:space="preserve">Одинцов А. </t>
  </si>
  <si>
    <t>Углова Ольга</t>
  </si>
  <si>
    <t>Юниорки (17.12.1999)/21</t>
  </si>
  <si>
    <t>48,00</t>
  </si>
  <si>
    <t>77,5</t>
  </si>
  <si>
    <t>122,5</t>
  </si>
  <si>
    <t>ВЕСОВАЯ КАТЕГОРИЯ   52</t>
  </si>
  <si>
    <t>Коркина Рената</t>
  </si>
  <si>
    <t>Открытая (24.06.1986)/34</t>
  </si>
  <si>
    <t>49,80</t>
  </si>
  <si>
    <t>57,5</t>
  </si>
  <si>
    <t>62,5</t>
  </si>
  <si>
    <t>112,5</t>
  </si>
  <si>
    <t>Матыжонок Мария</t>
  </si>
  <si>
    <t>Открытая (26.01.1992)/29</t>
  </si>
  <si>
    <t>50,10</t>
  </si>
  <si>
    <t xml:space="preserve">Березин А. </t>
  </si>
  <si>
    <t>Осинкина Ксения</t>
  </si>
  <si>
    <t>Открытая (19.09.1990)/30</t>
  </si>
  <si>
    <t>50,40</t>
  </si>
  <si>
    <t>92,5</t>
  </si>
  <si>
    <t xml:space="preserve">Яскевич Д. </t>
  </si>
  <si>
    <t>Степанкина Марина</t>
  </si>
  <si>
    <t>Открытая (17.12.1998)/22</t>
  </si>
  <si>
    <t>51,70</t>
  </si>
  <si>
    <t>47,5</t>
  </si>
  <si>
    <t xml:space="preserve">Сакович О. </t>
  </si>
  <si>
    <t>Савина Людмила</t>
  </si>
  <si>
    <t>Открытая (11.10.1985)/35</t>
  </si>
  <si>
    <t>52,00</t>
  </si>
  <si>
    <t>52,5</t>
  </si>
  <si>
    <t>Мальцева Мария</t>
  </si>
  <si>
    <t>Открытая (25.12.1982)/38</t>
  </si>
  <si>
    <t>54,50</t>
  </si>
  <si>
    <t xml:space="preserve">Груздев С. </t>
  </si>
  <si>
    <t>Шакирова Оксана</t>
  </si>
  <si>
    <t>Мастера 40-49 (05.08.1980)/40</t>
  </si>
  <si>
    <t>55,40</t>
  </si>
  <si>
    <t>117,5</t>
  </si>
  <si>
    <t xml:space="preserve">Снопков В. </t>
  </si>
  <si>
    <t>Иванова Александра</t>
  </si>
  <si>
    <t>Открытая (12.05.1991)/29</t>
  </si>
  <si>
    <t>59,60</t>
  </si>
  <si>
    <t>102,5</t>
  </si>
  <si>
    <t>Руденко Зинаида</t>
  </si>
  <si>
    <t>Открытая (07.09.1975)/45</t>
  </si>
  <si>
    <t>57,50</t>
  </si>
  <si>
    <t xml:space="preserve">Rps nutrition </t>
  </si>
  <si>
    <t xml:space="preserve">Немнонов С. </t>
  </si>
  <si>
    <t>Грейть Татьяна</t>
  </si>
  <si>
    <t>Открытая (05.10.1990)/30</t>
  </si>
  <si>
    <t>56,60</t>
  </si>
  <si>
    <t xml:space="preserve">Зинец А. </t>
  </si>
  <si>
    <t>Суркина Лидия</t>
  </si>
  <si>
    <t>Мастера 40-49 (06.06.1972)/48</t>
  </si>
  <si>
    <t>59,30</t>
  </si>
  <si>
    <t>Скороходова Ольга</t>
  </si>
  <si>
    <t>Открытая (11.11.1980)/40</t>
  </si>
  <si>
    <t>64,10</t>
  </si>
  <si>
    <t>147,5</t>
  </si>
  <si>
    <t>Семыкина Дарья</t>
  </si>
  <si>
    <t>Открытая (03.03.2001)/19</t>
  </si>
  <si>
    <t>66,30</t>
  </si>
  <si>
    <t>67,5</t>
  </si>
  <si>
    <t>Фирсова Анастасия</t>
  </si>
  <si>
    <t>Открытая (14.09.1983)/37</t>
  </si>
  <si>
    <t xml:space="preserve">Матвеев С. </t>
  </si>
  <si>
    <t>Мишурина Елена</t>
  </si>
  <si>
    <t>Открытая (21.02.1983)/38</t>
  </si>
  <si>
    <t>65,90</t>
  </si>
  <si>
    <t>Гурьева Евгения</t>
  </si>
  <si>
    <t>Открытая (05.05.1995)/25</t>
  </si>
  <si>
    <t>64,90</t>
  </si>
  <si>
    <t>Зализко Светлана</t>
  </si>
  <si>
    <t>Мастера 40-49 (20.10.1977)/43</t>
  </si>
  <si>
    <t>66,80</t>
  </si>
  <si>
    <t xml:space="preserve">Волков А. </t>
  </si>
  <si>
    <t>Кондратьева Виктория</t>
  </si>
  <si>
    <t>Открытая (18.04.1975)/45</t>
  </si>
  <si>
    <t>71,10</t>
  </si>
  <si>
    <t>Мастера 40-49 (18.04.1975)/45</t>
  </si>
  <si>
    <t>Балеева Елена</t>
  </si>
  <si>
    <t>Открытая (03.05.1983)/37</t>
  </si>
  <si>
    <t>86,10</t>
  </si>
  <si>
    <t>Сергеев Егор</t>
  </si>
  <si>
    <t>Юноши 14-16 (06.11.2005)/15</t>
  </si>
  <si>
    <t>50,90</t>
  </si>
  <si>
    <t xml:space="preserve">Ярошко Е. </t>
  </si>
  <si>
    <t>Пазюк Олег</t>
  </si>
  <si>
    <t>Юноши 17-19 (13.09.2003)/17</t>
  </si>
  <si>
    <t>57,80</t>
  </si>
  <si>
    <t xml:space="preserve">Вовк Д. </t>
  </si>
  <si>
    <t>Шарапов Владислав</t>
  </si>
  <si>
    <t>Юноши 14-16 (27.12.2005)/15</t>
  </si>
  <si>
    <t>66,00</t>
  </si>
  <si>
    <t xml:space="preserve">Тавтилов Р. </t>
  </si>
  <si>
    <t>Дудин Павел</t>
  </si>
  <si>
    <t>Юноши 14-16 (02.09.2004)/16</t>
  </si>
  <si>
    <t>63,80</t>
  </si>
  <si>
    <t>Брюхов Артем</t>
  </si>
  <si>
    <t>Юноши 14-16 (18.10.2004)/16</t>
  </si>
  <si>
    <t>72,90</t>
  </si>
  <si>
    <t>Кузьмин Михаил</t>
  </si>
  <si>
    <t>Открытая (31.10.1991)/29</t>
  </si>
  <si>
    <t>73,40</t>
  </si>
  <si>
    <t>Севастов Александр</t>
  </si>
  <si>
    <t>Открытая (28.06.1989)/31</t>
  </si>
  <si>
    <t>73,90</t>
  </si>
  <si>
    <t>195,0</t>
  </si>
  <si>
    <t xml:space="preserve">Егоров Я. </t>
  </si>
  <si>
    <t>Джабраилов Ирисхан</t>
  </si>
  <si>
    <t>Открытая (06.01.1994)/27</t>
  </si>
  <si>
    <t>82,30</t>
  </si>
  <si>
    <t>Нянькин Евгений</t>
  </si>
  <si>
    <t>Открытая (07.01.1995)/26</t>
  </si>
  <si>
    <t>77,30</t>
  </si>
  <si>
    <t>Чиняев Владимир</t>
  </si>
  <si>
    <t>Открытая (17.08.1985)/35</t>
  </si>
  <si>
    <t>81,80</t>
  </si>
  <si>
    <t>Сенькин Илья</t>
  </si>
  <si>
    <t>Открытая (22.05.1992)/28</t>
  </si>
  <si>
    <t>89,20</t>
  </si>
  <si>
    <t>Егоров Дмитрий</t>
  </si>
  <si>
    <t>Открытая (07.01.1989)/32</t>
  </si>
  <si>
    <t>Бирюков Дмитрий</t>
  </si>
  <si>
    <t>Открытая (04.09.1996)/24</t>
  </si>
  <si>
    <t>89,10</t>
  </si>
  <si>
    <t>Григорьев Даниил</t>
  </si>
  <si>
    <t>Открытая (01.07.1994)/26</t>
  </si>
  <si>
    <t>89,50</t>
  </si>
  <si>
    <t>Беленький Александр</t>
  </si>
  <si>
    <t>Открытая (21.08.1995)/25</t>
  </si>
  <si>
    <t>89,90</t>
  </si>
  <si>
    <t>Ворошилов Сергей</t>
  </si>
  <si>
    <t>Открытая (03.08.1988)/32</t>
  </si>
  <si>
    <t>93,50</t>
  </si>
  <si>
    <t>Тихомиров Сергей</t>
  </si>
  <si>
    <t>Открытая (12.03.1984)/36</t>
  </si>
  <si>
    <t>94,60</t>
  </si>
  <si>
    <t>Веденский Виктор</t>
  </si>
  <si>
    <t>Открытая (01.04.1992)/28</t>
  </si>
  <si>
    <t>242,5</t>
  </si>
  <si>
    <t xml:space="preserve">Рябенков И. </t>
  </si>
  <si>
    <t>Кормаков Виктор</t>
  </si>
  <si>
    <t>Открытая (09.06.1984)/36</t>
  </si>
  <si>
    <t>98,00</t>
  </si>
  <si>
    <t xml:space="preserve">Боровков С. </t>
  </si>
  <si>
    <t>Белов Василий</t>
  </si>
  <si>
    <t>Открытая (05.05.1987)/33</t>
  </si>
  <si>
    <t>99,50</t>
  </si>
  <si>
    <t>Красников Иван</t>
  </si>
  <si>
    <t>Открытая (03.07.1990)/30</t>
  </si>
  <si>
    <t>90,60</t>
  </si>
  <si>
    <t>Злобин Александр</t>
  </si>
  <si>
    <t>Юноши 14-16 (10.04.2004)/16</t>
  </si>
  <si>
    <t>107,00</t>
  </si>
  <si>
    <t>Вороков Султан</t>
  </si>
  <si>
    <t>Юниоры (24.03.1997)/23</t>
  </si>
  <si>
    <t>100,20</t>
  </si>
  <si>
    <t>Открытая (24.03.1997)/23</t>
  </si>
  <si>
    <t>Гнабро Элизе</t>
  </si>
  <si>
    <t>Открытая (11.07.1998)/22</t>
  </si>
  <si>
    <t>124,90</t>
  </si>
  <si>
    <t>Бондарчук Антон</t>
  </si>
  <si>
    <t>Мастера 40-49 (03.03.1975)/45</t>
  </si>
  <si>
    <t>120,80</t>
  </si>
  <si>
    <t>270,0</t>
  </si>
  <si>
    <t>Самарин Лев</t>
  </si>
  <si>
    <t>Открытая (28.05.1983)/37</t>
  </si>
  <si>
    <t>138,30</t>
  </si>
  <si>
    <t>247,5</t>
  </si>
  <si>
    <t>332,5</t>
  </si>
  <si>
    <t>327,5</t>
  </si>
  <si>
    <t>325,0</t>
  </si>
  <si>
    <t>75</t>
  </si>
  <si>
    <t>730,0</t>
  </si>
  <si>
    <t>125</t>
  </si>
  <si>
    <t>645,0</t>
  </si>
  <si>
    <t>587,5</t>
  </si>
  <si>
    <t>6</t>
  </si>
  <si>
    <t>Антропов Александр</t>
  </si>
  <si>
    <t>Открытая (14.03.1969)/51</t>
  </si>
  <si>
    <t xml:space="preserve">Фомичев К. </t>
  </si>
  <si>
    <t>Хромченко Михаил</t>
  </si>
  <si>
    <t>Открытая (05.01.1988)/33</t>
  </si>
  <si>
    <t>97,40</t>
  </si>
  <si>
    <t>237,5</t>
  </si>
  <si>
    <t>Мурзаханов Калимулла</t>
  </si>
  <si>
    <t>Мастера 60-69 (29.07.1955)/65</t>
  </si>
  <si>
    <t>94,00</t>
  </si>
  <si>
    <t xml:space="preserve">Орехов В. </t>
  </si>
  <si>
    <t>Алтухов Александр</t>
  </si>
  <si>
    <t>Открытая (31.03.1989)/31</t>
  </si>
  <si>
    <t>108,70</t>
  </si>
  <si>
    <t xml:space="preserve">РООСФиС </t>
  </si>
  <si>
    <t>Орехов Виталий</t>
  </si>
  <si>
    <t>Открытая (02.05.1977)/43</t>
  </si>
  <si>
    <t>118,70</t>
  </si>
  <si>
    <t>Мастера 40-49 (02.05.1977)/43</t>
  </si>
  <si>
    <t xml:space="preserve">Результат </t>
  </si>
  <si>
    <t>Результат</t>
  </si>
  <si>
    <t>Ударова Янина</t>
  </si>
  <si>
    <t>Открытая (25.06.1988)/32</t>
  </si>
  <si>
    <t>55,20</t>
  </si>
  <si>
    <t xml:space="preserve">Россфис </t>
  </si>
  <si>
    <t>Румянцева Светлана</t>
  </si>
  <si>
    <t>Открытая (16.05.1988)/32</t>
  </si>
  <si>
    <t>65,20</t>
  </si>
  <si>
    <t>Сайфуллина Юлия</t>
  </si>
  <si>
    <t>Открытая (25.03.1985)/35</t>
  </si>
  <si>
    <t>62,40</t>
  </si>
  <si>
    <t>Мамамтавришвили Лука</t>
  </si>
  <si>
    <t>Юноши 17-19 (17.12.2003)/17</t>
  </si>
  <si>
    <t>71,50</t>
  </si>
  <si>
    <t xml:space="preserve">n/a/Санкт Петербург </t>
  </si>
  <si>
    <t>Мастера 50-59 (14.03.1969)/51</t>
  </si>
  <si>
    <t>Быков Илья</t>
  </si>
  <si>
    <t>Юноши 17-19 (02.08.2003)/17</t>
  </si>
  <si>
    <t>79,90</t>
  </si>
  <si>
    <t>Алимов Михаил</t>
  </si>
  <si>
    <t>Открытая (05.03.1987)/33</t>
  </si>
  <si>
    <t>78,40</t>
  </si>
  <si>
    <t>Меркулов Михаил</t>
  </si>
  <si>
    <t>Открытая (03.11.1987)/33</t>
  </si>
  <si>
    <t xml:space="preserve">Коробов И. </t>
  </si>
  <si>
    <t>Гробовой Алексей</t>
  </si>
  <si>
    <t>Открытая (02.05.1987)/33</t>
  </si>
  <si>
    <t>80,50</t>
  </si>
  <si>
    <t>Косолапенко Дмитрий</t>
  </si>
  <si>
    <t>Мастера 40-49 (08.11.1972)/48</t>
  </si>
  <si>
    <t>80,00</t>
  </si>
  <si>
    <t xml:space="preserve">Гаджиев Р. </t>
  </si>
  <si>
    <t>Пичкуров Анатолий</t>
  </si>
  <si>
    <t>Юноши 17-19 (19.11.2001)/19</t>
  </si>
  <si>
    <t>89,40</t>
  </si>
  <si>
    <t>Клищ Роман</t>
  </si>
  <si>
    <t>Открытая (29.03.1992)/28</t>
  </si>
  <si>
    <t xml:space="preserve">Балабатько И. </t>
  </si>
  <si>
    <t>Кузнецов Сергей</t>
  </si>
  <si>
    <t>Открытая (23.01.1995)/26</t>
  </si>
  <si>
    <t>87,40</t>
  </si>
  <si>
    <t xml:space="preserve">Бебенин Г. </t>
  </si>
  <si>
    <t>Белов Станислав</t>
  </si>
  <si>
    <t>Открытая (11.11.1990)/30</t>
  </si>
  <si>
    <t>87,00</t>
  </si>
  <si>
    <t>Родионов Ярослав</t>
  </si>
  <si>
    <t>Юниоры (01.10.1997)/23</t>
  </si>
  <si>
    <t>96,30</t>
  </si>
  <si>
    <t>Румянцев Сергей</t>
  </si>
  <si>
    <t>Открытая (14.08.1990)/30</t>
  </si>
  <si>
    <t>99,60</t>
  </si>
  <si>
    <t>Мухаметшин Рустам</t>
  </si>
  <si>
    <t>Открытая (18.02.1989)/32</t>
  </si>
  <si>
    <t>93,10</t>
  </si>
  <si>
    <t xml:space="preserve">Лукашов С. </t>
  </si>
  <si>
    <t>Быстров Филипп</t>
  </si>
  <si>
    <t>Открытая (20.01.1991)/30</t>
  </si>
  <si>
    <t>Романовский Александр</t>
  </si>
  <si>
    <t>Открытая (20.04.1994)/26</t>
  </si>
  <si>
    <t>100,00</t>
  </si>
  <si>
    <t xml:space="preserve">Сичинава Д. </t>
  </si>
  <si>
    <t>Коробов Илья</t>
  </si>
  <si>
    <t>Открытая (17.04.1980)/40</t>
  </si>
  <si>
    <t>95,50</t>
  </si>
  <si>
    <t>207,5</t>
  </si>
  <si>
    <t xml:space="preserve">Абиджба Р. </t>
  </si>
  <si>
    <t>Беспалов Александр</t>
  </si>
  <si>
    <t>Мастера 40-49 (07.01.1980)/41</t>
  </si>
  <si>
    <t>95,10</t>
  </si>
  <si>
    <t>Мастера 40-49 (17.04.1980)/40</t>
  </si>
  <si>
    <t>Гунченков Олег</t>
  </si>
  <si>
    <t>Открытая (19.09.1991)/29</t>
  </si>
  <si>
    <t>110,00</t>
  </si>
  <si>
    <t xml:space="preserve">Киселев С. </t>
  </si>
  <si>
    <t>Погосян Сергей</t>
  </si>
  <si>
    <t>Открытая (23.09.1987)/33</t>
  </si>
  <si>
    <t>Поддубный Владислав</t>
  </si>
  <si>
    <t>Открытая (26.07.1989)/31</t>
  </si>
  <si>
    <t>101,00</t>
  </si>
  <si>
    <t>Касьянов Иван</t>
  </si>
  <si>
    <t>Открытая (20.05.1986)/34</t>
  </si>
  <si>
    <t>105,40</t>
  </si>
  <si>
    <t>Стрижеусов Дмитрий</t>
  </si>
  <si>
    <t>Открытая (01.06.1995)/25</t>
  </si>
  <si>
    <t>104,80</t>
  </si>
  <si>
    <t>Мурашов Максим</t>
  </si>
  <si>
    <t>Мастера 40-49 (19.09.1979)/41</t>
  </si>
  <si>
    <t>108,20</t>
  </si>
  <si>
    <t>Калининский Илья</t>
  </si>
  <si>
    <t>Открытая (11.04.1989)/31</t>
  </si>
  <si>
    <t>113,00</t>
  </si>
  <si>
    <t>Пераль Владимир</t>
  </si>
  <si>
    <t>Открытая (08.03.1991)/29</t>
  </si>
  <si>
    <t>111,70</t>
  </si>
  <si>
    <t>Пешков Андрей</t>
  </si>
  <si>
    <t>Мастера 50-59 (05.11.1963)/57</t>
  </si>
  <si>
    <t>124,00</t>
  </si>
  <si>
    <t>Григорьев Дмитрий</t>
  </si>
  <si>
    <t>Открытая (29.04.1979)/41</t>
  </si>
  <si>
    <t>129,00</t>
  </si>
  <si>
    <t>Крылов Олег</t>
  </si>
  <si>
    <t>Открытая (04.11.1973)/47</t>
  </si>
  <si>
    <t>Мастера 40-49 (29.04.1979)/41</t>
  </si>
  <si>
    <t>Мастера 40-49 (04.11.1973)/47</t>
  </si>
  <si>
    <t>ВЕСОВАЯ КАТЕГОРИЯ   140+</t>
  </si>
  <si>
    <t>Гогуев Расул</t>
  </si>
  <si>
    <t>Открытая (26.08.1987)/33</t>
  </si>
  <si>
    <t>166,30</t>
  </si>
  <si>
    <t>134,2970</t>
  </si>
  <si>
    <t>130,2720</t>
  </si>
  <si>
    <t>140+</t>
  </si>
  <si>
    <t>119,9000</t>
  </si>
  <si>
    <t>Юниорки (17.12.1998)/22</t>
  </si>
  <si>
    <t>Рудая Юлия</t>
  </si>
  <si>
    <t>Открытая (15.04.1988)/32</t>
  </si>
  <si>
    <t>51,40</t>
  </si>
  <si>
    <t xml:space="preserve">Комаров Э. </t>
  </si>
  <si>
    <t>Гоголева Мария</t>
  </si>
  <si>
    <t>Открытая (08.11.1975)/45</t>
  </si>
  <si>
    <t>54,20</t>
  </si>
  <si>
    <t>Кичева Елена</t>
  </si>
  <si>
    <t>Открытая (30.12.1991)/29</t>
  </si>
  <si>
    <t>55,10</t>
  </si>
  <si>
    <t xml:space="preserve">Харитонов С. </t>
  </si>
  <si>
    <t>Мастера 40-49 (08.11.1975)/45</t>
  </si>
  <si>
    <t>Онуфреня Екатерина</t>
  </si>
  <si>
    <t>Открытая (03.06.1985)/35</t>
  </si>
  <si>
    <t>58,70</t>
  </si>
  <si>
    <t xml:space="preserve">Лысенко Д. </t>
  </si>
  <si>
    <t>Пушкарева Анна</t>
  </si>
  <si>
    <t>Открытая (22.01.1988)/33</t>
  </si>
  <si>
    <t>63,20</t>
  </si>
  <si>
    <t>Ковалева Кристина</t>
  </si>
  <si>
    <t>Открытая (25.11.1988)/32</t>
  </si>
  <si>
    <t>67,30</t>
  </si>
  <si>
    <t xml:space="preserve">Милин И. </t>
  </si>
  <si>
    <t>Нефедова Алена</t>
  </si>
  <si>
    <t>Открытая (14.07.1984)/36</t>
  </si>
  <si>
    <t>74,80</t>
  </si>
  <si>
    <t>Матвеева Наталия</t>
  </si>
  <si>
    <t>Мастера 50-59 (06.10.1961)/59</t>
  </si>
  <si>
    <t>73,80</t>
  </si>
  <si>
    <t>ВЕСОВАЯ КАТЕГОРИЯ   90+</t>
  </si>
  <si>
    <t>Павзовская Ирина</t>
  </si>
  <si>
    <t>Мастера 50-59 (27.07.1964)/56</t>
  </si>
  <si>
    <t>97,20</t>
  </si>
  <si>
    <t xml:space="preserve">Пушкарев Э. </t>
  </si>
  <si>
    <t>Антропов Михаил</t>
  </si>
  <si>
    <t>Юноши 14-16 (29.10.2009)/11</t>
  </si>
  <si>
    <t>41,80</t>
  </si>
  <si>
    <t>41,60</t>
  </si>
  <si>
    <t>Клементьев Иван</t>
  </si>
  <si>
    <t>Юноши 14-16 (20.01.2006)/15</t>
  </si>
  <si>
    <t xml:space="preserve">Иванов И. </t>
  </si>
  <si>
    <t>Фомин Кирилл</t>
  </si>
  <si>
    <t>Юноши 17-19 (09.07.2002)/18</t>
  </si>
  <si>
    <t>107,5</t>
  </si>
  <si>
    <t>Савельев Никита</t>
  </si>
  <si>
    <t>Открытая (30.11.2001)/19</t>
  </si>
  <si>
    <t>65,80</t>
  </si>
  <si>
    <t xml:space="preserve">Румянцев С. </t>
  </si>
  <si>
    <t>Теплицкий Павел</t>
  </si>
  <si>
    <t>Открытая (28.02.1982)/38</t>
  </si>
  <si>
    <t>66,90</t>
  </si>
  <si>
    <t>Титюк Олег</t>
  </si>
  <si>
    <t>Юноши 17-19 (20.10.2001)/19</t>
  </si>
  <si>
    <t>72,70</t>
  </si>
  <si>
    <t>Сайфиев Огабек</t>
  </si>
  <si>
    <t>Юноши 17-19 (27.02.2004)/17</t>
  </si>
  <si>
    <t>71,70</t>
  </si>
  <si>
    <t>Яковлев Виталий</t>
  </si>
  <si>
    <t>Открытая (06.02.1995)/26</t>
  </si>
  <si>
    <t>74,60</t>
  </si>
  <si>
    <t>Елисеев Андрей</t>
  </si>
  <si>
    <t>Открытая (29.09.1985)/35</t>
  </si>
  <si>
    <t>73,00</t>
  </si>
  <si>
    <t xml:space="preserve">Беспалов А. </t>
  </si>
  <si>
    <t>Ямпольцев Артем</t>
  </si>
  <si>
    <t>Открытая (23.04.1986)/34</t>
  </si>
  <si>
    <t xml:space="preserve">Гогуев Р. </t>
  </si>
  <si>
    <t>Браницкий Александр</t>
  </si>
  <si>
    <t>Открытая (13.05.1990)/30</t>
  </si>
  <si>
    <t>70,80</t>
  </si>
  <si>
    <t>Киселёв Дмитрий</t>
  </si>
  <si>
    <t>Открытая (16.11.1990)/30</t>
  </si>
  <si>
    <t>75,00</t>
  </si>
  <si>
    <t>Югай Вадим</t>
  </si>
  <si>
    <t>Мастера 40-49 (03.04.1978)/42</t>
  </si>
  <si>
    <t>73,70</t>
  </si>
  <si>
    <t xml:space="preserve">Большаков В. </t>
  </si>
  <si>
    <t>Юрк Даниил</t>
  </si>
  <si>
    <t>Юноши 17-19 (05.11.2001)/19</t>
  </si>
  <si>
    <t>81,00</t>
  </si>
  <si>
    <t xml:space="preserve">Мурашов М. </t>
  </si>
  <si>
    <t>Спичка Игорь</t>
  </si>
  <si>
    <t>Юниоры (25.12.1997)/23</t>
  </si>
  <si>
    <t>80,90</t>
  </si>
  <si>
    <t>Клюквин Евгений</t>
  </si>
  <si>
    <t>Открытая (04.07.1981)/39</t>
  </si>
  <si>
    <t>80,80</t>
  </si>
  <si>
    <t>Федорченко Владислав</t>
  </si>
  <si>
    <t>80,30</t>
  </si>
  <si>
    <t>Андреев Андрей</t>
  </si>
  <si>
    <t>Открытая (04.09.1985)/35</t>
  </si>
  <si>
    <t>82,10</t>
  </si>
  <si>
    <t xml:space="preserve">Грицаев Д. </t>
  </si>
  <si>
    <t>Серебряков Павел</t>
  </si>
  <si>
    <t>Открытая (24.02.1985)/36</t>
  </si>
  <si>
    <t>79,60</t>
  </si>
  <si>
    <t xml:space="preserve">Шумейко Д. </t>
  </si>
  <si>
    <t>Журавлёв Евгений</t>
  </si>
  <si>
    <t>Открытая (16.10.1991)/29</t>
  </si>
  <si>
    <t>80,40</t>
  </si>
  <si>
    <t>Шабаев Виталий</t>
  </si>
  <si>
    <t>Открытая (18.01.1989)/32</t>
  </si>
  <si>
    <t>79,40</t>
  </si>
  <si>
    <t>Данилин Дмитрий</t>
  </si>
  <si>
    <t>Открытая (08.12.1988)/32</t>
  </si>
  <si>
    <t>Носов Кирилл</t>
  </si>
  <si>
    <t>Открытая (30.04.1984)/36</t>
  </si>
  <si>
    <t>81,30</t>
  </si>
  <si>
    <t>Открытая (11.08.1987)/33</t>
  </si>
  <si>
    <t>80,20</t>
  </si>
  <si>
    <t>Колесников Артём</t>
  </si>
  <si>
    <t>Юноши 17-19 (04.06.2002)/18</t>
  </si>
  <si>
    <t>87,90</t>
  </si>
  <si>
    <t>Пестров Владислав</t>
  </si>
  <si>
    <t>Юниоры (19.07.1997)/23</t>
  </si>
  <si>
    <t xml:space="preserve">Дробиков А. </t>
  </si>
  <si>
    <t>Торопов Артем</t>
  </si>
  <si>
    <t>Открытая (05.10.1992)/28</t>
  </si>
  <si>
    <t>85,40</t>
  </si>
  <si>
    <t>Нечай Антон</t>
  </si>
  <si>
    <t>Открытая (10.04.1989)/31</t>
  </si>
  <si>
    <t>89,60</t>
  </si>
  <si>
    <t>152,5</t>
  </si>
  <si>
    <t xml:space="preserve">Киселёв Д. </t>
  </si>
  <si>
    <t>Аксельрод Дмитрий</t>
  </si>
  <si>
    <t>Открытая (21.10.1983)/37</t>
  </si>
  <si>
    <t xml:space="preserve">Калашник Е. </t>
  </si>
  <si>
    <t>Агафонов Илья</t>
  </si>
  <si>
    <t>Открытая (12.03.1988)/32</t>
  </si>
  <si>
    <t>89,80</t>
  </si>
  <si>
    <t>Ковальский Денис</t>
  </si>
  <si>
    <t>Открытая (18.07.1993)/27</t>
  </si>
  <si>
    <t>Горбунов Павел</t>
  </si>
  <si>
    <t>Открытая (17.04.1993)/27</t>
  </si>
  <si>
    <t>88,60</t>
  </si>
  <si>
    <t>Копкин Денис</t>
  </si>
  <si>
    <t>Открытая (06.10.1986)/34</t>
  </si>
  <si>
    <t>Паншин Константин</t>
  </si>
  <si>
    <t>Мастера 60-69 (22.01.1960)/61</t>
  </si>
  <si>
    <t>87,10</t>
  </si>
  <si>
    <t xml:space="preserve">Росфис </t>
  </si>
  <si>
    <t>Желкобаев Руслан</t>
  </si>
  <si>
    <t>Юниоры (30.08.2000)/20</t>
  </si>
  <si>
    <t>Стариков Алексей</t>
  </si>
  <si>
    <t>Открытая (09.03.1988)/32</t>
  </si>
  <si>
    <t>97,10</t>
  </si>
  <si>
    <t xml:space="preserve">Алимов М. </t>
  </si>
  <si>
    <t>Егоров Георгий</t>
  </si>
  <si>
    <t>Мастера 40-49 (17.03.1972)/48</t>
  </si>
  <si>
    <t>99,90</t>
  </si>
  <si>
    <t>Локтионов Александр</t>
  </si>
  <si>
    <t>Мастера 50-59 (20.12.1964)/56</t>
  </si>
  <si>
    <t>99,10</t>
  </si>
  <si>
    <t>Бантов Леонид</t>
  </si>
  <si>
    <t>Мастера 70-79 (27.08.1942)/78</t>
  </si>
  <si>
    <t>98,40</t>
  </si>
  <si>
    <t>Конивец Валерий</t>
  </si>
  <si>
    <t>Открытая (12.09.1993)/27</t>
  </si>
  <si>
    <t>108,80</t>
  </si>
  <si>
    <t>Элькин Андрей</t>
  </si>
  <si>
    <t>Открытая (13.12.1990)/30</t>
  </si>
  <si>
    <t>104,40</t>
  </si>
  <si>
    <t>Франчук Василий</t>
  </si>
  <si>
    <t>Мастера 60-69 (27.08.1955)/65</t>
  </si>
  <si>
    <t>109,60</t>
  </si>
  <si>
    <t>Золотов Анатолий</t>
  </si>
  <si>
    <t>Открытая (13.04.1972)/48</t>
  </si>
  <si>
    <t>119,10</t>
  </si>
  <si>
    <t xml:space="preserve">Фёдоров А. </t>
  </si>
  <si>
    <t>Иванов Михаил</t>
  </si>
  <si>
    <t>Открытая (02.07.1976)/44</t>
  </si>
  <si>
    <t>123,30</t>
  </si>
  <si>
    <t xml:space="preserve">Рыбаков Д. </t>
  </si>
  <si>
    <t>Егоров Михаил</t>
  </si>
  <si>
    <t>Мастера 40-49 (16.11.1977)/43</t>
  </si>
  <si>
    <t>122,70</t>
  </si>
  <si>
    <t>69,0345</t>
  </si>
  <si>
    <t>81,4793</t>
  </si>
  <si>
    <t>70,0987</t>
  </si>
  <si>
    <t>109,4210</t>
  </si>
  <si>
    <t>104,2988</t>
  </si>
  <si>
    <t>101,6565</t>
  </si>
  <si>
    <t>7</t>
  </si>
  <si>
    <t>8</t>
  </si>
  <si>
    <t>9</t>
  </si>
  <si>
    <t>10</t>
  </si>
  <si>
    <t>Морозова Екатерина</t>
  </si>
  <si>
    <t>Открытая (23.07.1978)/42</t>
  </si>
  <si>
    <t>67,20</t>
  </si>
  <si>
    <t>Никитин Анатолий</t>
  </si>
  <si>
    <t>Открытая (25.12.1990)/30</t>
  </si>
  <si>
    <t>202,5</t>
  </si>
  <si>
    <t>Достовалов Вячеслав</t>
  </si>
  <si>
    <t>Открытая (18.04.1978)/42</t>
  </si>
  <si>
    <t>108,40</t>
  </si>
  <si>
    <t>Мастера 40-49 (18.04.1978)/42</t>
  </si>
  <si>
    <t>Смирнов Дмитрий</t>
  </si>
  <si>
    <t>Открытая (12.02.1982)/39</t>
  </si>
  <si>
    <t>119,30</t>
  </si>
  <si>
    <t>Фесенко Евгений</t>
  </si>
  <si>
    <t>Открытая (12.11.1995)/25</t>
  </si>
  <si>
    <t>148,60</t>
  </si>
  <si>
    <t xml:space="preserve">Смирнов Д. </t>
  </si>
  <si>
    <t>Петренко Александр</t>
  </si>
  <si>
    <t>Открытая (27.05.1990)/30</t>
  </si>
  <si>
    <t>342,5</t>
  </si>
  <si>
    <t>Обрывченко Юрий</t>
  </si>
  <si>
    <t>Открытая (19.01.1987)/34</t>
  </si>
  <si>
    <t>108,60</t>
  </si>
  <si>
    <t xml:space="preserve">Васильев Е. </t>
  </si>
  <si>
    <t>Ударов Павел</t>
  </si>
  <si>
    <t>Мастера 40-49 (27.10.1978)/42</t>
  </si>
  <si>
    <t>Мачановский Эдуард</t>
  </si>
  <si>
    <t>Мастера 50-59 (13.09.1962)/58</t>
  </si>
  <si>
    <t xml:space="preserve">Вулих А. </t>
  </si>
  <si>
    <t>Чернышев Дмитрий</t>
  </si>
  <si>
    <t>Открытая (22.01.1974)/47</t>
  </si>
  <si>
    <t>97,00</t>
  </si>
  <si>
    <t>347,5</t>
  </si>
  <si>
    <t>Шайфлер Марсель</t>
  </si>
  <si>
    <t>Юноши 17-19 (17.05.2002)/18</t>
  </si>
  <si>
    <t>109,40</t>
  </si>
  <si>
    <t xml:space="preserve">Бархатова О. </t>
  </si>
  <si>
    <t>Зинец Александр</t>
  </si>
  <si>
    <t>Открытая (06.08.1992)/28</t>
  </si>
  <si>
    <t>Мамедова Ойдыной</t>
  </si>
  <si>
    <t>Мастера 40-49 (02.05.1980)/40</t>
  </si>
  <si>
    <t>51,10</t>
  </si>
  <si>
    <t xml:space="preserve">Родионов Я. </t>
  </si>
  <si>
    <t>Балякина Евгения</t>
  </si>
  <si>
    <t>Открытая (15.12.1990)/30</t>
  </si>
  <si>
    <t>52,70</t>
  </si>
  <si>
    <t xml:space="preserve">Собко М. </t>
  </si>
  <si>
    <t>Линейцева Галина</t>
  </si>
  <si>
    <t>Открытая (28.01.1987)/34</t>
  </si>
  <si>
    <t>57,00</t>
  </si>
  <si>
    <t>Субботина Наталья</t>
  </si>
  <si>
    <t>Открытая (02.07.1984)/36</t>
  </si>
  <si>
    <t>58,40</t>
  </si>
  <si>
    <t xml:space="preserve">Усков Н. </t>
  </si>
  <si>
    <t>Томилов Никита</t>
  </si>
  <si>
    <t>Юниоры (16.11.1999)/21</t>
  </si>
  <si>
    <t>Лашутин Илья</t>
  </si>
  <si>
    <t>Открытая (27.07.1986)/34</t>
  </si>
  <si>
    <t>74,90</t>
  </si>
  <si>
    <t>Лукашевич Евгений</t>
  </si>
  <si>
    <t>Открытая (03.01.1994)/27</t>
  </si>
  <si>
    <t>315,0</t>
  </si>
  <si>
    <t>Котюх Кирилл</t>
  </si>
  <si>
    <t>Открытая (01.03.1991)/29</t>
  </si>
  <si>
    <t>79,50</t>
  </si>
  <si>
    <t>Курякин Роман</t>
  </si>
  <si>
    <t>Открытая (17.07.1982)/38</t>
  </si>
  <si>
    <t xml:space="preserve">Мирошник Л. </t>
  </si>
  <si>
    <t>Тихомиров Владимир</t>
  </si>
  <si>
    <t>Открытая (22.11.1982)/38</t>
  </si>
  <si>
    <t>81,90</t>
  </si>
  <si>
    <t>Коваленко Иван</t>
  </si>
  <si>
    <t>Открытая (13.02.1978)/43</t>
  </si>
  <si>
    <t>Питерянкин Владислав</t>
  </si>
  <si>
    <t>Юноши 17-19 (12.02.2003)/18</t>
  </si>
  <si>
    <t>Голенцов Вадим</t>
  </si>
  <si>
    <t>Юниоры (03.06.1999)/21</t>
  </si>
  <si>
    <t>86,70</t>
  </si>
  <si>
    <t>Казаков Андрей</t>
  </si>
  <si>
    <t>Мастера 40-49 (17.03.1976)/44</t>
  </si>
  <si>
    <t>Михайлов Александр</t>
  </si>
  <si>
    <t>Мастера 60-69 (09.12.1958)/62</t>
  </si>
  <si>
    <t>Одинцов Алексей</t>
  </si>
  <si>
    <t>Открытая (10.10.1993)/27</t>
  </si>
  <si>
    <t>98,20</t>
  </si>
  <si>
    <t>Веселов Валерий</t>
  </si>
  <si>
    <t>Открытая (15.06.1983)/37</t>
  </si>
  <si>
    <t>221,1950</t>
  </si>
  <si>
    <t>160,2990</t>
  </si>
  <si>
    <t>147,1440</t>
  </si>
  <si>
    <t>Гонцов Евгений</t>
  </si>
  <si>
    <t>Открытая (23.06.1989)/31</t>
  </si>
  <si>
    <t>98,60</t>
  </si>
  <si>
    <t xml:space="preserve">Суслов Н. </t>
  </si>
  <si>
    <t>Иванова Наталия</t>
  </si>
  <si>
    <t>Открытая (20.10.1990)/30</t>
  </si>
  <si>
    <t>58,20</t>
  </si>
  <si>
    <t xml:space="preserve">Сайфуллина Ю. </t>
  </si>
  <si>
    <t>Панкова Елена</t>
  </si>
  <si>
    <t>Мастера 60-69 (10.09.1955)/65</t>
  </si>
  <si>
    <t>58,90</t>
  </si>
  <si>
    <t>32,5</t>
  </si>
  <si>
    <t>37,5</t>
  </si>
  <si>
    <t xml:space="preserve">Панкова М. </t>
  </si>
  <si>
    <t>Лощилова Ольга</t>
  </si>
  <si>
    <t>Мастера 40-49 (09.07.1977)/43</t>
  </si>
  <si>
    <t>62,80</t>
  </si>
  <si>
    <t xml:space="preserve">Ямских Е. </t>
  </si>
  <si>
    <t>Череповецкий Виктор</t>
  </si>
  <si>
    <t>Открытая (03.02.1981)/40</t>
  </si>
  <si>
    <t>85,00</t>
  </si>
  <si>
    <t>Белов Борис</t>
  </si>
  <si>
    <t>35,0</t>
  </si>
  <si>
    <t>36,0</t>
  </si>
  <si>
    <t>Алейников Павел</t>
  </si>
  <si>
    <t>66,40</t>
  </si>
  <si>
    <t xml:space="preserve">Меженский Н. </t>
  </si>
  <si>
    <t>Демидченков Артём</t>
  </si>
  <si>
    <t>61,90</t>
  </si>
  <si>
    <t>Гришеленок Станислав</t>
  </si>
  <si>
    <t>Открытая (14.11.1983)/37</t>
  </si>
  <si>
    <t>74,20</t>
  </si>
  <si>
    <t>Гайфутдинов Алексей</t>
  </si>
  <si>
    <t>Открытая (24.08.1984)/36</t>
  </si>
  <si>
    <t>74,00</t>
  </si>
  <si>
    <t>Остапенко Денис</t>
  </si>
  <si>
    <t>78,60</t>
  </si>
  <si>
    <t>Меженский Николай</t>
  </si>
  <si>
    <t>Открытая (30.09.1992)/28</t>
  </si>
  <si>
    <t>Открытая (19.11.1999)/21</t>
  </si>
  <si>
    <t>Тарасенко Иван</t>
  </si>
  <si>
    <t>Открытая (10.11.1985)/35</t>
  </si>
  <si>
    <t>79,80</t>
  </si>
  <si>
    <t>Сакович Олег</t>
  </si>
  <si>
    <t>Открытая (21.08.1992)/28</t>
  </si>
  <si>
    <t>84,00</t>
  </si>
  <si>
    <t>Хизриев Махтимагомед</t>
  </si>
  <si>
    <t>Открытая (10.03.1973)/47</t>
  </si>
  <si>
    <t>102,50</t>
  </si>
  <si>
    <t>73,0</t>
  </si>
  <si>
    <t>Спиридонов Валентин</t>
  </si>
  <si>
    <t xml:space="preserve">Никифоров Д. </t>
  </si>
  <si>
    <t>Спиридонов Павел</t>
  </si>
  <si>
    <t>104,90</t>
  </si>
  <si>
    <t>Маликов Дмитрий</t>
  </si>
  <si>
    <t>109,00</t>
  </si>
  <si>
    <t xml:space="preserve">Грахов Ю. </t>
  </si>
  <si>
    <t>Семенов Алексей</t>
  </si>
  <si>
    <t>Открытая (24.09.1987)/33</t>
  </si>
  <si>
    <t>71,00</t>
  </si>
  <si>
    <t>Орлова О.</t>
  </si>
  <si>
    <t>Казакова Е.</t>
  </si>
  <si>
    <t>Скворцов М.</t>
  </si>
  <si>
    <t>Солнцев И.</t>
  </si>
  <si>
    <t>Губжев Б.</t>
  </si>
  <si>
    <t>Румянцев С.</t>
  </si>
  <si>
    <t>Иванов С.</t>
  </si>
  <si>
    <t>DRAGONS Powerlifting TEAM</t>
  </si>
  <si>
    <t>Прайд</t>
  </si>
  <si>
    <t>Fitness life Кудрово</t>
  </si>
  <si>
    <t xml:space="preserve">Fitness life Кудрово </t>
  </si>
  <si>
    <t>Арена</t>
  </si>
  <si>
    <t>SBORPOWERLIFTING</t>
  </si>
  <si>
    <t>Лично</t>
  </si>
  <si>
    <t>Юноши 13-19 (04.06.2003)/17</t>
  </si>
  <si>
    <t>Юноши 13-19 (17.04.2005)/15</t>
  </si>
  <si>
    <t>Юноши 13-19 (15.06.2002)/18</t>
  </si>
  <si>
    <t>Юниоры 20-23 (19.11.1999)/21</t>
  </si>
  <si>
    <t>Юноши 13-19 (19.11.2001)/19</t>
  </si>
  <si>
    <t>Мастера 40-49 (10.03.1973)/47</t>
  </si>
  <si>
    <t>Юниоры 20-23 (24.03.1997)/23</t>
  </si>
  <si>
    <t>Юниоры 20-23 (17.03.1999)/21</t>
  </si>
  <si>
    <t>Юниоры 20-23 (22.08.1997)/23</t>
  </si>
  <si>
    <t>Весовая категория</t>
  </si>
  <si>
    <t>Международный турнир "Iron Gryphon IV"
WRPF любители Пауэрлифтинг без экипировки ДК
Санкт-Петербург, 27-28 февраля 2021 года</t>
  </si>
  <si>
    <t>Международный турнир "Iron Gryphon IV"
WRPF любители Пауэрлифтинг без экипировки
Санкт-Петербург, 27-28 февраля 2021 года</t>
  </si>
  <si>
    <t>Международный турнир "Iron Gryphon IV"
WRPF любители Пауэрлифтинг классический в бинтах ДК
Санкт-Петербург, 27-28 февраля 2021 года</t>
  </si>
  <si>
    <t>Международный турнир "Iron Gryphon IV"
WRPF любители Пауэрлифтинг классический в бинтах
Санкт-Петербург, 27-28 февраля 2021 года</t>
  </si>
  <si>
    <t>Международный турнир "Iron Gryphon IV"
WRPF любители Силовое двоеборье без экипировки ДК
Санкт-Петербург, 27-28 февраля 2021 года</t>
  </si>
  <si>
    <t>Международный турнир "Iron Gryphon IV"
WRPF любители Силовое двоеборье без экипировки
Санкт-Петербург, 27-28 февраля 2021 года</t>
  </si>
  <si>
    <t>Международный турнир "Iron Gryphon IV"
WRPF любители Жим лежа без экипировки ДК
Санкт-Петербург, 27-28 февраля 2021 года</t>
  </si>
  <si>
    <t>Международный турнир "Iron Gryphon IV"
WRPF любители Жим лежа без экипировки
Санкт-Петербург, 27-28 февраля 2021 года</t>
  </si>
  <si>
    <t>Международный турнир "Iron Gryphon IV"
WEPF Жим лежа в однопетельной софт экипировке ДК
Санкт-Петербург, 27-28 февраля 2021 года</t>
  </si>
  <si>
    <t>Международный турнир "Iron Gryphon IV"
WEPF Жим лежа в однопетельной софт экипировке
Санкт-Петербург, 27-28 февраля 2021 года</t>
  </si>
  <si>
    <t>Международный турнир "Iron Gryphon IV"
WEPF Жим лежа в многопетельной софт экипировке ДК
Санкт-Петербург, 27-28 февраля 2021 года</t>
  </si>
  <si>
    <t>Международный турнир "Iron Gryphon IV"
WEPF Жим лежа в многопетельной софт экипировке
Санкт-Петербург, 27-28 февраля 2021 года</t>
  </si>
  <si>
    <t>Международный турнир "Iron Gryphon IV"
WRPF Жим лежа СФО
Санкт-Петербург, 27-28 февраля 2021 года</t>
  </si>
  <si>
    <t>Международный турнир "Iron Gryphon IV"
WRPF любители Становая тяга без экипировки ДК
Санкт-Петербург, 27-28 февраля 2021 года</t>
  </si>
  <si>
    <t>Международный турнир "Iron Gryphon IV"
WRPF любители Становая тяга без экипировки
Санкт-Петербург, 27-28 февраля 2021 года</t>
  </si>
  <si>
    <t>Международный турнир "Iron Gryphon IV"
WRPF Строгий подъем штанги на бицепс
Санкт-Петербург, 27-28 февраля 2021 года</t>
  </si>
  <si>
    <t>Страна/Город</t>
  </si>
  <si>
    <t xml:space="preserve">Иванов Т. </t>
  </si>
  <si>
    <t xml:space="preserve">Губжев Б. </t>
  </si>
  <si>
    <t xml:space="preserve">Румянцева С. </t>
  </si>
  <si>
    <t xml:space="preserve">Смирнов О., Таранухин Г. </t>
  </si>
  <si>
    <t>Непотюк А.</t>
  </si>
  <si>
    <t>Астахов Д.</t>
  </si>
  <si>
    <t xml:space="preserve">Антропов А. </t>
  </si>
  <si>
    <t xml:space="preserve">Соколов А. </t>
  </si>
  <si>
    <t xml:space="preserve">Никитинский А. </t>
  </si>
  <si>
    <t>Василенко А.</t>
  </si>
  <si>
    <t>№</t>
  </si>
  <si>
    <t>Жим</t>
  </si>
  <si>
    <t xml:space="preserve">Санкт-Петербург </t>
  </si>
  <si>
    <t xml:space="preserve">Зеленоград </t>
  </si>
  <si>
    <t xml:space="preserve">Лянтор </t>
  </si>
  <si>
    <t xml:space="preserve">Москва </t>
  </si>
  <si>
    <t xml:space="preserve">Выборг </t>
  </si>
  <si>
    <t xml:space="preserve">Пикалёво </t>
  </si>
  <si>
    <t xml:space="preserve">Бологое </t>
  </si>
  <si>
    <t xml:space="preserve">Новоспасское </t>
  </si>
  <si>
    <t xml:space="preserve">Северодвинск </t>
  </si>
  <si>
    <t xml:space="preserve">Сертолово </t>
  </si>
  <si>
    <t>Нальчик</t>
  </si>
  <si>
    <t xml:space="preserve">Всеволожск </t>
  </si>
  <si>
    <t xml:space="preserve">Сосновый Бор </t>
  </si>
  <si>
    <t xml:space="preserve">Набережные Челны </t>
  </si>
  <si>
    <t xml:space="preserve">Пушкин </t>
  </si>
  <si>
    <t xml:space="preserve">Усинск </t>
  </si>
  <si>
    <t xml:space="preserve">Коммунар </t>
  </si>
  <si>
    <t xml:space="preserve"> Пикалёво</t>
  </si>
  <si>
    <t xml:space="preserve">Челябинск </t>
  </si>
  <si>
    <t xml:space="preserve">Саянск </t>
  </si>
  <si>
    <t xml:space="preserve">Димитровград </t>
  </si>
  <si>
    <t xml:space="preserve">Феодосия </t>
  </si>
  <si>
    <t xml:space="preserve">Великий Новгород </t>
  </si>
  <si>
    <t xml:space="preserve">Волгоград </t>
  </si>
  <si>
    <t xml:space="preserve">Тихвин </t>
  </si>
  <si>
    <t xml:space="preserve">Петергоф </t>
  </si>
  <si>
    <t xml:space="preserve">Полярные Зори </t>
  </si>
  <si>
    <t xml:space="preserve">Псков </t>
  </si>
  <si>
    <t xml:space="preserve">Мурманск </t>
  </si>
  <si>
    <t xml:space="preserve">Губкинский </t>
  </si>
  <si>
    <t xml:space="preserve">Тула </t>
  </si>
  <si>
    <t xml:space="preserve">Рощино </t>
  </si>
  <si>
    <t xml:space="preserve">Смоленск </t>
  </si>
  <si>
    <t xml:space="preserve">Чебоксары </t>
  </si>
  <si>
    <t xml:space="preserve">Тверь </t>
  </si>
  <si>
    <t xml:space="preserve">Кронштадт </t>
  </si>
  <si>
    <t xml:space="preserve">Пудож </t>
  </si>
  <si>
    <t xml:space="preserve">Коряжма </t>
  </si>
  <si>
    <t xml:space="preserve">Пермь </t>
  </si>
  <si>
    <t xml:space="preserve">Шлиссельбург </t>
  </si>
  <si>
    <t xml:space="preserve">Санкт-Петербург  </t>
  </si>
  <si>
    <t xml:space="preserve">Зеленоградск </t>
  </si>
  <si>
    <t xml:space="preserve">Дубровно </t>
  </si>
  <si>
    <t xml:space="preserve">Минск </t>
  </si>
  <si>
    <t xml:space="preserve">Тараз </t>
  </si>
  <si>
    <t xml:space="preserve">
Дата рождения/Возраст</t>
  </si>
  <si>
    <t>Возрастная группа</t>
  </si>
  <si>
    <t>J</t>
  </si>
  <si>
    <t>O</t>
  </si>
  <si>
    <t>M1</t>
  </si>
  <si>
    <t>T1</t>
  </si>
  <si>
    <t>T2</t>
  </si>
  <si>
    <t>M3</t>
  </si>
  <si>
    <t>M2</t>
  </si>
  <si>
    <t>M4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</si>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</sst>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4F8E8-1C55-4123-A156-C10D25CBF80F}">
  <dimension ref="A1:U105"/>
  <sheetViews>
    <sheetView workbookViewId="0">
      <selection activeCell="E89" sqref="E89"/>
    </sheetView>
  </sheetViews>
  <sheetFormatPr baseColWidth="10" defaultColWidth="9.1640625" defaultRowHeight="13"/>
  <cols>
    <col min="1" max="1" width="7.1640625" style="5" bestFit="1" customWidth="1"/>
    <col min="2" max="2" width="20.83203125" style="5" bestFit="1" customWidth="1"/>
    <col min="3" max="3" width="27.5" style="5" bestFit="1" customWidth="1"/>
    <col min="4" max="4" width="20.83203125" style="5" bestFit="1" customWidth="1"/>
    <col min="5" max="5" width="10.1640625" style="5" bestFit="1" customWidth="1"/>
    <col min="6" max="6" width="20.5" style="5" bestFit="1" customWidth="1"/>
    <col min="7" max="9" width="5.5" style="6" customWidth="1"/>
    <col min="10" max="10" width="4.5" style="6" customWidth="1"/>
    <col min="11" max="13" width="5.5" style="6" customWidth="1"/>
    <col min="14" max="14" width="4.5" style="6" customWidth="1"/>
    <col min="15" max="17" width="5.5" style="6" customWidth="1"/>
    <col min="18" max="18" width="4.5" style="6" customWidth="1"/>
    <col min="19" max="19" width="7.6640625" style="28" bestFit="1" customWidth="1"/>
    <col min="20" max="20" width="8.5" style="6" bestFit="1" customWidth="1"/>
    <col min="21" max="21" width="20.1640625" style="5" bestFit="1" customWidth="1"/>
    <col min="22" max="16384" width="9.1640625" style="3"/>
  </cols>
  <sheetData>
    <row r="1" spans="1:21" s="2" customFormat="1" ht="29" customHeight="1">
      <c r="A1" s="41" t="s">
        <v>904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8"/>
    </row>
    <row r="3" spans="1:21" s="1" customFormat="1" ht="12.75" customHeight="1">
      <c r="A3" s="49" t="s">
        <v>931</v>
      </c>
      <c r="B3" s="54" t="s">
        <v>0</v>
      </c>
      <c r="C3" s="51" t="s">
        <v>978</v>
      </c>
      <c r="D3" s="51" t="s">
        <v>5</v>
      </c>
      <c r="E3" s="35" t="s">
        <v>979</v>
      </c>
      <c r="F3" s="35" t="s">
        <v>920</v>
      </c>
      <c r="G3" s="35" t="s">
        <v>6</v>
      </c>
      <c r="H3" s="35"/>
      <c r="I3" s="35"/>
      <c r="J3" s="35"/>
      <c r="K3" s="35" t="s">
        <v>7</v>
      </c>
      <c r="L3" s="35"/>
      <c r="M3" s="35"/>
      <c r="N3" s="35"/>
      <c r="O3" s="35" t="s">
        <v>8</v>
      </c>
      <c r="P3" s="35"/>
      <c r="Q3" s="35"/>
      <c r="R3" s="35"/>
      <c r="S3" s="33" t="s">
        <v>1</v>
      </c>
      <c r="T3" s="35" t="s">
        <v>3</v>
      </c>
      <c r="U3" s="37" t="s">
        <v>2</v>
      </c>
    </row>
    <row r="4" spans="1:21" s="1" customFormat="1" ht="21" customHeight="1" thickBot="1">
      <c r="A4" s="50"/>
      <c r="B4" s="55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4"/>
      <c r="T4" s="36"/>
      <c r="U4" s="38"/>
    </row>
    <row r="5" spans="1:21" ht="16">
      <c r="A5" s="39" t="s">
        <v>223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1">
      <c r="A6" s="8" t="s">
        <v>30</v>
      </c>
      <c r="B6" s="7" t="s">
        <v>224</v>
      </c>
      <c r="C6" s="7" t="s">
        <v>225</v>
      </c>
      <c r="D6" s="7" t="s">
        <v>226</v>
      </c>
      <c r="E6" s="7" t="s">
        <v>980</v>
      </c>
      <c r="F6" s="7" t="s">
        <v>933</v>
      </c>
      <c r="G6" s="14" t="s">
        <v>227</v>
      </c>
      <c r="H6" s="15" t="s">
        <v>228</v>
      </c>
      <c r="I6" s="15" t="s">
        <v>228</v>
      </c>
      <c r="J6" s="8"/>
      <c r="K6" s="14" t="s">
        <v>229</v>
      </c>
      <c r="L6" s="15" t="s">
        <v>230</v>
      </c>
      <c r="M6" s="15" t="s">
        <v>230</v>
      </c>
      <c r="N6" s="8"/>
      <c r="O6" s="14" t="s">
        <v>228</v>
      </c>
      <c r="P6" s="14" t="s">
        <v>52</v>
      </c>
      <c r="Q6" s="14" t="s">
        <v>53</v>
      </c>
      <c r="R6" s="8"/>
      <c r="S6" s="29" t="str">
        <f>"150,0"</f>
        <v>150,0</v>
      </c>
      <c r="T6" s="8" t="str">
        <f>"224,0400"</f>
        <v>224,0400</v>
      </c>
      <c r="U6" s="7" t="s">
        <v>231</v>
      </c>
    </row>
    <row r="7" spans="1:21">
      <c r="B7" s="5" t="s">
        <v>31</v>
      </c>
    </row>
    <row r="8" spans="1:21" ht="16">
      <c r="A8" s="52" t="s">
        <v>32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21">
      <c r="A9" s="8" t="s">
        <v>30</v>
      </c>
      <c r="B9" s="7" t="s">
        <v>232</v>
      </c>
      <c r="C9" s="7" t="s">
        <v>233</v>
      </c>
      <c r="D9" s="7" t="s">
        <v>234</v>
      </c>
      <c r="E9" s="7" t="s">
        <v>980</v>
      </c>
      <c r="F9" s="7" t="s">
        <v>933</v>
      </c>
      <c r="G9" s="14" t="s">
        <v>54</v>
      </c>
      <c r="H9" s="14" t="s">
        <v>235</v>
      </c>
      <c r="I9" s="15" t="s">
        <v>37</v>
      </c>
      <c r="J9" s="8"/>
      <c r="K9" s="14" t="s">
        <v>40</v>
      </c>
      <c r="L9" s="14" t="s">
        <v>41</v>
      </c>
      <c r="M9" s="15" t="s">
        <v>42</v>
      </c>
      <c r="N9" s="8"/>
      <c r="O9" s="14" t="s">
        <v>236</v>
      </c>
      <c r="P9" s="14" t="s">
        <v>51</v>
      </c>
      <c r="Q9" s="15" t="s">
        <v>63</v>
      </c>
      <c r="R9" s="8"/>
      <c r="S9" s="29" t="str">
        <f>"247,5"</f>
        <v>247,5</v>
      </c>
      <c r="T9" s="8" t="str">
        <f>"327,7890"</f>
        <v>327,7890</v>
      </c>
      <c r="U9" s="7" t="s">
        <v>173</v>
      </c>
    </row>
    <row r="10" spans="1:21">
      <c r="B10" s="5" t="s">
        <v>31</v>
      </c>
    </row>
    <row r="11" spans="1:21" ht="16">
      <c r="A11" s="52" t="s">
        <v>237</v>
      </c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spans="1:21">
      <c r="A12" s="17" t="s">
        <v>30</v>
      </c>
      <c r="B12" s="16" t="s">
        <v>238</v>
      </c>
      <c r="C12" s="16" t="s">
        <v>239</v>
      </c>
      <c r="D12" s="16" t="s">
        <v>240</v>
      </c>
      <c r="E12" s="16" t="s">
        <v>981</v>
      </c>
      <c r="F12" s="16" t="s">
        <v>933</v>
      </c>
      <c r="G12" s="22" t="s">
        <v>44</v>
      </c>
      <c r="H12" s="22" t="s">
        <v>65</v>
      </c>
      <c r="I12" s="23" t="s">
        <v>66</v>
      </c>
      <c r="J12" s="17"/>
      <c r="K12" s="22" t="s">
        <v>241</v>
      </c>
      <c r="L12" s="22" t="s">
        <v>242</v>
      </c>
      <c r="M12" s="23" t="s">
        <v>52</v>
      </c>
      <c r="N12" s="17"/>
      <c r="O12" s="22" t="s">
        <v>39</v>
      </c>
      <c r="P12" s="22" t="s">
        <v>95</v>
      </c>
      <c r="Q12" s="22" t="s">
        <v>243</v>
      </c>
      <c r="R12" s="17"/>
      <c r="S12" s="30" t="str">
        <f>"270,0"</f>
        <v>270,0</v>
      </c>
      <c r="T12" s="17" t="str">
        <f>"347,8950"</f>
        <v>347,8950</v>
      </c>
      <c r="U12" s="16"/>
    </row>
    <row r="13" spans="1:21">
      <c r="A13" s="21" t="s">
        <v>218</v>
      </c>
      <c r="B13" s="20" t="s">
        <v>244</v>
      </c>
      <c r="C13" s="20" t="s">
        <v>245</v>
      </c>
      <c r="D13" s="20" t="s">
        <v>246</v>
      </c>
      <c r="E13" s="16" t="s">
        <v>981</v>
      </c>
      <c r="F13" s="20" t="s">
        <v>933</v>
      </c>
      <c r="G13" s="27" t="s">
        <v>53</v>
      </c>
      <c r="H13" s="26" t="s">
        <v>43</v>
      </c>
      <c r="I13" s="26" t="s">
        <v>43</v>
      </c>
      <c r="J13" s="21"/>
      <c r="K13" s="26" t="s">
        <v>96</v>
      </c>
      <c r="L13" s="27" t="s">
        <v>96</v>
      </c>
      <c r="M13" s="27" t="s">
        <v>227</v>
      </c>
      <c r="N13" s="21"/>
      <c r="O13" s="27" t="s">
        <v>49</v>
      </c>
      <c r="P13" s="27" t="s">
        <v>55</v>
      </c>
      <c r="Q13" s="27" t="s">
        <v>51</v>
      </c>
      <c r="R13" s="21"/>
      <c r="S13" s="31" t="str">
        <f>"252,5"</f>
        <v>252,5</v>
      </c>
      <c r="T13" s="21" t="str">
        <f>"323,8817"</f>
        <v>323,8817</v>
      </c>
      <c r="U13" s="20" t="s">
        <v>247</v>
      </c>
    </row>
    <row r="14" spans="1:21">
      <c r="A14" s="21" t="s">
        <v>222</v>
      </c>
      <c r="B14" s="20" t="s">
        <v>248</v>
      </c>
      <c r="C14" s="20" t="s">
        <v>249</v>
      </c>
      <c r="D14" s="20" t="s">
        <v>250</v>
      </c>
      <c r="E14" s="16" t="s">
        <v>981</v>
      </c>
      <c r="F14" s="20" t="s">
        <v>933</v>
      </c>
      <c r="G14" s="26" t="s">
        <v>251</v>
      </c>
      <c r="H14" s="26" t="s">
        <v>251</v>
      </c>
      <c r="I14" s="26" t="s">
        <v>251</v>
      </c>
      <c r="J14" s="21"/>
      <c r="K14" s="26" t="s">
        <v>96</v>
      </c>
      <c r="L14" s="21"/>
      <c r="M14" s="21"/>
      <c r="N14" s="21"/>
      <c r="O14" s="26"/>
      <c r="P14" s="21"/>
      <c r="Q14" s="21"/>
      <c r="R14" s="21"/>
      <c r="S14" s="31">
        <v>0</v>
      </c>
      <c r="T14" s="21" t="str">
        <f>"0,0000"</f>
        <v>0,0000</v>
      </c>
      <c r="U14" s="20" t="s">
        <v>252</v>
      </c>
    </row>
    <row r="15" spans="1:21">
      <c r="A15" s="21" t="s">
        <v>222</v>
      </c>
      <c r="B15" s="20" t="s">
        <v>253</v>
      </c>
      <c r="C15" s="20" t="s">
        <v>254</v>
      </c>
      <c r="D15" s="20" t="s">
        <v>255</v>
      </c>
      <c r="E15" s="16" t="s">
        <v>981</v>
      </c>
      <c r="F15" s="20" t="s">
        <v>934</v>
      </c>
      <c r="G15" s="26" t="s">
        <v>44</v>
      </c>
      <c r="H15" s="26" t="s">
        <v>44</v>
      </c>
      <c r="I15" s="26" t="s">
        <v>44</v>
      </c>
      <c r="J15" s="21"/>
      <c r="K15" s="26" t="s">
        <v>256</v>
      </c>
      <c r="L15" s="26" t="s">
        <v>256</v>
      </c>
      <c r="M15" s="26" t="s">
        <v>96</v>
      </c>
      <c r="N15" s="21"/>
      <c r="O15" s="26"/>
      <c r="P15" s="21"/>
      <c r="Q15" s="21"/>
      <c r="R15" s="21"/>
      <c r="S15" s="31">
        <v>0</v>
      </c>
      <c r="T15" s="21" t="str">
        <f>"0,0000"</f>
        <v>0,0000</v>
      </c>
      <c r="U15" s="20" t="s">
        <v>257</v>
      </c>
    </row>
    <row r="16" spans="1:21">
      <c r="A16" s="19" t="s">
        <v>222</v>
      </c>
      <c r="B16" s="18" t="s">
        <v>258</v>
      </c>
      <c r="C16" s="18" t="s">
        <v>259</v>
      </c>
      <c r="D16" s="18" t="s">
        <v>260</v>
      </c>
      <c r="E16" s="16" t="s">
        <v>981</v>
      </c>
      <c r="F16" s="18" t="s">
        <v>933</v>
      </c>
      <c r="G16" s="24" t="s">
        <v>66</v>
      </c>
      <c r="H16" s="24" t="s">
        <v>49</v>
      </c>
      <c r="I16" s="25" t="s">
        <v>122</v>
      </c>
      <c r="J16" s="19"/>
      <c r="K16" s="25" t="s">
        <v>261</v>
      </c>
      <c r="L16" s="25" t="s">
        <v>261</v>
      </c>
      <c r="M16" s="25" t="s">
        <v>261</v>
      </c>
      <c r="N16" s="19"/>
      <c r="O16" s="25"/>
      <c r="P16" s="19"/>
      <c r="Q16" s="19"/>
      <c r="R16" s="19"/>
      <c r="S16" s="32">
        <v>0</v>
      </c>
      <c r="T16" s="19" t="str">
        <f>"0,0000"</f>
        <v>0,0000</v>
      </c>
      <c r="U16" s="18" t="s">
        <v>173</v>
      </c>
    </row>
    <row r="17" spans="1:21">
      <c r="B17" s="5" t="s">
        <v>31</v>
      </c>
    </row>
    <row r="18" spans="1:21" ht="16">
      <c r="A18" s="52" t="s">
        <v>99</v>
      </c>
      <c r="B18" s="52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21">
      <c r="A19" s="17" t="s">
        <v>30</v>
      </c>
      <c r="B19" s="16" t="s">
        <v>262</v>
      </c>
      <c r="C19" s="16" t="s">
        <v>263</v>
      </c>
      <c r="D19" s="16" t="s">
        <v>264</v>
      </c>
      <c r="E19" s="16" t="s">
        <v>981</v>
      </c>
      <c r="F19" s="16" t="s">
        <v>933</v>
      </c>
      <c r="G19" s="22" t="s">
        <v>38</v>
      </c>
      <c r="H19" s="22" t="s">
        <v>65</v>
      </c>
      <c r="I19" s="22" t="s">
        <v>66</v>
      </c>
      <c r="J19" s="17"/>
      <c r="K19" s="22" t="s">
        <v>261</v>
      </c>
      <c r="L19" s="23" t="s">
        <v>227</v>
      </c>
      <c r="M19" s="22" t="s">
        <v>227</v>
      </c>
      <c r="N19" s="17"/>
      <c r="O19" s="22" t="s">
        <v>65</v>
      </c>
      <c r="P19" s="22" t="s">
        <v>66</v>
      </c>
      <c r="Q19" s="22" t="s">
        <v>95</v>
      </c>
      <c r="R19" s="17"/>
      <c r="S19" s="30" t="str">
        <f>"260,0"</f>
        <v>260,0</v>
      </c>
      <c r="T19" s="17" t="str">
        <f>"312,4940"</f>
        <v>312,4940</v>
      </c>
      <c r="U19" s="16" t="s">
        <v>265</v>
      </c>
    </row>
    <row r="20" spans="1:21">
      <c r="A20" s="19" t="s">
        <v>30</v>
      </c>
      <c r="B20" s="18" t="s">
        <v>266</v>
      </c>
      <c r="C20" s="18" t="s">
        <v>267</v>
      </c>
      <c r="D20" s="18" t="s">
        <v>268</v>
      </c>
      <c r="E20" s="18" t="s">
        <v>982</v>
      </c>
      <c r="F20" s="18" t="s">
        <v>933</v>
      </c>
      <c r="G20" s="25" t="s">
        <v>49</v>
      </c>
      <c r="H20" s="24" t="s">
        <v>49</v>
      </c>
      <c r="I20" s="25" t="s">
        <v>243</v>
      </c>
      <c r="J20" s="19"/>
      <c r="K20" s="24" t="s">
        <v>227</v>
      </c>
      <c r="L20" s="25" t="s">
        <v>241</v>
      </c>
      <c r="M20" s="25" t="s">
        <v>241</v>
      </c>
      <c r="N20" s="19"/>
      <c r="O20" s="24" t="s">
        <v>122</v>
      </c>
      <c r="P20" s="24" t="s">
        <v>269</v>
      </c>
      <c r="Q20" s="24" t="s">
        <v>50</v>
      </c>
      <c r="R20" s="19"/>
      <c r="S20" s="32" t="str">
        <f>"285,0"</f>
        <v>285,0</v>
      </c>
      <c r="T20" s="19" t="str">
        <f>"338,1810"</f>
        <v>338,1810</v>
      </c>
      <c r="U20" s="18" t="s">
        <v>270</v>
      </c>
    </row>
    <row r="21" spans="1:21">
      <c r="B21" s="5" t="s">
        <v>31</v>
      </c>
    </row>
    <row r="22" spans="1:21" ht="16">
      <c r="A22" s="52" t="s">
        <v>58</v>
      </c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</row>
    <row r="23" spans="1:21">
      <c r="A23" s="17" t="s">
        <v>30</v>
      </c>
      <c r="B23" s="16" t="s">
        <v>271</v>
      </c>
      <c r="C23" s="16" t="s">
        <v>272</v>
      </c>
      <c r="D23" s="16" t="s">
        <v>273</v>
      </c>
      <c r="E23" s="16" t="s">
        <v>981</v>
      </c>
      <c r="F23" s="16" t="s">
        <v>933</v>
      </c>
      <c r="G23" s="22" t="s">
        <v>65</v>
      </c>
      <c r="H23" s="23" t="s">
        <v>66</v>
      </c>
      <c r="I23" s="22" t="s">
        <v>274</v>
      </c>
      <c r="J23" s="17"/>
      <c r="K23" s="22" t="s">
        <v>241</v>
      </c>
      <c r="L23" s="23" t="s">
        <v>228</v>
      </c>
      <c r="M23" s="23" t="s">
        <v>228</v>
      </c>
      <c r="N23" s="17"/>
      <c r="O23" s="22" t="s">
        <v>122</v>
      </c>
      <c r="P23" s="22" t="s">
        <v>55</v>
      </c>
      <c r="Q23" s="22" t="s">
        <v>76</v>
      </c>
      <c r="R23" s="17"/>
      <c r="S23" s="30" t="str">
        <f>"292,5"</f>
        <v>292,5</v>
      </c>
      <c r="T23" s="17" t="str">
        <f>"327,8048"</f>
        <v>327,8048</v>
      </c>
      <c r="U23" s="16"/>
    </row>
    <row r="24" spans="1:21">
      <c r="A24" s="21" t="s">
        <v>218</v>
      </c>
      <c r="B24" s="20" t="s">
        <v>275</v>
      </c>
      <c r="C24" s="20" t="s">
        <v>276</v>
      </c>
      <c r="D24" s="20" t="s">
        <v>277</v>
      </c>
      <c r="E24" s="20" t="s">
        <v>981</v>
      </c>
      <c r="F24" s="20" t="s">
        <v>933</v>
      </c>
      <c r="G24" s="27" t="s">
        <v>65</v>
      </c>
      <c r="H24" s="26" t="s">
        <v>39</v>
      </c>
      <c r="I24" s="26" t="s">
        <v>66</v>
      </c>
      <c r="J24" s="21"/>
      <c r="K24" s="27" t="s">
        <v>227</v>
      </c>
      <c r="L24" s="26" t="s">
        <v>228</v>
      </c>
      <c r="M24" s="26" t="s">
        <v>228</v>
      </c>
      <c r="N24" s="21"/>
      <c r="O24" s="27" t="s">
        <v>55</v>
      </c>
      <c r="P24" s="27" t="s">
        <v>76</v>
      </c>
      <c r="Q24" s="27" t="s">
        <v>77</v>
      </c>
      <c r="R24" s="21"/>
      <c r="S24" s="31" t="str">
        <f>"290,0"</f>
        <v>290,0</v>
      </c>
      <c r="T24" s="21" t="str">
        <f>"334,2250"</f>
        <v>334,2250</v>
      </c>
      <c r="U24" s="20" t="s">
        <v>279</v>
      </c>
    </row>
    <row r="25" spans="1:21">
      <c r="A25" s="21" t="s">
        <v>219</v>
      </c>
      <c r="B25" s="20" t="s">
        <v>280</v>
      </c>
      <c r="C25" s="20" t="s">
        <v>281</v>
      </c>
      <c r="D25" s="20" t="s">
        <v>282</v>
      </c>
      <c r="E25" s="20" t="s">
        <v>981</v>
      </c>
      <c r="F25" s="20" t="s">
        <v>935</v>
      </c>
      <c r="G25" s="27" t="s">
        <v>65</v>
      </c>
      <c r="H25" s="26" t="s">
        <v>95</v>
      </c>
      <c r="I25" s="26" t="s">
        <v>49</v>
      </c>
      <c r="J25" s="21"/>
      <c r="K25" s="27" t="s">
        <v>96</v>
      </c>
      <c r="L25" s="26" t="s">
        <v>227</v>
      </c>
      <c r="M25" s="26" t="s">
        <v>227</v>
      </c>
      <c r="N25" s="21"/>
      <c r="O25" s="26" t="s">
        <v>66</v>
      </c>
      <c r="P25" s="27" t="s">
        <v>95</v>
      </c>
      <c r="Q25" s="26" t="s">
        <v>122</v>
      </c>
      <c r="R25" s="21"/>
      <c r="S25" s="31" t="str">
        <f>"250,0"</f>
        <v>250,0</v>
      </c>
      <c r="T25" s="21" t="str">
        <f>"291,7000"</f>
        <v>291,7000</v>
      </c>
      <c r="U25" s="20" t="s">
        <v>283</v>
      </c>
    </row>
    <row r="26" spans="1:21">
      <c r="A26" s="19" t="s">
        <v>30</v>
      </c>
      <c r="B26" s="18" t="s">
        <v>284</v>
      </c>
      <c r="C26" s="18" t="s">
        <v>285</v>
      </c>
      <c r="D26" s="18" t="s">
        <v>286</v>
      </c>
      <c r="E26" s="18" t="s">
        <v>982</v>
      </c>
      <c r="F26" s="18" t="s">
        <v>933</v>
      </c>
      <c r="G26" s="24" t="s">
        <v>37</v>
      </c>
      <c r="H26" s="24" t="s">
        <v>43</v>
      </c>
      <c r="I26" s="24" t="s">
        <v>38</v>
      </c>
      <c r="J26" s="19"/>
      <c r="K26" s="24" t="s">
        <v>96</v>
      </c>
      <c r="L26" s="24" t="s">
        <v>227</v>
      </c>
      <c r="M26" s="24" t="s">
        <v>241</v>
      </c>
      <c r="N26" s="19"/>
      <c r="O26" s="24" t="s">
        <v>122</v>
      </c>
      <c r="P26" s="24" t="s">
        <v>50</v>
      </c>
      <c r="Q26" s="25" t="s">
        <v>55</v>
      </c>
      <c r="R26" s="19"/>
      <c r="S26" s="32" t="str">
        <f>"267,5"</f>
        <v>267,5</v>
      </c>
      <c r="T26" s="19" t="str">
        <f>"335,2742"</f>
        <v>335,2742</v>
      </c>
      <c r="U26" s="18" t="s">
        <v>921</v>
      </c>
    </row>
    <row r="27" spans="1:21">
      <c r="B27" s="5" t="s">
        <v>31</v>
      </c>
    </row>
    <row r="28" spans="1:21" ht="16">
      <c r="A28" s="52" t="s">
        <v>45</v>
      </c>
      <c r="B28" s="52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</row>
    <row r="29" spans="1:21">
      <c r="A29" s="17" t="s">
        <v>30</v>
      </c>
      <c r="B29" s="16" t="s">
        <v>287</v>
      </c>
      <c r="C29" s="16" t="s">
        <v>288</v>
      </c>
      <c r="D29" s="16" t="s">
        <v>289</v>
      </c>
      <c r="E29" s="16" t="s">
        <v>981</v>
      </c>
      <c r="F29" s="16" t="s">
        <v>933</v>
      </c>
      <c r="G29" s="22" t="s">
        <v>49</v>
      </c>
      <c r="H29" s="22" t="s">
        <v>50</v>
      </c>
      <c r="I29" s="23" t="s">
        <v>55</v>
      </c>
      <c r="J29" s="17"/>
      <c r="K29" s="22" t="s">
        <v>228</v>
      </c>
      <c r="L29" s="22" t="s">
        <v>52</v>
      </c>
      <c r="M29" s="23" t="s">
        <v>53</v>
      </c>
      <c r="N29" s="17"/>
      <c r="O29" s="22" t="s">
        <v>63</v>
      </c>
      <c r="P29" s="22" t="s">
        <v>77</v>
      </c>
      <c r="Q29" s="22" t="s">
        <v>290</v>
      </c>
      <c r="R29" s="17"/>
      <c r="S29" s="30" t="str">
        <f>"332,5"</f>
        <v>332,5</v>
      </c>
      <c r="T29" s="17" t="str">
        <f>"352,4832"</f>
        <v>352,4832</v>
      </c>
      <c r="U29" s="16"/>
    </row>
    <row r="30" spans="1:21">
      <c r="A30" s="21" t="s">
        <v>218</v>
      </c>
      <c r="B30" s="20" t="s">
        <v>291</v>
      </c>
      <c r="C30" s="20" t="s">
        <v>292</v>
      </c>
      <c r="D30" s="20" t="s">
        <v>293</v>
      </c>
      <c r="E30" s="16" t="s">
        <v>981</v>
      </c>
      <c r="F30" s="20" t="s">
        <v>936</v>
      </c>
      <c r="G30" s="27" t="s">
        <v>269</v>
      </c>
      <c r="H30" s="27" t="s">
        <v>55</v>
      </c>
      <c r="I30" s="26" t="s">
        <v>63</v>
      </c>
      <c r="J30" s="21"/>
      <c r="K30" s="27" t="s">
        <v>294</v>
      </c>
      <c r="L30" s="26" t="s">
        <v>54</v>
      </c>
      <c r="M30" s="27" t="s">
        <v>54</v>
      </c>
      <c r="N30" s="21"/>
      <c r="O30" s="27" t="s">
        <v>50</v>
      </c>
      <c r="P30" s="27" t="s">
        <v>63</v>
      </c>
      <c r="Q30" s="21"/>
      <c r="R30" s="21"/>
      <c r="S30" s="31" t="str">
        <f>"327,5"</f>
        <v>327,5</v>
      </c>
      <c r="T30" s="21" t="str">
        <f>"338,6023"</f>
        <v>338,6023</v>
      </c>
      <c r="U30" s="20" t="s">
        <v>591</v>
      </c>
    </row>
    <row r="31" spans="1:21">
      <c r="A31" s="21" t="s">
        <v>219</v>
      </c>
      <c r="B31" s="20" t="s">
        <v>295</v>
      </c>
      <c r="C31" s="20" t="s">
        <v>296</v>
      </c>
      <c r="D31" s="20" t="s">
        <v>48</v>
      </c>
      <c r="E31" s="16" t="s">
        <v>981</v>
      </c>
      <c r="F31" s="20" t="s">
        <v>933</v>
      </c>
      <c r="G31" s="27" t="s">
        <v>53</v>
      </c>
      <c r="H31" s="27" t="s">
        <v>105</v>
      </c>
      <c r="I31" s="27" t="s">
        <v>37</v>
      </c>
      <c r="J31" s="21"/>
      <c r="K31" s="27" t="s">
        <v>261</v>
      </c>
      <c r="L31" s="27" t="s">
        <v>227</v>
      </c>
      <c r="M31" s="27" t="s">
        <v>241</v>
      </c>
      <c r="N31" s="21"/>
      <c r="O31" s="27" t="s">
        <v>95</v>
      </c>
      <c r="P31" s="27" t="s">
        <v>49</v>
      </c>
      <c r="Q31" s="27" t="s">
        <v>122</v>
      </c>
      <c r="R31" s="21"/>
      <c r="S31" s="31" t="str">
        <f>"252,5"</f>
        <v>252,5</v>
      </c>
      <c r="T31" s="21" t="str">
        <f>"263,9888"</f>
        <v>263,9888</v>
      </c>
      <c r="U31" s="20" t="s">
        <v>297</v>
      </c>
    </row>
    <row r="32" spans="1:21">
      <c r="A32" s="21" t="s">
        <v>220</v>
      </c>
      <c r="B32" s="20" t="s">
        <v>298</v>
      </c>
      <c r="C32" s="20" t="s">
        <v>299</v>
      </c>
      <c r="D32" s="20" t="s">
        <v>300</v>
      </c>
      <c r="E32" s="16" t="s">
        <v>981</v>
      </c>
      <c r="F32" s="20" t="s">
        <v>933</v>
      </c>
      <c r="G32" s="27" t="s">
        <v>53</v>
      </c>
      <c r="H32" s="27" t="s">
        <v>37</v>
      </c>
      <c r="I32" s="27" t="s">
        <v>43</v>
      </c>
      <c r="J32" s="21"/>
      <c r="K32" s="27" t="s">
        <v>294</v>
      </c>
      <c r="L32" s="26" t="s">
        <v>53</v>
      </c>
      <c r="M32" s="26" t="s">
        <v>53</v>
      </c>
      <c r="N32" s="21"/>
      <c r="O32" s="26" t="s">
        <v>38</v>
      </c>
      <c r="P32" s="27" t="s">
        <v>65</v>
      </c>
      <c r="Q32" s="27" t="s">
        <v>66</v>
      </c>
      <c r="R32" s="21"/>
      <c r="S32" s="31" t="str">
        <f>"252,5"</f>
        <v>252,5</v>
      </c>
      <c r="T32" s="21" t="str">
        <f>"262,2212"</f>
        <v>262,2212</v>
      </c>
      <c r="U32" s="20" t="s">
        <v>279</v>
      </c>
    </row>
    <row r="33" spans="1:21">
      <c r="A33" s="21" t="s">
        <v>221</v>
      </c>
      <c r="B33" s="20" t="s">
        <v>301</v>
      </c>
      <c r="C33" s="20" t="s">
        <v>302</v>
      </c>
      <c r="D33" s="20" t="s">
        <v>303</v>
      </c>
      <c r="E33" s="16" t="s">
        <v>981</v>
      </c>
      <c r="F33" s="20" t="s">
        <v>937</v>
      </c>
      <c r="G33" s="27" t="s">
        <v>53</v>
      </c>
      <c r="H33" s="27" t="s">
        <v>37</v>
      </c>
      <c r="I33" s="26" t="s">
        <v>38</v>
      </c>
      <c r="J33" s="21"/>
      <c r="K33" s="27" t="s">
        <v>227</v>
      </c>
      <c r="L33" s="27" t="s">
        <v>228</v>
      </c>
      <c r="M33" s="26" t="s">
        <v>242</v>
      </c>
      <c r="N33" s="21"/>
      <c r="O33" s="27" t="s">
        <v>38</v>
      </c>
      <c r="P33" s="27" t="s">
        <v>66</v>
      </c>
      <c r="Q33" s="27" t="s">
        <v>95</v>
      </c>
      <c r="R33" s="21"/>
      <c r="S33" s="31" t="str">
        <f>"245,0"</f>
        <v>245,0</v>
      </c>
      <c r="T33" s="21" t="str">
        <f>"257,3235"</f>
        <v>257,3235</v>
      </c>
      <c r="U33" s="20" t="s">
        <v>636</v>
      </c>
    </row>
    <row r="34" spans="1:21">
      <c r="A34" s="19" t="s">
        <v>30</v>
      </c>
      <c r="B34" s="18" t="s">
        <v>304</v>
      </c>
      <c r="C34" s="18" t="s">
        <v>305</v>
      </c>
      <c r="D34" s="18" t="s">
        <v>306</v>
      </c>
      <c r="E34" s="18" t="s">
        <v>982</v>
      </c>
      <c r="F34" s="18" t="s">
        <v>933</v>
      </c>
      <c r="G34" s="24" t="s">
        <v>261</v>
      </c>
      <c r="H34" s="24" t="s">
        <v>241</v>
      </c>
      <c r="I34" s="24" t="s">
        <v>242</v>
      </c>
      <c r="J34" s="19"/>
      <c r="K34" s="24" t="s">
        <v>41</v>
      </c>
      <c r="L34" s="24" t="s">
        <v>42</v>
      </c>
      <c r="M34" s="24" t="s">
        <v>256</v>
      </c>
      <c r="N34" s="19"/>
      <c r="O34" s="24" t="s">
        <v>105</v>
      </c>
      <c r="P34" s="24" t="s">
        <v>37</v>
      </c>
      <c r="Q34" s="24" t="s">
        <v>43</v>
      </c>
      <c r="R34" s="19"/>
      <c r="S34" s="32" t="str">
        <f>"195,0"</f>
        <v>195,0</v>
      </c>
      <c r="T34" s="19" t="str">
        <f>"206,1330"</f>
        <v>206,1330</v>
      </c>
      <c r="U34" s="18" t="s">
        <v>307</v>
      </c>
    </row>
    <row r="35" spans="1:21">
      <c r="B35" s="5" t="s">
        <v>31</v>
      </c>
    </row>
    <row r="36" spans="1:21" ht="16">
      <c r="A36" s="52" t="s">
        <v>117</v>
      </c>
      <c r="B36" s="52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</row>
    <row r="37" spans="1:21">
      <c r="A37" s="17" t="s">
        <v>30</v>
      </c>
      <c r="B37" s="16" t="s">
        <v>308</v>
      </c>
      <c r="C37" s="16" t="s">
        <v>309</v>
      </c>
      <c r="D37" s="16" t="s">
        <v>310</v>
      </c>
      <c r="E37" s="16" t="s">
        <v>981</v>
      </c>
      <c r="F37" s="16" t="s">
        <v>933</v>
      </c>
      <c r="G37" s="22" t="s">
        <v>38</v>
      </c>
      <c r="H37" s="23" t="s">
        <v>251</v>
      </c>
      <c r="I37" s="22" t="s">
        <v>251</v>
      </c>
      <c r="J37" s="17"/>
      <c r="K37" s="22" t="s">
        <v>227</v>
      </c>
      <c r="L37" s="22" t="s">
        <v>228</v>
      </c>
      <c r="M37" s="23" t="s">
        <v>242</v>
      </c>
      <c r="N37" s="17"/>
      <c r="O37" s="22" t="s">
        <v>65</v>
      </c>
      <c r="P37" s="22" t="s">
        <v>66</v>
      </c>
      <c r="Q37" s="22" t="s">
        <v>95</v>
      </c>
      <c r="R37" s="17"/>
      <c r="S37" s="30" t="str">
        <f>"257,5"</f>
        <v>257,5</v>
      </c>
      <c r="T37" s="17" t="str">
        <f>"253,4573"</f>
        <v>253,4573</v>
      </c>
      <c r="U37" s="16" t="s">
        <v>279</v>
      </c>
    </row>
    <row r="38" spans="1:21">
      <c r="A38" s="19" t="s">
        <v>30</v>
      </c>
      <c r="B38" s="18" t="s">
        <v>308</v>
      </c>
      <c r="C38" s="18" t="s">
        <v>311</v>
      </c>
      <c r="D38" s="18" t="s">
        <v>310</v>
      </c>
      <c r="E38" s="18" t="s">
        <v>982</v>
      </c>
      <c r="F38" s="18" t="s">
        <v>933</v>
      </c>
      <c r="G38" s="24" t="s">
        <v>38</v>
      </c>
      <c r="H38" s="25" t="s">
        <v>251</v>
      </c>
      <c r="I38" s="24" t="s">
        <v>251</v>
      </c>
      <c r="J38" s="19"/>
      <c r="K38" s="24" t="s">
        <v>227</v>
      </c>
      <c r="L38" s="24" t="s">
        <v>228</v>
      </c>
      <c r="M38" s="25" t="s">
        <v>242</v>
      </c>
      <c r="N38" s="19"/>
      <c r="O38" s="24" t="s">
        <v>65</v>
      </c>
      <c r="P38" s="24" t="s">
        <v>66</v>
      </c>
      <c r="Q38" s="24" t="s">
        <v>95</v>
      </c>
      <c r="R38" s="19"/>
      <c r="S38" s="32" t="str">
        <f>"257,5"</f>
        <v>257,5</v>
      </c>
      <c r="T38" s="19" t="str">
        <f>"268,6647"</f>
        <v>268,6647</v>
      </c>
      <c r="U38" s="18" t="s">
        <v>279</v>
      </c>
    </row>
    <row r="39" spans="1:21">
      <c r="B39" s="5" t="s">
        <v>31</v>
      </c>
    </row>
    <row r="40" spans="1:21" ht="16">
      <c r="A40" s="52" t="s">
        <v>139</v>
      </c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</row>
    <row r="41" spans="1:21">
      <c r="A41" s="8" t="s">
        <v>30</v>
      </c>
      <c r="B41" s="7" t="s">
        <v>312</v>
      </c>
      <c r="C41" s="7" t="s">
        <v>313</v>
      </c>
      <c r="D41" s="7" t="s">
        <v>314</v>
      </c>
      <c r="E41" s="7" t="s">
        <v>981</v>
      </c>
      <c r="F41" s="7" t="s">
        <v>933</v>
      </c>
      <c r="G41" s="14" t="s">
        <v>95</v>
      </c>
      <c r="H41" s="14" t="s">
        <v>122</v>
      </c>
      <c r="I41" s="15" t="s">
        <v>50</v>
      </c>
      <c r="J41" s="8"/>
      <c r="K41" s="14" t="s">
        <v>52</v>
      </c>
      <c r="L41" s="14" t="s">
        <v>53</v>
      </c>
      <c r="M41" s="15" t="s">
        <v>105</v>
      </c>
      <c r="N41" s="8"/>
      <c r="O41" s="14" t="s">
        <v>50</v>
      </c>
      <c r="P41" s="14" t="s">
        <v>63</v>
      </c>
      <c r="Q41" s="14" t="s">
        <v>77</v>
      </c>
      <c r="R41" s="8"/>
      <c r="S41" s="29" t="str">
        <f>"325,0"</f>
        <v>325,0</v>
      </c>
      <c r="T41" s="8" t="str">
        <f>"286,3575"</f>
        <v>286,3575</v>
      </c>
      <c r="U41" s="7" t="s">
        <v>173</v>
      </c>
    </row>
    <row r="42" spans="1:21">
      <c r="B42" s="5" t="s">
        <v>31</v>
      </c>
    </row>
    <row r="43" spans="1:21" ht="16">
      <c r="A43" s="52" t="s">
        <v>237</v>
      </c>
      <c r="B43" s="52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</row>
    <row r="44" spans="1:21">
      <c r="A44" s="8" t="s">
        <v>30</v>
      </c>
      <c r="B44" s="7" t="s">
        <v>315</v>
      </c>
      <c r="C44" s="7" t="s">
        <v>316</v>
      </c>
      <c r="D44" s="7" t="s">
        <v>317</v>
      </c>
      <c r="E44" s="7" t="s">
        <v>983</v>
      </c>
      <c r="F44" s="7" t="s">
        <v>938</v>
      </c>
      <c r="G44" s="14" t="s">
        <v>38</v>
      </c>
      <c r="H44" s="14" t="s">
        <v>65</v>
      </c>
      <c r="I44" s="14" t="s">
        <v>66</v>
      </c>
      <c r="J44" s="8"/>
      <c r="K44" s="14" t="s">
        <v>96</v>
      </c>
      <c r="L44" s="14" t="s">
        <v>261</v>
      </c>
      <c r="M44" s="14" t="s">
        <v>227</v>
      </c>
      <c r="N44" s="8"/>
      <c r="O44" s="14" t="s">
        <v>65</v>
      </c>
      <c r="P44" s="14" t="s">
        <v>49</v>
      </c>
      <c r="Q44" s="14" t="s">
        <v>50</v>
      </c>
      <c r="R44" s="8"/>
      <c r="S44" s="29" t="str">
        <f>"275,0"</f>
        <v>275,0</v>
      </c>
      <c r="T44" s="8" t="str">
        <f>"276,0175"</f>
        <v>276,0175</v>
      </c>
      <c r="U44" s="7" t="s">
        <v>318</v>
      </c>
    </row>
    <row r="45" spans="1:21">
      <c r="B45" s="5" t="s">
        <v>31</v>
      </c>
    </row>
    <row r="46" spans="1:21" ht="16">
      <c r="A46" s="52" t="s">
        <v>58</v>
      </c>
      <c r="B46" s="52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</row>
    <row r="47" spans="1:21">
      <c r="A47" s="8" t="s">
        <v>30</v>
      </c>
      <c r="B47" s="7" t="s">
        <v>319</v>
      </c>
      <c r="C47" s="7" t="s">
        <v>320</v>
      </c>
      <c r="D47" s="7" t="s">
        <v>321</v>
      </c>
      <c r="E47" s="7" t="s">
        <v>984</v>
      </c>
      <c r="F47" s="7" t="s">
        <v>933</v>
      </c>
      <c r="G47" s="15" t="s">
        <v>122</v>
      </c>
      <c r="H47" s="15" t="s">
        <v>122</v>
      </c>
      <c r="I47" s="14" t="s">
        <v>50</v>
      </c>
      <c r="J47" s="8"/>
      <c r="K47" s="14" t="s">
        <v>105</v>
      </c>
      <c r="L47" s="14" t="s">
        <v>37</v>
      </c>
      <c r="M47" s="15" t="s">
        <v>43</v>
      </c>
      <c r="N47" s="8"/>
      <c r="O47" s="14" t="s">
        <v>50</v>
      </c>
      <c r="P47" s="14" t="s">
        <v>51</v>
      </c>
      <c r="Q47" s="14" t="s">
        <v>64</v>
      </c>
      <c r="R47" s="8"/>
      <c r="S47" s="29" t="str">
        <f>"335,0"</f>
        <v>335,0</v>
      </c>
      <c r="T47" s="8" t="str">
        <f>"295,8050"</f>
        <v>295,8050</v>
      </c>
      <c r="U47" s="7" t="s">
        <v>322</v>
      </c>
    </row>
    <row r="48" spans="1:21">
      <c r="B48" s="5" t="s">
        <v>31</v>
      </c>
    </row>
    <row r="49" spans="1:21" ht="16">
      <c r="A49" s="52" t="s">
        <v>45</v>
      </c>
      <c r="B49" s="52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</row>
    <row r="50" spans="1:21">
      <c r="A50" s="17" t="s">
        <v>30</v>
      </c>
      <c r="B50" s="16" t="s">
        <v>323</v>
      </c>
      <c r="C50" s="16" t="s">
        <v>324</v>
      </c>
      <c r="D50" s="16" t="s">
        <v>325</v>
      </c>
      <c r="E50" s="16" t="s">
        <v>983</v>
      </c>
      <c r="F50" s="16" t="s">
        <v>939</v>
      </c>
      <c r="G50" s="22" t="s">
        <v>64</v>
      </c>
      <c r="H50" s="22" t="s">
        <v>103</v>
      </c>
      <c r="I50" s="23" t="s">
        <v>104</v>
      </c>
      <c r="J50" s="17"/>
      <c r="K50" s="22" t="s">
        <v>37</v>
      </c>
      <c r="L50" s="22" t="s">
        <v>43</v>
      </c>
      <c r="M50" s="22" t="s">
        <v>44</v>
      </c>
      <c r="N50" s="17"/>
      <c r="O50" s="22" t="s">
        <v>136</v>
      </c>
      <c r="P50" s="22" t="s">
        <v>114</v>
      </c>
      <c r="Q50" s="23" t="s">
        <v>68</v>
      </c>
      <c r="R50" s="17"/>
      <c r="S50" s="30" t="str">
        <f>"402,5"</f>
        <v>402,5</v>
      </c>
      <c r="T50" s="17" t="str">
        <f>"316,0430"</f>
        <v>316,0430</v>
      </c>
      <c r="U50" s="16" t="s">
        <v>326</v>
      </c>
    </row>
    <row r="51" spans="1:21">
      <c r="A51" s="19" t="s">
        <v>218</v>
      </c>
      <c r="B51" s="18" t="s">
        <v>327</v>
      </c>
      <c r="C51" s="18" t="s">
        <v>328</v>
      </c>
      <c r="D51" s="18" t="s">
        <v>329</v>
      </c>
      <c r="E51" s="18" t="s">
        <v>983</v>
      </c>
      <c r="F51" s="18" t="s">
        <v>938</v>
      </c>
      <c r="G51" s="24" t="s">
        <v>95</v>
      </c>
      <c r="H51" s="24" t="s">
        <v>243</v>
      </c>
      <c r="I51" s="24" t="s">
        <v>269</v>
      </c>
      <c r="J51" s="19"/>
      <c r="K51" s="24" t="s">
        <v>53</v>
      </c>
      <c r="L51" s="25" t="s">
        <v>105</v>
      </c>
      <c r="M51" s="25" t="s">
        <v>105</v>
      </c>
      <c r="N51" s="19"/>
      <c r="O51" s="24" t="s">
        <v>50</v>
      </c>
      <c r="P51" s="24" t="s">
        <v>64</v>
      </c>
      <c r="Q51" s="24" t="s">
        <v>77</v>
      </c>
      <c r="R51" s="19"/>
      <c r="S51" s="32" t="str">
        <f>"327,5"</f>
        <v>327,5</v>
      </c>
      <c r="T51" s="19" t="str">
        <f>"264,5545"</f>
        <v>264,5545</v>
      </c>
      <c r="U51" s="18" t="s">
        <v>318</v>
      </c>
    </row>
    <row r="52" spans="1:21">
      <c r="B52" s="5" t="s">
        <v>31</v>
      </c>
    </row>
    <row r="53" spans="1:21" ht="16">
      <c r="A53" s="52" t="s">
        <v>117</v>
      </c>
      <c r="B53" s="52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</row>
    <row r="54" spans="1:21">
      <c r="A54" s="17" t="s">
        <v>30</v>
      </c>
      <c r="B54" s="16" t="s">
        <v>330</v>
      </c>
      <c r="C54" s="16" t="s">
        <v>331</v>
      </c>
      <c r="D54" s="16" t="s">
        <v>332</v>
      </c>
      <c r="E54" s="16" t="s">
        <v>983</v>
      </c>
      <c r="F54" s="16" t="s">
        <v>938</v>
      </c>
      <c r="G54" s="22" t="s">
        <v>49</v>
      </c>
      <c r="H54" s="23" t="s">
        <v>50</v>
      </c>
      <c r="I54" s="22" t="s">
        <v>55</v>
      </c>
      <c r="J54" s="17"/>
      <c r="K54" s="22" t="s">
        <v>53</v>
      </c>
      <c r="L54" s="22" t="s">
        <v>105</v>
      </c>
      <c r="M54" s="23" t="s">
        <v>37</v>
      </c>
      <c r="N54" s="17"/>
      <c r="O54" s="23" t="s">
        <v>50</v>
      </c>
      <c r="P54" s="22" t="s">
        <v>50</v>
      </c>
      <c r="Q54" s="23" t="s">
        <v>63</v>
      </c>
      <c r="R54" s="17"/>
      <c r="S54" s="30" t="str">
        <f>"320,0"</f>
        <v>320,0</v>
      </c>
      <c r="T54" s="17" t="str">
        <f>"232,6720"</f>
        <v>232,6720</v>
      </c>
      <c r="U54" s="16" t="s">
        <v>318</v>
      </c>
    </row>
    <row r="55" spans="1:21">
      <c r="A55" s="21" t="s">
        <v>30</v>
      </c>
      <c r="B55" s="20" t="s">
        <v>333</v>
      </c>
      <c r="C55" s="20" t="s">
        <v>334</v>
      </c>
      <c r="D55" s="20" t="s">
        <v>335</v>
      </c>
      <c r="E55" s="20" t="s">
        <v>981</v>
      </c>
      <c r="F55" s="20" t="s">
        <v>933</v>
      </c>
      <c r="G55" s="27" t="s">
        <v>84</v>
      </c>
      <c r="H55" s="27" t="s">
        <v>78</v>
      </c>
      <c r="I55" s="27" t="s">
        <v>74</v>
      </c>
      <c r="J55" s="21"/>
      <c r="K55" s="27" t="s">
        <v>49</v>
      </c>
      <c r="L55" s="27" t="s">
        <v>122</v>
      </c>
      <c r="M55" s="27" t="s">
        <v>269</v>
      </c>
      <c r="N55" s="21"/>
      <c r="O55" s="27" t="s">
        <v>85</v>
      </c>
      <c r="P55" s="27" t="s">
        <v>75</v>
      </c>
      <c r="Q55" s="27" t="s">
        <v>19</v>
      </c>
      <c r="R55" s="21"/>
      <c r="S55" s="31" t="str">
        <f>"547,5"</f>
        <v>547,5</v>
      </c>
      <c r="T55" s="21" t="str">
        <f>"396,1163"</f>
        <v>396,1163</v>
      </c>
      <c r="U55" s="20" t="s">
        <v>270</v>
      </c>
    </row>
    <row r="56" spans="1:21">
      <c r="A56" s="19" t="s">
        <v>218</v>
      </c>
      <c r="B56" s="18" t="s">
        <v>336</v>
      </c>
      <c r="C56" s="18" t="s">
        <v>337</v>
      </c>
      <c r="D56" s="18" t="s">
        <v>338</v>
      </c>
      <c r="E56" s="18" t="s">
        <v>981</v>
      </c>
      <c r="F56" s="18" t="s">
        <v>933</v>
      </c>
      <c r="G56" s="24" t="s">
        <v>67</v>
      </c>
      <c r="H56" s="25" t="s">
        <v>68</v>
      </c>
      <c r="I56" s="25" t="s">
        <v>68</v>
      </c>
      <c r="J56" s="19"/>
      <c r="K56" s="24" t="s">
        <v>49</v>
      </c>
      <c r="L56" s="24" t="s">
        <v>122</v>
      </c>
      <c r="M56" s="24" t="s">
        <v>50</v>
      </c>
      <c r="N56" s="19"/>
      <c r="O56" s="24" t="s">
        <v>78</v>
      </c>
      <c r="P56" s="24" t="s">
        <v>339</v>
      </c>
      <c r="Q56" s="19"/>
      <c r="R56" s="19"/>
      <c r="S56" s="32" t="str">
        <f>"480,0"</f>
        <v>480,0</v>
      </c>
      <c r="T56" s="19" t="str">
        <f>"345,6000"</f>
        <v>345,6000</v>
      </c>
      <c r="U56" s="18" t="s">
        <v>340</v>
      </c>
    </row>
    <row r="57" spans="1:21">
      <c r="B57" s="5" t="s">
        <v>31</v>
      </c>
    </row>
    <row r="58" spans="1:21" ht="16">
      <c r="A58" s="52" t="s">
        <v>70</v>
      </c>
      <c r="B58" s="52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</row>
    <row r="59" spans="1:21">
      <c r="A59" s="17" t="s">
        <v>30</v>
      </c>
      <c r="B59" s="16" t="s">
        <v>341</v>
      </c>
      <c r="C59" s="16" t="s">
        <v>342</v>
      </c>
      <c r="D59" s="16" t="s">
        <v>343</v>
      </c>
      <c r="E59" s="16" t="s">
        <v>981</v>
      </c>
      <c r="F59" s="16" t="s">
        <v>935</v>
      </c>
      <c r="G59" s="22" t="s">
        <v>136</v>
      </c>
      <c r="H59" s="23" t="s">
        <v>114</v>
      </c>
      <c r="I59" s="22" t="s">
        <v>114</v>
      </c>
      <c r="J59" s="17"/>
      <c r="K59" s="22" t="s">
        <v>64</v>
      </c>
      <c r="L59" s="23" t="s">
        <v>77</v>
      </c>
      <c r="M59" s="23" t="s">
        <v>77</v>
      </c>
      <c r="N59" s="17"/>
      <c r="O59" s="22" t="s">
        <v>78</v>
      </c>
      <c r="P59" s="23" t="s">
        <v>339</v>
      </c>
      <c r="Q59" s="22" t="s">
        <v>339</v>
      </c>
      <c r="R59" s="17"/>
      <c r="S59" s="30" t="str">
        <f>"500,0"</f>
        <v>500,0</v>
      </c>
      <c r="T59" s="17" t="str">
        <f>"335,4500"</f>
        <v>335,4500</v>
      </c>
      <c r="U59" s="16" t="s">
        <v>283</v>
      </c>
    </row>
    <row r="60" spans="1:21">
      <c r="A60" s="21" t="s">
        <v>222</v>
      </c>
      <c r="B60" s="20" t="s">
        <v>344</v>
      </c>
      <c r="C60" s="20" t="s">
        <v>345</v>
      </c>
      <c r="D60" s="20" t="s">
        <v>346</v>
      </c>
      <c r="E60" s="20" t="s">
        <v>981</v>
      </c>
      <c r="F60" s="20" t="s">
        <v>940</v>
      </c>
      <c r="G60" s="27" t="s">
        <v>136</v>
      </c>
      <c r="H60" s="26" t="s">
        <v>114</v>
      </c>
      <c r="I60" s="26" t="s">
        <v>114</v>
      </c>
      <c r="J60" s="21"/>
      <c r="K60" s="26" t="s">
        <v>55</v>
      </c>
      <c r="L60" s="21"/>
      <c r="M60" s="21"/>
      <c r="N60" s="21"/>
      <c r="O60" s="26"/>
      <c r="P60" s="21"/>
      <c r="Q60" s="21"/>
      <c r="R60" s="21"/>
      <c r="S60" s="31">
        <v>0</v>
      </c>
      <c r="T60" s="21" t="str">
        <f>"0,0000"</f>
        <v>0,0000</v>
      </c>
      <c r="U60" s="20"/>
    </row>
    <row r="61" spans="1:21">
      <c r="A61" s="19" t="s">
        <v>222</v>
      </c>
      <c r="B61" s="18" t="s">
        <v>347</v>
      </c>
      <c r="C61" s="18" t="s">
        <v>348</v>
      </c>
      <c r="D61" s="18" t="s">
        <v>349</v>
      </c>
      <c r="E61" s="18" t="s">
        <v>981</v>
      </c>
      <c r="F61" s="18" t="s">
        <v>935</v>
      </c>
      <c r="G61" s="25" t="s">
        <v>114</v>
      </c>
      <c r="H61" s="25" t="s">
        <v>114</v>
      </c>
      <c r="I61" s="25" t="s">
        <v>114</v>
      </c>
      <c r="J61" s="19"/>
      <c r="K61" s="24" t="s">
        <v>63</v>
      </c>
      <c r="L61" s="24" t="s">
        <v>64</v>
      </c>
      <c r="M61" s="25" t="s">
        <v>103</v>
      </c>
      <c r="N61" s="19"/>
      <c r="O61" s="25" t="s">
        <v>78</v>
      </c>
      <c r="P61" s="19"/>
      <c r="Q61" s="19"/>
      <c r="R61" s="19"/>
      <c r="S61" s="32">
        <v>0</v>
      </c>
      <c r="T61" s="19" t="str">
        <f>"0,0000"</f>
        <v>0,0000</v>
      </c>
      <c r="U61" s="18" t="s">
        <v>283</v>
      </c>
    </row>
    <row r="62" spans="1:21">
      <c r="B62" s="5" t="s">
        <v>31</v>
      </c>
    </row>
    <row r="63" spans="1:21" ht="16">
      <c r="A63" s="52" t="s">
        <v>139</v>
      </c>
      <c r="B63" s="52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</row>
    <row r="64" spans="1:21">
      <c r="A64" s="17" t="s">
        <v>30</v>
      </c>
      <c r="B64" s="16" t="s">
        <v>350</v>
      </c>
      <c r="C64" s="16" t="s">
        <v>351</v>
      </c>
      <c r="D64" s="16" t="s">
        <v>352</v>
      </c>
      <c r="E64" s="16" t="s">
        <v>981</v>
      </c>
      <c r="F64" s="16" t="s">
        <v>941</v>
      </c>
      <c r="G64" s="23" t="s">
        <v>339</v>
      </c>
      <c r="H64" s="22" t="s">
        <v>339</v>
      </c>
      <c r="I64" s="23" t="s">
        <v>74</v>
      </c>
      <c r="J64" s="17"/>
      <c r="K64" s="22" t="s">
        <v>123</v>
      </c>
      <c r="L64" s="22" t="s">
        <v>136</v>
      </c>
      <c r="M64" s="23" t="s">
        <v>67</v>
      </c>
      <c r="N64" s="17"/>
      <c r="O64" s="22" t="s">
        <v>79</v>
      </c>
      <c r="P64" s="23" t="s">
        <v>19</v>
      </c>
      <c r="Q64" s="22" t="s">
        <v>19</v>
      </c>
      <c r="R64" s="17"/>
      <c r="S64" s="30" t="str">
        <f>"585,0"</f>
        <v>585,0</v>
      </c>
      <c r="T64" s="17" t="str">
        <f>"375,1605"</f>
        <v>375,1605</v>
      </c>
      <c r="U64" s="16"/>
    </row>
    <row r="65" spans="1:21">
      <c r="A65" s="21" t="s">
        <v>218</v>
      </c>
      <c r="B65" s="20" t="s">
        <v>353</v>
      </c>
      <c r="C65" s="20" t="s">
        <v>354</v>
      </c>
      <c r="D65" s="20" t="s">
        <v>352</v>
      </c>
      <c r="E65" s="20" t="s">
        <v>981</v>
      </c>
      <c r="F65" s="20" t="s">
        <v>933</v>
      </c>
      <c r="G65" s="26" t="s">
        <v>84</v>
      </c>
      <c r="H65" s="27" t="s">
        <v>84</v>
      </c>
      <c r="I65" s="26" t="s">
        <v>78</v>
      </c>
      <c r="J65" s="21"/>
      <c r="K65" s="27" t="s">
        <v>63</v>
      </c>
      <c r="L65" s="27" t="s">
        <v>76</v>
      </c>
      <c r="M65" s="27" t="s">
        <v>64</v>
      </c>
      <c r="N65" s="21"/>
      <c r="O65" s="27" t="s">
        <v>85</v>
      </c>
      <c r="P65" s="27" t="s">
        <v>13</v>
      </c>
      <c r="Q65" s="26" t="s">
        <v>19</v>
      </c>
      <c r="R65" s="21"/>
      <c r="S65" s="31" t="str">
        <f>"540,0"</f>
        <v>540,0</v>
      </c>
      <c r="T65" s="21" t="str">
        <f>"346,3020"</f>
        <v>346,3020</v>
      </c>
      <c r="U65" s="20" t="s">
        <v>173</v>
      </c>
    </row>
    <row r="66" spans="1:21">
      <c r="A66" s="21" t="s">
        <v>219</v>
      </c>
      <c r="B66" s="20" t="s">
        <v>355</v>
      </c>
      <c r="C66" s="20" t="s">
        <v>356</v>
      </c>
      <c r="D66" s="20" t="s">
        <v>357</v>
      </c>
      <c r="E66" s="20" t="s">
        <v>981</v>
      </c>
      <c r="F66" s="20" t="s">
        <v>937</v>
      </c>
      <c r="G66" s="26" t="s">
        <v>84</v>
      </c>
      <c r="H66" s="27" t="s">
        <v>84</v>
      </c>
      <c r="I66" s="27" t="s">
        <v>78</v>
      </c>
      <c r="J66" s="21"/>
      <c r="K66" s="26" t="s">
        <v>49</v>
      </c>
      <c r="L66" s="27" t="s">
        <v>122</v>
      </c>
      <c r="M66" s="27" t="s">
        <v>55</v>
      </c>
      <c r="N66" s="21"/>
      <c r="O66" s="27" t="s">
        <v>69</v>
      </c>
      <c r="P66" s="27" t="s">
        <v>74</v>
      </c>
      <c r="Q66" s="26" t="s">
        <v>79</v>
      </c>
      <c r="R66" s="21"/>
      <c r="S66" s="31" t="str">
        <f>"515,0"</f>
        <v>515,0</v>
      </c>
      <c r="T66" s="21" t="str">
        <f>"330,4755"</f>
        <v>330,4755</v>
      </c>
      <c r="U66" s="20" t="s">
        <v>636</v>
      </c>
    </row>
    <row r="67" spans="1:21">
      <c r="A67" s="21" t="s">
        <v>220</v>
      </c>
      <c r="B67" s="20" t="s">
        <v>358</v>
      </c>
      <c r="C67" s="20" t="s">
        <v>359</v>
      </c>
      <c r="D67" s="20" t="s">
        <v>360</v>
      </c>
      <c r="E67" s="20" t="s">
        <v>981</v>
      </c>
      <c r="F67" s="20" t="s">
        <v>933</v>
      </c>
      <c r="G67" s="27" t="s">
        <v>104</v>
      </c>
      <c r="H67" s="27" t="s">
        <v>136</v>
      </c>
      <c r="I67" s="27" t="s">
        <v>114</v>
      </c>
      <c r="J67" s="21"/>
      <c r="K67" s="27" t="s">
        <v>64</v>
      </c>
      <c r="L67" s="27" t="s">
        <v>77</v>
      </c>
      <c r="M67" s="26" t="s">
        <v>103</v>
      </c>
      <c r="N67" s="21"/>
      <c r="O67" s="27" t="s">
        <v>69</v>
      </c>
      <c r="P67" s="27" t="s">
        <v>339</v>
      </c>
      <c r="Q67" s="27" t="s">
        <v>147</v>
      </c>
      <c r="R67" s="21"/>
      <c r="S67" s="31" t="str">
        <f>"515,0"</f>
        <v>515,0</v>
      </c>
      <c r="T67" s="21" t="str">
        <f>"329,7030"</f>
        <v>329,7030</v>
      </c>
      <c r="U67" s="20"/>
    </row>
    <row r="68" spans="1:21">
      <c r="A68" s="19" t="s">
        <v>221</v>
      </c>
      <c r="B68" s="18" t="s">
        <v>361</v>
      </c>
      <c r="C68" s="18" t="s">
        <v>362</v>
      </c>
      <c r="D68" s="18" t="s">
        <v>363</v>
      </c>
      <c r="E68" s="18" t="s">
        <v>981</v>
      </c>
      <c r="F68" s="18" t="s">
        <v>933</v>
      </c>
      <c r="G68" s="24" t="s">
        <v>136</v>
      </c>
      <c r="H68" s="24" t="s">
        <v>114</v>
      </c>
      <c r="I68" s="25" t="s">
        <v>17</v>
      </c>
      <c r="J68" s="19"/>
      <c r="K68" s="24" t="s">
        <v>95</v>
      </c>
      <c r="L68" s="25" t="s">
        <v>122</v>
      </c>
      <c r="M68" s="24" t="s">
        <v>122</v>
      </c>
      <c r="N68" s="19"/>
      <c r="O68" s="24" t="s">
        <v>75</v>
      </c>
      <c r="P68" s="24" t="s">
        <v>19</v>
      </c>
      <c r="Q68" s="25" t="s">
        <v>14</v>
      </c>
      <c r="R68" s="19"/>
      <c r="S68" s="32" t="str">
        <f>"515,0"</f>
        <v>515,0</v>
      </c>
      <c r="T68" s="19" t="str">
        <f>"328,9820"</f>
        <v>328,9820</v>
      </c>
      <c r="U68" s="18"/>
    </row>
    <row r="69" spans="1:21">
      <c r="B69" s="5" t="s">
        <v>31</v>
      </c>
    </row>
    <row r="70" spans="1:21" ht="16">
      <c r="A70" s="52" t="s">
        <v>80</v>
      </c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</row>
    <row r="71" spans="1:21">
      <c r="A71" s="17" t="s">
        <v>30</v>
      </c>
      <c r="B71" s="16" t="s">
        <v>364</v>
      </c>
      <c r="C71" s="16" t="s">
        <v>365</v>
      </c>
      <c r="D71" s="16" t="s">
        <v>366</v>
      </c>
      <c r="E71" s="16" t="s">
        <v>981</v>
      </c>
      <c r="F71" s="16" t="s">
        <v>942</v>
      </c>
      <c r="G71" s="22" t="s">
        <v>78</v>
      </c>
      <c r="H71" s="22" t="s">
        <v>74</v>
      </c>
      <c r="I71" s="22" t="s">
        <v>147</v>
      </c>
      <c r="J71" s="17"/>
      <c r="K71" s="22" t="s">
        <v>104</v>
      </c>
      <c r="L71" s="22" t="s">
        <v>136</v>
      </c>
      <c r="M71" s="22" t="s">
        <v>191</v>
      </c>
      <c r="N71" s="17"/>
      <c r="O71" s="22" t="s">
        <v>79</v>
      </c>
      <c r="P71" s="22" t="s">
        <v>75</v>
      </c>
      <c r="Q71" s="23" t="s">
        <v>19</v>
      </c>
      <c r="R71" s="17"/>
      <c r="S71" s="30" t="str">
        <f>"587,5"</f>
        <v>587,5</v>
      </c>
      <c r="T71" s="17" t="str">
        <f>"368,1275"</f>
        <v>368,1275</v>
      </c>
      <c r="U71" s="16"/>
    </row>
    <row r="72" spans="1:21">
      <c r="A72" s="21" t="s">
        <v>218</v>
      </c>
      <c r="B72" s="20" t="s">
        <v>367</v>
      </c>
      <c r="C72" s="20" t="s">
        <v>368</v>
      </c>
      <c r="D72" s="20" t="s">
        <v>369</v>
      </c>
      <c r="E72" s="16" t="s">
        <v>981</v>
      </c>
      <c r="F72" s="20" t="s">
        <v>933</v>
      </c>
      <c r="G72" s="27" t="s">
        <v>78</v>
      </c>
      <c r="H72" s="27" t="s">
        <v>147</v>
      </c>
      <c r="I72" s="27" t="s">
        <v>85</v>
      </c>
      <c r="J72" s="21"/>
      <c r="K72" s="27" t="s">
        <v>63</v>
      </c>
      <c r="L72" s="27" t="s">
        <v>56</v>
      </c>
      <c r="M72" s="26" t="s">
        <v>77</v>
      </c>
      <c r="N72" s="21"/>
      <c r="O72" s="27" t="s">
        <v>74</v>
      </c>
      <c r="P72" s="27" t="s">
        <v>85</v>
      </c>
      <c r="Q72" s="26" t="s">
        <v>13</v>
      </c>
      <c r="R72" s="21"/>
      <c r="S72" s="31" t="str">
        <f>"567,5"</f>
        <v>567,5</v>
      </c>
      <c r="T72" s="21" t="str">
        <f>"353,6660"</f>
        <v>353,6660</v>
      </c>
      <c r="U72" s="20" t="s">
        <v>173</v>
      </c>
    </row>
    <row r="73" spans="1:21">
      <c r="A73" s="21" t="s">
        <v>219</v>
      </c>
      <c r="B73" s="20" t="s">
        <v>370</v>
      </c>
      <c r="C73" s="20" t="s">
        <v>371</v>
      </c>
      <c r="D73" s="20" t="s">
        <v>369</v>
      </c>
      <c r="E73" s="16" t="s">
        <v>981</v>
      </c>
      <c r="F73" s="20" t="s">
        <v>933</v>
      </c>
      <c r="G73" s="27" t="s">
        <v>67</v>
      </c>
      <c r="H73" s="27" t="s">
        <v>68</v>
      </c>
      <c r="I73" s="26" t="s">
        <v>84</v>
      </c>
      <c r="J73" s="21"/>
      <c r="K73" s="27" t="s">
        <v>122</v>
      </c>
      <c r="L73" s="27" t="s">
        <v>55</v>
      </c>
      <c r="M73" s="26" t="s">
        <v>63</v>
      </c>
      <c r="N73" s="21"/>
      <c r="O73" s="27" t="s">
        <v>75</v>
      </c>
      <c r="P73" s="27" t="s">
        <v>14</v>
      </c>
      <c r="Q73" s="27" t="s">
        <v>372</v>
      </c>
      <c r="R73" s="21"/>
      <c r="S73" s="31" t="str">
        <f>"542,5"</f>
        <v>542,5</v>
      </c>
      <c r="T73" s="21" t="str">
        <f>"338,0860"</f>
        <v>338,0860</v>
      </c>
      <c r="U73" s="20" t="s">
        <v>373</v>
      </c>
    </row>
    <row r="74" spans="1:21">
      <c r="A74" s="21" t="s">
        <v>220</v>
      </c>
      <c r="B74" s="20" t="s">
        <v>374</v>
      </c>
      <c r="C74" s="20" t="s">
        <v>375</v>
      </c>
      <c r="D74" s="20" t="s">
        <v>376</v>
      </c>
      <c r="E74" s="16" t="s">
        <v>981</v>
      </c>
      <c r="F74" s="20" t="s">
        <v>933</v>
      </c>
      <c r="G74" s="26" t="s">
        <v>84</v>
      </c>
      <c r="H74" s="27" t="s">
        <v>69</v>
      </c>
      <c r="I74" s="27" t="s">
        <v>78</v>
      </c>
      <c r="J74" s="21"/>
      <c r="K74" s="27" t="s">
        <v>77</v>
      </c>
      <c r="L74" s="27" t="s">
        <v>103</v>
      </c>
      <c r="M74" s="26" t="s">
        <v>104</v>
      </c>
      <c r="N74" s="21"/>
      <c r="O74" s="27" t="s">
        <v>147</v>
      </c>
      <c r="P74" s="26" t="s">
        <v>182</v>
      </c>
      <c r="Q74" s="26" t="s">
        <v>75</v>
      </c>
      <c r="R74" s="21"/>
      <c r="S74" s="31" t="str">
        <f>"540,0"</f>
        <v>540,0</v>
      </c>
      <c r="T74" s="21" t="str">
        <f>"331,3440"</f>
        <v>331,3440</v>
      </c>
      <c r="U74" s="20" t="s">
        <v>377</v>
      </c>
    </row>
    <row r="75" spans="1:21">
      <c r="A75" s="21" t="s">
        <v>221</v>
      </c>
      <c r="B75" s="20" t="s">
        <v>378</v>
      </c>
      <c r="C75" s="20" t="s">
        <v>379</v>
      </c>
      <c r="D75" s="20" t="s">
        <v>380</v>
      </c>
      <c r="E75" s="16" t="s">
        <v>981</v>
      </c>
      <c r="F75" s="20" t="s">
        <v>933</v>
      </c>
      <c r="G75" s="27" t="s">
        <v>136</v>
      </c>
      <c r="H75" s="27" t="s">
        <v>114</v>
      </c>
      <c r="I75" s="27" t="s">
        <v>84</v>
      </c>
      <c r="J75" s="21"/>
      <c r="K75" s="27" t="s">
        <v>236</v>
      </c>
      <c r="L75" s="27" t="s">
        <v>51</v>
      </c>
      <c r="M75" s="27" t="s">
        <v>76</v>
      </c>
      <c r="N75" s="21"/>
      <c r="O75" s="27" t="s">
        <v>147</v>
      </c>
      <c r="P75" s="27" t="s">
        <v>85</v>
      </c>
      <c r="Q75" s="27" t="s">
        <v>13</v>
      </c>
      <c r="R75" s="21"/>
      <c r="S75" s="31" t="str">
        <f>"537,5"</f>
        <v>537,5</v>
      </c>
      <c r="T75" s="21" t="str">
        <f>"327,7675"</f>
        <v>327,7675</v>
      </c>
      <c r="U75" s="20"/>
    </row>
    <row r="76" spans="1:21">
      <c r="A76" s="19" t="s">
        <v>410</v>
      </c>
      <c r="B76" s="18" t="s">
        <v>381</v>
      </c>
      <c r="C76" s="18" t="s">
        <v>382</v>
      </c>
      <c r="D76" s="18" t="s">
        <v>383</v>
      </c>
      <c r="E76" s="16" t="s">
        <v>981</v>
      </c>
      <c r="F76" s="18" t="s">
        <v>933</v>
      </c>
      <c r="G76" s="24" t="s">
        <v>136</v>
      </c>
      <c r="H76" s="24" t="s">
        <v>114</v>
      </c>
      <c r="I76" s="25" t="s">
        <v>84</v>
      </c>
      <c r="J76" s="19"/>
      <c r="K76" s="24" t="s">
        <v>77</v>
      </c>
      <c r="L76" s="24" t="s">
        <v>104</v>
      </c>
      <c r="M76" s="25" t="s">
        <v>190</v>
      </c>
      <c r="N76" s="19"/>
      <c r="O76" s="24" t="s">
        <v>74</v>
      </c>
      <c r="P76" s="25" t="s">
        <v>79</v>
      </c>
      <c r="Q76" s="19"/>
      <c r="R76" s="19"/>
      <c r="S76" s="32" t="str">
        <f>"520,0"</f>
        <v>520,0</v>
      </c>
      <c r="T76" s="19" t="str">
        <f>"330,8760"</f>
        <v>330,8760</v>
      </c>
      <c r="U76" s="18"/>
    </row>
    <row r="77" spans="1:21">
      <c r="B77" s="5" t="s">
        <v>31</v>
      </c>
    </row>
    <row r="78" spans="1:21" ht="16">
      <c r="A78" s="52" t="s">
        <v>9</v>
      </c>
      <c r="B78" s="52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</row>
    <row r="79" spans="1:21">
      <c r="A79" s="17" t="s">
        <v>30</v>
      </c>
      <c r="B79" s="16" t="s">
        <v>384</v>
      </c>
      <c r="C79" s="16" t="s">
        <v>385</v>
      </c>
      <c r="D79" s="16" t="s">
        <v>386</v>
      </c>
      <c r="E79" s="16" t="s">
        <v>983</v>
      </c>
      <c r="F79" s="16" t="s">
        <v>938</v>
      </c>
      <c r="G79" s="22" t="s">
        <v>63</v>
      </c>
      <c r="H79" s="22" t="s">
        <v>77</v>
      </c>
      <c r="I79" s="22" t="s">
        <v>104</v>
      </c>
      <c r="J79" s="17"/>
      <c r="K79" s="22" t="s">
        <v>38</v>
      </c>
      <c r="L79" s="22" t="s">
        <v>66</v>
      </c>
      <c r="M79" s="23" t="s">
        <v>95</v>
      </c>
      <c r="N79" s="17"/>
      <c r="O79" s="22" t="s">
        <v>121</v>
      </c>
      <c r="P79" s="22" t="s">
        <v>191</v>
      </c>
      <c r="Q79" s="22" t="s">
        <v>68</v>
      </c>
      <c r="R79" s="17"/>
      <c r="S79" s="30" t="str">
        <f>"425,0"</f>
        <v>425,0</v>
      </c>
      <c r="T79" s="17" t="str">
        <f>"252,3225"</f>
        <v>252,3225</v>
      </c>
      <c r="U79" s="16" t="s">
        <v>318</v>
      </c>
    </row>
    <row r="80" spans="1:21">
      <c r="A80" s="21" t="s">
        <v>30</v>
      </c>
      <c r="B80" s="20" t="s">
        <v>387</v>
      </c>
      <c r="C80" s="20" t="s">
        <v>388</v>
      </c>
      <c r="D80" s="20" t="s">
        <v>389</v>
      </c>
      <c r="E80" s="20" t="s">
        <v>980</v>
      </c>
      <c r="F80" s="20" t="s">
        <v>943</v>
      </c>
      <c r="G80" s="27" t="s">
        <v>114</v>
      </c>
      <c r="H80" s="27" t="s">
        <v>69</v>
      </c>
      <c r="I80" s="27" t="s">
        <v>339</v>
      </c>
      <c r="J80" s="21"/>
      <c r="K80" s="27" t="s">
        <v>64</v>
      </c>
      <c r="L80" s="27" t="s">
        <v>121</v>
      </c>
      <c r="M80" s="21"/>
      <c r="N80" s="21"/>
      <c r="O80" s="27" t="s">
        <v>79</v>
      </c>
      <c r="P80" s="27" t="s">
        <v>75</v>
      </c>
      <c r="Q80" s="27" t="s">
        <v>14</v>
      </c>
      <c r="R80" s="21"/>
      <c r="S80" s="31" t="str">
        <f>"572,5"</f>
        <v>572,5</v>
      </c>
      <c r="T80" s="21" t="str">
        <f>"348,1372"</f>
        <v>348,1372</v>
      </c>
      <c r="U80" s="20" t="s">
        <v>922</v>
      </c>
    </row>
    <row r="81" spans="1:21">
      <c r="A81" s="19" t="s">
        <v>30</v>
      </c>
      <c r="B81" s="18" t="s">
        <v>387</v>
      </c>
      <c r="C81" s="18" t="s">
        <v>390</v>
      </c>
      <c r="D81" s="18" t="s">
        <v>389</v>
      </c>
      <c r="E81" s="18" t="s">
        <v>981</v>
      </c>
      <c r="F81" s="18" t="s">
        <v>943</v>
      </c>
      <c r="G81" s="24" t="s">
        <v>114</v>
      </c>
      <c r="H81" s="24" t="s">
        <v>69</v>
      </c>
      <c r="I81" s="24" t="s">
        <v>339</v>
      </c>
      <c r="J81" s="19"/>
      <c r="K81" s="24" t="s">
        <v>64</v>
      </c>
      <c r="L81" s="24" t="s">
        <v>121</v>
      </c>
      <c r="M81" s="19"/>
      <c r="N81" s="19"/>
      <c r="O81" s="24" t="s">
        <v>79</v>
      </c>
      <c r="P81" s="24" t="s">
        <v>75</v>
      </c>
      <c r="Q81" s="24" t="s">
        <v>14</v>
      </c>
      <c r="R81" s="19"/>
      <c r="S81" s="32" t="str">
        <f>"572,5"</f>
        <v>572,5</v>
      </c>
      <c r="T81" s="19" t="str">
        <f>"348,1372"</f>
        <v>348,1372</v>
      </c>
      <c r="U81" s="18" t="s">
        <v>922</v>
      </c>
    </row>
    <row r="82" spans="1:21">
      <c r="B82" s="5" t="s">
        <v>31</v>
      </c>
    </row>
    <row r="83" spans="1:21" ht="16">
      <c r="A83" s="52" t="s">
        <v>198</v>
      </c>
      <c r="B83" s="52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</row>
    <row r="84" spans="1:21">
      <c r="A84" s="17" t="s">
        <v>30</v>
      </c>
      <c r="B84" s="16" t="s">
        <v>391</v>
      </c>
      <c r="C84" s="16" t="s">
        <v>392</v>
      </c>
      <c r="D84" s="16" t="s">
        <v>393</v>
      </c>
      <c r="E84" s="16" t="s">
        <v>981</v>
      </c>
      <c r="F84" s="16" t="s">
        <v>936</v>
      </c>
      <c r="G84" s="22" t="s">
        <v>75</v>
      </c>
      <c r="H84" s="22" t="s">
        <v>14</v>
      </c>
      <c r="I84" s="23" t="s">
        <v>20</v>
      </c>
      <c r="J84" s="17"/>
      <c r="K84" s="22" t="s">
        <v>77</v>
      </c>
      <c r="L84" s="22" t="s">
        <v>104</v>
      </c>
      <c r="M84" s="22" t="s">
        <v>123</v>
      </c>
      <c r="N84" s="17"/>
      <c r="O84" s="22" t="s">
        <v>15</v>
      </c>
      <c r="P84" s="22" t="s">
        <v>158</v>
      </c>
      <c r="Q84" s="17"/>
      <c r="R84" s="17"/>
      <c r="S84" s="30" t="str">
        <f>"645,0"</f>
        <v>645,0</v>
      </c>
      <c r="T84" s="17" t="str">
        <f>"367,5855"</f>
        <v>367,5855</v>
      </c>
      <c r="U84" s="16" t="s">
        <v>923</v>
      </c>
    </row>
    <row r="85" spans="1:21">
      <c r="A85" s="19" t="s">
        <v>30</v>
      </c>
      <c r="B85" s="18" t="s">
        <v>394</v>
      </c>
      <c r="C85" s="18" t="s">
        <v>395</v>
      </c>
      <c r="D85" s="18" t="s">
        <v>396</v>
      </c>
      <c r="E85" s="18" t="s">
        <v>982</v>
      </c>
      <c r="F85" s="18" t="s">
        <v>933</v>
      </c>
      <c r="G85" s="25" t="s">
        <v>20</v>
      </c>
      <c r="H85" s="24" t="s">
        <v>20</v>
      </c>
      <c r="I85" s="24" t="s">
        <v>158</v>
      </c>
      <c r="J85" s="19"/>
      <c r="K85" s="24" t="s">
        <v>104</v>
      </c>
      <c r="L85" s="24" t="s">
        <v>136</v>
      </c>
      <c r="M85" s="25" t="s">
        <v>67</v>
      </c>
      <c r="N85" s="19"/>
      <c r="O85" s="24" t="s">
        <v>138</v>
      </c>
      <c r="P85" s="24" t="s">
        <v>397</v>
      </c>
      <c r="Q85" s="25" t="s">
        <v>185</v>
      </c>
      <c r="R85" s="19"/>
      <c r="S85" s="32" t="str">
        <f>"685,0"</f>
        <v>685,0</v>
      </c>
      <c r="T85" s="19" t="str">
        <f>"416,7814"</f>
        <v>416,7814</v>
      </c>
      <c r="U85" s="18"/>
    </row>
    <row r="86" spans="1:21">
      <c r="B86" s="5" t="s">
        <v>31</v>
      </c>
    </row>
    <row r="87" spans="1:21" ht="16">
      <c r="A87" s="52" t="s">
        <v>203</v>
      </c>
      <c r="B87" s="52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</row>
    <row r="88" spans="1:21">
      <c r="A88" s="8" t="s">
        <v>30</v>
      </c>
      <c r="B88" s="7" t="s">
        <v>398</v>
      </c>
      <c r="C88" s="7" t="s">
        <v>399</v>
      </c>
      <c r="D88" s="7" t="s">
        <v>400</v>
      </c>
      <c r="E88" s="7" t="s">
        <v>981</v>
      </c>
      <c r="F88" s="7" t="s">
        <v>933</v>
      </c>
      <c r="G88" s="14" t="s">
        <v>129</v>
      </c>
      <c r="H88" s="14" t="s">
        <v>397</v>
      </c>
      <c r="I88" s="14" t="s">
        <v>185</v>
      </c>
      <c r="J88" s="8"/>
      <c r="K88" s="14" t="s">
        <v>103</v>
      </c>
      <c r="L88" s="14" t="s">
        <v>104</v>
      </c>
      <c r="M88" s="15" t="s">
        <v>123</v>
      </c>
      <c r="N88" s="8"/>
      <c r="O88" s="14" t="s">
        <v>168</v>
      </c>
      <c r="P88" s="14" t="s">
        <v>151</v>
      </c>
      <c r="Q88" s="14" t="s">
        <v>163</v>
      </c>
      <c r="R88" s="8"/>
      <c r="S88" s="29" t="str">
        <f>"730,0"</f>
        <v>730,0</v>
      </c>
      <c r="T88" s="8" t="str">
        <f>"408,6540"</f>
        <v>408,6540</v>
      </c>
      <c r="U88" s="7"/>
    </row>
    <row r="89" spans="1:21">
      <c r="B89" s="5" t="s">
        <v>31</v>
      </c>
    </row>
    <row r="90" spans="1:21">
      <c r="B90" s="5" t="s">
        <v>31</v>
      </c>
    </row>
    <row r="91" spans="1:21">
      <c r="B91" s="5" t="s">
        <v>31</v>
      </c>
    </row>
    <row r="92" spans="1:21" ht="18">
      <c r="B92" s="9" t="s">
        <v>22</v>
      </c>
      <c r="C92" s="9"/>
    </row>
    <row r="93" spans="1:21" ht="16">
      <c r="B93" s="10" t="s">
        <v>86</v>
      </c>
      <c r="C93" s="10"/>
    </row>
    <row r="94" spans="1:21" ht="14">
      <c r="B94" s="11"/>
      <c r="C94" s="12" t="s">
        <v>24</v>
      </c>
    </row>
    <row r="95" spans="1:21" ht="14">
      <c r="B95" s="13" t="s">
        <v>25</v>
      </c>
      <c r="C95" s="13" t="s">
        <v>26</v>
      </c>
      <c r="D95" s="13" t="s">
        <v>903</v>
      </c>
      <c r="E95" s="13" t="s">
        <v>27</v>
      </c>
    </row>
    <row r="96" spans="1:21">
      <c r="B96" s="5" t="s">
        <v>287</v>
      </c>
      <c r="C96" s="5" t="s">
        <v>24</v>
      </c>
      <c r="D96" s="6" t="s">
        <v>87</v>
      </c>
      <c r="E96" s="6" t="s">
        <v>402</v>
      </c>
    </row>
    <row r="97" spans="2:5">
      <c r="B97" s="5" t="s">
        <v>291</v>
      </c>
      <c r="C97" s="5" t="s">
        <v>24</v>
      </c>
      <c r="D97" s="6" t="s">
        <v>87</v>
      </c>
      <c r="E97" s="6" t="s">
        <v>403</v>
      </c>
    </row>
    <row r="98" spans="2:5">
      <c r="B98" s="5" t="s">
        <v>312</v>
      </c>
      <c r="C98" s="5" t="s">
        <v>24</v>
      </c>
      <c r="D98" s="6" t="s">
        <v>210</v>
      </c>
      <c r="E98" s="6" t="s">
        <v>404</v>
      </c>
    </row>
    <row r="100" spans="2:5" ht="16">
      <c r="B100" s="10" t="s">
        <v>23</v>
      </c>
      <c r="C100" s="10"/>
    </row>
    <row r="101" spans="2:5" ht="14">
      <c r="B101" s="11"/>
      <c r="C101" s="12" t="s">
        <v>24</v>
      </c>
    </row>
    <row r="102" spans="2:5" ht="14">
      <c r="B102" s="13" t="s">
        <v>25</v>
      </c>
      <c r="C102" s="13" t="s">
        <v>26</v>
      </c>
      <c r="D102" s="13" t="s">
        <v>903</v>
      </c>
      <c r="E102" s="13" t="s">
        <v>27</v>
      </c>
    </row>
    <row r="103" spans="2:5">
      <c r="B103" s="5" t="s">
        <v>398</v>
      </c>
      <c r="C103" s="5" t="s">
        <v>24</v>
      </c>
      <c r="D103" s="6" t="s">
        <v>213</v>
      </c>
      <c r="E103" s="6" t="s">
        <v>406</v>
      </c>
    </row>
    <row r="104" spans="2:5">
      <c r="B104" s="5" t="s">
        <v>391</v>
      </c>
      <c r="C104" s="5" t="s">
        <v>24</v>
      </c>
      <c r="D104" s="6" t="s">
        <v>407</v>
      </c>
      <c r="E104" s="6" t="s">
        <v>408</v>
      </c>
    </row>
    <row r="105" spans="2:5">
      <c r="B105" s="5" t="s">
        <v>364</v>
      </c>
      <c r="C105" s="5" t="s">
        <v>24</v>
      </c>
      <c r="D105" s="6" t="s">
        <v>89</v>
      </c>
      <c r="E105" s="6" t="s">
        <v>409</v>
      </c>
    </row>
  </sheetData>
  <mergeCells count="31">
    <mergeCell ref="A63:R63"/>
    <mergeCell ref="A70:R70"/>
    <mergeCell ref="A78:R78"/>
    <mergeCell ref="A83:R83"/>
    <mergeCell ref="A87:R87"/>
    <mergeCell ref="A53:R53"/>
    <mergeCell ref="A58:R58"/>
    <mergeCell ref="A8:R8"/>
    <mergeCell ref="A11:R11"/>
    <mergeCell ref="A18:R18"/>
    <mergeCell ref="A22:R22"/>
    <mergeCell ref="A28:R28"/>
    <mergeCell ref="A36:R36"/>
    <mergeCell ref="A40:R40"/>
    <mergeCell ref="A43:R43"/>
    <mergeCell ref="A46:R46"/>
    <mergeCell ref="A49:R49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B3:B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D16E7-EC8B-4A58-B2F8-A2708703FE7F}">
  <dimension ref="A1:N18"/>
  <sheetViews>
    <sheetView workbookViewId="0">
      <selection sqref="A1:N2"/>
    </sheetView>
  </sheetViews>
  <sheetFormatPr baseColWidth="10" defaultColWidth="9.1640625" defaultRowHeight="13"/>
  <cols>
    <col min="1" max="1" width="7.1640625" style="5" bestFit="1" customWidth="1"/>
    <col min="2" max="2" width="21.6640625" style="5" bestFit="1" customWidth="1"/>
    <col min="3" max="3" width="27.5" style="5" bestFit="1" customWidth="1"/>
    <col min="4" max="4" width="20.83203125" style="5" bestFit="1" customWidth="1"/>
    <col min="5" max="5" width="10.1640625" style="5" bestFit="1" customWidth="1"/>
    <col min="6" max="6" width="21.83203125" style="5" bestFit="1" customWidth="1"/>
    <col min="7" max="7" width="20.5" style="5" bestFit="1" customWidth="1"/>
    <col min="8" max="10" width="5.5" style="6" customWidth="1"/>
    <col min="11" max="11" width="4.5" style="6" customWidth="1"/>
    <col min="12" max="12" width="10.5" style="6" bestFit="1" customWidth="1"/>
    <col min="13" max="13" width="8.5" style="6" bestFit="1" customWidth="1"/>
    <col min="14" max="14" width="25.33203125" style="5" customWidth="1"/>
    <col min="15" max="16384" width="9.1640625" style="3"/>
  </cols>
  <sheetData>
    <row r="1" spans="1:14" s="2" customFormat="1" ht="29" customHeight="1">
      <c r="A1" s="41" t="s">
        <v>913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4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</row>
    <row r="3" spans="1:14" s="1" customFormat="1" ht="12.75" customHeight="1">
      <c r="A3" s="49" t="s">
        <v>931</v>
      </c>
      <c r="B3" s="54" t="s">
        <v>0</v>
      </c>
      <c r="C3" s="51" t="s">
        <v>978</v>
      </c>
      <c r="D3" s="51" t="s">
        <v>5</v>
      </c>
      <c r="E3" s="35" t="s">
        <v>979</v>
      </c>
      <c r="F3" s="35"/>
      <c r="G3" s="35" t="s">
        <v>920</v>
      </c>
      <c r="H3" s="35" t="s">
        <v>7</v>
      </c>
      <c r="I3" s="35"/>
      <c r="J3" s="35"/>
      <c r="K3" s="35"/>
      <c r="L3" s="35" t="s">
        <v>431</v>
      </c>
      <c r="M3" s="35" t="s">
        <v>3</v>
      </c>
      <c r="N3" s="37" t="s">
        <v>2</v>
      </c>
    </row>
    <row r="4" spans="1:14" s="1" customFormat="1" ht="21" customHeight="1" thickBot="1">
      <c r="A4" s="50"/>
      <c r="B4" s="55"/>
      <c r="C4" s="36"/>
      <c r="D4" s="36"/>
      <c r="E4" s="36"/>
      <c r="F4" s="36"/>
      <c r="G4" s="36"/>
      <c r="H4" s="4">
        <v>1</v>
      </c>
      <c r="I4" s="4">
        <v>2</v>
      </c>
      <c r="J4" s="4">
        <v>3</v>
      </c>
      <c r="K4" s="4" t="s">
        <v>4</v>
      </c>
      <c r="L4" s="36"/>
      <c r="M4" s="36"/>
      <c r="N4" s="38"/>
    </row>
    <row r="5" spans="1:14" ht="16">
      <c r="A5" s="39" t="s">
        <v>117</v>
      </c>
      <c r="B5" s="39"/>
      <c r="C5" s="40"/>
      <c r="D5" s="40"/>
      <c r="E5" s="40"/>
      <c r="F5" s="40"/>
      <c r="G5" s="40"/>
      <c r="H5" s="40"/>
      <c r="I5" s="40"/>
      <c r="J5" s="40"/>
      <c r="K5" s="40"/>
    </row>
    <row r="6" spans="1:14">
      <c r="A6" s="8" t="s">
        <v>30</v>
      </c>
      <c r="B6" s="7" t="s">
        <v>411</v>
      </c>
      <c r="C6" s="7" t="s">
        <v>412</v>
      </c>
      <c r="D6" s="7" t="s">
        <v>335</v>
      </c>
      <c r="E6" s="7" t="s">
        <v>981</v>
      </c>
      <c r="F6" s="7" t="s">
        <v>891</v>
      </c>
      <c r="G6" s="7" t="s">
        <v>944</v>
      </c>
      <c r="H6" s="14" t="s">
        <v>20</v>
      </c>
      <c r="I6" s="14" t="s">
        <v>137</v>
      </c>
      <c r="J6" s="14" t="s">
        <v>158</v>
      </c>
      <c r="K6" s="8"/>
      <c r="L6" s="8" t="str">
        <f>"255,0"</f>
        <v>255,0</v>
      </c>
      <c r="M6" s="8" t="str">
        <f>"178,4363"</f>
        <v>178,4363</v>
      </c>
      <c r="N6" s="7" t="s">
        <v>413</v>
      </c>
    </row>
    <row r="7" spans="1:14">
      <c r="B7" s="5" t="s">
        <v>31</v>
      </c>
    </row>
    <row r="8" spans="1:14" ht="16">
      <c r="A8" s="52" t="s">
        <v>80</v>
      </c>
      <c r="B8" s="52"/>
      <c r="C8" s="53"/>
      <c r="D8" s="53"/>
      <c r="E8" s="53"/>
      <c r="F8" s="53"/>
      <c r="G8" s="53"/>
      <c r="H8" s="53"/>
      <c r="I8" s="53"/>
      <c r="J8" s="53"/>
      <c r="K8" s="53"/>
    </row>
    <row r="9" spans="1:14">
      <c r="A9" s="17" t="s">
        <v>30</v>
      </c>
      <c r="B9" s="16" t="s">
        <v>414</v>
      </c>
      <c r="C9" s="16" t="s">
        <v>415</v>
      </c>
      <c r="D9" s="16" t="s">
        <v>416</v>
      </c>
      <c r="E9" s="16" t="s">
        <v>981</v>
      </c>
      <c r="F9" s="16" t="s">
        <v>36</v>
      </c>
      <c r="G9" s="16" t="s">
        <v>933</v>
      </c>
      <c r="H9" s="22" t="s">
        <v>19</v>
      </c>
      <c r="I9" s="23" t="s">
        <v>417</v>
      </c>
      <c r="J9" s="22" t="s">
        <v>417</v>
      </c>
      <c r="K9" s="17"/>
      <c r="L9" s="17" t="str">
        <f>"237,5"</f>
        <v>237,5</v>
      </c>
      <c r="M9" s="17" t="str">
        <f>"139,6500"</f>
        <v>139,6500</v>
      </c>
      <c r="N9" s="16"/>
    </row>
    <row r="10" spans="1:14">
      <c r="A10" s="19" t="s">
        <v>30</v>
      </c>
      <c r="B10" s="18" t="s">
        <v>418</v>
      </c>
      <c r="C10" s="18" t="s">
        <v>419</v>
      </c>
      <c r="D10" s="18" t="s">
        <v>420</v>
      </c>
      <c r="E10" s="18" t="s">
        <v>985</v>
      </c>
      <c r="F10" s="18" t="s">
        <v>36</v>
      </c>
      <c r="G10" s="18" t="s">
        <v>933</v>
      </c>
      <c r="H10" s="24" t="s">
        <v>114</v>
      </c>
      <c r="I10" s="24" t="s">
        <v>84</v>
      </c>
      <c r="J10" s="25" t="s">
        <v>78</v>
      </c>
      <c r="K10" s="19"/>
      <c r="L10" s="19" t="str">
        <f>"180,0"</f>
        <v>180,0</v>
      </c>
      <c r="M10" s="19" t="str">
        <f>"159,3072"</f>
        <v>159,3072</v>
      </c>
      <c r="N10" s="18" t="s">
        <v>421</v>
      </c>
    </row>
    <row r="11" spans="1:14">
      <c r="B11" s="5" t="s">
        <v>31</v>
      </c>
    </row>
    <row r="12" spans="1:14" ht="16">
      <c r="A12" s="52" t="s">
        <v>9</v>
      </c>
      <c r="B12" s="52"/>
      <c r="C12" s="53"/>
      <c r="D12" s="53"/>
      <c r="E12" s="53"/>
      <c r="F12" s="53"/>
      <c r="G12" s="53"/>
      <c r="H12" s="53"/>
      <c r="I12" s="53"/>
      <c r="J12" s="53"/>
      <c r="K12" s="53"/>
    </row>
    <row r="13" spans="1:14">
      <c r="A13" s="8" t="s">
        <v>30</v>
      </c>
      <c r="B13" s="7" t="s">
        <v>422</v>
      </c>
      <c r="C13" s="7" t="s">
        <v>423</v>
      </c>
      <c r="D13" s="7" t="s">
        <v>424</v>
      </c>
      <c r="E13" s="7" t="s">
        <v>981</v>
      </c>
      <c r="F13" s="7" t="s">
        <v>425</v>
      </c>
      <c r="G13" s="7" t="s">
        <v>933</v>
      </c>
      <c r="H13" s="14" t="s">
        <v>79</v>
      </c>
      <c r="I13" s="14" t="s">
        <v>75</v>
      </c>
      <c r="J13" s="14" t="s">
        <v>19</v>
      </c>
      <c r="K13" s="8"/>
      <c r="L13" s="8" t="str">
        <f>"230,0"</f>
        <v>230,0</v>
      </c>
      <c r="M13" s="8" t="str">
        <f>"129,8120"</f>
        <v>129,8120</v>
      </c>
      <c r="N13" s="7" t="s">
        <v>876</v>
      </c>
    </row>
    <row r="14" spans="1:14">
      <c r="B14" s="5" t="s">
        <v>31</v>
      </c>
    </row>
    <row r="15" spans="1:14" ht="16">
      <c r="A15" s="52" t="s">
        <v>198</v>
      </c>
      <c r="B15" s="52"/>
      <c r="C15" s="53"/>
      <c r="D15" s="53"/>
      <c r="E15" s="53"/>
      <c r="F15" s="53"/>
      <c r="G15" s="53"/>
      <c r="H15" s="53"/>
      <c r="I15" s="53"/>
      <c r="J15" s="53"/>
      <c r="K15" s="53"/>
    </row>
    <row r="16" spans="1:14">
      <c r="A16" s="17" t="s">
        <v>30</v>
      </c>
      <c r="B16" s="16" t="s">
        <v>426</v>
      </c>
      <c r="C16" s="16" t="s">
        <v>427</v>
      </c>
      <c r="D16" s="16" t="s">
        <v>428</v>
      </c>
      <c r="E16" s="16" t="s">
        <v>981</v>
      </c>
      <c r="F16" s="16" t="s">
        <v>36</v>
      </c>
      <c r="G16" s="16" t="s">
        <v>965</v>
      </c>
      <c r="H16" s="22" t="s">
        <v>138</v>
      </c>
      <c r="I16" s="22" t="s">
        <v>397</v>
      </c>
      <c r="J16" s="22" t="s">
        <v>185</v>
      </c>
      <c r="K16" s="17"/>
      <c r="L16" s="17" t="str">
        <f>"275,0"</f>
        <v>275,0</v>
      </c>
      <c r="M16" s="17" t="str">
        <f>"151,8825"</f>
        <v>151,8825</v>
      </c>
      <c r="N16" s="16"/>
    </row>
    <row r="17" spans="1:14">
      <c r="A17" s="19" t="s">
        <v>30</v>
      </c>
      <c r="B17" s="18" t="s">
        <v>426</v>
      </c>
      <c r="C17" s="18" t="s">
        <v>429</v>
      </c>
      <c r="D17" s="18" t="s">
        <v>428</v>
      </c>
      <c r="E17" s="18" t="s">
        <v>982</v>
      </c>
      <c r="F17" s="18" t="s">
        <v>36</v>
      </c>
      <c r="G17" s="18" t="s">
        <v>965</v>
      </c>
      <c r="H17" s="24" t="s">
        <v>138</v>
      </c>
      <c r="I17" s="24" t="s">
        <v>397</v>
      </c>
      <c r="J17" s="24" t="s">
        <v>185</v>
      </c>
      <c r="K17" s="19"/>
      <c r="L17" s="19" t="str">
        <f>"275,0"</f>
        <v>275,0</v>
      </c>
      <c r="M17" s="19" t="str">
        <f>"156,5909"</f>
        <v>156,5909</v>
      </c>
      <c r="N17" s="18"/>
    </row>
    <row r="18" spans="1:14">
      <c r="B18" s="5" t="s">
        <v>31</v>
      </c>
    </row>
  </sheetData>
  <mergeCells count="16">
    <mergeCell ref="A8:K8"/>
    <mergeCell ref="A12:K12"/>
    <mergeCell ref="A15:K15"/>
    <mergeCell ref="B3:B4"/>
    <mergeCell ref="L3:L4"/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4A85C-7CD9-4A42-B3A4-0F0143A40830}">
  <dimension ref="A1:N7"/>
  <sheetViews>
    <sheetView workbookViewId="0">
      <selection sqref="A1:N2"/>
    </sheetView>
  </sheetViews>
  <sheetFormatPr baseColWidth="10" defaultColWidth="9.1640625" defaultRowHeight="13"/>
  <cols>
    <col min="1" max="1" width="7.1640625" style="5" bestFit="1" customWidth="1"/>
    <col min="2" max="2" width="16.83203125" style="5" bestFit="1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21.83203125" style="5" bestFit="1" customWidth="1"/>
    <col min="7" max="7" width="18.5" style="5" bestFit="1" customWidth="1"/>
    <col min="8" max="10" width="5.5" style="6" customWidth="1"/>
    <col min="11" max="11" width="4.5" style="6" customWidth="1"/>
    <col min="12" max="12" width="11.6640625" style="6" customWidth="1"/>
    <col min="13" max="13" width="8.5" style="6" bestFit="1" customWidth="1"/>
    <col min="14" max="14" width="18" style="5" customWidth="1"/>
    <col min="15" max="16384" width="9.1640625" style="3"/>
  </cols>
  <sheetData>
    <row r="1" spans="1:14" s="2" customFormat="1" ht="29" customHeight="1">
      <c r="A1" s="41" t="s">
        <v>914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4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</row>
    <row r="3" spans="1:14" s="1" customFormat="1" ht="12.75" customHeight="1">
      <c r="A3" s="49" t="s">
        <v>931</v>
      </c>
      <c r="B3" s="54" t="s">
        <v>0</v>
      </c>
      <c r="C3" s="51" t="s">
        <v>978</v>
      </c>
      <c r="D3" s="51" t="s">
        <v>5</v>
      </c>
      <c r="E3" s="35" t="s">
        <v>979</v>
      </c>
      <c r="F3" s="35"/>
      <c r="G3" s="35" t="s">
        <v>920</v>
      </c>
      <c r="H3" s="35" t="s">
        <v>7</v>
      </c>
      <c r="I3" s="35"/>
      <c r="J3" s="35"/>
      <c r="K3" s="35"/>
      <c r="L3" s="35" t="s">
        <v>431</v>
      </c>
      <c r="M3" s="35" t="s">
        <v>3</v>
      </c>
      <c r="N3" s="37" t="s">
        <v>2</v>
      </c>
    </row>
    <row r="4" spans="1:14" s="1" customFormat="1" ht="21" customHeight="1" thickBot="1">
      <c r="A4" s="50"/>
      <c r="B4" s="55"/>
      <c r="C4" s="36"/>
      <c r="D4" s="36"/>
      <c r="E4" s="36"/>
      <c r="F4" s="36"/>
      <c r="G4" s="36"/>
      <c r="H4" s="4">
        <v>1</v>
      </c>
      <c r="I4" s="4">
        <v>2</v>
      </c>
      <c r="J4" s="4">
        <v>3</v>
      </c>
      <c r="K4" s="4" t="s">
        <v>4</v>
      </c>
      <c r="L4" s="36"/>
      <c r="M4" s="36"/>
      <c r="N4" s="38"/>
    </row>
    <row r="5" spans="1:14" ht="16">
      <c r="A5" s="39" t="s">
        <v>70</v>
      </c>
      <c r="B5" s="39"/>
      <c r="C5" s="40"/>
      <c r="D5" s="40"/>
      <c r="E5" s="40"/>
      <c r="F5" s="40"/>
      <c r="G5" s="40"/>
      <c r="H5" s="40"/>
      <c r="I5" s="40"/>
      <c r="J5" s="40"/>
      <c r="K5" s="40"/>
    </row>
    <row r="6" spans="1:14">
      <c r="A6" s="8" t="s">
        <v>30</v>
      </c>
      <c r="B6" s="7" t="s">
        <v>733</v>
      </c>
      <c r="C6" s="7" t="s">
        <v>734</v>
      </c>
      <c r="D6" s="7" t="s">
        <v>134</v>
      </c>
      <c r="E6" s="7" t="s">
        <v>981</v>
      </c>
      <c r="F6" s="7" t="s">
        <v>36</v>
      </c>
      <c r="G6" s="7" t="s">
        <v>945</v>
      </c>
      <c r="H6" s="14" t="s">
        <v>19</v>
      </c>
      <c r="I6" s="14" t="s">
        <v>20</v>
      </c>
      <c r="J6" s="14" t="s">
        <v>137</v>
      </c>
      <c r="K6" s="8"/>
      <c r="L6" s="8" t="str">
        <f>"250,0"</f>
        <v>250,0</v>
      </c>
      <c r="M6" s="8" t="str">
        <f>"161,1500"</f>
        <v>161,1500</v>
      </c>
      <c r="N6" s="7" t="s">
        <v>584</v>
      </c>
    </row>
    <row r="7" spans="1:14">
      <c r="B7" s="5" t="s">
        <v>31</v>
      </c>
    </row>
  </sheetData>
  <mergeCells count="13">
    <mergeCell ref="A5:K5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5ED10-BE9E-4F3C-A894-091BB8861C30}">
  <dimension ref="A1:N10"/>
  <sheetViews>
    <sheetView workbookViewId="0">
      <selection sqref="A1:N2"/>
    </sheetView>
  </sheetViews>
  <sheetFormatPr baseColWidth="10" defaultColWidth="9.1640625" defaultRowHeight="13"/>
  <cols>
    <col min="1" max="1" width="7.1640625" style="5" bestFit="1" customWidth="1"/>
    <col min="2" max="2" width="18.83203125" style="5" bestFit="1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21.83203125" style="5" bestFit="1" customWidth="1"/>
    <col min="7" max="7" width="20.5" style="5" bestFit="1" customWidth="1"/>
    <col min="8" max="10" width="5.5" style="6" customWidth="1"/>
    <col min="11" max="11" width="4.5" style="6" customWidth="1"/>
    <col min="12" max="12" width="10.5" style="6" bestFit="1" customWidth="1"/>
    <col min="13" max="13" width="8.5" style="6" bestFit="1" customWidth="1"/>
    <col min="14" max="14" width="22.6640625" style="5" customWidth="1"/>
    <col min="15" max="16384" width="9.1640625" style="3"/>
  </cols>
  <sheetData>
    <row r="1" spans="1:14" s="2" customFormat="1" ht="29" customHeight="1">
      <c r="A1" s="41" t="s">
        <v>915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4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</row>
    <row r="3" spans="1:14" s="1" customFormat="1" ht="12.75" customHeight="1">
      <c r="A3" s="49" t="s">
        <v>931</v>
      </c>
      <c r="B3" s="54" t="s">
        <v>0</v>
      </c>
      <c r="C3" s="51" t="s">
        <v>978</v>
      </c>
      <c r="D3" s="51" t="s">
        <v>5</v>
      </c>
      <c r="E3" s="35" t="s">
        <v>979</v>
      </c>
      <c r="F3" s="35"/>
      <c r="G3" s="35" t="s">
        <v>920</v>
      </c>
      <c r="H3" s="35" t="s">
        <v>7</v>
      </c>
      <c r="I3" s="35"/>
      <c r="J3" s="35"/>
      <c r="K3" s="35"/>
      <c r="L3" s="35" t="s">
        <v>431</v>
      </c>
      <c r="M3" s="35" t="s">
        <v>3</v>
      </c>
      <c r="N3" s="37" t="s">
        <v>2</v>
      </c>
    </row>
    <row r="4" spans="1:14" s="1" customFormat="1" ht="21" customHeight="1" thickBot="1">
      <c r="A4" s="50"/>
      <c r="B4" s="55"/>
      <c r="C4" s="36"/>
      <c r="D4" s="36"/>
      <c r="E4" s="36"/>
      <c r="F4" s="36"/>
      <c r="G4" s="36"/>
      <c r="H4" s="4">
        <v>1</v>
      </c>
      <c r="I4" s="4">
        <v>2</v>
      </c>
      <c r="J4" s="4">
        <v>3</v>
      </c>
      <c r="K4" s="4" t="s">
        <v>4</v>
      </c>
      <c r="L4" s="36"/>
      <c r="M4" s="36"/>
      <c r="N4" s="38"/>
    </row>
    <row r="5" spans="1:14" ht="16">
      <c r="A5" s="39" t="s">
        <v>70</v>
      </c>
      <c r="B5" s="39"/>
      <c r="C5" s="40"/>
      <c r="D5" s="40"/>
      <c r="E5" s="40"/>
      <c r="F5" s="40"/>
      <c r="G5" s="40"/>
      <c r="H5" s="40"/>
      <c r="I5" s="40"/>
      <c r="J5" s="40"/>
      <c r="K5" s="40"/>
    </row>
    <row r="6" spans="1:14">
      <c r="A6" s="8" t="s">
        <v>30</v>
      </c>
      <c r="B6" s="7" t="s">
        <v>747</v>
      </c>
      <c r="C6" s="7" t="s">
        <v>748</v>
      </c>
      <c r="D6" s="7" t="s">
        <v>73</v>
      </c>
      <c r="E6" s="7" t="s">
        <v>981</v>
      </c>
      <c r="F6" s="7" t="s">
        <v>36</v>
      </c>
      <c r="G6" s="7" t="s">
        <v>933</v>
      </c>
      <c r="H6" s="15" t="s">
        <v>404</v>
      </c>
      <c r="I6" s="14" t="s">
        <v>404</v>
      </c>
      <c r="J6" s="15" t="s">
        <v>749</v>
      </c>
      <c r="K6" s="8"/>
      <c r="L6" s="8" t="str">
        <f>"325,0"</f>
        <v>325,0</v>
      </c>
      <c r="M6" s="8" t="str">
        <f>"209,6575"</f>
        <v>209,6575</v>
      </c>
      <c r="N6" s="7"/>
    </row>
    <row r="7" spans="1:14">
      <c r="B7" s="5" t="s">
        <v>31</v>
      </c>
    </row>
    <row r="8" spans="1:14" ht="16">
      <c r="A8" s="52" t="s">
        <v>9</v>
      </c>
      <c r="B8" s="52"/>
      <c r="C8" s="53"/>
      <c r="D8" s="53"/>
      <c r="E8" s="53"/>
      <c r="F8" s="53"/>
      <c r="G8" s="53"/>
      <c r="H8" s="53"/>
      <c r="I8" s="53"/>
      <c r="J8" s="53"/>
      <c r="K8" s="53"/>
    </row>
    <row r="9" spans="1:14">
      <c r="A9" s="8" t="s">
        <v>30</v>
      </c>
      <c r="B9" s="7" t="s">
        <v>750</v>
      </c>
      <c r="C9" s="7" t="s">
        <v>751</v>
      </c>
      <c r="D9" s="7" t="s">
        <v>752</v>
      </c>
      <c r="E9" s="7" t="s">
        <v>981</v>
      </c>
      <c r="F9" s="7" t="s">
        <v>36</v>
      </c>
      <c r="G9" s="7" t="s">
        <v>933</v>
      </c>
      <c r="H9" s="15" t="s">
        <v>168</v>
      </c>
      <c r="I9" s="15" t="s">
        <v>168</v>
      </c>
      <c r="J9" s="14" t="s">
        <v>168</v>
      </c>
      <c r="K9" s="8"/>
      <c r="L9" s="8" t="str">
        <f>"290,0"</f>
        <v>290,0</v>
      </c>
      <c r="M9" s="8" t="str">
        <f>"163,7195"</f>
        <v>163,7195</v>
      </c>
      <c r="N9" s="7" t="s">
        <v>753</v>
      </c>
    </row>
    <row r="10" spans="1:14">
      <c r="B10" s="5" t="s">
        <v>31</v>
      </c>
    </row>
  </sheetData>
  <mergeCells count="14">
    <mergeCell ref="A8:K8"/>
    <mergeCell ref="B3:B4"/>
    <mergeCell ref="L3:L4"/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CA395-4ACC-4533-A845-7FF364DA9A1C}">
  <dimension ref="A1:N7"/>
  <sheetViews>
    <sheetView workbookViewId="0">
      <selection sqref="A1:N2"/>
    </sheetView>
  </sheetViews>
  <sheetFormatPr baseColWidth="10" defaultColWidth="9.1640625" defaultRowHeight="13"/>
  <cols>
    <col min="1" max="1" width="7.1640625" style="5" bestFit="1" customWidth="1"/>
    <col min="2" max="2" width="16.33203125" style="5" bestFit="1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21.83203125" style="5" bestFit="1" customWidth="1"/>
    <col min="7" max="7" width="22.33203125" style="5" customWidth="1"/>
    <col min="8" max="8" width="4.5" style="6" customWidth="1"/>
    <col min="9" max="10" width="5.5" style="6" customWidth="1"/>
    <col min="11" max="11" width="4.5" style="6" customWidth="1"/>
    <col min="12" max="12" width="10.5" style="6" bestFit="1" customWidth="1"/>
    <col min="13" max="13" width="7.5" style="6" bestFit="1" customWidth="1"/>
    <col min="14" max="14" width="24.5" style="5" bestFit="1" customWidth="1"/>
    <col min="15" max="16384" width="9.1640625" style="3"/>
  </cols>
  <sheetData>
    <row r="1" spans="1:14" s="2" customFormat="1" ht="29" customHeight="1">
      <c r="A1" s="41" t="s">
        <v>916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4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</row>
    <row r="3" spans="1:14" s="1" customFormat="1" ht="12.75" customHeight="1">
      <c r="A3" s="49" t="s">
        <v>931</v>
      </c>
      <c r="B3" s="54" t="s">
        <v>0</v>
      </c>
      <c r="C3" s="51" t="s">
        <v>978</v>
      </c>
      <c r="D3" s="51" t="s">
        <v>5</v>
      </c>
      <c r="E3" s="35" t="s">
        <v>979</v>
      </c>
      <c r="F3" s="54"/>
      <c r="G3" s="35" t="s">
        <v>920</v>
      </c>
      <c r="H3" s="35" t="s">
        <v>7</v>
      </c>
      <c r="I3" s="35"/>
      <c r="J3" s="35"/>
      <c r="K3" s="35"/>
      <c r="L3" s="35" t="s">
        <v>431</v>
      </c>
      <c r="M3" s="35" t="s">
        <v>3</v>
      </c>
      <c r="N3" s="37" t="s">
        <v>2</v>
      </c>
    </row>
    <row r="4" spans="1:14" s="1" customFormat="1" ht="21" customHeight="1" thickBot="1">
      <c r="A4" s="50"/>
      <c r="B4" s="55"/>
      <c r="C4" s="36"/>
      <c r="D4" s="36"/>
      <c r="E4" s="36"/>
      <c r="F4" s="56"/>
      <c r="G4" s="36"/>
      <c r="H4" s="4">
        <v>1</v>
      </c>
      <c r="I4" s="4">
        <v>2</v>
      </c>
      <c r="J4" s="4">
        <v>3</v>
      </c>
      <c r="K4" s="4" t="s">
        <v>4</v>
      </c>
      <c r="L4" s="36"/>
      <c r="M4" s="36"/>
      <c r="N4" s="38"/>
    </row>
    <row r="5" spans="1:14" ht="16">
      <c r="A5" s="39" t="s">
        <v>117</v>
      </c>
      <c r="B5" s="39"/>
      <c r="C5" s="40"/>
      <c r="D5" s="40"/>
      <c r="E5" s="40"/>
      <c r="F5" s="40"/>
      <c r="G5" s="40"/>
      <c r="H5" s="40"/>
      <c r="I5" s="40"/>
      <c r="J5" s="40"/>
      <c r="K5" s="40"/>
    </row>
    <row r="6" spans="1:14">
      <c r="A6" s="8" t="s">
        <v>30</v>
      </c>
      <c r="B6" s="7" t="s">
        <v>877</v>
      </c>
      <c r="C6" s="7" t="s">
        <v>878</v>
      </c>
      <c r="D6" s="7" t="s">
        <v>879</v>
      </c>
      <c r="E6" s="7" t="s">
        <v>981</v>
      </c>
      <c r="F6" s="7" t="s">
        <v>36</v>
      </c>
      <c r="G6" s="7" t="s">
        <v>966</v>
      </c>
      <c r="H6" s="14" t="s">
        <v>251</v>
      </c>
      <c r="I6" s="15" t="s">
        <v>66</v>
      </c>
      <c r="J6" s="15" t="s">
        <v>66</v>
      </c>
      <c r="K6" s="8"/>
      <c r="L6" s="8" t="str">
        <f>"92,5"</f>
        <v>92,5</v>
      </c>
      <c r="M6" s="8" t="str">
        <f>"66,4196"</f>
        <v>66,4196</v>
      </c>
      <c r="N6" s="7" t="s">
        <v>880</v>
      </c>
    </row>
    <row r="7" spans="1:14">
      <c r="B7" s="5" t="s">
        <v>31</v>
      </c>
    </row>
  </sheetData>
  <mergeCells count="13">
    <mergeCell ref="A5:K5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01058-1AFE-4B56-9775-D56DE744C65B}">
  <dimension ref="A1:N55"/>
  <sheetViews>
    <sheetView topLeftCell="A18" workbookViewId="0">
      <selection activeCell="E46" sqref="E46"/>
    </sheetView>
  </sheetViews>
  <sheetFormatPr baseColWidth="10" defaultColWidth="9.1640625" defaultRowHeight="13"/>
  <cols>
    <col min="1" max="1" width="7.1640625" style="5" bestFit="1" customWidth="1"/>
    <col min="2" max="2" width="21.33203125" style="5" bestFit="1" customWidth="1"/>
    <col min="3" max="3" width="27.5" style="5" bestFit="1" customWidth="1"/>
    <col min="4" max="4" width="20.83203125" style="5" bestFit="1" customWidth="1"/>
    <col min="5" max="5" width="10.1640625" style="5" bestFit="1" customWidth="1"/>
    <col min="6" max="6" width="22.83203125" style="5" bestFit="1" customWidth="1"/>
    <col min="7" max="7" width="21.6640625" style="5" customWidth="1"/>
    <col min="8" max="10" width="5.5" style="6" customWidth="1"/>
    <col min="11" max="11" width="4.5" style="6" customWidth="1"/>
    <col min="12" max="12" width="10.5" style="6" bestFit="1" customWidth="1"/>
    <col min="13" max="13" width="8.5" style="6" bestFit="1" customWidth="1"/>
    <col min="14" max="14" width="26.33203125" style="5" bestFit="1" customWidth="1"/>
    <col min="15" max="16384" width="9.1640625" style="3"/>
  </cols>
  <sheetData>
    <row r="1" spans="1:14" s="2" customFormat="1" ht="29" customHeight="1">
      <c r="A1" s="41" t="s">
        <v>917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4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</row>
    <row r="3" spans="1:14" s="1" customFormat="1" ht="12.75" customHeight="1">
      <c r="A3" s="49" t="s">
        <v>931</v>
      </c>
      <c r="B3" s="54" t="s">
        <v>0</v>
      </c>
      <c r="C3" s="51" t="s">
        <v>978</v>
      </c>
      <c r="D3" s="51" t="s">
        <v>5</v>
      </c>
      <c r="E3" s="35" t="s">
        <v>979</v>
      </c>
      <c r="F3" s="35"/>
      <c r="G3" s="35" t="s">
        <v>920</v>
      </c>
      <c r="H3" s="35" t="s">
        <v>8</v>
      </c>
      <c r="I3" s="35"/>
      <c r="J3" s="35"/>
      <c r="K3" s="35"/>
      <c r="L3" s="35" t="s">
        <v>431</v>
      </c>
      <c r="M3" s="35" t="s">
        <v>3</v>
      </c>
      <c r="N3" s="37" t="s">
        <v>2</v>
      </c>
    </row>
    <row r="4" spans="1:14" s="1" customFormat="1" ht="21" customHeight="1" thickBot="1">
      <c r="A4" s="50"/>
      <c r="B4" s="55"/>
      <c r="C4" s="36"/>
      <c r="D4" s="36"/>
      <c r="E4" s="36"/>
      <c r="F4" s="36"/>
      <c r="G4" s="36"/>
      <c r="H4" s="4">
        <v>1</v>
      </c>
      <c r="I4" s="4">
        <v>2</v>
      </c>
      <c r="J4" s="4">
        <v>3</v>
      </c>
      <c r="K4" s="4" t="s">
        <v>4</v>
      </c>
      <c r="L4" s="36"/>
      <c r="M4" s="36"/>
      <c r="N4" s="38"/>
    </row>
    <row r="5" spans="1:14" ht="16">
      <c r="A5" s="39" t="s">
        <v>32</v>
      </c>
      <c r="B5" s="39"/>
      <c r="C5" s="40"/>
      <c r="D5" s="40"/>
      <c r="E5" s="40"/>
      <c r="F5" s="40"/>
      <c r="G5" s="40"/>
      <c r="H5" s="40"/>
      <c r="I5" s="40"/>
      <c r="J5" s="40"/>
      <c r="K5" s="40"/>
    </row>
    <row r="6" spans="1:14">
      <c r="A6" s="8" t="s">
        <v>30</v>
      </c>
      <c r="B6" s="7" t="s">
        <v>232</v>
      </c>
      <c r="C6" s="7" t="s">
        <v>233</v>
      </c>
      <c r="D6" s="7" t="s">
        <v>234</v>
      </c>
      <c r="E6" s="7" t="s">
        <v>980</v>
      </c>
      <c r="F6" s="7" t="s">
        <v>157</v>
      </c>
      <c r="G6" s="7" t="s">
        <v>944</v>
      </c>
      <c r="H6" s="14" t="s">
        <v>236</v>
      </c>
      <c r="I6" s="14" t="s">
        <v>51</v>
      </c>
      <c r="J6" s="15" t="s">
        <v>63</v>
      </c>
      <c r="K6" s="8"/>
      <c r="L6" s="8" t="str">
        <f>"127,5"</f>
        <v>127,5</v>
      </c>
      <c r="M6" s="8" t="str">
        <f>"168,8610"</f>
        <v>168,8610</v>
      </c>
      <c r="N6" s="7" t="s">
        <v>173</v>
      </c>
    </row>
    <row r="7" spans="1:14">
      <c r="B7" s="5" t="s">
        <v>31</v>
      </c>
    </row>
    <row r="8" spans="1:14" ht="16">
      <c r="A8" s="52" t="s">
        <v>237</v>
      </c>
      <c r="B8" s="52"/>
      <c r="C8" s="53"/>
      <c r="D8" s="53"/>
      <c r="E8" s="53"/>
      <c r="F8" s="53"/>
      <c r="G8" s="53"/>
      <c r="H8" s="53"/>
      <c r="I8" s="53"/>
      <c r="J8" s="53"/>
      <c r="K8" s="53"/>
    </row>
    <row r="9" spans="1:14">
      <c r="A9" s="8" t="s">
        <v>30</v>
      </c>
      <c r="B9" s="7" t="s">
        <v>769</v>
      </c>
      <c r="C9" s="7" t="s">
        <v>770</v>
      </c>
      <c r="D9" s="7" t="s">
        <v>771</v>
      </c>
      <c r="E9" s="7" t="s">
        <v>982</v>
      </c>
      <c r="F9" s="7" t="s">
        <v>36</v>
      </c>
      <c r="G9" s="7" t="s">
        <v>933</v>
      </c>
      <c r="H9" s="14" t="s">
        <v>65</v>
      </c>
      <c r="I9" s="15" t="s">
        <v>274</v>
      </c>
      <c r="J9" s="14" t="s">
        <v>274</v>
      </c>
      <c r="K9" s="8"/>
      <c r="L9" s="8" t="str">
        <f>"102,5"</f>
        <v>102,5</v>
      </c>
      <c r="M9" s="8" t="str">
        <f>"129,5087"</f>
        <v>129,5087</v>
      </c>
      <c r="N9" s="7" t="s">
        <v>772</v>
      </c>
    </row>
    <row r="10" spans="1:14">
      <c r="B10" s="5" t="s">
        <v>31</v>
      </c>
    </row>
    <row r="11" spans="1:14" ht="16">
      <c r="A11" s="52" t="s">
        <v>99</v>
      </c>
      <c r="B11" s="52"/>
      <c r="C11" s="53"/>
      <c r="D11" s="53"/>
      <c r="E11" s="53"/>
      <c r="F11" s="53"/>
      <c r="G11" s="53"/>
      <c r="H11" s="53"/>
      <c r="I11" s="53"/>
      <c r="J11" s="53"/>
      <c r="K11" s="53"/>
    </row>
    <row r="12" spans="1:14">
      <c r="A12" s="8" t="s">
        <v>30</v>
      </c>
      <c r="B12" s="7" t="s">
        <v>773</v>
      </c>
      <c r="C12" s="7" t="s">
        <v>774</v>
      </c>
      <c r="D12" s="7" t="s">
        <v>775</v>
      </c>
      <c r="E12" s="7" t="s">
        <v>981</v>
      </c>
      <c r="F12" s="7" t="s">
        <v>36</v>
      </c>
      <c r="G12" s="7" t="s">
        <v>936</v>
      </c>
      <c r="H12" s="14" t="s">
        <v>104</v>
      </c>
      <c r="I12" s="14" t="s">
        <v>123</v>
      </c>
      <c r="J12" s="14" t="s">
        <v>190</v>
      </c>
      <c r="K12" s="8"/>
      <c r="L12" s="8" t="str">
        <f>"157,5"</f>
        <v>157,5</v>
      </c>
      <c r="M12" s="8" t="str">
        <f>"194,3235"</f>
        <v>194,3235</v>
      </c>
      <c r="N12" s="7" t="s">
        <v>776</v>
      </c>
    </row>
    <row r="13" spans="1:14">
      <c r="B13" s="5" t="s">
        <v>31</v>
      </c>
    </row>
    <row r="14" spans="1:14" ht="16">
      <c r="A14" s="52" t="s">
        <v>58</v>
      </c>
      <c r="B14" s="52"/>
      <c r="C14" s="53"/>
      <c r="D14" s="53"/>
      <c r="E14" s="53"/>
      <c r="F14" s="53"/>
      <c r="G14" s="53"/>
      <c r="H14" s="53"/>
      <c r="I14" s="53"/>
      <c r="J14" s="53"/>
      <c r="K14" s="53"/>
    </row>
    <row r="15" spans="1:14">
      <c r="A15" s="17" t="s">
        <v>30</v>
      </c>
      <c r="B15" s="16" t="s">
        <v>275</v>
      </c>
      <c r="C15" s="16" t="s">
        <v>276</v>
      </c>
      <c r="D15" s="16" t="s">
        <v>277</v>
      </c>
      <c r="E15" s="16" t="s">
        <v>981</v>
      </c>
      <c r="F15" s="16" t="s">
        <v>278</v>
      </c>
      <c r="G15" s="16" t="s">
        <v>933</v>
      </c>
      <c r="H15" s="22" t="s">
        <v>55</v>
      </c>
      <c r="I15" s="22" t="s">
        <v>76</v>
      </c>
      <c r="J15" s="22" t="s">
        <v>77</v>
      </c>
      <c r="K15" s="17"/>
      <c r="L15" s="17" t="str">
        <f>"140,0"</f>
        <v>140,0</v>
      </c>
      <c r="M15" s="17" t="str">
        <f>"161,3500"</f>
        <v>161,3500</v>
      </c>
      <c r="N15" s="16" t="s">
        <v>279</v>
      </c>
    </row>
    <row r="16" spans="1:14">
      <c r="A16" s="21" t="s">
        <v>218</v>
      </c>
      <c r="B16" s="20" t="s">
        <v>777</v>
      </c>
      <c r="C16" s="20" t="s">
        <v>778</v>
      </c>
      <c r="D16" s="20" t="s">
        <v>779</v>
      </c>
      <c r="E16" s="20" t="s">
        <v>981</v>
      </c>
      <c r="F16" s="20" t="s">
        <v>36</v>
      </c>
      <c r="G16" s="20" t="s">
        <v>967</v>
      </c>
      <c r="H16" s="27" t="s">
        <v>55</v>
      </c>
      <c r="I16" s="26" t="s">
        <v>76</v>
      </c>
      <c r="J16" s="27" t="s">
        <v>76</v>
      </c>
      <c r="K16" s="21"/>
      <c r="L16" s="21" t="str">
        <f>"132,5"</f>
        <v>132,5</v>
      </c>
      <c r="M16" s="21" t="str">
        <f>"153,7530"</f>
        <v>153,7530</v>
      </c>
      <c r="N16" s="20"/>
    </row>
    <row r="17" spans="1:14">
      <c r="A17" s="19" t="s">
        <v>219</v>
      </c>
      <c r="B17" s="18" t="s">
        <v>780</v>
      </c>
      <c r="C17" s="18" t="s">
        <v>781</v>
      </c>
      <c r="D17" s="18" t="s">
        <v>782</v>
      </c>
      <c r="E17" s="18" t="s">
        <v>981</v>
      </c>
      <c r="F17" s="18" t="s">
        <v>36</v>
      </c>
      <c r="G17" s="18" t="s">
        <v>933</v>
      </c>
      <c r="H17" s="24" t="s">
        <v>38</v>
      </c>
      <c r="I17" s="24" t="s">
        <v>65</v>
      </c>
      <c r="J17" s="25" t="s">
        <v>66</v>
      </c>
      <c r="K17" s="19"/>
      <c r="L17" s="19" t="str">
        <f>"95,0"</f>
        <v>95,0</v>
      </c>
      <c r="M17" s="19" t="str">
        <f>"108,1670"</f>
        <v>108,1670</v>
      </c>
      <c r="N17" s="18" t="s">
        <v>783</v>
      </c>
    </row>
    <row r="18" spans="1:14">
      <c r="B18" s="5" t="s">
        <v>31</v>
      </c>
    </row>
    <row r="19" spans="1:14" ht="16">
      <c r="A19" s="52" t="s">
        <v>45</v>
      </c>
      <c r="B19" s="52"/>
      <c r="C19" s="53"/>
      <c r="D19" s="53"/>
      <c r="E19" s="53"/>
      <c r="F19" s="53"/>
      <c r="G19" s="53"/>
      <c r="H19" s="53"/>
      <c r="I19" s="53"/>
      <c r="J19" s="53"/>
      <c r="K19" s="53"/>
    </row>
    <row r="20" spans="1:14">
      <c r="A20" s="8" t="s">
        <v>30</v>
      </c>
      <c r="B20" s="7" t="s">
        <v>582</v>
      </c>
      <c r="C20" s="7" t="s">
        <v>583</v>
      </c>
      <c r="D20" s="7" t="s">
        <v>325</v>
      </c>
      <c r="E20" s="7" t="s">
        <v>983</v>
      </c>
      <c r="F20" s="7" t="s">
        <v>36</v>
      </c>
      <c r="G20" s="7" t="s">
        <v>945</v>
      </c>
      <c r="H20" s="14" t="s">
        <v>51</v>
      </c>
      <c r="I20" s="14" t="s">
        <v>56</v>
      </c>
      <c r="J20" s="15" t="s">
        <v>121</v>
      </c>
      <c r="K20" s="8"/>
      <c r="L20" s="8" t="str">
        <f>"137,5"</f>
        <v>137,5</v>
      </c>
      <c r="M20" s="8" t="str">
        <f>"107,9650"</f>
        <v>107,9650</v>
      </c>
      <c r="N20" s="7" t="s">
        <v>584</v>
      </c>
    </row>
    <row r="21" spans="1:14">
      <c r="B21" s="5" t="s">
        <v>31</v>
      </c>
    </row>
    <row r="22" spans="1:14" ht="16">
      <c r="A22" s="52" t="s">
        <v>117</v>
      </c>
      <c r="B22" s="52"/>
      <c r="C22" s="53"/>
      <c r="D22" s="53"/>
      <c r="E22" s="53"/>
      <c r="F22" s="53"/>
      <c r="G22" s="53"/>
      <c r="H22" s="53"/>
      <c r="I22" s="53"/>
      <c r="J22" s="53"/>
      <c r="K22" s="53"/>
    </row>
    <row r="23" spans="1:14">
      <c r="A23" s="17" t="s">
        <v>30</v>
      </c>
      <c r="B23" s="16" t="s">
        <v>784</v>
      </c>
      <c r="C23" s="16" t="s">
        <v>785</v>
      </c>
      <c r="D23" s="16" t="s">
        <v>600</v>
      </c>
      <c r="E23" s="16" t="s">
        <v>980</v>
      </c>
      <c r="F23" s="16" t="s">
        <v>36</v>
      </c>
      <c r="G23" s="16" t="s">
        <v>968</v>
      </c>
      <c r="H23" s="22" t="s">
        <v>103</v>
      </c>
      <c r="I23" s="22" t="s">
        <v>136</v>
      </c>
      <c r="J23" s="22" t="s">
        <v>114</v>
      </c>
      <c r="K23" s="17"/>
      <c r="L23" s="17" t="str">
        <f>"170,0"</f>
        <v>170,0</v>
      </c>
      <c r="M23" s="17" t="str">
        <f>"125,1200"</f>
        <v>125,1200</v>
      </c>
      <c r="N23" s="16" t="s">
        <v>882</v>
      </c>
    </row>
    <row r="24" spans="1:14">
      <c r="A24" s="21" t="s">
        <v>30</v>
      </c>
      <c r="B24" s="20" t="s">
        <v>336</v>
      </c>
      <c r="C24" s="20" t="s">
        <v>337</v>
      </c>
      <c r="D24" s="20" t="s">
        <v>338</v>
      </c>
      <c r="E24" s="20" t="s">
        <v>981</v>
      </c>
      <c r="F24" s="20" t="s">
        <v>36</v>
      </c>
      <c r="G24" s="20" t="s">
        <v>933</v>
      </c>
      <c r="H24" s="27" t="s">
        <v>84</v>
      </c>
      <c r="I24" s="27" t="s">
        <v>78</v>
      </c>
      <c r="J24" s="27" t="s">
        <v>339</v>
      </c>
      <c r="K24" s="21"/>
      <c r="L24" s="21" t="str">
        <f>"195,0"</f>
        <v>195,0</v>
      </c>
      <c r="M24" s="21" t="str">
        <f>"140,4000"</f>
        <v>140,4000</v>
      </c>
      <c r="N24" s="20" t="s">
        <v>340</v>
      </c>
    </row>
    <row r="25" spans="1:14">
      <c r="A25" s="19" t="s">
        <v>218</v>
      </c>
      <c r="B25" s="18" t="s">
        <v>786</v>
      </c>
      <c r="C25" s="18" t="s">
        <v>787</v>
      </c>
      <c r="D25" s="18" t="s">
        <v>788</v>
      </c>
      <c r="E25" s="18" t="s">
        <v>981</v>
      </c>
      <c r="F25" s="18" t="s">
        <v>36</v>
      </c>
      <c r="G25" s="18" t="s">
        <v>938</v>
      </c>
      <c r="H25" s="24" t="s">
        <v>136</v>
      </c>
      <c r="I25" s="24" t="s">
        <v>114</v>
      </c>
      <c r="J25" s="25" t="s">
        <v>18</v>
      </c>
      <c r="K25" s="19"/>
      <c r="L25" s="19" t="str">
        <f>"170,0"</f>
        <v>170,0</v>
      </c>
      <c r="M25" s="19" t="str">
        <f>"121,2440"</f>
        <v>121,2440</v>
      </c>
      <c r="N25" s="18" t="s">
        <v>318</v>
      </c>
    </row>
    <row r="26" spans="1:14">
      <c r="B26" s="5" t="s">
        <v>31</v>
      </c>
    </row>
    <row r="27" spans="1:14" ht="16">
      <c r="A27" s="52" t="s">
        <v>70</v>
      </c>
      <c r="B27" s="52"/>
      <c r="C27" s="53"/>
      <c r="D27" s="53"/>
      <c r="E27" s="53"/>
      <c r="F27" s="53"/>
      <c r="G27" s="53"/>
      <c r="H27" s="53"/>
      <c r="I27" s="53"/>
      <c r="J27" s="53"/>
      <c r="K27" s="53"/>
    </row>
    <row r="28" spans="1:14">
      <c r="A28" s="17" t="s">
        <v>30</v>
      </c>
      <c r="B28" s="16" t="s">
        <v>789</v>
      </c>
      <c r="C28" s="16" t="s">
        <v>790</v>
      </c>
      <c r="D28" s="16" t="s">
        <v>643</v>
      </c>
      <c r="E28" s="16" t="s">
        <v>981</v>
      </c>
      <c r="F28" s="16" t="s">
        <v>36</v>
      </c>
      <c r="G28" s="16" t="s">
        <v>969</v>
      </c>
      <c r="H28" s="22" t="s">
        <v>151</v>
      </c>
      <c r="I28" s="22" t="s">
        <v>791</v>
      </c>
      <c r="J28" s="22" t="s">
        <v>404</v>
      </c>
      <c r="K28" s="17"/>
      <c r="L28" s="17" t="str">
        <f>"325,0"</f>
        <v>325,0</v>
      </c>
      <c r="M28" s="17" t="str">
        <f>"221,1950"</f>
        <v>221,1950</v>
      </c>
      <c r="N28" s="16"/>
    </row>
    <row r="29" spans="1:14">
      <c r="A29" s="21" t="s">
        <v>218</v>
      </c>
      <c r="B29" s="20" t="s">
        <v>792</v>
      </c>
      <c r="C29" s="20" t="s">
        <v>793</v>
      </c>
      <c r="D29" s="20" t="s">
        <v>794</v>
      </c>
      <c r="E29" s="20" t="s">
        <v>981</v>
      </c>
      <c r="F29" s="20" t="s">
        <v>36</v>
      </c>
      <c r="G29" s="20" t="s">
        <v>933</v>
      </c>
      <c r="H29" s="26" t="s">
        <v>78</v>
      </c>
      <c r="I29" s="27" t="s">
        <v>78</v>
      </c>
      <c r="J29" s="27" t="s">
        <v>495</v>
      </c>
      <c r="K29" s="21"/>
      <c r="L29" s="21" t="str">
        <f>"207,5"</f>
        <v>207,5</v>
      </c>
      <c r="M29" s="21" t="str">
        <f>"142,2205"</f>
        <v>142,2205</v>
      </c>
      <c r="N29" s="20" t="s">
        <v>322</v>
      </c>
    </row>
    <row r="30" spans="1:14">
      <c r="A30" s="21" t="s">
        <v>219</v>
      </c>
      <c r="B30" s="20" t="s">
        <v>795</v>
      </c>
      <c r="C30" s="20" t="s">
        <v>796</v>
      </c>
      <c r="D30" s="20" t="s">
        <v>73</v>
      </c>
      <c r="E30" s="20" t="s">
        <v>981</v>
      </c>
      <c r="F30" s="20" t="s">
        <v>36</v>
      </c>
      <c r="G30" s="20" t="s">
        <v>961</v>
      </c>
      <c r="H30" s="27" t="s">
        <v>128</v>
      </c>
      <c r="I30" s="27" t="s">
        <v>735</v>
      </c>
      <c r="J30" s="27" t="s">
        <v>495</v>
      </c>
      <c r="K30" s="21"/>
      <c r="L30" s="21" t="str">
        <f>"207,5"</f>
        <v>207,5</v>
      </c>
      <c r="M30" s="21" t="str">
        <f>"139,1080"</f>
        <v>139,1080</v>
      </c>
      <c r="N30" s="20" t="s">
        <v>797</v>
      </c>
    </row>
    <row r="31" spans="1:14">
      <c r="A31" s="21" t="s">
        <v>220</v>
      </c>
      <c r="B31" s="20" t="s">
        <v>798</v>
      </c>
      <c r="C31" s="20" t="s">
        <v>799</v>
      </c>
      <c r="D31" s="20" t="s">
        <v>800</v>
      </c>
      <c r="E31" s="20" t="s">
        <v>981</v>
      </c>
      <c r="F31" s="20" t="s">
        <v>893</v>
      </c>
      <c r="G31" s="20" t="s">
        <v>970</v>
      </c>
      <c r="H31" s="27" t="s">
        <v>84</v>
      </c>
      <c r="I31" s="27" t="s">
        <v>78</v>
      </c>
      <c r="J31" s="27" t="s">
        <v>74</v>
      </c>
      <c r="K31" s="21"/>
      <c r="L31" s="21" t="str">
        <f>"200,0"</f>
        <v>200,0</v>
      </c>
      <c r="M31" s="21" t="str">
        <f>"134,5800"</f>
        <v>134,5800</v>
      </c>
      <c r="N31" s="20"/>
    </row>
    <row r="32" spans="1:14">
      <c r="A32" s="19" t="s">
        <v>221</v>
      </c>
      <c r="B32" s="18" t="s">
        <v>801</v>
      </c>
      <c r="C32" s="18" t="s">
        <v>802</v>
      </c>
      <c r="D32" s="18" t="s">
        <v>343</v>
      </c>
      <c r="E32" s="18" t="s">
        <v>981</v>
      </c>
      <c r="F32" s="18" t="s">
        <v>36</v>
      </c>
      <c r="G32" s="18" t="s">
        <v>933</v>
      </c>
      <c r="H32" s="24" t="s">
        <v>78</v>
      </c>
      <c r="I32" s="25" t="s">
        <v>495</v>
      </c>
      <c r="J32" s="25" t="s">
        <v>495</v>
      </c>
      <c r="K32" s="19"/>
      <c r="L32" s="19" t="str">
        <f>"190,0"</f>
        <v>190,0</v>
      </c>
      <c r="M32" s="19" t="str">
        <f>"127,4710"</f>
        <v>127,4710</v>
      </c>
      <c r="N32" s="18"/>
    </row>
    <row r="33" spans="1:14">
      <c r="B33" s="5" t="s">
        <v>31</v>
      </c>
    </row>
    <row r="34" spans="1:14" ht="16">
      <c r="A34" s="52" t="s">
        <v>139</v>
      </c>
      <c r="B34" s="52"/>
      <c r="C34" s="53"/>
      <c r="D34" s="53"/>
      <c r="E34" s="53"/>
      <c r="F34" s="53"/>
      <c r="G34" s="53"/>
      <c r="H34" s="53"/>
      <c r="I34" s="53"/>
      <c r="J34" s="53"/>
      <c r="K34" s="53"/>
    </row>
    <row r="35" spans="1:14">
      <c r="A35" s="17" t="s">
        <v>30</v>
      </c>
      <c r="B35" s="16" t="s">
        <v>803</v>
      </c>
      <c r="C35" s="16" t="s">
        <v>804</v>
      </c>
      <c r="D35" s="16" t="s">
        <v>150</v>
      </c>
      <c r="E35" s="16" t="s">
        <v>984</v>
      </c>
      <c r="F35" s="16" t="s">
        <v>36</v>
      </c>
      <c r="G35" s="16" t="s">
        <v>933</v>
      </c>
      <c r="H35" s="22" t="s">
        <v>64</v>
      </c>
      <c r="I35" s="22" t="s">
        <v>104</v>
      </c>
      <c r="J35" s="23" t="s">
        <v>123</v>
      </c>
      <c r="K35" s="17"/>
      <c r="L35" s="17" t="str">
        <f>"150,0"</f>
        <v>150,0</v>
      </c>
      <c r="M35" s="17" t="str">
        <f>"96,3150"</f>
        <v>96,3150</v>
      </c>
      <c r="N35" s="16"/>
    </row>
    <row r="36" spans="1:14">
      <c r="A36" s="21" t="s">
        <v>30</v>
      </c>
      <c r="B36" s="20" t="s">
        <v>805</v>
      </c>
      <c r="C36" s="20" t="s">
        <v>806</v>
      </c>
      <c r="D36" s="20" t="s">
        <v>807</v>
      </c>
      <c r="E36" s="20" t="s">
        <v>980</v>
      </c>
      <c r="F36" s="20" t="s">
        <v>36</v>
      </c>
      <c r="G36" s="20" t="s">
        <v>933</v>
      </c>
      <c r="H36" s="27" t="s">
        <v>339</v>
      </c>
      <c r="I36" s="27" t="s">
        <v>735</v>
      </c>
      <c r="J36" s="26" t="s">
        <v>147</v>
      </c>
      <c r="K36" s="21"/>
      <c r="L36" s="21" t="str">
        <f>"202,5"</f>
        <v>202,5</v>
      </c>
      <c r="M36" s="21" t="str">
        <f>"131,8477"</f>
        <v>131,8477</v>
      </c>
      <c r="N36" s="20"/>
    </row>
    <row r="37" spans="1:14">
      <c r="A37" s="21" t="s">
        <v>30</v>
      </c>
      <c r="B37" s="20" t="s">
        <v>808</v>
      </c>
      <c r="C37" s="20" t="s">
        <v>809</v>
      </c>
      <c r="D37" s="20" t="s">
        <v>357</v>
      </c>
      <c r="E37" s="20" t="s">
        <v>982</v>
      </c>
      <c r="F37" s="20" t="s">
        <v>36</v>
      </c>
      <c r="G37" s="20" t="s">
        <v>971</v>
      </c>
      <c r="H37" s="27" t="s">
        <v>79</v>
      </c>
      <c r="I37" s="27" t="s">
        <v>75</v>
      </c>
      <c r="J37" s="26" t="s">
        <v>19</v>
      </c>
      <c r="K37" s="21"/>
      <c r="L37" s="21" t="str">
        <f>"220,0"</f>
        <v>220,0</v>
      </c>
      <c r="M37" s="21" t="str">
        <f>"147,3857"</f>
        <v>147,3857</v>
      </c>
      <c r="N37" s="20" t="s">
        <v>881</v>
      </c>
    </row>
    <row r="38" spans="1:14">
      <c r="A38" s="19" t="s">
        <v>30</v>
      </c>
      <c r="B38" s="18" t="s">
        <v>810</v>
      </c>
      <c r="C38" s="18" t="s">
        <v>811</v>
      </c>
      <c r="D38" s="18" t="s">
        <v>656</v>
      </c>
      <c r="E38" s="18" t="s">
        <v>985</v>
      </c>
      <c r="F38" s="18" t="s">
        <v>425</v>
      </c>
      <c r="G38" s="18" t="s">
        <v>933</v>
      </c>
      <c r="H38" s="24" t="s">
        <v>76</v>
      </c>
      <c r="I38" s="24" t="s">
        <v>77</v>
      </c>
      <c r="J38" s="25" t="s">
        <v>103</v>
      </c>
      <c r="K38" s="19"/>
      <c r="L38" s="19" t="str">
        <f>"140,0"</f>
        <v>140,0</v>
      </c>
      <c r="M38" s="19" t="str">
        <f>"130,2941"</f>
        <v>130,2941</v>
      </c>
      <c r="N38" s="18" t="s">
        <v>98</v>
      </c>
    </row>
    <row r="39" spans="1:14">
      <c r="B39" s="5" t="s">
        <v>31</v>
      </c>
    </row>
    <row r="40" spans="1:14" ht="16">
      <c r="A40" s="52" t="s">
        <v>80</v>
      </c>
      <c r="B40" s="52"/>
      <c r="C40" s="53"/>
      <c r="D40" s="53"/>
      <c r="E40" s="53"/>
      <c r="F40" s="53"/>
      <c r="G40" s="53"/>
      <c r="H40" s="53"/>
      <c r="I40" s="53"/>
      <c r="J40" s="53"/>
      <c r="K40" s="53"/>
    </row>
    <row r="41" spans="1:14">
      <c r="A41" s="8" t="s">
        <v>30</v>
      </c>
      <c r="B41" s="7" t="s">
        <v>812</v>
      </c>
      <c r="C41" s="7" t="s">
        <v>813</v>
      </c>
      <c r="D41" s="7" t="s">
        <v>814</v>
      </c>
      <c r="E41" s="7" t="s">
        <v>981</v>
      </c>
      <c r="F41" s="7" t="s">
        <v>893</v>
      </c>
      <c r="G41" s="7" t="s">
        <v>933</v>
      </c>
      <c r="H41" s="14" t="s">
        <v>75</v>
      </c>
      <c r="I41" s="14" t="s">
        <v>20</v>
      </c>
      <c r="J41" s="15" t="s">
        <v>137</v>
      </c>
      <c r="K41" s="8"/>
      <c r="L41" s="8" t="str">
        <f>"240,0"</f>
        <v>240,0</v>
      </c>
      <c r="M41" s="8" t="str">
        <f>"147,1440"</f>
        <v>147,1440</v>
      </c>
      <c r="N41" s="7" t="s">
        <v>746</v>
      </c>
    </row>
    <row r="42" spans="1:14">
      <c r="B42" s="5" t="s">
        <v>31</v>
      </c>
    </row>
    <row r="43" spans="1:14" ht="16">
      <c r="A43" s="52" t="s">
        <v>9</v>
      </c>
      <c r="B43" s="52"/>
      <c r="C43" s="53"/>
      <c r="D43" s="53"/>
      <c r="E43" s="53"/>
      <c r="F43" s="53"/>
      <c r="G43" s="53"/>
      <c r="H43" s="53"/>
      <c r="I43" s="53"/>
      <c r="J43" s="53"/>
      <c r="K43" s="53"/>
    </row>
    <row r="44" spans="1:14">
      <c r="A44" s="17" t="s">
        <v>30</v>
      </c>
      <c r="B44" s="16" t="s">
        <v>387</v>
      </c>
      <c r="C44" s="16" t="s">
        <v>388</v>
      </c>
      <c r="D44" s="16" t="s">
        <v>389</v>
      </c>
      <c r="E44" s="16" t="s">
        <v>980</v>
      </c>
      <c r="F44" s="16" t="s">
        <v>888</v>
      </c>
      <c r="G44" s="16" t="s">
        <v>943</v>
      </c>
      <c r="H44" s="22" t="s">
        <v>79</v>
      </c>
      <c r="I44" s="22" t="s">
        <v>75</v>
      </c>
      <c r="J44" s="22" t="s">
        <v>14</v>
      </c>
      <c r="K44" s="17"/>
      <c r="L44" s="17" t="str">
        <f>"235,0"</f>
        <v>235,0</v>
      </c>
      <c r="M44" s="17" t="str">
        <f>"142,9035"</f>
        <v>142,9035</v>
      </c>
      <c r="N44" s="16" t="s">
        <v>884</v>
      </c>
    </row>
    <row r="45" spans="1:14">
      <c r="A45" s="19" t="s">
        <v>30</v>
      </c>
      <c r="B45" s="18" t="s">
        <v>815</v>
      </c>
      <c r="C45" s="18" t="s">
        <v>816</v>
      </c>
      <c r="D45" s="18" t="s">
        <v>386</v>
      </c>
      <c r="E45" s="18" t="s">
        <v>981</v>
      </c>
      <c r="F45" s="18" t="s">
        <v>157</v>
      </c>
      <c r="G45" s="18" t="s">
        <v>933</v>
      </c>
      <c r="H45" s="24" t="s">
        <v>401</v>
      </c>
      <c r="I45" s="24" t="s">
        <v>138</v>
      </c>
      <c r="J45" s="24" t="s">
        <v>397</v>
      </c>
      <c r="K45" s="19"/>
      <c r="L45" s="19" t="str">
        <f>"270,0"</f>
        <v>270,0</v>
      </c>
      <c r="M45" s="19" t="str">
        <f>"160,2990"</f>
        <v>160,2990</v>
      </c>
      <c r="N45" s="18" t="s">
        <v>173</v>
      </c>
    </row>
    <row r="46" spans="1:14">
      <c r="B46" s="5" t="s">
        <v>31</v>
      </c>
    </row>
    <row r="47" spans="1:14">
      <c r="B47" s="5" t="s">
        <v>31</v>
      </c>
    </row>
    <row r="48" spans="1:14">
      <c r="B48" s="5" t="s">
        <v>31</v>
      </c>
    </row>
    <row r="49" spans="2:6" ht="18">
      <c r="B49" s="9" t="s">
        <v>22</v>
      </c>
      <c r="C49" s="9"/>
    </row>
    <row r="50" spans="2:6" ht="16">
      <c r="B50" s="10" t="s">
        <v>23</v>
      </c>
      <c r="C50" s="10"/>
    </row>
    <row r="51" spans="2:6" ht="14">
      <c r="B51" s="11"/>
      <c r="C51" s="12" t="s">
        <v>24</v>
      </c>
    </row>
    <row r="52" spans="2:6" ht="14">
      <c r="B52" s="13" t="s">
        <v>25</v>
      </c>
      <c r="C52" s="13" t="s">
        <v>26</v>
      </c>
      <c r="D52" s="13" t="s">
        <v>903</v>
      </c>
      <c r="E52" s="13" t="s">
        <v>430</v>
      </c>
      <c r="F52" s="13" t="s">
        <v>28</v>
      </c>
    </row>
    <row r="53" spans="2:6">
      <c r="B53" s="5" t="s">
        <v>789</v>
      </c>
      <c r="C53" s="5" t="s">
        <v>24</v>
      </c>
      <c r="D53" s="6" t="s">
        <v>90</v>
      </c>
      <c r="E53" s="6" t="s">
        <v>404</v>
      </c>
      <c r="F53" s="6" t="s">
        <v>817</v>
      </c>
    </row>
    <row r="54" spans="2:6">
      <c r="B54" s="5" t="s">
        <v>815</v>
      </c>
      <c r="C54" s="5" t="s">
        <v>24</v>
      </c>
      <c r="D54" s="6" t="s">
        <v>29</v>
      </c>
      <c r="E54" s="6" t="s">
        <v>397</v>
      </c>
      <c r="F54" s="6" t="s">
        <v>818</v>
      </c>
    </row>
    <row r="55" spans="2:6">
      <c r="B55" s="5" t="s">
        <v>812</v>
      </c>
      <c r="C55" s="5" t="s">
        <v>24</v>
      </c>
      <c r="D55" s="6" t="s">
        <v>89</v>
      </c>
      <c r="E55" s="6" t="s">
        <v>20</v>
      </c>
      <c r="F55" s="6" t="s">
        <v>819</v>
      </c>
    </row>
  </sheetData>
  <mergeCells count="22">
    <mergeCell ref="A34:K34"/>
    <mergeCell ref="A40:K40"/>
    <mergeCell ref="A43:K43"/>
    <mergeCell ref="B3:B4"/>
    <mergeCell ref="A8:K8"/>
    <mergeCell ref="A11:K11"/>
    <mergeCell ref="A14:K14"/>
    <mergeCell ref="A19:K19"/>
    <mergeCell ref="A22:K22"/>
    <mergeCell ref="A27:K27"/>
    <mergeCell ref="L3:L4"/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2B3FC-E333-41A5-8B41-ADFBF54E45E1}">
  <dimension ref="A1:N30"/>
  <sheetViews>
    <sheetView workbookViewId="0">
      <selection sqref="A1:N2"/>
    </sheetView>
  </sheetViews>
  <sheetFormatPr baseColWidth="10" defaultColWidth="9.1640625" defaultRowHeight="13"/>
  <cols>
    <col min="1" max="1" width="7.1640625" style="5" bestFit="1" customWidth="1"/>
    <col min="2" max="2" width="23.83203125" style="5" customWidth="1"/>
    <col min="3" max="3" width="27.5" style="5" bestFit="1" customWidth="1"/>
    <col min="4" max="4" width="20.83203125" style="5" bestFit="1" customWidth="1"/>
    <col min="5" max="5" width="10.1640625" style="5" bestFit="1" customWidth="1"/>
    <col min="6" max="6" width="24.6640625" style="5" bestFit="1" customWidth="1"/>
    <col min="7" max="7" width="20.5" style="5" bestFit="1" customWidth="1"/>
    <col min="8" max="10" width="5.5" style="6" customWidth="1"/>
    <col min="11" max="11" width="4.5" style="6" customWidth="1"/>
    <col min="12" max="12" width="10.5" style="6" bestFit="1" customWidth="1"/>
    <col min="13" max="13" width="8.5" style="6" bestFit="1" customWidth="1"/>
    <col min="14" max="14" width="23.33203125" style="5" bestFit="1" customWidth="1"/>
    <col min="15" max="16384" width="9.1640625" style="3"/>
  </cols>
  <sheetData>
    <row r="1" spans="1:14" s="2" customFormat="1" ht="29" customHeight="1">
      <c r="A1" s="41" t="s">
        <v>918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4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</row>
    <row r="3" spans="1:14" s="1" customFormat="1" ht="12.75" customHeight="1">
      <c r="A3" s="49" t="s">
        <v>931</v>
      </c>
      <c r="B3" s="54" t="s">
        <v>0</v>
      </c>
      <c r="C3" s="51" t="s">
        <v>978</v>
      </c>
      <c r="D3" s="51" t="s">
        <v>5</v>
      </c>
      <c r="E3" s="35" t="s">
        <v>979</v>
      </c>
      <c r="F3" s="35"/>
      <c r="G3" s="35" t="s">
        <v>920</v>
      </c>
      <c r="H3" s="35" t="s">
        <v>8</v>
      </c>
      <c r="I3" s="35"/>
      <c r="J3" s="35"/>
      <c r="K3" s="35"/>
      <c r="L3" s="35" t="s">
        <v>431</v>
      </c>
      <c r="M3" s="35" t="s">
        <v>3</v>
      </c>
      <c r="N3" s="37" t="s">
        <v>2</v>
      </c>
    </row>
    <row r="4" spans="1:14" s="1" customFormat="1" ht="21" customHeight="1" thickBot="1">
      <c r="A4" s="50"/>
      <c r="B4" s="55"/>
      <c r="C4" s="36"/>
      <c r="D4" s="36"/>
      <c r="E4" s="36"/>
      <c r="F4" s="36"/>
      <c r="G4" s="36"/>
      <c r="H4" s="4">
        <v>1</v>
      </c>
      <c r="I4" s="4">
        <v>2</v>
      </c>
      <c r="J4" s="4">
        <v>3</v>
      </c>
      <c r="K4" s="4" t="s">
        <v>4</v>
      </c>
      <c r="L4" s="36"/>
      <c r="M4" s="36"/>
      <c r="N4" s="38"/>
    </row>
    <row r="5" spans="1:14" ht="16">
      <c r="A5" s="39" t="s">
        <v>99</v>
      </c>
      <c r="B5" s="39"/>
      <c r="C5" s="40"/>
      <c r="D5" s="40"/>
      <c r="E5" s="40"/>
      <c r="F5" s="40"/>
      <c r="G5" s="40"/>
      <c r="H5" s="40"/>
      <c r="I5" s="40"/>
      <c r="J5" s="40"/>
      <c r="K5" s="40"/>
    </row>
    <row r="6" spans="1:14">
      <c r="A6" s="8" t="s">
        <v>30</v>
      </c>
      <c r="B6" s="7" t="s">
        <v>100</v>
      </c>
      <c r="C6" s="7" t="s">
        <v>101</v>
      </c>
      <c r="D6" s="7" t="s">
        <v>102</v>
      </c>
      <c r="E6" s="7" t="s">
        <v>981</v>
      </c>
      <c r="F6" s="7" t="s">
        <v>94</v>
      </c>
      <c r="G6" s="7" t="s">
        <v>944</v>
      </c>
      <c r="H6" s="14" t="s">
        <v>68</v>
      </c>
      <c r="I6" s="14" t="s">
        <v>107</v>
      </c>
      <c r="J6" s="15" t="s">
        <v>78</v>
      </c>
      <c r="K6" s="8"/>
      <c r="L6" s="8" t="str">
        <f>"186,0"</f>
        <v>186,0</v>
      </c>
      <c r="M6" s="8" t="str">
        <f>"219,1638"</f>
        <v>219,1638</v>
      </c>
      <c r="N6" s="7" t="s">
        <v>924</v>
      </c>
    </row>
    <row r="7" spans="1:14">
      <c r="B7" s="5" t="s">
        <v>31</v>
      </c>
    </row>
    <row r="8" spans="1:14" ht="16">
      <c r="A8" s="52" t="s">
        <v>45</v>
      </c>
      <c r="B8" s="52"/>
      <c r="C8" s="53"/>
      <c r="D8" s="53"/>
      <c r="E8" s="53"/>
      <c r="F8" s="53"/>
      <c r="G8" s="53"/>
      <c r="H8" s="53"/>
      <c r="I8" s="53"/>
      <c r="J8" s="53"/>
      <c r="K8" s="53"/>
    </row>
    <row r="9" spans="1:14">
      <c r="A9" s="8" t="s">
        <v>30</v>
      </c>
      <c r="B9" s="7" t="s">
        <v>439</v>
      </c>
      <c r="C9" s="7" t="s">
        <v>440</v>
      </c>
      <c r="D9" s="7" t="s">
        <v>441</v>
      </c>
      <c r="E9" s="7" t="s">
        <v>981</v>
      </c>
      <c r="F9" s="7" t="s">
        <v>36</v>
      </c>
      <c r="G9" s="7" t="s">
        <v>933</v>
      </c>
      <c r="H9" s="14" t="s">
        <v>77</v>
      </c>
      <c r="I9" s="14" t="s">
        <v>104</v>
      </c>
      <c r="J9" s="15" t="s">
        <v>136</v>
      </c>
      <c r="K9" s="8"/>
      <c r="L9" s="8" t="str">
        <f>"150,0"</f>
        <v>150,0</v>
      </c>
      <c r="M9" s="8" t="str">
        <f>"162,2700"</f>
        <v>162,2700</v>
      </c>
      <c r="N9" s="7"/>
    </row>
    <row r="10" spans="1:14">
      <c r="B10" s="5" t="s">
        <v>31</v>
      </c>
    </row>
    <row r="11" spans="1:14" ht="16">
      <c r="A11" s="52" t="s">
        <v>70</v>
      </c>
      <c r="B11" s="52"/>
      <c r="C11" s="53"/>
      <c r="D11" s="53"/>
      <c r="E11" s="53"/>
      <c r="F11" s="53"/>
      <c r="G11" s="53"/>
      <c r="H11" s="53"/>
      <c r="I11" s="53"/>
      <c r="J11" s="53"/>
      <c r="K11" s="53"/>
    </row>
    <row r="12" spans="1:14">
      <c r="A12" s="17" t="s">
        <v>30</v>
      </c>
      <c r="B12" s="16" t="s">
        <v>754</v>
      </c>
      <c r="C12" s="16" t="s">
        <v>755</v>
      </c>
      <c r="D12" s="16" t="s">
        <v>639</v>
      </c>
      <c r="E12" s="16" t="s">
        <v>982</v>
      </c>
      <c r="F12" s="16" t="s">
        <v>435</v>
      </c>
      <c r="G12" s="16" t="s">
        <v>933</v>
      </c>
      <c r="H12" s="22" t="s">
        <v>68</v>
      </c>
      <c r="I12" s="22" t="s">
        <v>78</v>
      </c>
      <c r="J12" s="17"/>
      <c r="K12" s="17"/>
      <c r="L12" s="17" t="str">
        <f>"190,0"</f>
        <v>190,0</v>
      </c>
      <c r="M12" s="17" t="str">
        <f>"131,9528"</f>
        <v>131,9528</v>
      </c>
      <c r="N12" s="16"/>
    </row>
    <row r="13" spans="1:14">
      <c r="A13" s="19" t="s">
        <v>30</v>
      </c>
      <c r="B13" s="18" t="s">
        <v>756</v>
      </c>
      <c r="C13" s="18" t="s">
        <v>757</v>
      </c>
      <c r="D13" s="18" t="s">
        <v>632</v>
      </c>
      <c r="E13" s="18" t="s">
        <v>986</v>
      </c>
      <c r="F13" s="18" t="s">
        <v>36</v>
      </c>
      <c r="G13" s="18" t="s">
        <v>933</v>
      </c>
      <c r="H13" s="24" t="s">
        <v>78</v>
      </c>
      <c r="I13" s="24" t="s">
        <v>79</v>
      </c>
      <c r="J13" s="24" t="s">
        <v>85</v>
      </c>
      <c r="K13" s="19"/>
      <c r="L13" s="19" t="str">
        <f>"215,0"</f>
        <v>215,0</v>
      </c>
      <c r="M13" s="19" t="str">
        <f>"193,5891"</f>
        <v>193,5891</v>
      </c>
      <c r="N13" s="18" t="s">
        <v>758</v>
      </c>
    </row>
    <row r="14" spans="1:14">
      <c r="B14" s="5" t="s">
        <v>31</v>
      </c>
    </row>
    <row r="15" spans="1:14" ht="16">
      <c r="A15" s="52" t="s">
        <v>139</v>
      </c>
      <c r="B15" s="52"/>
      <c r="C15" s="53"/>
      <c r="D15" s="53"/>
      <c r="E15" s="53"/>
      <c r="F15" s="53"/>
      <c r="G15" s="53"/>
      <c r="H15" s="53"/>
      <c r="I15" s="53"/>
      <c r="J15" s="53"/>
      <c r="K15" s="53"/>
    </row>
    <row r="16" spans="1:14">
      <c r="A16" s="17" t="s">
        <v>30</v>
      </c>
      <c r="B16" s="16" t="s">
        <v>148</v>
      </c>
      <c r="C16" s="16" t="s">
        <v>149</v>
      </c>
      <c r="D16" s="16" t="s">
        <v>150</v>
      </c>
      <c r="E16" s="16" t="s">
        <v>981</v>
      </c>
      <c r="F16" s="16" t="s">
        <v>890</v>
      </c>
      <c r="G16" s="16" t="s">
        <v>933</v>
      </c>
      <c r="H16" s="22" t="s">
        <v>151</v>
      </c>
      <c r="I16" s="22" t="s">
        <v>152</v>
      </c>
      <c r="J16" s="23" t="s">
        <v>153</v>
      </c>
      <c r="K16" s="17"/>
      <c r="L16" s="17" t="str">
        <f>"322,5"</f>
        <v>322,5</v>
      </c>
      <c r="M16" s="17" t="str">
        <f>"207,0772"</f>
        <v>207,0772</v>
      </c>
      <c r="N16" s="16"/>
    </row>
    <row r="17" spans="1:14">
      <c r="A17" s="19" t="s">
        <v>30</v>
      </c>
      <c r="B17" s="18" t="s">
        <v>154</v>
      </c>
      <c r="C17" s="18" t="s">
        <v>155</v>
      </c>
      <c r="D17" s="18" t="s">
        <v>156</v>
      </c>
      <c r="E17" s="18" t="s">
        <v>982</v>
      </c>
      <c r="F17" s="18" t="s">
        <v>157</v>
      </c>
      <c r="G17" s="18" t="s">
        <v>933</v>
      </c>
      <c r="H17" s="24" t="s">
        <v>14</v>
      </c>
      <c r="I17" s="24" t="s">
        <v>15</v>
      </c>
      <c r="J17" s="24" t="s">
        <v>158</v>
      </c>
      <c r="K17" s="19"/>
      <c r="L17" s="19" t="str">
        <f>"255,0"</f>
        <v>255,0</v>
      </c>
      <c r="M17" s="19" t="str">
        <f>"164,8361"</f>
        <v>164,8361</v>
      </c>
      <c r="N17" s="18" t="s">
        <v>930</v>
      </c>
    </row>
    <row r="18" spans="1:14">
      <c r="B18" s="5" t="s">
        <v>31</v>
      </c>
    </row>
    <row r="19" spans="1:14" ht="16">
      <c r="A19" s="52" t="s">
        <v>80</v>
      </c>
      <c r="B19" s="52"/>
      <c r="C19" s="53"/>
      <c r="D19" s="53"/>
      <c r="E19" s="53"/>
      <c r="F19" s="53"/>
      <c r="G19" s="53"/>
      <c r="H19" s="53"/>
      <c r="I19" s="53"/>
      <c r="J19" s="53"/>
      <c r="K19" s="53"/>
    </row>
    <row r="20" spans="1:14">
      <c r="A20" s="17" t="s">
        <v>30</v>
      </c>
      <c r="B20" s="16" t="s">
        <v>759</v>
      </c>
      <c r="C20" s="16" t="s">
        <v>760</v>
      </c>
      <c r="D20" s="16" t="s">
        <v>761</v>
      </c>
      <c r="E20" s="16" t="s">
        <v>981</v>
      </c>
      <c r="F20" s="16" t="s">
        <v>36</v>
      </c>
      <c r="G20" s="16" t="s">
        <v>972</v>
      </c>
      <c r="H20" s="22" t="s">
        <v>151</v>
      </c>
      <c r="I20" s="22" t="s">
        <v>404</v>
      </c>
      <c r="J20" s="22" t="s">
        <v>762</v>
      </c>
      <c r="K20" s="17"/>
      <c r="L20" s="17" t="str">
        <f>"347,5"</f>
        <v>347,5</v>
      </c>
      <c r="M20" s="17" t="str">
        <f>"214,1642"</f>
        <v>214,1642</v>
      </c>
      <c r="N20" s="16"/>
    </row>
    <row r="21" spans="1:14">
      <c r="A21" s="21" t="s">
        <v>218</v>
      </c>
      <c r="B21" s="20" t="s">
        <v>160</v>
      </c>
      <c r="C21" s="20" t="s">
        <v>161</v>
      </c>
      <c r="D21" s="20" t="s">
        <v>162</v>
      </c>
      <c r="E21" s="20" t="s">
        <v>981</v>
      </c>
      <c r="F21" s="20" t="s">
        <v>889</v>
      </c>
      <c r="G21" s="20" t="s">
        <v>933</v>
      </c>
      <c r="H21" s="27" t="s">
        <v>164</v>
      </c>
      <c r="I21" s="27" t="s">
        <v>153</v>
      </c>
      <c r="J21" s="21"/>
      <c r="K21" s="21"/>
      <c r="L21" s="21" t="str">
        <f>"345,0"</f>
        <v>345,0</v>
      </c>
      <c r="M21" s="21" t="str">
        <f>"210,8295"</f>
        <v>210,8295</v>
      </c>
      <c r="N21" s="20"/>
    </row>
    <row r="22" spans="1:14">
      <c r="A22" s="19" t="s">
        <v>219</v>
      </c>
      <c r="B22" s="18" t="s">
        <v>169</v>
      </c>
      <c r="C22" s="18" t="s">
        <v>170</v>
      </c>
      <c r="D22" s="18" t="s">
        <v>171</v>
      </c>
      <c r="E22" s="18" t="s">
        <v>981</v>
      </c>
      <c r="F22" s="18" t="s">
        <v>157</v>
      </c>
      <c r="G22" s="18" t="s">
        <v>933</v>
      </c>
      <c r="H22" s="24" t="s">
        <v>168</v>
      </c>
      <c r="I22" s="24" t="s">
        <v>163</v>
      </c>
      <c r="J22" s="25" t="s">
        <v>172</v>
      </c>
      <c r="K22" s="19"/>
      <c r="L22" s="19" t="str">
        <f>"305,0"</f>
        <v>305,0</v>
      </c>
      <c r="M22" s="19" t="str">
        <f>"186,0805"</f>
        <v>186,0805</v>
      </c>
      <c r="N22" s="18" t="s">
        <v>173</v>
      </c>
    </row>
    <row r="23" spans="1:14">
      <c r="B23" s="5" t="s">
        <v>31</v>
      </c>
    </row>
    <row r="24" spans="1:14" ht="16">
      <c r="A24" s="52" t="s">
        <v>9</v>
      </c>
      <c r="B24" s="52"/>
      <c r="C24" s="53"/>
      <c r="D24" s="53"/>
      <c r="E24" s="53"/>
      <c r="F24" s="53"/>
      <c r="G24" s="53"/>
      <c r="H24" s="53"/>
      <c r="I24" s="53"/>
      <c r="J24" s="53"/>
      <c r="K24" s="53"/>
    </row>
    <row r="25" spans="1:14">
      <c r="A25" s="17" t="s">
        <v>30</v>
      </c>
      <c r="B25" s="16" t="s">
        <v>763</v>
      </c>
      <c r="C25" s="16" t="s">
        <v>764</v>
      </c>
      <c r="D25" s="16" t="s">
        <v>765</v>
      </c>
      <c r="E25" s="16" t="s">
        <v>984</v>
      </c>
      <c r="F25" s="16" t="s">
        <v>36</v>
      </c>
      <c r="G25" s="16" t="s">
        <v>936</v>
      </c>
      <c r="H25" s="22" t="s">
        <v>67</v>
      </c>
      <c r="I25" s="22" t="s">
        <v>68</v>
      </c>
      <c r="J25" s="22" t="s">
        <v>84</v>
      </c>
      <c r="K25" s="17"/>
      <c r="L25" s="17" t="str">
        <f>"180,0"</f>
        <v>180,0</v>
      </c>
      <c r="M25" s="17" t="str">
        <f>"106,1100"</f>
        <v>106,1100</v>
      </c>
      <c r="N25" s="16" t="s">
        <v>766</v>
      </c>
    </row>
    <row r="26" spans="1:14">
      <c r="A26" s="19" t="s">
        <v>30</v>
      </c>
      <c r="B26" s="18" t="s">
        <v>767</v>
      </c>
      <c r="C26" s="18" t="s">
        <v>768</v>
      </c>
      <c r="D26" s="18" t="s">
        <v>503</v>
      </c>
      <c r="E26" s="18" t="s">
        <v>981</v>
      </c>
      <c r="F26" s="18" t="s">
        <v>888</v>
      </c>
      <c r="G26" s="18" t="s">
        <v>935</v>
      </c>
      <c r="H26" s="24" t="s">
        <v>168</v>
      </c>
      <c r="I26" s="24" t="s">
        <v>163</v>
      </c>
      <c r="J26" s="24" t="s">
        <v>88</v>
      </c>
      <c r="K26" s="19"/>
      <c r="L26" s="19" t="str">
        <f>"317,5"</f>
        <v>317,5</v>
      </c>
      <c r="M26" s="19" t="str">
        <f>"186,8488"</f>
        <v>186,8488</v>
      </c>
      <c r="N26" s="18"/>
    </row>
    <row r="27" spans="1:14">
      <c r="B27" s="5" t="s">
        <v>31</v>
      </c>
    </row>
    <row r="28" spans="1:14" ht="16">
      <c r="A28" s="52" t="s">
        <v>198</v>
      </c>
      <c r="B28" s="52"/>
      <c r="C28" s="53"/>
      <c r="D28" s="53"/>
      <c r="E28" s="53"/>
      <c r="F28" s="53"/>
      <c r="G28" s="53"/>
      <c r="H28" s="53"/>
      <c r="I28" s="53"/>
      <c r="J28" s="53"/>
      <c r="K28" s="53"/>
    </row>
    <row r="29" spans="1:14">
      <c r="A29" s="8" t="s">
        <v>30</v>
      </c>
      <c r="B29" s="7" t="s">
        <v>199</v>
      </c>
      <c r="C29" s="7" t="s">
        <v>200</v>
      </c>
      <c r="D29" s="7" t="s">
        <v>201</v>
      </c>
      <c r="E29" s="7" t="s">
        <v>981</v>
      </c>
      <c r="F29" s="7" t="s">
        <v>94</v>
      </c>
      <c r="G29" s="7" t="s">
        <v>933</v>
      </c>
      <c r="H29" s="14" t="s">
        <v>129</v>
      </c>
      <c r="I29" s="14" t="s">
        <v>130</v>
      </c>
      <c r="J29" s="14" t="s">
        <v>168</v>
      </c>
      <c r="K29" s="8"/>
      <c r="L29" s="8" t="str">
        <f>"290,0"</f>
        <v>290,0</v>
      </c>
      <c r="M29" s="8" t="str">
        <f>"167,6780"</f>
        <v>167,6780</v>
      </c>
      <c r="N29" s="7" t="s">
        <v>98</v>
      </c>
    </row>
    <row r="30" spans="1:14">
      <c r="B30" s="5" t="s">
        <v>31</v>
      </c>
    </row>
  </sheetData>
  <mergeCells count="19">
    <mergeCell ref="A28:K28"/>
    <mergeCell ref="L3:L4"/>
    <mergeCell ref="M3:M4"/>
    <mergeCell ref="N3:N4"/>
    <mergeCell ref="A5:K5"/>
    <mergeCell ref="B3:B4"/>
    <mergeCell ref="A8:K8"/>
    <mergeCell ref="A11:K11"/>
    <mergeCell ref="A15:K15"/>
    <mergeCell ref="A19:K19"/>
    <mergeCell ref="A24:K24"/>
    <mergeCell ref="A1:N2"/>
    <mergeCell ref="A3:A4"/>
    <mergeCell ref="C3:C4"/>
    <mergeCell ref="D3:D4"/>
    <mergeCell ref="E3:E4"/>
    <mergeCell ref="F3:F4"/>
    <mergeCell ref="G3:G4"/>
    <mergeCell ref="H3:K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49013-85DA-4191-AC1C-8DD4FF4741D7}">
  <dimension ref="A1:N35"/>
  <sheetViews>
    <sheetView tabSelected="1" workbookViewId="0">
      <selection sqref="A1:N2"/>
    </sheetView>
  </sheetViews>
  <sheetFormatPr baseColWidth="10" defaultColWidth="9.1640625" defaultRowHeight="13"/>
  <cols>
    <col min="1" max="1" width="7.1640625" style="5" bestFit="1" customWidth="1"/>
    <col min="2" max="2" width="21.6640625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1.83203125" style="5" bestFit="1" customWidth="1"/>
    <col min="7" max="7" width="21.83203125" style="5" customWidth="1"/>
    <col min="8" max="11" width="5.6640625" style="6" customWidth="1"/>
    <col min="12" max="12" width="14" style="6" customWidth="1"/>
    <col min="13" max="13" width="7.5" style="6" bestFit="1" customWidth="1"/>
    <col min="14" max="14" width="24.1640625" style="5" customWidth="1"/>
    <col min="15" max="16384" width="9.1640625" style="3"/>
  </cols>
  <sheetData>
    <row r="1" spans="1:14" s="2" customFormat="1" ht="29" customHeight="1">
      <c r="A1" s="41" t="s">
        <v>919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4" s="2" customFormat="1" ht="69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</row>
    <row r="3" spans="1:14" s="1" customFormat="1" ht="12.75" customHeight="1">
      <c r="A3" s="49" t="s">
        <v>931</v>
      </c>
      <c r="B3" s="54" t="s">
        <v>0</v>
      </c>
      <c r="C3" s="51" t="s">
        <v>978</v>
      </c>
      <c r="D3" s="51" t="s">
        <v>5</v>
      </c>
      <c r="E3" s="35" t="s">
        <v>979</v>
      </c>
      <c r="F3" s="35"/>
      <c r="G3" s="35" t="s">
        <v>920</v>
      </c>
      <c r="H3" s="35" t="s">
        <v>932</v>
      </c>
      <c r="I3" s="35"/>
      <c r="J3" s="35"/>
      <c r="K3" s="35"/>
      <c r="L3" s="35" t="s">
        <v>431</v>
      </c>
      <c r="M3" s="35" t="s">
        <v>3</v>
      </c>
      <c r="N3" s="37" t="s">
        <v>2</v>
      </c>
    </row>
    <row r="4" spans="1:14" s="1" customFormat="1" ht="21" customHeight="1" thickBot="1">
      <c r="A4" s="50"/>
      <c r="B4" s="55"/>
      <c r="C4" s="36"/>
      <c r="D4" s="36"/>
      <c r="E4" s="36"/>
      <c r="F4" s="36"/>
      <c r="G4" s="36"/>
      <c r="H4" s="4">
        <v>1</v>
      </c>
      <c r="I4" s="4">
        <v>2</v>
      </c>
      <c r="J4" s="4">
        <v>3</v>
      </c>
      <c r="K4" s="4" t="s">
        <v>4</v>
      </c>
      <c r="L4" s="36"/>
      <c r="M4" s="36"/>
      <c r="N4" s="38"/>
    </row>
    <row r="5" spans="1:14" ht="16">
      <c r="A5" s="39" t="s">
        <v>237</v>
      </c>
      <c r="B5" s="39"/>
      <c r="C5" s="40"/>
      <c r="D5" s="40"/>
      <c r="E5" s="40"/>
      <c r="F5" s="40"/>
      <c r="G5" s="40"/>
      <c r="H5" s="40"/>
      <c r="I5" s="40"/>
      <c r="J5" s="40"/>
      <c r="K5" s="40"/>
    </row>
    <row r="6" spans="1:14">
      <c r="A6" s="8" t="s">
        <v>30</v>
      </c>
      <c r="B6" s="7" t="s">
        <v>841</v>
      </c>
      <c r="C6" s="7" t="s">
        <v>894</v>
      </c>
      <c r="D6" s="7" t="s">
        <v>234</v>
      </c>
      <c r="E6" s="7" t="s">
        <v>988</v>
      </c>
      <c r="F6" s="7" t="s">
        <v>36</v>
      </c>
      <c r="G6" s="7" t="s">
        <v>933</v>
      </c>
      <c r="H6" s="14" t="s">
        <v>229</v>
      </c>
      <c r="I6" s="14" t="s">
        <v>831</v>
      </c>
      <c r="J6" s="14" t="s">
        <v>842</v>
      </c>
      <c r="K6" s="14" t="s">
        <v>843</v>
      </c>
      <c r="L6" s="8" t="str">
        <f>"35,0"</f>
        <v>35,0</v>
      </c>
      <c r="M6" s="8" t="str">
        <f>"37,0510"</f>
        <v>37,0510</v>
      </c>
      <c r="N6" s="7"/>
    </row>
    <row r="7" spans="1:14">
      <c r="B7" s="5" t="s">
        <v>31</v>
      </c>
    </row>
    <row r="8" spans="1:14" ht="16">
      <c r="A8" s="52" t="s">
        <v>45</v>
      </c>
      <c r="B8" s="52"/>
      <c r="C8" s="53"/>
      <c r="D8" s="53"/>
      <c r="E8" s="53"/>
      <c r="F8" s="53"/>
      <c r="G8" s="53"/>
      <c r="H8" s="53"/>
      <c r="I8" s="53"/>
      <c r="J8" s="53"/>
      <c r="K8" s="53"/>
    </row>
    <row r="9" spans="1:14">
      <c r="A9" s="17" t="s">
        <v>30</v>
      </c>
      <c r="B9" s="16" t="s">
        <v>844</v>
      </c>
      <c r="C9" s="16" t="s">
        <v>896</v>
      </c>
      <c r="D9" s="16" t="s">
        <v>845</v>
      </c>
      <c r="E9" s="16" t="s">
        <v>988</v>
      </c>
      <c r="F9" s="16" t="s">
        <v>36</v>
      </c>
      <c r="G9" s="16" t="s">
        <v>933</v>
      </c>
      <c r="H9" s="22" t="s">
        <v>96</v>
      </c>
      <c r="I9" s="23" t="s">
        <v>227</v>
      </c>
      <c r="J9" s="23" t="s">
        <v>227</v>
      </c>
      <c r="K9" s="17"/>
      <c r="L9" s="17" t="str">
        <f>"50,0"</f>
        <v>50,0</v>
      </c>
      <c r="M9" s="17" t="str">
        <f>"37,9500"</f>
        <v>37,9500</v>
      </c>
      <c r="N9" s="16" t="s">
        <v>846</v>
      </c>
    </row>
    <row r="10" spans="1:14">
      <c r="A10" s="19" t="s">
        <v>218</v>
      </c>
      <c r="B10" s="18" t="s">
        <v>847</v>
      </c>
      <c r="C10" s="18" t="s">
        <v>895</v>
      </c>
      <c r="D10" s="18" t="s">
        <v>848</v>
      </c>
      <c r="E10" s="18" t="s">
        <v>988</v>
      </c>
      <c r="F10" s="18" t="s">
        <v>36</v>
      </c>
      <c r="G10" s="18" t="s">
        <v>945</v>
      </c>
      <c r="H10" s="25" t="s">
        <v>40</v>
      </c>
      <c r="I10" s="24" t="s">
        <v>40</v>
      </c>
      <c r="J10" s="24" t="s">
        <v>41</v>
      </c>
      <c r="K10" s="19"/>
      <c r="L10" s="19" t="str">
        <f>"42,5"</f>
        <v>42,5</v>
      </c>
      <c r="M10" s="19" t="str">
        <f>"34,3591"</f>
        <v>34,3591</v>
      </c>
      <c r="N10" s="18" t="s">
        <v>584</v>
      </c>
    </row>
    <row r="11" spans="1:14">
      <c r="B11" s="5" t="s">
        <v>31</v>
      </c>
    </row>
    <row r="12" spans="1:14" ht="16">
      <c r="A12" s="52" t="s">
        <v>117</v>
      </c>
      <c r="B12" s="52"/>
      <c r="C12" s="53"/>
      <c r="D12" s="53"/>
      <c r="E12" s="53"/>
      <c r="F12" s="53"/>
      <c r="G12" s="53"/>
      <c r="H12" s="53"/>
      <c r="I12" s="53"/>
      <c r="J12" s="53"/>
      <c r="K12" s="53"/>
    </row>
    <row r="13" spans="1:14">
      <c r="A13" s="17" t="s">
        <v>30</v>
      </c>
      <c r="B13" s="16" t="s">
        <v>849</v>
      </c>
      <c r="C13" s="16" t="s">
        <v>850</v>
      </c>
      <c r="D13" s="16" t="s">
        <v>851</v>
      </c>
      <c r="E13" s="16" t="s">
        <v>981</v>
      </c>
      <c r="F13" s="16" t="s">
        <v>889</v>
      </c>
      <c r="G13" s="16" t="s">
        <v>973</v>
      </c>
      <c r="H13" s="22" t="s">
        <v>52</v>
      </c>
      <c r="I13" s="22" t="s">
        <v>53</v>
      </c>
      <c r="J13" s="23" t="s">
        <v>54</v>
      </c>
      <c r="K13" s="17"/>
      <c r="L13" s="17" t="str">
        <f>"70,0"</f>
        <v>70,0</v>
      </c>
      <c r="M13" s="17" t="str">
        <f>"48,5800"</f>
        <v>48,5800</v>
      </c>
      <c r="N13" s="16"/>
    </row>
    <row r="14" spans="1:14">
      <c r="A14" s="19" t="s">
        <v>222</v>
      </c>
      <c r="B14" s="18" t="s">
        <v>852</v>
      </c>
      <c r="C14" s="18" t="s">
        <v>853</v>
      </c>
      <c r="D14" s="18" t="s">
        <v>854</v>
      </c>
      <c r="E14" s="18" t="s">
        <v>981</v>
      </c>
      <c r="F14" s="18" t="s">
        <v>36</v>
      </c>
      <c r="G14" s="18" t="s">
        <v>934</v>
      </c>
      <c r="H14" s="25" t="s">
        <v>242</v>
      </c>
      <c r="I14" s="25" t="s">
        <v>242</v>
      </c>
      <c r="J14" s="25" t="s">
        <v>242</v>
      </c>
      <c r="K14" s="19"/>
      <c r="L14" s="19" t="str">
        <f>"0.00"</f>
        <v>0.00</v>
      </c>
      <c r="M14" s="19" t="str">
        <f>"0,0000"</f>
        <v>0,0000</v>
      </c>
      <c r="N14" s="18" t="s">
        <v>257</v>
      </c>
    </row>
    <row r="15" spans="1:14">
      <c r="B15" s="5" t="s">
        <v>31</v>
      </c>
    </row>
    <row r="16" spans="1:14" ht="16">
      <c r="A16" s="52" t="s">
        <v>70</v>
      </c>
      <c r="B16" s="52"/>
      <c r="C16" s="53"/>
      <c r="D16" s="53"/>
      <c r="E16" s="53"/>
      <c r="F16" s="53"/>
      <c r="G16" s="53"/>
      <c r="H16" s="53"/>
      <c r="I16" s="53"/>
      <c r="J16" s="53"/>
      <c r="K16" s="53"/>
    </row>
    <row r="17" spans="1:14">
      <c r="A17" s="17" t="s">
        <v>30</v>
      </c>
      <c r="B17" s="16" t="s">
        <v>855</v>
      </c>
      <c r="C17" s="16" t="s">
        <v>897</v>
      </c>
      <c r="D17" s="16" t="s">
        <v>856</v>
      </c>
      <c r="E17" s="16" t="s">
        <v>980</v>
      </c>
      <c r="F17" s="16" t="s">
        <v>889</v>
      </c>
      <c r="G17" s="16" t="s">
        <v>933</v>
      </c>
      <c r="H17" s="22" t="s">
        <v>294</v>
      </c>
      <c r="I17" s="23" t="s">
        <v>54</v>
      </c>
      <c r="J17" s="23" t="s">
        <v>54</v>
      </c>
      <c r="K17" s="17"/>
      <c r="L17" s="17" t="str">
        <f>"67,5"</f>
        <v>67,5</v>
      </c>
      <c r="M17" s="17" t="str">
        <f>"44,9449"</f>
        <v>44,9449</v>
      </c>
      <c r="N17" s="16"/>
    </row>
    <row r="18" spans="1:14">
      <c r="A18" s="21" t="s">
        <v>30</v>
      </c>
      <c r="B18" s="20" t="s">
        <v>857</v>
      </c>
      <c r="C18" s="20" t="s">
        <v>858</v>
      </c>
      <c r="D18" s="20" t="s">
        <v>651</v>
      </c>
      <c r="E18" s="20" t="s">
        <v>981</v>
      </c>
      <c r="F18" s="20" t="s">
        <v>36</v>
      </c>
      <c r="G18" s="20" t="s">
        <v>933</v>
      </c>
      <c r="H18" s="27" t="s">
        <v>242</v>
      </c>
      <c r="I18" s="26" t="s">
        <v>54</v>
      </c>
      <c r="J18" s="27" t="s">
        <v>54</v>
      </c>
      <c r="K18" s="21"/>
      <c r="L18" s="21" t="str">
        <f>"72,5"</f>
        <v>72,5</v>
      </c>
      <c r="M18" s="21" t="str">
        <f>"47,1830"</f>
        <v>47,1830</v>
      </c>
      <c r="N18" s="20"/>
    </row>
    <row r="19" spans="1:14">
      <c r="A19" s="21" t="s">
        <v>218</v>
      </c>
      <c r="B19" s="20" t="s">
        <v>855</v>
      </c>
      <c r="C19" s="20" t="s">
        <v>859</v>
      </c>
      <c r="D19" s="20" t="s">
        <v>856</v>
      </c>
      <c r="E19" s="20" t="s">
        <v>981</v>
      </c>
      <c r="F19" s="20" t="s">
        <v>889</v>
      </c>
      <c r="G19" s="20" t="s">
        <v>933</v>
      </c>
      <c r="H19" s="27" t="s">
        <v>294</v>
      </c>
      <c r="I19" s="26" t="s">
        <v>54</v>
      </c>
      <c r="J19" s="26" t="s">
        <v>54</v>
      </c>
      <c r="K19" s="21"/>
      <c r="L19" s="21" t="str">
        <f>"67,5"</f>
        <v>67,5</v>
      </c>
      <c r="M19" s="21" t="str">
        <f>"44,9449"</f>
        <v>44,9449</v>
      </c>
      <c r="N19" s="20"/>
    </row>
    <row r="20" spans="1:14">
      <c r="A20" s="19" t="s">
        <v>219</v>
      </c>
      <c r="B20" s="18" t="s">
        <v>860</v>
      </c>
      <c r="C20" s="18" t="s">
        <v>861</v>
      </c>
      <c r="D20" s="18" t="s">
        <v>862</v>
      </c>
      <c r="E20" s="18" t="s">
        <v>981</v>
      </c>
      <c r="F20" s="18" t="s">
        <v>36</v>
      </c>
      <c r="G20" s="18" t="s">
        <v>945</v>
      </c>
      <c r="H20" s="24" t="s">
        <v>256</v>
      </c>
      <c r="I20" s="24" t="s">
        <v>227</v>
      </c>
      <c r="J20" s="25" t="s">
        <v>52</v>
      </c>
      <c r="K20" s="19"/>
      <c r="L20" s="19" t="str">
        <f>"55,0"</f>
        <v>55,0</v>
      </c>
      <c r="M20" s="19" t="str">
        <f>"36,2422"</f>
        <v>36,2422</v>
      </c>
      <c r="N20" s="18"/>
    </row>
    <row r="21" spans="1:14">
      <c r="B21" s="5" t="s">
        <v>31</v>
      </c>
    </row>
    <row r="22" spans="1:14" ht="16">
      <c r="A22" s="52" t="s">
        <v>139</v>
      </c>
      <c r="B22" s="52"/>
      <c r="C22" s="53"/>
      <c r="D22" s="53"/>
      <c r="E22" s="53"/>
      <c r="F22" s="53"/>
      <c r="G22" s="53"/>
      <c r="H22" s="53"/>
      <c r="I22" s="53"/>
      <c r="J22" s="53"/>
      <c r="K22" s="53"/>
    </row>
    <row r="23" spans="1:14">
      <c r="A23" s="17" t="s">
        <v>30</v>
      </c>
      <c r="B23" s="16" t="s">
        <v>463</v>
      </c>
      <c r="C23" s="16" t="s">
        <v>898</v>
      </c>
      <c r="D23" s="16" t="s">
        <v>465</v>
      </c>
      <c r="E23" s="16" t="s">
        <v>988</v>
      </c>
      <c r="F23" s="16" t="s">
        <v>36</v>
      </c>
      <c r="G23" s="16" t="s">
        <v>937</v>
      </c>
      <c r="H23" s="23" t="s">
        <v>40</v>
      </c>
      <c r="I23" s="22" t="s">
        <v>40</v>
      </c>
      <c r="J23" s="22" t="s">
        <v>41</v>
      </c>
      <c r="K23" s="17"/>
      <c r="L23" s="17" t="str">
        <f>"42,5"</f>
        <v>42,5</v>
      </c>
      <c r="M23" s="17" t="str">
        <f>"26,1014"</f>
        <v>26,1014</v>
      </c>
      <c r="N23" s="16"/>
    </row>
    <row r="24" spans="1:14">
      <c r="A24" s="19" t="s">
        <v>222</v>
      </c>
      <c r="B24" s="18" t="s">
        <v>863</v>
      </c>
      <c r="C24" s="18" t="s">
        <v>864</v>
      </c>
      <c r="D24" s="18" t="s">
        <v>865</v>
      </c>
      <c r="E24" s="18" t="s">
        <v>981</v>
      </c>
      <c r="F24" s="18" t="s">
        <v>36</v>
      </c>
      <c r="G24" s="18" t="s">
        <v>974</v>
      </c>
      <c r="H24" s="25" t="s">
        <v>251</v>
      </c>
      <c r="I24" s="25" t="s">
        <v>251</v>
      </c>
      <c r="J24" s="25" t="s">
        <v>251</v>
      </c>
      <c r="K24" s="19"/>
      <c r="L24" s="19" t="str">
        <f>"0.00"</f>
        <v>0.00</v>
      </c>
      <c r="M24" s="19" t="str">
        <f>"0,0000"</f>
        <v>0,0000</v>
      </c>
      <c r="N24" s="18"/>
    </row>
    <row r="25" spans="1:14">
      <c r="B25" s="5" t="s">
        <v>31</v>
      </c>
    </row>
    <row r="26" spans="1:14" ht="16">
      <c r="A26" s="52" t="s">
        <v>80</v>
      </c>
      <c r="B26" s="52"/>
      <c r="C26" s="53"/>
      <c r="D26" s="53"/>
      <c r="E26" s="53"/>
      <c r="F26" s="53"/>
      <c r="G26" s="53"/>
      <c r="H26" s="53"/>
      <c r="I26" s="53"/>
      <c r="J26" s="53"/>
      <c r="K26" s="53"/>
    </row>
    <row r="27" spans="1:14">
      <c r="A27" s="17" t="s">
        <v>30</v>
      </c>
      <c r="B27" s="16" t="s">
        <v>866</v>
      </c>
      <c r="C27" s="16" t="s">
        <v>867</v>
      </c>
      <c r="D27" s="16" t="s">
        <v>699</v>
      </c>
      <c r="E27" s="16" t="s">
        <v>981</v>
      </c>
      <c r="F27" s="16" t="s">
        <v>892</v>
      </c>
      <c r="G27" s="16" t="s">
        <v>945</v>
      </c>
      <c r="H27" s="22" t="s">
        <v>294</v>
      </c>
      <c r="I27" s="22" t="s">
        <v>53</v>
      </c>
      <c r="J27" s="23" t="s">
        <v>54</v>
      </c>
      <c r="K27" s="17"/>
      <c r="L27" s="17" t="str">
        <f>"70,0"</f>
        <v>70,0</v>
      </c>
      <c r="M27" s="17" t="str">
        <f>"40,9745"</f>
        <v>40,9745</v>
      </c>
      <c r="N27" s="16" t="s">
        <v>455</v>
      </c>
    </row>
    <row r="28" spans="1:14">
      <c r="A28" s="19" t="s">
        <v>30</v>
      </c>
      <c r="B28" s="18" t="s">
        <v>866</v>
      </c>
      <c r="C28" s="18" t="s">
        <v>899</v>
      </c>
      <c r="D28" s="18" t="s">
        <v>699</v>
      </c>
      <c r="E28" s="18" t="s">
        <v>982</v>
      </c>
      <c r="F28" s="18" t="s">
        <v>892</v>
      </c>
      <c r="G28" s="18" t="s">
        <v>945</v>
      </c>
      <c r="H28" s="24" t="s">
        <v>294</v>
      </c>
      <c r="I28" s="24" t="s">
        <v>53</v>
      </c>
      <c r="J28" s="25" t="s">
        <v>54</v>
      </c>
      <c r="K28" s="19"/>
      <c r="L28" s="19" t="str">
        <f>"70,0"</f>
        <v>70,0</v>
      </c>
      <c r="M28" s="19" t="str">
        <f>"44,3344"</f>
        <v>44,3344</v>
      </c>
      <c r="N28" s="18" t="s">
        <v>455</v>
      </c>
    </row>
    <row r="29" spans="1:14">
      <c r="B29" s="5" t="s">
        <v>31</v>
      </c>
    </row>
    <row r="30" spans="1:14" ht="16">
      <c r="A30" s="52" t="s">
        <v>9</v>
      </c>
      <c r="B30" s="52"/>
      <c r="C30" s="53"/>
      <c r="D30" s="53"/>
      <c r="E30" s="53"/>
      <c r="F30" s="53"/>
      <c r="G30" s="53"/>
      <c r="H30" s="53"/>
      <c r="I30" s="53"/>
      <c r="J30" s="53"/>
      <c r="K30" s="53"/>
    </row>
    <row r="31" spans="1:14">
      <c r="A31" s="17" t="s">
        <v>30</v>
      </c>
      <c r="B31" s="16" t="s">
        <v>387</v>
      </c>
      <c r="C31" s="16" t="s">
        <v>900</v>
      </c>
      <c r="D31" s="16" t="s">
        <v>868</v>
      </c>
      <c r="E31" s="16" t="s">
        <v>980</v>
      </c>
      <c r="F31" s="16" t="s">
        <v>888</v>
      </c>
      <c r="G31" s="16" t="s">
        <v>943</v>
      </c>
      <c r="H31" s="22" t="s">
        <v>869</v>
      </c>
      <c r="I31" s="23" t="s">
        <v>105</v>
      </c>
      <c r="J31" s="23" t="s">
        <v>105</v>
      </c>
      <c r="K31" s="17"/>
      <c r="L31" s="17" t="str">
        <f>"73,0"</f>
        <v>73,0</v>
      </c>
      <c r="M31" s="17" t="str">
        <f>"42,0224"</f>
        <v>42,0224</v>
      </c>
      <c r="N31" s="16" t="s">
        <v>884</v>
      </c>
    </row>
    <row r="32" spans="1:14">
      <c r="A32" s="21" t="s">
        <v>218</v>
      </c>
      <c r="B32" s="20" t="s">
        <v>870</v>
      </c>
      <c r="C32" s="20" t="s">
        <v>901</v>
      </c>
      <c r="D32" s="20" t="s">
        <v>503</v>
      </c>
      <c r="E32" s="20" t="s">
        <v>980</v>
      </c>
      <c r="F32" s="20" t="s">
        <v>36</v>
      </c>
      <c r="G32" s="20" t="s">
        <v>936</v>
      </c>
      <c r="H32" s="26" t="s">
        <v>53</v>
      </c>
      <c r="I32" s="27" t="s">
        <v>53</v>
      </c>
      <c r="J32" s="26" t="s">
        <v>54</v>
      </c>
      <c r="K32" s="21"/>
      <c r="L32" s="21" t="str">
        <f>"70,0"</f>
        <v>70,0</v>
      </c>
      <c r="M32" s="21" t="str">
        <f>"39,3750"</f>
        <v>39,3750</v>
      </c>
      <c r="N32" s="20" t="s">
        <v>871</v>
      </c>
    </row>
    <row r="33" spans="1:14">
      <c r="A33" s="21" t="s">
        <v>219</v>
      </c>
      <c r="B33" s="20" t="s">
        <v>872</v>
      </c>
      <c r="C33" s="20" t="s">
        <v>901</v>
      </c>
      <c r="D33" s="20" t="s">
        <v>873</v>
      </c>
      <c r="E33" s="20" t="s">
        <v>980</v>
      </c>
      <c r="F33" s="20" t="s">
        <v>36</v>
      </c>
      <c r="G33" s="20" t="s">
        <v>936</v>
      </c>
      <c r="H33" s="27" t="s">
        <v>242</v>
      </c>
      <c r="I33" s="27" t="s">
        <v>52</v>
      </c>
      <c r="J33" s="26" t="s">
        <v>294</v>
      </c>
      <c r="K33" s="21"/>
      <c r="L33" s="21" t="str">
        <f>"65,0"</f>
        <v>65,0</v>
      </c>
      <c r="M33" s="21" t="str">
        <f>"37,1053"</f>
        <v>37,1053</v>
      </c>
      <c r="N33" s="20" t="s">
        <v>871</v>
      </c>
    </row>
    <row r="34" spans="1:14">
      <c r="A34" s="19" t="s">
        <v>222</v>
      </c>
      <c r="B34" s="18" t="s">
        <v>874</v>
      </c>
      <c r="C34" s="18" t="s">
        <v>902</v>
      </c>
      <c r="D34" s="18" t="s">
        <v>875</v>
      </c>
      <c r="E34" s="18" t="s">
        <v>980</v>
      </c>
      <c r="F34" s="18" t="s">
        <v>36</v>
      </c>
      <c r="G34" s="18" t="s">
        <v>956</v>
      </c>
      <c r="H34" s="25" t="s">
        <v>228</v>
      </c>
      <c r="I34" s="25" t="s">
        <v>228</v>
      </c>
      <c r="J34" s="25" t="s">
        <v>228</v>
      </c>
      <c r="K34" s="19"/>
      <c r="L34" s="19" t="str">
        <f>"0.00"</f>
        <v>0.00</v>
      </c>
      <c r="M34" s="19" t="str">
        <f>"0,0000"</f>
        <v>0,0000</v>
      </c>
      <c r="N34" s="18"/>
    </row>
    <row r="35" spans="1:14">
      <c r="B35" s="5" t="s">
        <v>31</v>
      </c>
    </row>
  </sheetData>
  <mergeCells count="19">
    <mergeCell ref="A30:K30"/>
    <mergeCell ref="L3:L4"/>
    <mergeCell ref="M3:M4"/>
    <mergeCell ref="N3:N4"/>
    <mergeCell ref="A5:K5"/>
    <mergeCell ref="B3:B4"/>
    <mergeCell ref="A8:K8"/>
    <mergeCell ref="A12:K12"/>
    <mergeCell ref="A16:K16"/>
    <mergeCell ref="A22:K22"/>
    <mergeCell ref="A26:K26"/>
    <mergeCell ref="A1:N2"/>
    <mergeCell ref="A3:A4"/>
    <mergeCell ref="C3:C4"/>
    <mergeCell ref="D3:D4"/>
    <mergeCell ref="E3:E4"/>
    <mergeCell ref="F3:F4"/>
    <mergeCell ref="G3:G4"/>
    <mergeCell ref="H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38458-045B-40CF-AB40-62B42DE9420E}">
  <dimension ref="A1:V56"/>
  <sheetViews>
    <sheetView workbookViewId="0">
      <selection activeCell="E47" sqref="E47"/>
    </sheetView>
  </sheetViews>
  <sheetFormatPr baseColWidth="10" defaultColWidth="9.1640625" defaultRowHeight="13"/>
  <cols>
    <col min="1" max="1" width="7.1640625" style="5" bestFit="1" customWidth="1"/>
    <col min="2" max="2" width="21.5" style="5" bestFit="1" customWidth="1"/>
    <col min="3" max="3" width="27.83203125" style="5" customWidth="1"/>
    <col min="4" max="4" width="20.83203125" style="5" bestFit="1" customWidth="1"/>
    <col min="5" max="5" width="10.1640625" style="5" bestFit="1" customWidth="1"/>
    <col min="6" max="6" width="24.6640625" style="5" bestFit="1" customWidth="1"/>
    <col min="7" max="7" width="23" style="5" bestFit="1" customWidth="1"/>
    <col min="8" max="10" width="5.5" style="6" customWidth="1"/>
    <col min="11" max="11" width="4.5" style="6" customWidth="1"/>
    <col min="12" max="14" width="5.5" style="6" customWidth="1"/>
    <col min="15" max="15" width="4.5" style="6" customWidth="1"/>
    <col min="16" max="18" width="5.5" style="6" customWidth="1"/>
    <col min="19" max="19" width="4.5" style="6" customWidth="1"/>
    <col min="20" max="20" width="7.6640625" style="28" bestFit="1" customWidth="1"/>
    <col min="21" max="21" width="8.5" style="6" bestFit="1" customWidth="1"/>
    <col min="22" max="22" width="23.33203125" style="5" bestFit="1" customWidth="1"/>
    <col min="23" max="16384" width="9.1640625" style="3"/>
  </cols>
  <sheetData>
    <row r="1" spans="1:22" s="2" customFormat="1" ht="29" customHeight="1">
      <c r="A1" s="41" t="s">
        <v>905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4"/>
    </row>
    <row r="2" spans="1:22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8"/>
    </row>
    <row r="3" spans="1:22" s="1" customFormat="1" ht="12.75" customHeight="1">
      <c r="A3" s="49" t="s">
        <v>931</v>
      </c>
      <c r="B3" s="54" t="s">
        <v>0</v>
      </c>
      <c r="C3" s="51" t="s">
        <v>978</v>
      </c>
      <c r="D3" s="51" t="s">
        <v>5</v>
      </c>
      <c r="E3" s="35" t="s">
        <v>979</v>
      </c>
      <c r="F3" s="35"/>
      <c r="G3" s="35" t="s">
        <v>920</v>
      </c>
      <c r="H3" s="35" t="s">
        <v>6</v>
      </c>
      <c r="I3" s="35"/>
      <c r="J3" s="35"/>
      <c r="K3" s="35"/>
      <c r="L3" s="35" t="s">
        <v>7</v>
      </c>
      <c r="M3" s="35"/>
      <c r="N3" s="35"/>
      <c r="O3" s="35"/>
      <c r="P3" s="35" t="s">
        <v>8</v>
      </c>
      <c r="Q3" s="35"/>
      <c r="R3" s="35"/>
      <c r="S3" s="35"/>
      <c r="T3" s="33" t="s">
        <v>1</v>
      </c>
      <c r="U3" s="35" t="s">
        <v>3</v>
      </c>
      <c r="V3" s="37" t="s">
        <v>2</v>
      </c>
    </row>
    <row r="4" spans="1:22" s="1" customFormat="1" ht="21" customHeight="1" thickBot="1">
      <c r="A4" s="50"/>
      <c r="B4" s="55"/>
      <c r="C4" s="36"/>
      <c r="D4" s="36"/>
      <c r="E4" s="36"/>
      <c r="F4" s="36"/>
      <c r="G4" s="36"/>
      <c r="H4" s="4">
        <v>1</v>
      </c>
      <c r="I4" s="4">
        <v>2</v>
      </c>
      <c r="J4" s="4">
        <v>3</v>
      </c>
      <c r="K4" s="4" t="s">
        <v>4</v>
      </c>
      <c r="L4" s="4">
        <v>1</v>
      </c>
      <c r="M4" s="4">
        <v>2</v>
      </c>
      <c r="N4" s="4">
        <v>3</v>
      </c>
      <c r="O4" s="4" t="s">
        <v>4</v>
      </c>
      <c r="P4" s="4">
        <v>1</v>
      </c>
      <c r="Q4" s="4">
        <v>2</v>
      </c>
      <c r="R4" s="4">
        <v>3</v>
      </c>
      <c r="S4" s="4" t="s">
        <v>4</v>
      </c>
      <c r="T4" s="34"/>
      <c r="U4" s="36"/>
      <c r="V4" s="38"/>
    </row>
    <row r="5" spans="1:22" ht="16">
      <c r="A5" s="39" t="s">
        <v>32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</row>
    <row r="6" spans="1:22">
      <c r="A6" s="8" t="s">
        <v>30</v>
      </c>
      <c r="B6" s="7" t="s">
        <v>91</v>
      </c>
      <c r="C6" s="7" t="s">
        <v>92</v>
      </c>
      <c r="D6" s="7" t="s">
        <v>93</v>
      </c>
      <c r="E6" s="7" t="s">
        <v>981</v>
      </c>
      <c r="F6" s="7" t="s">
        <v>94</v>
      </c>
      <c r="G6" s="7" t="s">
        <v>933</v>
      </c>
      <c r="H6" s="15" t="s">
        <v>66</v>
      </c>
      <c r="I6" s="14" t="s">
        <v>66</v>
      </c>
      <c r="J6" s="14" t="s">
        <v>95</v>
      </c>
      <c r="K6" s="8"/>
      <c r="L6" s="15" t="s">
        <v>96</v>
      </c>
      <c r="M6" s="15" t="s">
        <v>96</v>
      </c>
      <c r="N6" s="14" t="s">
        <v>96</v>
      </c>
      <c r="O6" s="8"/>
      <c r="P6" s="14" t="s">
        <v>55</v>
      </c>
      <c r="Q6" s="14" t="s">
        <v>76</v>
      </c>
      <c r="R6" s="15" t="s">
        <v>97</v>
      </c>
      <c r="S6" s="8"/>
      <c r="T6" s="29" t="str">
        <f>"287,5"</f>
        <v>287,5</v>
      </c>
      <c r="U6" s="8" t="str">
        <f>"381,9438"</f>
        <v>381,9438</v>
      </c>
      <c r="V6" s="7" t="s">
        <v>98</v>
      </c>
    </row>
    <row r="7" spans="1:22">
      <c r="B7" s="5" t="s">
        <v>31</v>
      </c>
    </row>
    <row r="8" spans="1:22" ht="16">
      <c r="A8" s="52" t="s">
        <v>99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</row>
    <row r="9" spans="1:22">
      <c r="A9" s="17" t="s">
        <v>30</v>
      </c>
      <c r="B9" s="16" t="s">
        <v>100</v>
      </c>
      <c r="C9" s="16" t="s">
        <v>101</v>
      </c>
      <c r="D9" s="16" t="s">
        <v>102</v>
      </c>
      <c r="E9" s="16" t="s">
        <v>981</v>
      </c>
      <c r="F9" s="16" t="s">
        <v>94</v>
      </c>
      <c r="G9" s="16" t="s">
        <v>944</v>
      </c>
      <c r="H9" s="22" t="s">
        <v>64</v>
      </c>
      <c r="I9" s="22" t="s">
        <v>103</v>
      </c>
      <c r="J9" s="23" t="s">
        <v>104</v>
      </c>
      <c r="K9" s="17"/>
      <c r="L9" s="22" t="s">
        <v>105</v>
      </c>
      <c r="M9" s="22" t="s">
        <v>37</v>
      </c>
      <c r="N9" s="23" t="s">
        <v>106</v>
      </c>
      <c r="O9" s="17"/>
      <c r="P9" s="22" t="s">
        <v>68</v>
      </c>
      <c r="Q9" s="22" t="s">
        <v>107</v>
      </c>
      <c r="R9" s="23" t="s">
        <v>78</v>
      </c>
      <c r="S9" s="17"/>
      <c r="T9" s="30" t="str">
        <f>"411,0"</f>
        <v>411,0</v>
      </c>
      <c r="U9" s="17" t="str">
        <f>"484,2813"</f>
        <v>484,2813</v>
      </c>
      <c r="V9" s="16" t="s">
        <v>924</v>
      </c>
    </row>
    <row r="10" spans="1:22">
      <c r="A10" s="19" t="s">
        <v>218</v>
      </c>
      <c r="B10" s="18" t="s">
        <v>108</v>
      </c>
      <c r="C10" s="18" t="s">
        <v>109</v>
      </c>
      <c r="D10" s="18" t="s">
        <v>110</v>
      </c>
      <c r="E10" s="18" t="s">
        <v>981</v>
      </c>
      <c r="F10" s="18" t="s">
        <v>36</v>
      </c>
      <c r="G10" s="18" t="s">
        <v>933</v>
      </c>
      <c r="H10" s="24" t="s">
        <v>53</v>
      </c>
      <c r="I10" s="25" t="s">
        <v>54</v>
      </c>
      <c r="J10" s="25" t="s">
        <v>105</v>
      </c>
      <c r="K10" s="19"/>
      <c r="L10" s="24" t="s">
        <v>41</v>
      </c>
      <c r="M10" s="25" t="s">
        <v>42</v>
      </c>
      <c r="N10" s="25" t="s">
        <v>42</v>
      </c>
      <c r="O10" s="19"/>
      <c r="P10" s="24" t="s">
        <v>66</v>
      </c>
      <c r="Q10" s="24" t="s">
        <v>49</v>
      </c>
      <c r="R10" s="24" t="s">
        <v>50</v>
      </c>
      <c r="S10" s="19"/>
      <c r="T10" s="32" t="str">
        <f>"232,5"</f>
        <v>232,5</v>
      </c>
      <c r="U10" s="19" t="str">
        <f>"273,5595"</f>
        <v>273,5595</v>
      </c>
      <c r="V10" s="18"/>
    </row>
    <row r="11" spans="1:22">
      <c r="B11" s="5" t="s">
        <v>31</v>
      </c>
    </row>
    <row r="12" spans="1:22" ht="16">
      <c r="A12" s="52" t="s">
        <v>70</v>
      </c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</row>
    <row r="13" spans="1:22">
      <c r="A13" s="17" t="s">
        <v>30</v>
      </c>
      <c r="B13" s="16" t="s">
        <v>111</v>
      </c>
      <c r="C13" s="16" t="s">
        <v>112</v>
      </c>
      <c r="D13" s="16" t="s">
        <v>113</v>
      </c>
      <c r="E13" s="16" t="s">
        <v>983</v>
      </c>
      <c r="F13" s="16" t="s">
        <v>36</v>
      </c>
      <c r="G13" s="16" t="s">
        <v>936</v>
      </c>
      <c r="H13" s="22" t="s">
        <v>114</v>
      </c>
      <c r="I13" s="23" t="s">
        <v>84</v>
      </c>
      <c r="J13" s="23" t="s">
        <v>84</v>
      </c>
      <c r="K13" s="17"/>
      <c r="L13" s="22" t="s">
        <v>66</v>
      </c>
      <c r="M13" s="23" t="s">
        <v>95</v>
      </c>
      <c r="N13" s="23" t="s">
        <v>95</v>
      </c>
      <c r="O13" s="17"/>
      <c r="P13" s="22" t="s">
        <v>84</v>
      </c>
      <c r="Q13" s="22" t="s">
        <v>69</v>
      </c>
      <c r="R13" s="22" t="s">
        <v>78</v>
      </c>
      <c r="S13" s="17"/>
      <c r="T13" s="30" t="str">
        <f>"460,0"</f>
        <v>460,0</v>
      </c>
      <c r="U13" s="17" t="str">
        <f>"415,2880"</f>
        <v>415,2880</v>
      </c>
      <c r="V13" s="16" t="s">
        <v>115</v>
      </c>
    </row>
    <row r="14" spans="1:22">
      <c r="A14" s="19" t="s">
        <v>30</v>
      </c>
      <c r="B14" s="18" t="s">
        <v>111</v>
      </c>
      <c r="C14" s="18" t="s">
        <v>116</v>
      </c>
      <c r="D14" s="18" t="s">
        <v>113</v>
      </c>
      <c r="E14" s="18" t="s">
        <v>981</v>
      </c>
      <c r="F14" s="18" t="s">
        <v>36</v>
      </c>
      <c r="G14" s="18" t="s">
        <v>936</v>
      </c>
      <c r="H14" s="24" t="s">
        <v>114</v>
      </c>
      <c r="I14" s="25" t="s">
        <v>84</v>
      </c>
      <c r="J14" s="25" t="s">
        <v>84</v>
      </c>
      <c r="K14" s="19"/>
      <c r="L14" s="24" t="s">
        <v>66</v>
      </c>
      <c r="M14" s="25" t="s">
        <v>95</v>
      </c>
      <c r="N14" s="25" t="s">
        <v>95</v>
      </c>
      <c r="O14" s="19"/>
      <c r="P14" s="24" t="s">
        <v>84</v>
      </c>
      <c r="Q14" s="24" t="s">
        <v>69</v>
      </c>
      <c r="R14" s="24" t="s">
        <v>78</v>
      </c>
      <c r="S14" s="19"/>
      <c r="T14" s="32" t="str">
        <f>"460,0"</f>
        <v>460,0</v>
      </c>
      <c r="U14" s="19" t="str">
        <f>"415,2880"</f>
        <v>415,2880</v>
      </c>
      <c r="V14" s="18" t="s">
        <v>115</v>
      </c>
    </row>
    <row r="15" spans="1:22">
      <c r="B15" s="5" t="s">
        <v>31</v>
      </c>
    </row>
    <row r="16" spans="1:22" ht="16">
      <c r="A16" s="52" t="s">
        <v>117</v>
      </c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</row>
    <row r="17" spans="1:22">
      <c r="A17" s="8" t="s">
        <v>30</v>
      </c>
      <c r="B17" s="7" t="s">
        <v>118</v>
      </c>
      <c r="C17" s="7" t="s">
        <v>119</v>
      </c>
      <c r="D17" s="7" t="s">
        <v>120</v>
      </c>
      <c r="E17" s="7" t="s">
        <v>981</v>
      </c>
      <c r="F17" s="7" t="s">
        <v>36</v>
      </c>
      <c r="G17" s="7" t="s">
        <v>933</v>
      </c>
      <c r="H17" s="15" t="s">
        <v>121</v>
      </c>
      <c r="I17" s="14" t="s">
        <v>121</v>
      </c>
      <c r="J17" s="15" t="s">
        <v>104</v>
      </c>
      <c r="K17" s="8"/>
      <c r="L17" s="14" t="s">
        <v>49</v>
      </c>
      <c r="M17" s="14" t="s">
        <v>122</v>
      </c>
      <c r="N17" s="14" t="s">
        <v>50</v>
      </c>
      <c r="O17" s="8"/>
      <c r="P17" s="14" t="s">
        <v>64</v>
      </c>
      <c r="Q17" s="14" t="s">
        <v>103</v>
      </c>
      <c r="R17" s="15" t="s">
        <v>123</v>
      </c>
      <c r="S17" s="8"/>
      <c r="T17" s="29" t="str">
        <f>"407,5"</f>
        <v>407,5</v>
      </c>
      <c r="U17" s="8" t="str">
        <f>"292,2997"</f>
        <v>292,2997</v>
      </c>
      <c r="V17" s="7"/>
    </row>
    <row r="18" spans="1:22">
      <c r="B18" s="5" t="s">
        <v>31</v>
      </c>
    </row>
    <row r="19" spans="1:22" ht="16">
      <c r="A19" s="52" t="s">
        <v>70</v>
      </c>
      <c r="B19" s="52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</row>
    <row r="20" spans="1:22">
      <c r="A20" s="17" t="s">
        <v>30</v>
      </c>
      <c r="B20" s="16" t="s">
        <v>124</v>
      </c>
      <c r="C20" s="16" t="s">
        <v>125</v>
      </c>
      <c r="D20" s="16" t="s">
        <v>126</v>
      </c>
      <c r="E20" s="16" t="s">
        <v>981</v>
      </c>
      <c r="F20" s="16" t="s">
        <v>36</v>
      </c>
      <c r="G20" s="16" t="s">
        <v>945</v>
      </c>
      <c r="H20" s="22" t="s">
        <v>19</v>
      </c>
      <c r="I20" s="22" t="s">
        <v>20</v>
      </c>
      <c r="J20" s="23" t="s">
        <v>15</v>
      </c>
      <c r="K20" s="17"/>
      <c r="L20" s="22" t="s">
        <v>84</v>
      </c>
      <c r="M20" s="22" t="s">
        <v>127</v>
      </c>
      <c r="N20" s="23" t="s">
        <v>128</v>
      </c>
      <c r="O20" s="17"/>
      <c r="P20" s="22" t="s">
        <v>129</v>
      </c>
      <c r="Q20" s="22" t="s">
        <v>130</v>
      </c>
      <c r="R20" s="23" t="s">
        <v>131</v>
      </c>
      <c r="S20" s="17"/>
      <c r="T20" s="30" t="str">
        <f>"707,5"</f>
        <v>707,5</v>
      </c>
      <c r="U20" s="17" t="str">
        <f>"475,0155"</f>
        <v>475,0155</v>
      </c>
      <c r="V20" s="16"/>
    </row>
    <row r="21" spans="1:22">
      <c r="A21" s="19" t="s">
        <v>218</v>
      </c>
      <c r="B21" s="18" t="s">
        <v>132</v>
      </c>
      <c r="C21" s="18" t="s">
        <v>133</v>
      </c>
      <c r="D21" s="18" t="s">
        <v>134</v>
      </c>
      <c r="E21" s="18" t="s">
        <v>981</v>
      </c>
      <c r="F21" s="18" t="s">
        <v>135</v>
      </c>
      <c r="G21" s="18" t="s">
        <v>936</v>
      </c>
      <c r="H21" s="24" t="s">
        <v>79</v>
      </c>
      <c r="I21" s="24" t="s">
        <v>75</v>
      </c>
      <c r="J21" s="24" t="s">
        <v>19</v>
      </c>
      <c r="K21" s="19"/>
      <c r="L21" s="24" t="s">
        <v>104</v>
      </c>
      <c r="M21" s="24" t="s">
        <v>136</v>
      </c>
      <c r="N21" s="24" t="s">
        <v>114</v>
      </c>
      <c r="O21" s="19"/>
      <c r="P21" s="24" t="s">
        <v>20</v>
      </c>
      <c r="Q21" s="24" t="s">
        <v>137</v>
      </c>
      <c r="R21" s="24" t="s">
        <v>138</v>
      </c>
      <c r="S21" s="19"/>
      <c r="T21" s="32" t="str">
        <f>"660,0"</f>
        <v>660,0</v>
      </c>
      <c r="U21" s="19" t="str">
        <f>"442,1340"</f>
        <v>442,1340</v>
      </c>
      <c r="V21" s="18" t="s">
        <v>591</v>
      </c>
    </row>
    <row r="22" spans="1:22">
      <c r="B22" s="5" t="s">
        <v>31</v>
      </c>
    </row>
    <row r="23" spans="1:22" ht="16">
      <c r="A23" s="52" t="s">
        <v>139</v>
      </c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</row>
    <row r="24" spans="1:22">
      <c r="A24" s="17" t="s">
        <v>30</v>
      </c>
      <c r="B24" s="16" t="s">
        <v>140</v>
      </c>
      <c r="C24" s="16" t="s">
        <v>141</v>
      </c>
      <c r="D24" s="16" t="s">
        <v>142</v>
      </c>
      <c r="E24" s="16" t="s">
        <v>980</v>
      </c>
      <c r="F24" s="16" t="s">
        <v>62</v>
      </c>
      <c r="G24" s="16" t="s">
        <v>946</v>
      </c>
      <c r="H24" s="22" t="s">
        <v>79</v>
      </c>
      <c r="I24" s="23" t="s">
        <v>75</v>
      </c>
      <c r="J24" s="23" t="s">
        <v>75</v>
      </c>
      <c r="K24" s="17"/>
      <c r="L24" s="22" t="s">
        <v>64</v>
      </c>
      <c r="M24" s="22" t="s">
        <v>121</v>
      </c>
      <c r="N24" s="22" t="s">
        <v>104</v>
      </c>
      <c r="O24" s="17"/>
      <c r="P24" s="22" t="s">
        <v>20</v>
      </c>
      <c r="Q24" s="22" t="s">
        <v>137</v>
      </c>
      <c r="R24" s="23" t="s">
        <v>138</v>
      </c>
      <c r="S24" s="17"/>
      <c r="T24" s="30" t="str">
        <f>"610,0"</f>
        <v>610,0</v>
      </c>
      <c r="U24" s="17" t="str">
        <f>"389,4240"</f>
        <v>389,4240</v>
      </c>
      <c r="V24" s="16" t="s">
        <v>143</v>
      </c>
    </row>
    <row r="25" spans="1:22">
      <c r="A25" s="21" t="s">
        <v>218</v>
      </c>
      <c r="B25" s="20" t="s">
        <v>144</v>
      </c>
      <c r="C25" s="20" t="s">
        <v>145</v>
      </c>
      <c r="D25" s="20" t="s">
        <v>146</v>
      </c>
      <c r="E25" s="20" t="s">
        <v>980</v>
      </c>
      <c r="F25" s="20" t="s">
        <v>62</v>
      </c>
      <c r="G25" s="20" t="s">
        <v>946</v>
      </c>
      <c r="H25" s="26" t="s">
        <v>74</v>
      </c>
      <c r="I25" s="26" t="s">
        <v>74</v>
      </c>
      <c r="J25" s="27" t="s">
        <v>147</v>
      </c>
      <c r="K25" s="21"/>
      <c r="L25" s="27" t="s">
        <v>63</v>
      </c>
      <c r="M25" s="27" t="s">
        <v>64</v>
      </c>
      <c r="N25" s="27" t="s">
        <v>77</v>
      </c>
      <c r="O25" s="21"/>
      <c r="P25" s="27" t="s">
        <v>75</v>
      </c>
      <c r="Q25" s="27" t="s">
        <v>14</v>
      </c>
      <c r="R25" s="27" t="s">
        <v>20</v>
      </c>
      <c r="S25" s="21"/>
      <c r="T25" s="31" t="str">
        <f>"585,0"</f>
        <v>585,0</v>
      </c>
      <c r="U25" s="21" t="str">
        <f>"376,9740"</f>
        <v>376,9740</v>
      </c>
      <c r="V25" s="20" t="s">
        <v>143</v>
      </c>
    </row>
    <row r="26" spans="1:22">
      <c r="A26" s="21" t="s">
        <v>30</v>
      </c>
      <c r="B26" s="20" t="s">
        <v>148</v>
      </c>
      <c r="C26" s="20" t="s">
        <v>149</v>
      </c>
      <c r="D26" s="20" t="s">
        <v>150</v>
      </c>
      <c r="E26" s="20" t="s">
        <v>981</v>
      </c>
      <c r="F26" s="20" t="s">
        <v>890</v>
      </c>
      <c r="G26" s="20" t="s">
        <v>933</v>
      </c>
      <c r="H26" s="27" t="s">
        <v>79</v>
      </c>
      <c r="I26" s="27" t="s">
        <v>19</v>
      </c>
      <c r="J26" s="26" t="s">
        <v>20</v>
      </c>
      <c r="K26" s="21"/>
      <c r="L26" s="27" t="s">
        <v>114</v>
      </c>
      <c r="M26" s="26" t="s">
        <v>84</v>
      </c>
      <c r="N26" s="26" t="s">
        <v>84</v>
      </c>
      <c r="O26" s="21"/>
      <c r="P26" s="27" t="s">
        <v>151</v>
      </c>
      <c r="Q26" s="27" t="s">
        <v>152</v>
      </c>
      <c r="R26" s="26" t="s">
        <v>153</v>
      </c>
      <c r="S26" s="21"/>
      <c r="T26" s="31" t="str">
        <f>"722,5"</f>
        <v>722,5</v>
      </c>
      <c r="U26" s="21" t="str">
        <f>"463,9172"</f>
        <v>463,9172</v>
      </c>
      <c r="V26" s="20"/>
    </row>
    <row r="27" spans="1:22">
      <c r="A27" s="19" t="s">
        <v>30</v>
      </c>
      <c r="B27" s="18" t="s">
        <v>154</v>
      </c>
      <c r="C27" s="18" t="s">
        <v>155</v>
      </c>
      <c r="D27" s="18" t="s">
        <v>156</v>
      </c>
      <c r="E27" s="18" t="s">
        <v>982</v>
      </c>
      <c r="F27" s="18" t="s">
        <v>157</v>
      </c>
      <c r="G27" s="18" t="s">
        <v>933</v>
      </c>
      <c r="H27" s="24" t="s">
        <v>114</v>
      </c>
      <c r="I27" s="24" t="s">
        <v>84</v>
      </c>
      <c r="J27" s="24" t="s">
        <v>78</v>
      </c>
      <c r="K27" s="19"/>
      <c r="L27" s="24" t="s">
        <v>122</v>
      </c>
      <c r="M27" s="24" t="s">
        <v>50</v>
      </c>
      <c r="N27" s="24" t="s">
        <v>55</v>
      </c>
      <c r="O27" s="19"/>
      <c r="P27" s="24" t="s">
        <v>14</v>
      </c>
      <c r="Q27" s="24" t="s">
        <v>15</v>
      </c>
      <c r="R27" s="24" t="s">
        <v>158</v>
      </c>
      <c r="S27" s="19"/>
      <c r="T27" s="32" t="str">
        <f>"570,0"</f>
        <v>570,0</v>
      </c>
      <c r="U27" s="19" t="str">
        <f>"368,4571"</f>
        <v>368,4571</v>
      </c>
      <c r="V27" s="18" t="s">
        <v>159</v>
      </c>
    </row>
    <row r="28" spans="1:22">
      <c r="B28" s="5" t="s">
        <v>31</v>
      </c>
    </row>
    <row r="29" spans="1:22" ht="16">
      <c r="A29" s="52" t="s">
        <v>80</v>
      </c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</row>
    <row r="30" spans="1:22">
      <c r="A30" s="17" t="s">
        <v>30</v>
      </c>
      <c r="B30" s="16" t="s">
        <v>160</v>
      </c>
      <c r="C30" s="16" t="s">
        <v>161</v>
      </c>
      <c r="D30" s="16" t="s">
        <v>162</v>
      </c>
      <c r="E30" s="16" t="s">
        <v>981</v>
      </c>
      <c r="F30" s="16" t="s">
        <v>889</v>
      </c>
      <c r="G30" s="16" t="s">
        <v>933</v>
      </c>
      <c r="H30" s="22" t="s">
        <v>130</v>
      </c>
      <c r="I30" s="22" t="s">
        <v>151</v>
      </c>
      <c r="J30" s="22" t="s">
        <v>163</v>
      </c>
      <c r="K30" s="17"/>
      <c r="L30" s="22" t="s">
        <v>79</v>
      </c>
      <c r="M30" s="22" t="s">
        <v>85</v>
      </c>
      <c r="N30" s="22" t="s">
        <v>75</v>
      </c>
      <c r="O30" s="17"/>
      <c r="P30" s="22" t="s">
        <v>164</v>
      </c>
      <c r="Q30" s="22" t="s">
        <v>153</v>
      </c>
      <c r="R30" s="17"/>
      <c r="S30" s="17"/>
      <c r="T30" s="30" t="str">
        <f>"870,0"</f>
        <v>870,0</v>
      </c>
      <c r="U30" s="17" t="str">
        <f>"531,6570"</f>
        <v>531,6570</v>
      </c>
      <c r="V30" s="16"/>
    </row>
    <row r="31" spans="1:22">
      <c r="A31" s="21" t="s">
        <v>218</v>
      </c>
      <c r="B31" s="20" t="s">
        <v>165</v>
      </c>
      <c r="C31" s="20" t="s">
        <v>166</v>
      </c>
      <c r="D31" s="20" t="s">
        <v>167</v>
      </c>
      <c r="E31" s="20" t="s">
        <v>981</v>
      </c>
      <c r="F31" s="20" t="s">
        <v>157</v>
      </c>
      <c r="G31" s="20" t="s">
        <v>933</v>
      </c>
      <c r="H31" s="27" t="s">
        <v>20</v>
      </c>
      <c r="I31" s="27" t="s">
        <v>137</v>
      </c>
      <c r="J31" s="27" t="s">
        <v>158</v>
      </c>
      <c r="K31" s="21"/>
      <c r="L31" s="27" t="s">
        <v>84</v>
      </c>
      <c r="M31" s="26" t="s">
        <v>78</v>
      </c>
      <c r="N31" s="27" t="s">
        <v>78</v>
      </c>
      <c r="O31" s="21"/>
      <c r="P31" s="27" t="s">
        <v>130</v>
      </c>
      <c r="Q31" s="27" t="s">
        <v>168</v>
      </c>
      <c r="R31" s="26" t="s">
        <v>151</v>
      </c>
      <c r="S31" s="21"/>
      <c r="T31" s="31" t="str">
        <f>"735,0"</f>
        <v>735,0</v>
      </c>
      <c r="U31" s="21" t="str">
        <f>"449,6730"</f>
        <v>449,6730</v>
      </c>
      <c r="V31" s="20" t="s">
        <v>173</v>
      </c>
    </row>
    <row r="32" spans="1:22">
      <c r="A32" s="21" t="s">
        <v>219</v>
      </c>
      <c r="B32" s="20" t="s">
        <v>169</v>
      </c>
      <c r="C32" s="20" t="s">
        <v>170</v>
      </c>
      <c r="D32" s="20" t="s">
        <v>171</v>
      </c>
      <c r="E32" s="20" t="s">
        <v>981</v>
      </c>
      <c r="F32" s="20" t="s">
        <v>157</v>
      </c>
      <c r="G32" s="20" t="s">
        <v>933</v>
      </c>
      <c r="H32" s="27" t="s">
        <v>137</v>
      </c>
      <c r="I32" s="26" t="s">
        <v>138</v>
      </c>
      <c r="J32" s="27" t="s">
        <v>138</v>
      </c>
      <c r="K32" s="21"/>
      <c r="L32" s="27" t="s">
        <v>136</v>
      </c>
      <c r="M32" s="27" t="s">
        <v>16</v>
      </c>
      <c r="N32" s="27" t="s">
        <v>114</v>
      </c>
      <c r="O32" s="21"/>
      <c r="P32" s="27" t="s">
        <v>168</v>
      </c>
      <c r="Q32" s="27" t="s">
        <v>163</v>
      </c>
      <c r="R32" s="26" t="s">
        <v>172</v>
      </c>
      <c r="S32" s="21"/>
      <c r="T32" s="31" t="str">
        <f>"735,0"</f>
        <v>735,0</v>
      </c>
      <c r="U32" s="21" t="str">
        <f>"448,4235"</f>
        <v>448,4235</v>
      </c>
      <c r="V32" s="20" t="s">
        <v>173</v>
      </c>
    </row>
    <row r="33" spans="1:22">
      <c r="A33" s="21" t="s">
        <v>220</v>
      </c>
      <c r="B33" s="20" t="s">
        <v>174</v>
      </c>
      <c r="C33" s="20" t="s">
        <v>175</v>
      </c>
      <c r="D33" s="20" t="s">
        <v>176</v>
      </c>
      <c r="E33" s="20" t="s">
        <v>981</v>
      </c>
      <c r="F33" s="20" t="s">
        <v>36</v>
      </c>
      <c r="G33" s="20" t="s">
        <v>933</v>
      </c>
      <c r="H33" s="27" t="s">
        <v>78</v>
      </c>
      <c r="I33" s="26" t="s">
        <v>79</v>
      </c>
      <c r="J33" s="27" t="s">
        <v>75</v>
      </c>
      <c r="K33" s="21"/>
      <c r="L33" s="27" t="s">
        <v>136</v>
      </c>
      <c r="M33" s="27" t="s">
        <v>114</v>
      </c>
      <c r="N33" s="27" t="s">
        <v>69</v>
      </c>
      <c r="O33" s="21"/>
      <c r="P33" s="27" t="s">
        <v>75</v>
      </c>
      <c r="Q33" s="27" t="s">
        <v>14</v>
      </c>
      <c r="R33" s="26" t="s">
        <v>15</v>
      </c>
      <c r="S33" s="21"/>
      <c r="T33" s="31" t="str">
        <f>"640,0"</f>
        <v>640,0</v>
      </c>
      <c r="U33" s="21" t="str">
        <f>"398,2720"</f>
        <v>398,2720</v>
      </c>
      <c r="V33" s="20"/>
    </row>
    <row r="34" spans="1:22">
      <c r="A34" s="19" t="s">
        <v>221</v>
      </c>
      <c r="B34" s="18" t="s">
        <v>177</v>
      </c>
      <c r="C34" s="18" t="s">
        <v>178</v>
      </c>
      <c r="D34" s="18" t="s">
        <v>171</v>
      </c>
      <c r="E34" s="18" t="s">
        <v>981</v>
      </c>
      <c r="F34" s="18" t="s">
        <v>157</v>
      </c>
      <c r="G34" s="18" t="s">
        <v>933</v>
      </c>
      <c r="H34" s="25" t="s">
        <v>78</v>
      </c>
      <c r="I34" s="24" t="s">
        <v>74</v>
      </c>
      <c r="J34" s="24" t="s">
        <v>85</v>
      </c>
      <c r="K34" s="19"/>
      <c r="L34" s="24" t="s">
        <v>55</v>
      </c>
      <c r="M34" s="24" t="s">
        <v>64</v>
      </c>
      <c r="N34" s="24" t="s">
        <v>103</v>
      </c>
      <c r="O34" s="19"/>
      <c r="P34" s="24" t="s">
        <v>79</v>
      </c>
      <c r="Q34" s="24" t="s">
        <v>13</v>
      </c>
      <c r="R34" s="24" t="s">
        <v>20</v>
      </c>
      <c r="S34" s="19"/>
      <c r="T34" s="32" t="str">
        <f>"600,0"</f>
        <v>600,0</v>
      </c>
      <c r="U34" s="19" t="str">
        <f>"366,0600"</f>
        <v>366,0600</v>
      </c>
      <c r="V34" s="18" t="s">
        <v>173</v>
      </c>
    </row>
    <row r="35" spans="1:22">
      <c r="B35" s="5" t="s">
        <v>31</v>
      </c>
    </row>
    <row r="36" spans="1:22" ht="16">
      <c r="A36" s="52" t="s">
        <v>9</v>
      </c>
      <c r="B36" s="52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</row>
    <row r="37" spans="1:22">
      <c r="A37" s="17" t="s">
        <v>30</v>
      </c>
      <c r="B37" s="16" t="s">
        <v>179</v>
      </c>
      <c r="C37" s="16" t="s">
        <v>180</v>
      </c>
      <c r="D37" s="16" t="s">
        <v>181</v>
      </c>
      <c r="E37" s="16" t="s">
        <v>981</v>
      </c>
      <c r="F37" s="16" t="s">
        <v>62</v>
      </c>
      <c r="G37" s="16" t="s">
        <v>947</v>
      </c>
      <c r="H37" s="22" t="s">
        <v>182</v>
      </c>
      <c r="I37" s="22" t="s">
        <v>13</v>
      </c>
      <c r="J37" s="22" t="s">
        <v>183</v>
      </c>
      <c r="K37" s="17"/>
      <c r="L37" s="22" t="s">
        <v>136</v>
      </c>
      <c r="M37" s="22" t="s">
        <v>184</v>
      </c>
      <c r="N37" s="22" t="s">
        <v>84</v>
      </c>
      <c r="O37" s="17"/>
      <c r="P37" s="22" t="s">
        <v>185</v>
      </c>
      <c r="Q37" s="22" t="s">
        <v>131</v>
      </c>
      <c r="R37" s="22" t="s">
        <v>186</v>
      </c>
      <c r="S37" s="17"/>
      <c r="T37" s="30" t="str">
        <f>"715,0"</f>
        <v>715,0</v>
      </c>
      <c r="U37" s="17" t="str">
        <f>"421,6355"</f>
        <v>421,6355</v>
      </c>
      <c r="V37" s="16" t="s">
        <v>925</v>
      </c>
    </row>
    <row r="38" spans="1:22">
      <c r="A38" s="21" t="s">
        <v>218</v>
      </c>
      <c r="B38" s="20" t="s">
        <v>187</v>
      </c>
      <c r="C38" s="20" t="s">
        <v>188</v>
      </c>
      <c r="D38" s="20" t="s">
        <v>189</v>
      </c>
      <c r="E38" s="20" t="s">
        <v>981</v>
      </c>
      <c r="F38" s="20" t="s">
        <v>36</v>
      </c>
      <c r="G38" s="20" t="s">
        <v>933</v>
      </c>
      <c r="H38" s="27" t="s">
        <v>85</v>
      </c>
      <c r="I38" s="27" t="s">
        <v>13</v>
      </c>
      <c r="J38" s="26" t="s">
        <v>20</v>
      </c>
      <c r="K38" s="21"/>
      <c r="L38" s="27" t="s">
        <v>104</v>
      </c>
      <c r="M38" s="27" t="s">
        <v>190</v>
      </c>
      <c r="N38" s="26" t="s">
        <v>191</v>
      </c>
      <c r="O38" s="21"/>
      <c r="P38" s="27" t="s">
        <v>137</v>
      </c>
      <c r="Q38" s="27" t="s">
        <v>129</v>
      </c>
      <c r="R38" s="27" t="s">
        <v>130</v>
      </c>
      <c r="S38" s="21"/>
      <c r="T38" s="31" t="str">
        <f>"662,5"</f>
        <v>662,5</v>
      </c>
      <c r="U38" s="21" t="str">
        <f>"392,2663"</f>
        <v>392,2663</v>
      </c>
      <c r="V38" s="20" t="s">
        <v>926</v>
      </c>
    </row>
    <row r="39" spans="1:22">
      <c r="A39" s="21" t="s">
        <v>219</v>
      </c>
      <c r="B39" s="20" t="s">
        <v>192</v>
      </c>
      <c r="C39" s="20" t="s">
        <v>193</v>
      </c>
      <c r="D39" s="20" t="s">
        <v>194</v>
      </c>
      <c r="E39" s="20" t="s">
        <v>981</v>
      </c>
      <c r="F39" s="20" t="s">
        <v>36</v>
      </c>
      <c r="G39" s="20" t="s">
        <v>975</v>
      </c>
      <c r="H39" s="27" t="s">
        <v>78</v>
      </c>
      <c r="I39" s="27" t="s">
        <v>79</v>
      </c>
      <c r="J39" s="27" t="s">
        <v>75</v>
      </c>
      <c r="K39" s="21"/>
      <c r="L39" s="27" t="s">
        <v>103</v>
      </c>
      <c r="M39" s="27" t="s">
        <v>123</v>
      </c>
      <c r="N39" s="27" t="s">
        <v>67</v>
      </c>
      <c r="O39" s="21"/>
      <c r="P39" s="27" t="s">
        <v>74</v>
      </c>
      <c r="Q39" s="27" t="s">
        <v>75</v>
      </c>
      <c r="R39" s="27" t="s">
        <v>137</v>
      </c>
      <c r="S39" s="21"/>
      <c r="T39" s="31" t="str">
        <f>"635,0"</f>
        <v>635,0</v>
      </c>
      <c r="U39" s="21" t="str">
        <f>"386,0165"</f>
        <v>386,0165</v>
      </c>
      <c r="V39" s="20"/>
    </row>
    <row r="40" spans="1:22">
      <c r="A40" s="19" t="s">
        <v>222</v>
      </c>
      <c r="B40" s="18" t="s">
        <v>195</v>
      </c>
      <c r="C40" s="18" t="s">
        <v>196</v>
      </c>
      <c r="D40" s="18" t="s">
        <v>197</v>
      </c>
      <c r="E40" s="18" t="s">
        <v>981</v>
      </c>
      <c r="F40" s="18" t="s">
        <v>94</v>
      </c>
      <c r="G40" s="18" t="s">
        <v>933</v>
      </c>
      <c r="H40" s="25" t="s">
        <v>158</v>
      </c>
      <c r="I40" s="19"/>
      <c r="J40" s="19"/>
      <c r="K40" s="19"/>
      <c r="L40" s="25"/>
      <c r="M40" s="19"/>
      <c r="N40" s="19"/>
      <c r="O40" s="19"/>
      <c r="P40" s="25"/>
      <c r="Q40" s="19"/>
      <c r="R40" s="19"/>
      <c r="S40" s="19"/>
      <c r="T40" s="32">
        <v>0</v>
      </c>
      <c r="U40" s="19" t="str">
        <f>"0,0000"</f>
        <v>0,0000</v>
      </c>
      <c r="V40" s="18" t="s">
        <v>98</v>
      </c>
    </row>
    <row r="41" spans="1:22">
      <c r="B41" s="5" t="s">
        <v>31</v>
      </c>
    </row>
    <row r="42" spans="1:22" ht="16">
      <c r="A42" s="52" t="s">
        <v>198</v>
      </c>
      <c r="B42" s="52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</row>
    <row r="43" spans="1:22">
      <c r="A43" s="8" t="s">
        <v>30</v>
      </c>
      <c r="B43" s="7" t="s">
        <v>199</v>
      </c>
      <c r="C43" s="7" t="s">
        <v>200</v>
      </c>
      <c r="D43" s="7" t="s">
        <v>201</v>
      </c>
      <c r="E43" s="7" t="s">
        <v>981</v>
      </c>
      <c r="F43" s="7" t="s">
        <v>94</v>
      </c>
      <c r="G43" s="7" t="s">
        <v>933</v>
      </c>
      <c r="H43" s="14" t="s">
        <v>14</v>
      </c>
      <c r="I43" s="14" t="s">
        <v>137</v>
      </c>
      <c r="J43" s="14" t="s">
        <v>202</v>
      </c>
      <c r="K43" s="8"/>
      <c r="L43" s="14" t="s">
        <v>136</v>
      </c>
      <c r="M43" s="14" t="s">
        <v>114</v>
      </c>
      <c r="N43" s="14" t="s">
        <v>68</v>
      </c>
      <c r="O43" s="8"/>
      <c r="P43" s="14" t="s">
        <v>129</v>
      </c>
      <c r="Q43" s="14" t="s">
        <v>130</v>
      </c>
      <c r="R43" s="14" t="s">
        <v>168</v>
      </c>
      <c r="S43" s="8"/>
      <c r="T43" s="29" t="str">
        <f>"722,5"</f>
        <v>722,5</v>
      </c>
      <c r="U43" s="8" t="str">
        <f>"417,7495"</f>
        <v>417,7495</v>
      </c>
      <c r="V43" s="7" t="s">
        <v>98</v>
      </c>
    </row>
    <row r="44" spans="1:22">
      <c r="B44" s="5" t="s">
        <v>31</v>
      </c>
    </row>
    <row r="45" spans="1:22" ht="16">
      <c r="A45" s="52" t="s">
        <v>203</v>
      </c>
      <c r="B45" s="52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</row>
    <row r="46" spans="1:22">
      <c r="A46" s="8" t="s">
        <v>30</v>
      </c>
      <c r="B46" s="7" t="s">
        <v>204</v>
      </c>
      <c r="C46" s="7" t="s">
        <v>205</v>
      </c>
      <c r="D46" s="7" t="s">
        <v>206</v>
      </c>
      <c r="E46" s="7" t="s">
        <v>981</v>
      </c>
      <c r="F46" s="7" t="s">
        <v>94</v>
      </c>
      <c r="G46" s="7" t="s">
        <v>933</v>
      </c>
      <c r="H46" s="14" t="s">
        <v>158</v>
      </c>
      <c r="I46" s="14" t="s">
        <v>207</v>
      </c>
      <c r="J46" s="14" t="s">
        <v>185</v>
      </c>
      <c r="K46" s="8"/>
      <c r="L46" s="14" t="s">
        <v>147</v>
      </c>
      <c r="M46" s="14" t="s">
        <v>208</v>
      </c>
      <c r="N46" s="14" t="s">
        <v>182</v>
      </c>
      <c r="O46" s="8"/>
      <c r="P46" s="14" t="s">
        <v>129</v>
      </c>
      <c r="Q46" s="14" t="s">
        <v>130</v>
      </c>
      <c r="R46" s="14" t="s">
        <v>168</v>
      </c>
      <c r="S46" s="8"/>
      <c r="T46" s="29" t="str">
        <f>"782,5"</f>
        <v>782,5</v>
      </c>
      <c r="U46" s="8" t="str">
        <f>"437,9653"</f>
        <v>437,9653</v>
      </c>
      <c r="V46" s="7"/>
    </row>
    <row r="47" spans="1:22">
      <c r="B47" s="5" t="s">
        <v>31</v>
      </c>
    </row>
    <row r="48" spans="1:22">
      <c r="B48" s="5" t="s">
        <v>31</v>
      </c>
    </row>
    <row r="49" spans="2:6">
      <c r="B49" s="5" t="s">
        <v>31</v>
      </c>
    </row>
    <row r="50" spans="2:6" ht="18">
      <c r="B50" s="9" t="s">
        <v>22</v>
      </c>
      <c r="C50" s="9"/>
    </row>
    <row r="51" spans="2:6" ht="16">
      <c r="B51" s="10" t="s">
        <v>23</v>
      </c>
      <c r="C51" s="10"/>
    </row>
    <row r="52" spans="2:6" ht="14">
      <c r="B52" s="11"/>
      <c r="C52" s="12" t="s">
        <v>24</v>
      </c>
    </row>
    <row r="53" spans="2:6" ht="14">
      <c r="B53" s="13" t="s">
        <v>25</v>
      </c>
      <c r="C53" s="13" t="s">
        <v>26</v>
      </c>
      <c r="D53" s="13" t="s">
        <v>903</v>
      </c>
      <c r="E53" s="13" t="s">
        <v>27</v>
      </c>
      <c r="F53" s="13" t="s">
        <v>28</v>
      </c>
    </row>
    <row r="54" spans="2:6">
      <c r="B54" s="5" t="s">
        <v>160</v>
      </c>
      <c r="C54" s="5" t="s">
        <v>24</v>
      </c>
      <c r="D54" s="6" t="s">
        <v>89</v>
      </c>
      <c r="E54" s="6" t="s">
        <v>211</v>
      </c>
      <c r="F54" s="6" t="s">
        <v>212</v>
      </c>
    </row>
    <row r="55" spans="2:6">
      <c r="B55" s="5" t="s">
        <v>204</v>
      </c>
      <c r="C55" s="5" t="s">
        <v>24</v>
      </c>
      <c r="D55" s="6" t="s">
        <v>213</v>
      </c>
      <c r="E55" s="6" t="s">
        <v>214</v>
      </c>
      <c r="F55" s="6" t="s">
        <v>215</v>
      </c>
    </row>
    <row r="56" spans="2:6">
      <c r="B56" s="5" t="s">
        <v>169</v>
      </c>
      <c r="C56" s="5" t="s">
        <v>24</v>
      </c>
      <c r="D56" s="6" t="s">
        <v>89</v>
      </c>
      <c r="E56" s="6" t="s">
        <v>216</v>
      </c>
      <c r="F56" s="6" t="s">
        <v>217</v>
      </c>
    </row>
  </sheetData>
  <mergeCells count="24">
    <mergeCell ref="A36:S36"/>
    <mergeCell ref="A42:S42"/>
    <mergeCell ref="A45:S45"/>
    <mergeCell ref="B3:B4"/>
    <mergeCell ref="A8:S8"/>
    <mergeCell ref="A12:S12"/>
    <mergeCell ref="A16:S16"/>
    <mergeCell ref="A19:S19"/>
    <mergeCell ref="A23:S23"/>
    <mergeCell ref="A29:S29"/>
    <mergeCell ref="T3:T4"/>
    <mergeCell ref="U3:U4"/>
    <mergeCell ref="V3:V4"/>
    <mergeCell ref="A5:S5"/>
    <mergeCell ref="A1:V2"/>
    <mergeCell ref="A3:A4"/>
    <mergeCell ref="C3:C4"/>
    <mergeCell ref="D3:D4"/>
    <mergeCell ref="E3:E4"/>
    <mergeCell ref="F3:F4"/>
    <mergeCell ref="G3:G4"/>
    <mergeCell ref="H3:K3"/>
    <mergeCell ref="L3:O3"/>
    <mergeCell ref="P3:S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F5065-7535-4116-A4FF-032AE22BFE37}">
  <dimension ref="A1:V19"/>
  <sheetViews>
    <sheetView workbookViewId="0">
      <selection sqref="A1:V2"/>
    </sheetView>
  </sheetViews>
  <sheetFormatPr baseColWidth="10" defaultColWidth="9.1640625" defaultRowHeight="13"/>
  <cols>
    <col min="1" max="1" width="7.1640625" style="5" bestFit="1" customWidth="1"/>
    <col min="2" max="2" width="17.5" style="5" bestFit="1" customWidth="1"/>
    <col min="3" max="3" width="27.83203125" style="5" customWidth="1"/>
    <col min="4" max="4" width="20.83203125" style="5" bestFit="1" customWidth="1"/>
    <col min="5" max="5" width="10.1640625" style="5" bestFit="1" customWidth="1"/>
    <col min="6" max="6" width="21.83203125" style="5" bestFit="1" customWidth="1"/>
    <col min="7" max="7" width="20.5" style="5" bestFit="1" customWidth="1"/>
    <col min="8" max="10" width="5.5" style="6" customWidth="1"/>
    <col min="11" max="11" width="4.5" style="6" customWidth="1"/>
    <col min="12" max="14" width="5.5" style="6" customWidth="1"/>
    <col min="15" max="15" width="4.5" style="6" customWidth="1"/>
    <col min="16" max="18" width="5.5" style="6" customWidth="1"/>
    <col min="19" max="19" width="4.5" style="6" customWidth="1"/>
    <col min="20" max="20" width="7.6640625" style="6" bestFit="1" customWidth="1"/>
    <col min="21" max="21" width="8.5" style="6" bestFit="1" customWidth="1"/>
    <col min="22" max="22" width="16.1640625" style="5" bestFit="1" customWidth="1"/>
    <col min="23" max="16384" width="9.1640625" style="3"/>
  </cols>
  <sheetData>
    <row r="1" spans="1:22" s="2" customFormat="1" ht="29" customHeight="1">
      <c r="A1" s="41" t="s">
        <v>906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4"/>
    </row>
    <row r="2" spans="1:22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8"/>
    </row>
    <row r="3" spans="1:22" s="1" customFormat="1" ht="12.75" customHeight="1">
      <c r="A3" s="49" t="s">
        <v>931</v>
      </c>
      <c r="B3" s="54" t="s">
        <v>0</v>
      </c>
      <c r="C3" s="51" t="s">
        <v>978</v>
      </c>
      <c r="D3" s="51" t="s">
        <v>5</v>
      </c>
      <c r="E3" s="35" t="s">
        <v>979</v>
      </c>
      <c r="F3" s="35"/>
      <c r="G3" s="35" t="s">
        <v>920</v>
      </c>
      <c r="H3" s="35" t="s">
        <v>6</v>
      </c>
      <c r="I3" s="35"/>
      <c r="J3" s="35"/>
      <c r="K3" s="35"/>
      <c r="L3" s="35" t="s">
        <v>7</v>
      </c>
      <c r="M3" s="35"/>
      <c r="N3" s="35"/>
      <c r="O3" s="35"/>
      <c r="P3" s="35" t="s">
        <v>8</v>
      </c>
      <c r="Q3" s="35"/>
      <c r="R3" s="35"/>
      <c r="S3" s="35"/>
      <c r="T3" s="35" t="s">
        <v>1</v>
      </c>
      <c r="U3" s="35" t="s">
        <v>3</v>
      </c>
      <c r="V3" s="37" t="s">
        <v>2</v>
      </c>
    </row>
    <row r="4" spans="1:22" s="1" customFormat="1" ht="21" customHeight="1" thickBot="1">
      <c r="A4" s="50"/>
      <c r="B4" s="55"/>
      <c r="C4" s="36"/>
      <c r="D4" s="36"/>
      <c r="E4" s="36"/>
      <c r="F4" s="36"/>
      <c r="G4" s="36"/>
      <c r="H4" s="4">
        <v>1</v>
      </c>
      <c r="I4" s="4">
        <v>2</v>
      </c>
      <c r="J4" s="4">
        <v>3</v>
      </c>
      <c r="K4" s="4" t="s">
        <v>4</v>
      </c>
      <c r="L4" s="4">
        <v>1</v>
      </c>
      <c r="M4" s="4">
        <v>2</v>
      </c>
      <c r="N4" s="4">
        <v>3</v>
      </c>
      <c r="O4" s="4" t="s">
        <v>4</v>
      </c>
      <c r="P4" s="4">
        <v>1</v>
      </c>
      <c r="Q4" s="4">
        <v>2</v>
      </c>
      <c r="R4" s="4">
        <v>3</v>
      </c>
      <c r="S4" s="4" t="s">
        <v>4</v>
      </c>
      <c r="T4" s="36"/>
      <c r="U4" s="36"/>
      <c r="V4" s="38"/>
    </row>
    <row r="5" spans="1:22" ht="16">
      <c r="A5" s="39" t="s">
        <v>32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</row>
    <row r="6" spans="1:22">
      <c r="A6" s="8" t="s">
        <v>30</v>
      </c>
      <c r="B6" s="7" t="s">
        <v>33</v>
      </c>
      <c r="C6" s="7" t="s">
        <v>34</v>
      </c>
      <c r="D6" s="7" t="s">
        <v>35</v>
      </c>
      <c r="E6" s="7" t="s">
        <v>981</v>
      </c>
      <c r="F6" s="7" t="s">
        <v>36</v>
      </c>
      <c r="G6" s="7" t="s">
        <v>936</v>
      </c>
      <c r="H6" s="14" t="s">
        <v>37</v>
      </c>
      <c r="I6" s="14" t="s">
        <v>38</v>
      </c>
      <c r="J6" s="15" t="s">
        <v>39</v>
      </c>
      <c r="K6" s="8"/>
      <c r="L6" s="14" t="s">
        <v>40</v>
      </c>
      <c r="M6" s="14" t="s">
        <v>41</v>
      </c>
      <c r="N6" s="14" t="s">
        <v>42</v>
      </c>
      <c r="O6" s="8"/>
      <c r="P6" s="14" t="s">
        <v>37</v>
      </c>
      <c r="Q6" s="14" t="s">
        <v>43</v>
      </c>
      <c r="R6" s="15" t="s">
        <v>44</v>
      </c>
      <c r="S6" s="8"/>
      <c r="T6" s="8" t="str">
        <f>"220,0"</f>
        <v>220,0</v>
      </c>
      <c r="U6" s="8" t="str">
        <f>"292,7100"</f>
        <v>292,7100</v>
      </c>
      <c r="V6" s="7" t="s">
        <v>591</v>
      </c>
    </row>
    <row r="7" spans="1:22">
      <c r="B7" s="5" t="s">
        <v>31</v>
      </c>
    </row>
    <row r="8" spans="1:22" ht="16">
      <c r="A8" s="52" t="s">
        <v>45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</row>
    <row r="9" spans="1:22">
      <c r="A9" s="8" t="s">
        <v>30</v>
      </c>
      <c r="B9" s="7" t="s">
        <v>46</v>
      </c>
      <c r="C9" s="7" t="s">
        <v>47</v>
      </c>
      <c r="D9" s="7" t="s">
        <v>48</v>
      </c>
      <c r="E9" s="7" t="s">
        <v>984</v>
      </c>
      <c r="F9" s="7" t="s">
        <v>36</v>
      </c>
      <c r="G9" s="7" t="s">
        <v>933</v>
      </c>
      <c r="H9" s="14" t="s">
        <v>49</v>
      </c>
      <c r="I9" s="14" t="s">
        <v>50</v>
      </c>
      <c r="J9" s="15" t="s">
        <v>51</v>
      </c>
      <c r="K9" s="8"/>
      <c r="L9" s="14" t="s">
        <v>52</v>
      </c>
      <c r="M9" s="14" t="s">
        <v>53</v>
      </c>
      <c r="N9" s="14" t="s">
        <v>54</v>
      </c>
      <c r="O9" s="8"/>
      <c r="P9" s="14" t="s">
        <v>55</v>
      </c>
      <c r="Q9" s="15" t="s">
        <v>56</v>
      </c>
      <c r="R9" s="15" t="s">
        <v>56</v>
      </c>
      <c r="S9" s="8"/>
      <c r="T9" s="8" t="str">
        <f>"317,5"</f>
        <v>317,5</v>
      </c>
      <c r="U9" s="8" t="str">
        <f>"331,9463"</f>
        <v>331,9463</v>
      </c>
      <c r="V9" s="7" t="s">
        <v>57</v>
      </c>
    </row>
    <row r="10" spans="1:22">
      <c r="B10" s="5" t="s">
        <v>31</v>
      </c>
    </row>
    <row r="11" spans="1:22" ht="16">
      <c r="A11" s="52" t="s">
        <v>58</v>
      </c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</row>
    <row r="12" spans="1:22">
      <c r="A12" s="8" t="s">
        <v>30</v>
      </c>
      <c r="B12" s="7" t="s">
        <v>59</v>
      </c>
      <c r="C12" s="7" t="s">
        <v>60</v>
      </c>
      <c r="D12" s="7" t="s">
        <v>61</v>
      </c>
      <c r="E12" s="7" t="s">
        <v>984</v>
      </c>
      <c r="F12" s="7" t="s">
        <v>62</v>
      </c>
      <c r="G12" s="7" t="s">
        <v>977</v>
      </c>
      <c r="H12" s="14" t="s">
        <v>55</v>
      </c>
      <c r="I12" s="14" t="s">
        <v>63</v>
      </c>
      <c r="J12" s="15" t="s">
        <v>64</v>
      </c>
      <c r="K12" s="8"/>
      <c r="L12" s="14" t="s">
        <v>38</v>
      </c>
      <c r="M12" s="14" t="s">
        <v>65</v>
      </c>
      <c r="N12" s="15" t="s">
        <v>66</v>
      </c>
      <c r="O12" s="8"/>
      <c r="P12" s="14" t="s">
        <v>67</v>
      </c>
      <c r="Q12" s="14" t="s">
        <v>68</v>
      </c>
      <c r="R12" s="15" t="s">
        <v>69</v>
      </c>
      <c r="S12" s="8"/>
      <c r="T12" s="8" t="str">
        <f>"400,0"</f>
        <v>400,0</v>
      </c>
      <c r="U12" s="8" t="str">
        <f>"348,6800"</f>
        <v>348,6800</v>
      </c>
      <c r="V12" s="7"/>
    </row>
    <row r="13" spans="1:22">
      <c r="B13" s="5" t="s">
        <v>31</v>
      </c>
    </row>
    <row r="14" spans="1:22" ht="16">
      <c r="A14" s="52" t="s">
        <v>70</v>
      </c>
      <c r="B14" s="52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</row>
    <row r="15" spans="1:22">
      <c r="A15" s="8" t="s">
        <v>30</v>
      </c>
      <c r="B15" s="7" t="s">
        <v>71</v>
      </c>
      <c r="C15" s="7" t="s">
        <v>72</v>
      </c>
      <c r="D15" s="7" t="s">
        <v>73</v>
      </c>
      <c r="E15" s="7" t="s">
        <v>981</v>
      </c>
      <c r="F15" s="7" t="s">
        <v>36</v>
      </c>
      <c r="G15" s="7" t="s">
        <v>948</v>
      </c>
      <c r="H15" s="14" t="s">
        <v>74</v>
      </c>
      <c r="I15" s="15" t="s">
        <v>75</v>
      </c>
      <c r="J15" s="15" t="s">
        <v>75</v>
      </c>
      <c r="K15" s="8"/>
      <c r="L15" s="14" t="s">
        <v>55</v>
      </c>
      <c r="M15" s="14" t="s">
        <v>76</v>
      </c>
      <c r="N15" s="15" t="s">
        <v>77</v>
      </c>
      <c r="O15" s="8"/>
      <c r="P15" s="14" t="s">
        <v>78</v>
      </c>
      <c r="Q15" s="14" t="s">
        <v>79</v>
      </c>
      <c r="R15" s="15" t="s">
        <v>19</v>
      </c>
      <c r="S15" s="8"/>
      <c r="T15" s="8" t="str">
        <f>"542,5"</f>
        <v>542,5</v>
      </c>
      <c r="U15" s="8" t="str">
        <f>"363,6920"</f>
        <v>363,6920</v>
      </c>
      <c r="V15" s="7"/>
    </row>
    <row r="16" spans="1:22">
      <c r="B16" s="5" t="s">
        <v>31</v>
      </c>
    </row>
    <row r="17" spans="1:22" ht="16">
      <c r="A17" s="52" t="s">
        <v>80</v>
      </c>
      <c r="B17" s="52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</row>
    <row r="18" spans="1:22">
      <c r="A18" s="8" t="s">
        <v>30</v>
      </c>
      <c r="B18" s="7" t="s">
        <v>81</v>
      </c>
      <c r="C18" s="7" t="s">
        <v>82</v>
      </c>
      <c r="D18" s="7" t="s">
        <v>83</v>
      </c>
      <c r="E18" s="7" t="s">
        <v>981</v>
      </c>
      <c r="F18" s="7" t="s">
        <v>36</v>
      </c>
      <c r="G18" s="7" t="s">
        <v>947</v>
      </c>
      <c r="H18" s="14" t="s">
        <v>84</v>
      </c>
      <c r="I18" s="14" t="s">
        <v>78</v>
      </c>
      <c r="J18" s="14" t="s">
        <v>74</v>
      </c>
      <c r="K18" s="8"/>
      <c r="L18" s="14" t="s">
        <v>50</v>
      </c>
      <c r="M18" s="14" t="s">
        <v>63</v>
      </c>
      <c r="N18" s="15" t="s">
        <v>64</v>
      </c>
      <c r="O18" s="8"/>
      <c r="P18" s="14" t="s">
        <v>85</v>
      </c>
      <c r="Q18" s="14" t="s">
        <v>13</v>
      </c>
      <c r="R18" s="15" t="s">
        <v>19</v>
      </c>
      <c r="S18" s="8"/>
      <c r="T18" s="8" t="str">
        <f>"555,0"</f>
        <v>555,0</v>
      </c>
      <c r="U18" s="8" t="str">
        <f>"351,9810"</f>
        <v>351,9810</v>
      </c>
      <c r="V18" s="7"/>
    </row>
    <row r="19" spans="1:22">
      <c r="B19" s="5" t="s">
        <v>31</v>
      </c>
    </row>
  </sheetData>
  <mergeCells count="19">
    <mergeCell ref="A8:S8"/>
    <mergeCell ref="A11:S11"/>
    <mergeCell ref="A14:S14"/>
    <mergeCell ref="A17:S17"/>
    <mergeCell ref="B3:B4"/>
    <mergeCell ref="T3:T4"/>
    <mergeCell ref="U3:U4"/>
    <mergeCell ref="V3:V4"/>
    <mergeCell ref="A5:S5"/>
    <mergeCell ref="A1:V2"/>
    <mergeCell ref="A3:A4"/>
    <mergeCell ref="C3:C4"/>
    <mergeCell ref="D3:D4"/>
    <mergeCell ref="E3:E4"/>
    <mergeCell ref="F3:F4"/>
    <mergeCell ref="G3:G4"/>
    <mergeCell ref="H3:K3"/>
    <mergeCell ref="L3:O3"/>
    <mergeCell ref="P3:S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V7"/>
  <sheetViews>
    <sheetView workbookViewId="0">
      <selection sqref="A1:V2"/>
    </sheetView>
  </sheetViews>
  <sheetFormatPr baseColWidth="10" defaultColWidth="9.1640625" defaultRowHeight="13"/>
  <cols>
    <col min="1" max="1" width="7.1640625" style="5" bestFit="1" customWidth="1"/>
    <col min="2" max="2" width="17.5" style="5" bestFit="1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32.6640625" style="5" customWidth="1"/>
    <col min="7" max="7" width="20.5" style="5" bestFit="1" customWidth="1"/>
    <col min="8" max="10" width="5.5" style="6" customWidth="1"/>
    <col min="11" max="11" width="4.5" style="6" customWidth="1"/>
    <col min="12" max="14" width="5.5" style="6" customWidth="1"/>
    <col min="15" max="15" width="4.5" style="6" customWidth="1"/>
    <col min="16" max="18" width="5.5" style="6" customWidth="1"/>
    <col min="19" max="19" width="4.5" style="6" customWidth="1"/>
    <col min="20" max="20" width="7.6640625" style="6" bestFit="1" customWidth="1"/>
    <col min="21" max="21" width="8.5" style="6" bestFit="1" customWidth="1"/>
    <col min="22" max="22" width="17.5" style="5" customWidth="1"/>
    <col min="23" max="16384" width="9.1640625" style="3"/>
  </cols>
  <sheetData>
    <row r="1" spans="1:22" s="2" customFormat="1" ht="29" customHeight="1">
      <c r="A1" s="41" t="s">
        <v>907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4"/>
    </row>
    <row r="2" spans="1:22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8"/>
    </row>
    <row r="3" spans="1:22" s="1" customFormat="1" ht="12.75" customHeight="1">
      <c r="A3" s="49" t="s">
        <v>931</v>
      </c>
      <c r="B3" s="54" t="s">
        <v>0</v>
      </c>
      <c r="C3" s="51" t="s">
        <v>978</v>
      </c>
      <c r="D3" s="51" t="s">
        <v>5</v>
      </c>
      <c r="E3" s="35" t="s">
        <v>979</v>
      </c>
      <c r="F3" s="35"/>
      <c r="G3" s="35" t="s">
        <v>920</v>
      </c>
      <c r="H3" s="35" t="s">
        <v>6</v>
      </c>
      <c r="I3" s="35"/>
      <c r="J3" s="35"/>
      <c r="K3" s="35"/>
      <c r="L3" s="35" t="s">
        <v>7</v>
      </c>
      <c r="M3" s="35"/>
      <c r="N3" s="35"/>
      <c r="O3" s="35"/>
      <c r="P3" s="35" t="s">
        <v>8</v>
      </c>
      <c r="Q3" s="35"/>
      <c r="R3" s="35"/>
      <c r="S3" s="35"/>
      <c r="T3" s="35" t="s">
        <v>1</v>
      </c>
      <c r="U3" s="35" t="s">
        <v>3</v>
      </c>
      <c r="V3" s="37" t="s">
        <v>2</v>
      </c>
    </row>
    <row r="4" spans="1:22" s="1" customFormat="1" ht="21" customHeight="1" thickBot="1">
      <c r="A4" s="50"/>
      <c r="B4" s="55"/>
      <c r="C4" s="36"/>
      <c r="D4" s="36"/>
      <c r="E4" s="36"/>
      <c r="F4" s="36"/>
      <c r="G4" s="36"/>
      <c r="H4" s="4">
        <v>1</v>
      </c>
      <c r="I4" s="4">
        <v>2</v>
      </c>
      <c r="J4" s="4">
        <v>3</v>
      </c>
      <c r="K4" s="4" t="s">
        <v>4</v>
      </c>
      <c r="L4" s="4">
        <v>1</v>
      </c>
      <c r="M4" s="4">
        <v>2</v>
      </c>
      <c r="N4" s="4">
        <v>3</v>
      </c>
      <c r="O4" s="4" t="s">
        <v>4</v>
      </c>
      <c r="P4" s="4">
        <v>1</v>
      </c>
      <c r="Q4" s="4">
        <v>2</v>
      </c>
      <c r="R4" s="4">
        <v>3</v>
      </c>
      <c r="S4" s="4" t="s">
        <v>4</v>
      </c>
      <c r="T4" s="36"/>
      <c r="U4" s="36"/>
      <c r="V4" s="38"/>
    </row>
    <row r="5" spans="1:22" ht="16">
      <c r="A5" s="39" t="s">
        <v>9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</row>
    <row r="6" spans="1:22">
      <c r="A6" s="8" t="s">
        <v>30</v>
      </c>
      <c r="B6" s="7" t="s">
        <v>10</v>
      </c>
      <c r="C6" s="7" t="s">
        <v>11</v>
      </c>
      <c r="D6" s="7" t="s">
        <v>12</v>
      </c>
      <c r="E6" s="7" t="s">
        <v>981</v>
      </c>
      <c r="F6" s="7" t="s">
        <v>887</v>
      </c>
      <c r="G6" s="7" t="s">
        <v>933</v>
      </c>
      <c r="H6" s="14" t="s">
        <v>13</v>
      </c>
      <c r="I6" s="14" t="s">
        <v>14</v>
      </c>
      <c r="J6" s="14" t="s">
        <v>15</v>
      </c>
      <c r="K6" s="8"/>
      <c r="L6" s="14" t="s">
        <v>16</v>
      </c>
      <c r="M6" s="14" t="s">
        <v>17</v>
      </c>
      <c r="N6" s="14" t="s">
        <v>18</v>
      </c>
      <c r="O6" s="8"/>
      <c r="P6" s="14" t="s">
        <v>19</v>
      </c>
      <c r="Q6" s="14" t="s">
        <v>20</v>
      </c>
      <c r="R6" s="14" t="s">
        <v>15</v>
      </c>
      <c r="S6" s="8"/>
      <c r="T6" s="8" t="str">
        <f>"672,5"</f>
        <v>672,5</v>
      </c>
      <c r="U6" s="8" t="str">
        <f>"401,0790"</f>
        <v>401,0790</v>
      </c>
      <c r="V6" s="7" t="s">
        <v>21</v>
      </c>
    </row>
    <row r="7" spans="1:22">
      <c r="B7" s="5" t="s">
        <v>31</v>
      </c>
    </row>
  </sheetData>
  <mergeCells count="15">
    <mergeCell ref="A5:S5"/>
    <mergeCell ref="B3:B4"/>
    <mergeCell ref="E3:E4"/>
    <mergeCell ref="T3:T4"/>
    <mergeCell ref="U3:U4"/>
    <mergeCell ref="A1:V2"/>
    <mergeCell ref="H3:K3"/>
    <mergeCell ref="L3:O3"/>
    <mergeCell ref="P3:S3"/>
    <mergeCell ref="A3:A4"/>
    <mergeCell ref="C3:C4"/>
    <mergeCell ref="D3:D4"/>
    <mergeCell ref="V3:V4"/>
    <mergeCell ref="G3:G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FDDD9-1FA2-4FEA-9C8D-975921B108CB}">
  <dimension ref="A1:R16"/>
  <sheetViews>
    <sheetView workbookViewId="0">
      <selection sqref="A1:R2"/>
    </sheetView>
  </sheetViews>
  <sheetFormatPr baseColWidth="10" defaultColWidth="9.1640625" defaultRowHeight="13"/>
  <cols>
    <col min="1" max="1" width="7.1640625" style="5" bestFit="1" customWidth="1"/>
    <col min="2" max="2" width="21.33203125" style="5" bestFit="1" customWidth="1"/>
    <col min="3" max="3" width="27.83203125" style="5" customWidth="1"/>
    <col min="4" max="4" width="20.83203125" style="5" bestFit="1" customWidth="1"/>
    <col min="5" max="5" width="10.1640625" style="5" bestFit="1" customWidth="1"/>
    <col min="6" max="6" width="21.83203125" style="5" bestFit="1" customWidth="1"/>
    <col min="7" max="7" width="23" style="5" bestFit="1" customWidth="1"/>
    <col min="8" max="10" width="5.5" style="6" customWidth="1"/>
    <col min="11" max="11" width="4.5" style="6" customWidth="1"/>
    <col min="12" max="14" width="5.5" style="6" customWidth="1"/>
    <col min="15" max="15" width="4.5" style="6" customWidth="1"/>
    <col min="16" max="16" width="7.6640625" style="6" bestFit="1" customWidth="1"/>
    <col min="17" max="17" width="8.5" style="6" bestFit="1" customWidth="1"/>
    <col min="18" max="18" width="22.1640625" style="5" customWidth="1"/>
    <col min="19" max="16384" width="9.1640625" style="3"/>
  </cols>
  <sheetData>
    <row r="1" spans="1:18" s="2" customFormat="1" ht="29" customHeight="1">
      <c r="A1" s="41" t="s">
        <v>908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4"/>
    </row>
    <row r="2" spans="1:18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</row>
    <row r="3" spans="1:18" s="1" customFormat="1" ht="12.75" customHeight="1">
      <c r="A3" s="49" t="s">
        <v>931</v>
      </c>
      <c r="B3" s="54" t="s">
        <v>0</v>
      </c>
      <c r="C3" s="51" t="s">
        <v>978</v>
      </c>
      <c r="D3" s="51" t="s">
        <v>5</v>
      </c>
      <c r="E3" s="35" t="s">
        <v>979</v>
      </c>
      <c r="F3" s="35"/>
      <c r="G3" s="35" t="s">
        <v>920</v>
      </c>
      <c r="H3" s="35" t="s">
        <v>7</v>
      </c>
      <c r="I3" s="35"/>
      <c r="J3" s="35"/>
      <c r="K3" s="35"/>
      <c r="L3" s="35" t="s">
        <v>8</v>
      </c>
      <c r="M3" s="35"/>
      <c r="N3" s="35"/>
      <c r="O3" s="35"/>
      <c r="P3" s="35" t="s">
        <v>1</v>
      </c>
      <c r="Q3" s="35" t="s">
        <v>3</v>
      </c>
      <c r="R3" s="37" t="s">
        <v>2</v>
      </c>
    </row>
    <row r="4" spans="1:18" s="1" customFormat="1" ht="21" customHeight="1" thickBot="1">
      <c r="A4" s="50"/>
      <c r="B4" s="55"/>
      <c r="C4" s="36"/>
      <c r="D4" s="36"/>
      <c r="E4" s="36"/>
      <c r="F4" s="36"/>
      <c r="G4" s="36"/>
      <c r="H4" s="4">
        <v>1</v>
      </c>
      <c r="I4" s="4">
        <v>2</v>
      </c>
      <c r="J4" s="4">
        <v>3</v>
      </c>
      <c r="K4" s="4" t="s">
        <v>4</v>
      </c>
      <c r="L4" s="4">
        <v>1</v>
      </c>
      <c r="M4" s="4">
        <v>2</v>
      </c>
      <c r="N4" s="4">
        <v>3</v>
      </c>
      <c r="O4" s="4" t="s">
        <v>4</v>
      </c>
      <c r="P4" s="36"/>
      <c r="Q4" s="36"/>
      <c r="R4" s="38"/>
    </row>
    <row r="5" spans="1:18" ht="16">
      <c r="A5" s="39" t="s">
        <v>58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8">
      <c r="A6" s="17" t="s">
        <v>30</v>
      </c>
      <c r="B6" s="16" t="s">
        <v>824</v>
      </c>
      <c r="C6" s="16" t="s">
        <v>825</v>
      </c>
      <c r="D6" s="16" t="s">
        <v>826</v>
      </c>
      <c r="E6" s="16" t="s">
        <v>981</v>
      </c>
      <c r="F6" s="16" t="s">
        <v>36</v>
      </c>
      <c r="G6" s="16" t="s">
        <v>933</v>
      </c>
      <c r="H6" s="22" t="s">
        <v>40</v>
      </c>
      <c r="I6" s="22" t="s">
        <v>42</v>
      </c>
      <c r="J6" s="23" t="s">
        <v>96</v>
      </c>
      <c r="K6" s="17"/>
      <c r="L6" s="22" t="s">
        <v>37</v>
      </c>
      <c r="M6" s="22" t="s">
        <v>65</v>
      </c>
      <c r="N6" s="22" t="s">
        <v>95</v>
      </c>
      <c r="O6" s="17"/>
      <c r="P6" s="17" t="str">
        <f>"150,0"</f>
        <v>150,0</v>
      </c>
      <c r="Q6" s="17" t="str">
        <f>"171,2400"</f>
        <v>171,2400</v>
      </c>
      <c r="R6" s="16" t="s">
        <v>827</v>
      </c>
    </row>
    <row r="7" spans="1:18">
      <c r="A7" s="19" t="s">
        <v>30</v>
      </c>
      <c r="B7" s="18" t="s">
        <v>828</v>
      </c>
      <c r="C7" s="18" t="s">
        <v>829</v>
      </c>
      <c r="D7" s="18" t="s">
        <v>830</v>
      </c>
      <c r="E7" s="18" t="s">
        <v>985</v>
      </c>
      <c r="F7" s="18" t="s">
        <v>36</v>
      </c>
      <c r="G7" s="18" t="s">
        <v>946</v>
      </c>
      <c r="H7" s="24" t="s">
        <v>831</v>
      </c>
      <c r="I7" s="24" t="s">
        <v>832</v>
      </c>
      <c r="J7" s="25" t="s">
        <v>40</v>
      </c>
      <c r="K7" s="19"/>
      <c r="L7" s="24" t="s">
        <v>37</v>
      </c>
      <c r="M7" s="24" t="s">
        <v>38</v>
      </c>
      <c r="N7" s="25" t="s">
        <v>65</v>
      </c>
      <c r="O7" s="19"/>
      <c r="P7" s="19" t="str">
        <f>"127,5"</f>
        <v>127,5</v>
      </c>
      <c r="Q7" s="19" t="str">
        <f>"221,0624"</f>
        <v>221,0624</v>
      </c>
      <c r="R7" s="18" t="s">
        <v>833</v>
      </c>
    </row>
    <row r="8" spans="1:18">
      <c r="B8" s="5" t="s">
        <v>31</v>
      </c>
    </row>
    <row r="9" spans="1:18" ht="16">
      <c r="A9" s="52" t="s">
        <v>45</v>
      </c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</row>
    <row r="10" spans="1:18">
      <c r="A10" s="17" t="s">
        <v>30</v>
      </c>
      <c r="B10" s="16" t="s">
        <v>46</v>
      </c>
      <c r="C10" s="16" t="s">
        <v>47</v>
      </c>
      <c r="D10" s="16" t="s">
        <v>48</v>
      </c>
      <c r="E10" s="16" t="s">
        <v>984</v>
      </c>
      <c r="F10" s="16" t="s">
        <v>36</v>
      </c>
      <c r="G10" s="16" t="s">
        <v>933</v>
      </c>
      <c r="H10" s="22" t="s">
        <v>52</v>
      </c>
      <c r="I10" s="22" t="s">
        <v>53</v>
      </c>
      <c r="J10" s="22" t="s">
        <v>54</v>
      </c>
      <c r="K10" s="17"/>
      <c r="L10" s="22" t="s">
        <v>55</v>
      </c>
      <c r="M10" s="23" t="s">
        <v>56</v>
      </c>
      <c r="N10" s="23" t="s">
        <v>56</v>
      </c>
      <c r="O10" s="17"/>
      <c r="P10" s="17" t="str">
        <f>"197,5"</f>
        <v>197,5</v>
      </c>
      <c r="Q10" s="17" t="str">
        <f>"206,4863"</f>
        <v>206,4863</v>
      </c>
      <c r="R10" s="16" t="s">
        <v>57</v>
      </c>
    </row>
    <row r="11" spans="1:18">
      <c r="A11" s="19" t="s">
        <v>30</v>
      </c>
      <c r="B11" s="18" t="s">
        <v>834</v>
      </c>
      <c r="C11" s="18" t="s">
        <v>835</v>
      </c>
      <c r="D11" s="18" t="s">
        <v>836</v>
      </c>
      <c r="E11" s="18" t="s">
        <v>982</v>
      </c>
      <c r="F11" s="18" t="s">
        <v>36</v>
      </c>
      <c r="G11" s="18" t="s">
        <v>949</v>
      </c>
      <c r="H11" s="24" t="s">
        <v>832</v>
      </c>
      <c r="I11" s="25" t="s">
        <v>40</v>
      </c>
      <c r="J11" s="24" t="s">
        <v>40</v>
      </c>
      <c r="K11" s="19"/>
      <c r="L11" s="24" t="s">
        <v>38</v>
      </c>
      <c r="M11" s="24" t="s">
        <v>39</v>
      </c>
      <c r="N11" s="24" t="s">
        <v>95</v>
      </c>
      <c r="O11" s="19"/>
      <c r="P11" s="19" t="str">
        <f>"145,0"</f>
        <v>145,0</v>
      </c>
      <c r="Q11" s="19" t="str">
        <f>"160,4631"</f>
        <v>160,4631</v>
      </c>
      <c r="R11" s="18" t="s">
        <v>837</v>
      </c>
    </row>
    <row r="12" spans="1:18">
      <c r="B12" s="5" t="s">
        <v>31</v>
      </c>
    </row>
    <row r="13" spans="1:18" ht="16">
      <c r="A13" s="52" t="s">
        <v>139</v>
      </c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</row>
    <row r="14" spans="1:18">
      <c r="A14" s="17" t="s">
        <v>30</v>
      </c>
      <c r="B14" s="16" t="s">
        <v>803</v>
      </c>
      <c r="C14" s="16" t="s">
        <v>804</v>
      </c>
      <c r="D14" s="16" t="s">
        <v>150</v>
      </c>
      <c r="E14" s="16" t="s">
        <v>984</v>
      </c>
      <c r="F14" s="16" t="s">
        <v>36</v>
      </c>
      <c r="G14" s="16" t="s">
        <v>933</v>
      </c>
      <c r="H14" s="22" t="s">
        <v>105</v>
      </c>
      <c r="I14" s="22" t="s">
        <v>37</v>
      </c>
      <c r="J14" s="23" t="s">
        <v>44</v>
      </c>
      <c r="K14" s="17"/>
      <c r="L14" s="22" t="s">
        <v>64</v>
      </c>
      <c r="M14" s="22" t="s">
        <v>104</v>
      </c>
      <c r="N14" s="23" t="s">
        <v>123</v>
      </c>
      <c r="O14" s="17"/>
      <c r="P14" s="17" t="str">
        <f>"230,0"</f>
        <v>230,0</v>
      </c>
      <c r="Q14" s="17" t="str">
        <f>"147,6830"</f>
        <v>147,6830</v>
      </c>
      <c r="R14" s="16"/>
    </row>
    <row r="15" spans="1:18">
      <c r="A15" s="19" t="s">
        <v>30</v>
      </c>
      <c r="B15" s="18" t="s">
        <v>838</v>
      </c>
      <c r="C15" s="18" t="s">
        <v>839</v>
      </c>
      <c r="D15" s="18" t="s">
        <v>840</v>
      </c>
      <c r="E15" s="18" t="s">
        <v>981</v>
      </c>
      <c r="F15" s="18" t="s">
        <v>36</v>
      </c>
      <c r="G15" s="18" t="s">
        <v>950</v>
      </c>
      <c r="H15" s="24" t="s">
        <v>122</v>
      </c>
      <c r="I15" s="24" t="s">
        <v>50</v>
      </c>
      <c r="J15" s="24" t="s">
        <v>55</v>
      </c>
      <c r="K15" s="19"/>
      <c r="L15" s="24" t="s">
        <v>67</v>
      </c>
      <c r="M15" s="24" t="s">
        <v>68</v>
      </c>
      <c r="N15" s="19"/>
      <c r="O15" s="19"/>
      <c r="P15" s="19" t="str">
        <f>"300,0"</f>
        <v>300,0</v>
      </c>
      <c r="Q15" s="19" t="str">
        <f>"197,4900"</f>
        <v>197,4900</v>
      </c>
      <c r="R15" s="18" t="s">
        <v>318</v>
      </c>
    </row>
    <row r="16" spans="1:18">
      <c r="B16" s="5" t="s">
        <v>31</v>
      </c>
    </row>
  </sheetData>
  <mergeCells count="16">
    <mergeCell ref="A9:O9"/>
    <mergeCell ref="A13:O13"/>
    <mergeCell ref="B3:B4"/>
    <mergeCell ref="P3:P4"/>
    <mergeCell ref="Q3:Q4"/>
    <mergeCell ref="R3:R4"/>
    <mergeCell ref="A5:O5"/>
    <mergeCell ref="A1:R2"/>
    <mergeCell ref="A3:A4"/>
    <mergeCell ref="C3:C4"/>
    <mergeCell ref="D3:D4"/>
    <mergeCell ref="E3:E4"/>
    <mergeCell ref="F3:F4"/>
    <mergeCell ref="G3:G4"/>
    <mergeCell ref="H3:K3"/>
    <mergeCell ref="L3:O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FFEBC-3F82-403F-A08F-5B8388CDD12A}">
  <dimension ref="A1:R20"/>
  <sheetViews>
    <sheetView workbookViewId="0">
      <selection sqref="A1:R2"/>
    </sheetView>
  </sheetViews>
  <sheetFormatPr baseColWidth="10" defaultColWidth="9.1640625" defaultRowHeight="13"/>
  <cols>
    <col min="1" max="1" width="7.1640625" style="5" bestFit="1" customWidth="1"/>
    <col min="2" max="2" width="18.5" style="5" bestFit="1" customWidth="1"/>
    <col min="3" max="3" width="26.5" style="5" customWidth="1"/>
    <col min="4" max="4" width="20.83203125" style="5" bestFit="1" customWidth="1"/>
    <col min="5" max="5" width="10.1640625" style="5" bestFit="1" customWidth="1"/>
    <col min="6" max="6" width="24.6640625" style="5" bestFit="1" customWidth="1"/>
    <col min="7" max="7" width="23.33203125" style="5" customWidth="1"/>
    <col min="8" max="10" width="5.5" style="6" customWidth="1"/>
    <col min="11" max="11" width="4.5" style="6" customWidth="1"/>
    <col min="12" max="14" width="5.5" style="6" customWidth="1"/>
    <col min="15" max="15" width="4.5" style="6" customWidth="1"/>
    <col min="16" max="16" width="7.6640625" style="6" bestFit="1" customWidth="1"/>
    <col min="17" max="17" width="8.5" style="6" bestFit="1" customWidth="1"/>
    <col min="18" max="18" width="16.1640625" style="5" bestFit="1" customWidth="1"/>
    <col min="19" max="16384" width="9.1640625" style="3"/>
  </cols>
  <sheetData>
    <row r="1" spans="1:18" s="2" customFormat="1" ht="29" customHeight="1">
      <c r="A1" s="41" t="s">
        <v>909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4"/>
    </row>
    <row r="2" spans="1:18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</row>
    <row r="3" spans="1:18" s="1" customFormat="1" ht="12.75" customHeight="1">
      <c r="A3" s="49" t="s">
        <v>931</v>
      </c>
      <c r="B3" s="54" t="s">
        <v>0</v>
      </c>
      <c r="C3" s="51" t="s">
        <v>978</v>
      </c>
      <c r="D3" s="51" t="s">
        <v>5</v>
      </c>
      <c r="E3" s="35" t="s">
        <v>979</v>
      </c>
      <c r="F3" s="35"/>
      <c r="G3" s="35" t="s">
        <v>920</v>
      </c>
      <c r="H3" s="35" t="s">
        <v>7</v>
      </c>
      <c r="I3" s="35"/>
      <c r="J3" s="35"/>
      <c r="K3" s="35"/>
      <c r="L3" s="35" t="s">
        <v>8</v>
      </c>
      <c r="M3" s="35"/>
      <c r="N3" s="35"/>
      <c r="O3" s="35"/>
      <c r="P3" s="35" t="s">
        <v>1</v>
      </c>
      <c r="Q3" s="35" t="s">
        <v>3</v>
      </c>
      <c r="R3" s="37" t="s">
        <v>2</v>
      </c>
    </row>
    <row r="4" spans="1:18" s="1" customFormat="1" ht="21" customHeight="1" thickBot="1">
      <c r="A4" s="50"/>
      <c r="B4" s="55"/>
      <c r="C4" s="36"/>
      <c r="D4" s="36"/>
      <c r="E4" s="36"/>
      <c r="F4" s="36"/>
      <c r="G4" s="36"/>
      <c r="H4" s="4">
        <v>1</v>
      </c>
      <c r="I4" s="4">
        <v>2</v>
      </c>
      <c r="J4" s="4">
        <v>3</v>
      </c>
      <c r="K4" s="4" t="s">
        <v>4</v>
      </c>
      <c r="L4" s="4">
        <v>1</v>
      </c>
      <c r="M4" s="4">
        <v>2</v>
      </c>
      <c r="N4" s="4">
        <v>3</v>
      </c>
      <c r="O4" s="4" t="s">
        <v>4</v>
      </c>
      <c r="P4" s="36"/>
      <c r="Q4" s="36"/>
      <c r="R4" s="38"/>
    </row>
    <row r="5" spans="1:18" ht="16">
      <c r="A5" s="39" t="s">
        <v>45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8">
      <c r="A6" s="8" t="s">
        <v>30</v>
      </c>
      <c r="B6" s="7" t="s">
        <v>439</v>
      </c>
      <c r="C6" s="7" t="s">
        <v>440</v>
      </c>
      <c r="D6" s="7" t="s">
        <v>441</v>
      </c>
      <c r="E6" s="7" t="s">
        <v>981</v>
      </c>
      <c r="F6" s="7" t="s">
        <v>36</v>
      </c>
      <c r="G6" s="7" t="s">
        <v>933</v>
      </c>
      <c r="H6" s="14" t="s">
        <v>53</v>
      </c>
      <c r="I6" s="15" t="s">
        <v>54</v>
      </c>
      <c r="J6" s="8"/>
      <c r="K6" s="8"/>
      <c r="L6" s="14" t="s">
        <v>77</v>
      </c>
      <c r="M6" s="14" t="s">
        <v>104</v>
      </c>
      <c r="N6" s="15" t="s">
        <v>136</v>
      </c>
      <c r="O6" s="8"/>
      <c r="P6" s="8" t="str">
        <f>"220,0"</f>
        <v>220,0</v>
      </c>
      <c r="Q6" s="8" t="str">
        <f>"237,9960"</f>
        <v>237,9960</v>
      </c>
      <c r="R6" s="7"/>
    </row>
    <row r="7" spans="1:18">
      <c r="B7" s="5" t="s">
        <v>31</v>
      </c>
    </row>
    <row r="8" spans="1:18" ht="16">
      <c r="A8" s="52" t="s">
        <v>70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</row>
    <row r="9" spans="1:18">
      <c r="A9" s="8" t="s">
        <v>30</v>
      </c>
      <c r="B9" s="7" t="s">
        <v>111</v>
      </c>
      <c r="C9" s="7" t="s">
        <v>116</v>
      </c>
      <c r="D9" s="7" t="s">
        <v>113</v>
      </c>
      <c r="E9" s="7" t="s">
        <v>981</v>
      </c>
      <c r="F9" s="7" t="s">
        <v>36</v>
      </c>
      <c r="G9" s="7" t="s">
        <v>936</v>
      </c>
      <c r="H9" s="14" t="s">
        <v>66</v>
      </c>
      <c r="I9" s="15" t="s">
        <v>95</v>
      </c>
      <c r="J9" s="15" t="s">
        <v>95</v>
      </c>
      <c r="K9" s="8"/>
      <c r="L9" s="14" t="s">
        <v>84</v>
      </c>
      <c r="M9" s="14" t="s">
        <v>69</v>
      </c>
      <c r="N9" s="14" t="s">
        <v>78</v>
      </c>
      <c r="O9" s="8"/>
      <c r="P9" s="8" t="str">
        <f>"290,0"</f>
        <v>290,0</v>
      </c>
      <c r="Q9" s="8" t="str">
        <f>"261,8120"</f>
        <v>261,8120</v>
      </c>
      <c r="R9" s="7" t="s">
        <v>115</v>
      </c>
    </row>
    <row r="10" spans="1:18">
      <c r="B10" s="5" t="s">
        <v>31</v>
      </c>
    </row>
    <row r="11" spans="1:18" ht="16">
      <c r="A11" s="52" t="s">
        <v>117</v>
      </c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</row>
    <row r="12" spans="1:18">
      <c r="A12" s="8" t="s">
        <v>30</v>
      </c>
      <c r="B12" s="7" t="s">
        <v>118</v>
      </c>
      <c r="C12" s="7" t="s">
        <v>119</v>
      </c>
      <c r="D12" s="7" t="s">
        <v>120</v>
      </c>
      <c r="E12" s="7" t="s">
        <v>981</v>
      </c>
      <c r="F12" s="7" t="s">
        <v>36</v>
      </c>
      <c r="G12" s="7" t="s">
        <v>933</v>
      </c>
      <c r="H12" s="14" t="s">
        <v>49</v>
      </c>
      <c r="I12" s="14" t="s">
        <v>122</v>
      </c>
      <c r="J12" s="14" t="s">
        <v>50</v>
      </c>
      <c r="K12" s="8"/>
      <c r="L12" s="14" t="s">
        <v>103</v>
      </c>
      <c r="M12" s="8"/>
      <c r="N12" s="8"/>
      <c r="O12" s="8"/>
      <c r="P12" s="8" t="str">
        <f>"265,0"</f>
        <v>265,0</v>
      </c>
      <c r="Q12" s="8" t="str">
        <f>"190,0845"</f>
        <v>190,0845</v>
      </c>
      <c r="R12" s="7"/>
    </row>
    <row r="13" spans="1:18">
      <c r="B13" s="5" t="s">
        <v>31</v>
      </c>
    </row>
    <row r="14" spans="1:18" ht="16">
      <c r="A14" s="52" t="s">
        <v>139</v>
      </c>
      <c r="B14" s="52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</row>
    <row r="15" spans="1:18">
      <c r="A15" s="8" t="s">
        <v>30</v>
      </c>
      <c r="B15" s="7" t="s">
        <v>148</v>
      </c>
      <c r="C15" s="7" t="s">
        <v>149</v>
      </c>
      <c r="D15" s="7" t="s">
        <v>150</v>
      </c>
      <c r="E15" s="7" t="s">
        <v>981</v>
      </c>
      <c r="F15" s="7" t="s">
        <v>889</v>
      </c>
      <c r="G15" s="7" t="s">
        <v>933</v>
      </c>
      <c r="H15" s="14" t="s">
        <v>114</v>
      </c>
      <c r="I15" s="15" t="s">
        <v>84</v>
      </c>
      <c r="J15" s="15" t="s">
        <v>84</v>
      </c>
      <c r="K15" s="8"/>
      <c r="L15" s="14" t="s">
        <v>151</v>
      </c>
      <c r="M15" s="14" t="s">
        <v>152</v>
      </c>
      <c r="N15" s="15" t="s">
        <v>153</v>
      </c>
      <c r="O15" s="8"/>
      <c r="P15" s="8" t="str">
        <f>"492,5"</f>
        <v>492,5</v>
      </c>
      <c r="Q15" s="8" t="str">
        <f>"316,2342"</f>
        <v>316,2342</v>
      </c>
      <c r="R15" s="7"/>
    </row>
    <row r="16" spans="1:18">
      <c r="B16" s="5" t="s">
        <v>31</v>
      </c>
    </row>
    <row r="17" spans="1:18" ht="16">
      <c r="A17" s="52" t="s">
        <v>80</v>
      </c>
      <c r="B17" s="52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</row>
    <row r="18" spans="1:18">
      <c r="A18" s="17" t="s">
        <v>30</v>
      </c>
      <c r="B18" s="16" t="s">
        <v>160</v>
      </c>
      <c r="C18" s="16" t="s">
        <v>161</v>
      </c>
      <c r="D18" s="16" t="s">
        <v>162</v>
      </c>
      <c r="E18" s="16" t="s">
        <v>981</v>
      </c>
      <c r="F18" s="16" t="s">
        <v>889</v>
      </c>
      <c r="G18" s="16" t="s">
        <v>933</v>
      </c>
      <c r="H18" s="22" t="s">
        <v>79</v>
      </c>
      <c r="I18" s="22" t="s">
        <v>85</v>
      </c>
      <c r="J18" s="22" t="s">
        <v>75</v>
      </c>
      <c r="K18" s="17"/>
      <c r="L18" s="22" t="s">
        <v>164</v>
      </c>
      <c r="M18" s="22" t="s">
        <v>153</v>
      </c>
      <c r="N18" s="17"/>
      <c r="O18" s="17"/>
      <c r="P18" s="17" t="str">
        <f>"565,0"</f>
        <v>565,0</v>
      </c>
      <c r="Q18" s="17" t="str">
        <f>"345,2715"</f>
        <v>345,2715</v>
      </c>
      <c r="R18" s="16"/>
    </row>
    <row r="19" spans="1:18">
      <c r="A19" s="19" t="s">
        <v>218</v>
      </c>
      <c r="B19" s="18" t="s">
        <v>820</v>
      </c>
      <c r="C19" s="18" t="s">
        <v>821</v>
      </c>
      <c r="D19" s="18" t="s">
        <v>822</v>
      </c>
      <c r="E19" s="18" t="s">
        <v>981</v>
      </c>
      <c r="F19" s="18" t="s">
        <v>36</v>
      </c>
      <c r="G19" s="18" t="s">
        <v>944</v>
      </c>
      <c r="H19" s="24" t="s">
        <v>84</v>
      </c>
      <c r="I19" s="24" t="s">
        <v>127</v>
      </c>
      <c r="J19" s="24" t="s">
        <v>128</v>
      </c>
      <c r="K19" s="19"/>
      <c r="L19" s="24" t="s">
        <v>20</v>
      </c>
      <c r="M19" s="24" t="s">
        <v>137</v>
      </c>
      <c r="N19" s="24" t="s">
        <v>138</v>
      </c>
      <c r="O19" s="19"/>
      <c r="P19" s="19" t="str">
        <f>"452,5"</f>
        <v>452,5</v>
      </c>
      <c r="Q19" s="19" t="str">
        <f>"276,9753"</f>
        <v>276,9753</v>
      </c>
      <c r="R19" s="18" t="s">
        <v>823</v>
      </c>
    </row>
    <row r="20" spans="1:18">
      <c r="B20" s="5" t="s">
        <v>31</v>
      </c>
    </row>
  </sheetData>
  <mergeCells count="18">
    <mergeCell ref="A8:O8"/>
    <mergeCell ref="A11:O11"/>
    <mergeCell ref="A14:O14"/>
    <mergeCell ref="A17:O17"/>
    <mergeCell ref="B3:B4"/>
    <mergeCell ref="P3:P4"/>
    <mergeCell ref="Q3:Q4"/>
    <mergeCell ref="R3:R4"/>
    <mergeCell ref="A5:O5"/>
    <mergeCell ref="A1:R2"/>
    <mergeCell ref="A3:A4"/>
    <mergeCell ref="C3:C4"/>
    <mergeCell ref="D3:D4"/>
    <mergeCell ref="E3:E4"/>
    <mergeCell ref="F3:F4"/>
    <mergeCell ref="G3:G4"/>
    <mergeCell ref="H3:K3"/>
    <mergeCell ref="L3:O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45AC2-4805-48FA-BB47-FAB48BE8578A}">
  <dimension ref="A1:N109"/>
  <sheetViews>
    <sheetView topLeftCell="A59" workbookViewId="0">
      <selection activeCell="E93" sqref="E93"/>
    </sheetView>
  </sheetViews>
  <sheetFormatPr baseColWidth="10" defaultColWidth="9.1640625" defaultRowHeight="13"/>
  <cols>
    <col min="1" max="1" width="7.1640625" style="5" bestFit="1" customWidth="1"/>
    <col min="2" max="2" width="21.83203125" style="5" bestFit="1" customWidth="1"/>
    <col min="3" max="3" width="27.5" style="5" bestFit="1" customWidth="1"/>
    <col min="4" max="4" width="20.83203125" style="5" bestFit="1" customWidth="1"/>
    <col min="5" max="5" width="10.1640625" style="5" bestFit="1" customWidth="1"/>
    <col min="6" max="7" width="21.83203125" style="5" bestFit="1" customWidth="1"/>
    <col min="8" max="10" width="5.5" style="6" customWidth="1"/>
    <col min="11" max="11" width="4.5" style="6" customWidth="1"/>
    <col min="12" max="12" width="10.5" style="28" bestFit="1" customWidth="1"/>
    <col min="13" max="13" width="8.5" style="6" bestFit="1" customWidth="1"/>
    <col min="14" max="14" width="24.1640625" style="5" customWidth="1"/>
    <col min="15" max="16384" width="9.1640625" style="3"/>
  </cols>
  <sheetData>
    <row r="1" spans="1:14" s="2" customFormat="1" ht="29" customHeight="1">
      <c r="A1" s="41" t="s">
        <v>910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4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</row>
    <row r="3" spans="1:14" s="1" customFormat="1" ht="12.75" customHeight="1">
      <c r="A3" s="49" t="s">
        <v>931</v>
      </c>
      <c r="B3" s="54" t="s">
        <v>0</v>
      </c>
      <c r="C3" s="51" t="s">
        <v>978</v>
      </c>
      <c r="D3" s="51" t="s">
        <v>5</v>
      </c>
      <c r="E3" s="35" t="s">
        <v>979</v>
      </c>
      <c r="F3" s="35"/>
      <c r="G3" s="35" t="s">
        <v>920</v>
      </c>
      <c r="H3" s="35" t="s">
        <v>7</v>
      </c>
      <c r="I3" s="35"/>
      <c r="J3" s="35"/>
      <c r="K3" s="35"/>
      <c r="L3" s="33" t="s">
        <v>431</v>
      </c>
      <c r="M3" s="35" t="s">
        <v>3</v>
      </c>
      <c r="N3" s="37" t="s">
        <v>2</v>
      </c>
    </row>
    <row r="4" spans="1:14" s="1" customFormat="1" ht="21" customHeight="1" thickBot="1">
      <c r="A4" s="50"/>
      <c r="B4" s="55"/>
      <c r="C4" s="36"/>
      <c r="D4" s="36"/>
      <c r="E4" s="36"/>
      <c r="F4" s="36"/>
      <c r="G4" s="36"/>
      <c r="H4" s="4">
        <v>1</v>
      </c>
      <c r="I4" s="4">
        <v>2</v>
      </c>
      <c r="J4" s="4">
        <v>3</v>
      </c>
      <c r="K4" s="4" t="s">
        <v>4</v>
      </c>
      <c r="L4" s="34"/>
      <c r="M4" s="36"/>
      <c r="N4" s="38"/>
    </row>
    <row r="5" spans="1:14" ht="16">
      <c r="A5" s="39" t="s">
        <v>237</v>
      </c>
      <c r="B5" s="39"/>
      <c r="C5" s="40"/>
      <c r="D5" s="40"/>
      <c r="E5" s="40"/>
      <c r="F5" s="40"/>
      <c r="G5" s="40"/>
      <c r="H5" s="40"/>
      <c r="I5" s="40"/>
      <c r="J5" s="40"/>
      <c r="K5" s="40"/>
    </row>
    <row r="6" spans="1:14">
      <c r="A6" s="17" t="s">
        <v>222</v>
      </c>
      <c r="B6" s="16" t="s">
        <v>253</v>
      </c>
      <c r="C6" s="16" t="s">
        <v>543</v>
      </c>
      <c r="D6" s="16" t="s">
        <v>255</v>
      </c>
      <c r="E6" s="16" t="s">
        <v>980</v>
      </c>
      <c r="F6" s="16" t="s">
        <v>36</v>
      </c>
      <c r="G6" s="16" t="s">
        <v>934</v>
      </c>
      <c r="H6" s="23" t="s">
        <v>256</v>
      </c>
      <c r="I6" s="17"/>
      <c r="J6" s="17"/>
      <c r="K6" s="17"/>
      <c r="L6" s="30">
        <v>0</v>
      </c>
      <c r="M6" s="17" t="str">
        <f>"0,0000"</f>
        <v>0,0000</v>
      </c>
      <c r="N6" s="16" t="s">
        <v>257</v>
      </c>
    </row>
    <row r="7" spans="1:14">
      <c r="A7" s="19" t="s">
        <v>30</v>
      </c>
      <c r="B7" s="18" t="s">
        <v>544</v>
      </c>
      <c r="C7" s="18" t="s">
        <v>545</v>
      </c>
      <c r="D7" s="18" t="s">
        <v>546</v>
      </c>
      <c r="E7" s="18" t="s">
        <v>981</v>
      </c>
      <c r="F7" s="18" t="s">
        <v>36</v>
      </c>
      <c r="G7" s="18" t="s">
        <v>951</v>
      </c>
      <c r="H7" s="24" t="s">
        <v>241</v>
      </c>
      <c r="I7" s="25" t="s">
        <v>242</v>
      </c>
      <c r="J7" s="25" t="s">
        <v>242</v>
      </c>
      <c r="K7" s="19"/>
      <c r="L7" s="32" t="str">
        <f>"57,5"</f>
        <v>57,5</v>
      </c>
      <c r="M7" s="19" t="str">
        <f>"72,3235"</f>
        <v>72,3235</v>
      </c>
      <c r="N7" s="18" t="s">
        <v>547</v>
      </c>
    </row>
    <row r="8" spans="1:14">
      <c r="B8" s="5" t="s">
        <v>31</v>
      </c>
    </row>
    <row r="9" spans="1:14" ht="16">
      <c r="A9" s="52" t="s">
        <v>99</v>
      </c>
      <c r="B9" s="52"/>
      <c r="C9" s="53"/>
      <c r="D9" s="53"/>
      <c r="E9" s="53"/>
      <c r="F9" s="53"/>
      <c r="G9" s="53"/>
      <c r="H9" s="53"/>
      <c r="I9" s="53"/>
      <c r="J9" s="53"/>
      <c r="K9" s="53"/>
    </row>
    <row r="10" spans="1:14">
      <c r="A10" s="17" t="s">
        <v>30</v>
      </c>
      <c r="B10" s="16" t="s">
        <v>548</v>
      </c>
      <c r="C10" s="16" t="s">
        <v>549</v>
      </c>
      <c r="D10" s="16" t="s">
        <v>550</v>
      </c>
      <c r="E10" s="16" t="s">
        <v>981</v>
      </c>
      <c r="F10" s="16" t="s">
        <v>36</v>
      </c>
      <c r="G10" s="16" t="s">
        <v>937</v>
      </c>
      <c r="H10" s="23" t="s">
        <v>294</v>
      </c>
      <c r="I10" s="22" t="s">
        <v>294</v>
      </c>
      <c r="J10" s="23" t="s">
        <v>53</v>
      </c>
      <c r="K10" s="17"/>
      <c r="L10" s="30" t="str">
        <f>"67,5"</f>
        <v>67,5</v>
      </c>
      <c r="M10" s="17" t="str">
        <f>"81,4793"</f>
        <v>81,4793</v>
      </c>
      <c r="N10" s="16" t="s">
        <v>883</v>
      </c>
    </row>
    <row r="11" spans="1:14">
      <c r="A11" s="21" t="s">
        <v>218</v>
      </c>
      <c r="B11" s="20" t="s">
        <v>551</v>
      </c>
      <c r="C11" s="20" t="s">
        <v>552</v>
      </c>
      <c r="D11" s="20" t="s">
        <v>553</v>
      </c>
      <c r="E11" s="20" t="s">
        <v>981</v>
      </c>
      <c r="F11" s="20" t="s">
        <v>36</v>
      </c>
      <c r="G11" s="20" t="s">
        <v>952</v>
      </c>
      <c r="H11" s="27" t="s">
        <v>96</v>
      </c>
      <c r="I11" s="27" t="s">
        <v>261</v>
      </c>
      <c r="J11" s="27" t="s">
        <v>227</v>
      </c>
      <c r="K11" s="21"/>
      <c r="L11" s="31" t="str">
        <f>"55,0"</f>
        <v>55,0</v>
      </c>
      <c r="M11" s="21" t="str">
        <f>"65,5380"</f>
        <v>65,5380</v>
      </c>
      <c r="N11" s="20" t="s">
        <v>554</v>
      </c>
    </row>
    <row r="12" spans="1:14">
      <c r="A12" s="19" t="s">
        <v>30</v>
      </c>
      <c r="B12" s="18" t="s">
        <v>548</v>
      </c>
      <c r="C12" s="18" t="s">
        <v>555</v>
      </c>
      <c r="D12" s="18" t="s">
        <v>550</v>
      </c>
      <c r="E12" s="18" t="s">
        <v>982</v>
      </c>
      <c r="F12" s="18" t="s">
        <v>36</v>
      </c>
      <c r="G12" s="18" t="s">
        <v>937</v>
      </c>
      <c r="H12" s="25" t="s">
        <v>294</v>
      </c>
      <c r="I12" s="24" t="s">
        <v>294</v>
      </c>
      <c r="J12" s="25" t="s">
        <v>53</v>
      </c>
      <c r="K12" s="19"/>
      <c r="L12" s="32" t="str">
        <f>"67,5"</f>
        <v>67,5</v>
      </c>
      <c r="M12" s="19" t="str">
        <f>"86,3680"</f>
        <v>86,3680</v>
      </c>
      <c r="N12" s="18" t="s">
        <v>883</v>
      </c>
    </row>
    <row r="13" spans="1:14">
      <c r="B13" s="5" t="s">
        <v>31</v>
      </c>
    </row>
    <row r="14" spans="1:14" ht="16">
      <c r="A14" s="52" t="s">
        <v>58</v>
      </c>
      <c r="B14" s="52"/>
      <c r="C14" s="53"/>
      <c r="D14" s="53"/>
      <c r="E14" s="53"/>
      <c r="F14" s="53"/>
      <c r="G14" s="53"/>
      <c r="H14" s="53"/>
      <c r="I14" s="53"/>
      <c r="J14" s="53"/>
      <c r="K14" s="53"/>
    </row>
    <row r="15" spans="1:14">
      <c r="A15" s="8" t="s">
        <v>30</v>
      </c>
      <c r="B15" s="7" t="s">
        <v>556</v>
      </c>
      <c r="C15" s="7" t="s">
        <v>557</v>
      </c>
      <c r="D15" s="7" t="s">
        <v>558</v>
      </c>
      <c r="E15" s="7" t="s">
        <v>981</v>
      </c>
      <c r="F15" s="7" t="s">
        <v>36</v>
      </c>
      <c r="G15" s="7" t="s">
        <v>933</v>
      </c>
      <c r="H15" s="14" t="s">
        <v>40</v>
      </c>
      <c r="I15" s="14" t="s">
        <v>42</v>
      </c>
      <c r="J15" s="15" t="s">
        <v>256</v>
      </c>
      <c r="K15" s="8"/>
      <c r="L15" s="29" t="str">
        <f>"45,0"</f>
        <v>45,0</v>
      </c>
      <c r="M15" s="8" t="str">
        <f>"51,0300"</f>
        <v>51,0300</v>
      </c>
      <c r="N15" s="7" t="s">
        <v>559</v>
      </c>
    </row>
    <row r="16" spans="1:14">
      <c r="B16" s="5" t="s">
        <v>31</v>
      </c>
    </row>
    <row r="17" spans="1:14" ht="16">
      <c r="A17" s="52" t="s">
        <v>45</v>
      </c>
      <c r="B17" s="52"/>
      <c r="C17" s="53"/>
      <c r="D17" s="53"/>
      <c r="E17" s="53"/>
      <c r="F17" s="53"/>
      <c r="G17" s="53"/>
      <c r="H17" s="53"/>
      <c r="I17" s="53"/>
      <c r="J17" s="53"/>
      <c r="K17" s="53"/>
    </row>
    <row r="18" spans="1:14">
      <c r="A18" s="17" t="s">
        <v>30</v>
      </c>
      <c r="B18" s="16" t="s">
        <v>298</v>
      </c>
      <c r="C18" s="16" t="s">
        <v>299</v>
      </c>
      <c r="D18" s="16" t="s">
        <v>300</v>
      </c>
      <c r="E18" s="16" t="s">
        <v>981</v>
      </c>
      <c r="F18" s="16" t="s">
        <v>278</v>
      </c>
      <c r="G18" s="16" t="s">
        <v>933</v>
      </c>
      <c r="H18" s="22" t="s">
        <v>294</v>
      </c>
      <c r="I18" s="23" t="s">
        <v>53</v>
      </c>
      <c r="J18" s="23" t="s">
        <v>53</v>
      </c>
      <c r="K18" s="17"/>
      <c r="L18" s="30" t="str">
        <f>"67,5"</f>
        <v>67,5</v>
      </c>
      <c r="M18" s="17" t="str">
        <f>"70,0987"</f>
        <v>70,0987</v>
      </c>
      <c r="N18" s="16" t="s">
        <v>279</v>
      </c>
    </row>
    <row r="19" spans="1:14">
      <c r="A19" s="21" t="s">
        <v>218</v>
      </c>
      <c r="B19" s="20" t="s">
        <v>560</v>
      </c>
      <c r="C19" s="20" t="s">
        <v>561</v>
      </c>
      <c r="D19" s="20" t="s">
        <v>562</v>
      </c>
      <c r="E19" s="20" t="s">
        <v>981</v>
      </c>
      <c r="F19" s="20" t="s">
        <v>36</v>
      </c>
      <c r="G19" s="20" t="s">
        <v>933</v>
      </c>
      <c r="H19" s="27" t="s">
        <v>227</v>
      </c>
      <c r="I19" s="26" t="s">
        <v>228</v>
      </c>
      <c r="J19" s="26" t="s">
        <v>228</v>
      </c>
      <c r="K19" s="21"/>
      <c r="L19" s="31" t="str">
        <f>"55,0"</f>
        <v>55,0</v>
      </c>
      <c r="M19" s="21" t="str">
        <f>"58,9270"</f>
        <v>58,9270</v>
      </c>
      <c r="N19" s="20" t="s">
        <v>231</v>
      </c>
    </row>
    <row r="20" spans="1:14">
      <c r="A20" s="19" t="s">
        <v>222</v>
      </c>
      <c r="B20" s="18" t="s">
        <v>563</v>
      </c>
      <c r="C20" s="18" t="s">
        <v>564</v>
      </c>
      <c r="D20" s="18" t="s">
        <v>565</v>
      </c>
      <c r="E20" s="18" t="s">
        <v>981</v>
      </c>
      <c r="F20" s="18" t="s">
        <v>36</v>
      </c>
      <c r="G20" s="18" t="s">
        <v>933</v>
      </c>
      <c r="H20" s="25" t="s">
        <v>228</v>
      </c>
      <c r="I20" s="25" t="s">
        <v>52</v>
      </c>
      <c r="J20" s="25" t="s">
        <v>52</v>
      </c>
      <c r="K20" s="19"/>
      <c r="L20" s="32">
        <v>0</v>
      </c>
      <c r="M20" s="19" t="str">
        <f>"0,0000"</f>
        <v>0,0000</v>
      </c>
      <c r="N20" s="18" t="s">
        <v>566</v>
      </c>
    </row>
    <row r="21" spans="1:14">
      <c r="B21" s="5" t="s">
        <v>31</v>
      </c>
    </row>
    <row r="22" spans="1:14" ht="16">
      <c r="A22" s="52" t="s">
        <v>117</v>
      </c>
      <c r="B22" s="52"/>
      <c r="C22" s="53"/>
      <c r="D22" s="53"/>
      <c r="E22" s="53"/>
      <c r="F22" s="53"/>
      <c r="G22" s="53"/>
      <c r="H22" s="53"/>
      <c r="I22" s="53"/>
      <c r="J22" s="53"/>
      <c r="K22" s="53"/>
    </row>
    <row r="23" spans="1:14">
      <c r="A23" s="17" t="s">
        <v>30</v>
      </c>
      <c r="B23" s="16" t="s">
        <v>567</v>
      </c>
      <c r="C23" s="16" t="s">
        <v>568</v>
      </c>
      <c r="D23" s="16" t="s">
        <v>569</v>
      </c>
      <c r="E23" s="16" t="s">
        <v>981</v>
      </c>
      <c r="F23" s="16" t="s">
        <v>892</v>
      </c>
      <c r="G23" s="16" t="s">
        <v>945</v>
      </c>
      <c r="H23" s="22" t="s">
        <v>294</v>
      </c>
      <c r="I23" s="22" t="s">
        <v>53</v>
      </c>
      <c r="J23" s="22" t="s">
        <v>54</v>
      </c>
      <c r="K23" s="17"/>
      <c r="L23" s="30" t="str">
        <f>"72,5"</f>
        <v>72,5</v>
      </c>
      <c r="M23" s="17" t="str">
        <f>"69,0345"</f>
        <v>69,0345</v>
      </c>
      <c r="N23" s="16" t="s">
        <v>455</v>
      </c>
    </row>
    <row r="24" spans="1:14">
      <c r="A24" s="19" t="s">
        <v>30</v>
      </c>
      <c r="B24" s="18" t="s">
        <v>570</v>
      </c>
      <c r="C24" s="18" t="s">
        <v>571</v>
      </c>
      <c r="D24" s="18" t="s">
        <v>572</v>
      </c>
      <c r="E24" s="18" t="s">
        <v>986</v>
      </c>
      <c r="F24" s="18" t="s">
        <v>36</v>
      </c>
      <c r="G24" s="18" t="s">
        <v>937</v>
      </c>
      <c r="H24" s="24" t="s">
        <v>261</v>
      </c>
      <c r="I24" s="24" t="s">
        <v>227</v>
      </c>
      <c r="J24" s="25" t="s">
        <v>241</v>
      </c>
      <c r="K24" s="19"/>
      <c r="L24" s="32" t="str">
        <f>"55,0"</f>
        <v>55,0</v>
      </c>
      <c r="M24" s="19" t="str">
        <f>"71,3097"</f>
        <v>71,3097</v>
      </c>
      <c r="N24" s="18" t="s">
        <v>584</v>
      </c>
    </row>
    <row r="25" spans="1:14">
      <c r="B25" s="5" t="s">
        <v>31</v>
      </c>
    </row>
    <row r="26" spans="1:14" ht="16">
      <c r="A26" s="52" t="s">
        <v>573</v>
      </c>
      <c r="B26" s="52"/>
      <c r="C26" s="53"/>
      <c r="D26" s="53"/>
      <c r="E26" s="53"/>
      <c r="F26" s="53"/>
      <c r="G26" s="53"/>
      <c r="H26" s="53"/>
      <c r="I26" s="53"/>
      <c r="J26" s="53"/>
      <c r="K26" s="53"/>
    </row>
    <row r="27" spans="1:14">
      <c r="A27" s="8" t="s">
        <v>30</v>
      </c>
      <c r="B27" s="7" t="s">
        <v>574</v>
      </c>
      <c r="C27" s="7" t="s">
        <v>575</v>
      </c>
      <c r="D27" s="7" t="s">
        <v>576</v>
      </c>
      <c r="E27" s="7" t="s">
        <v>986</v>
      </c>
      <c r="F27" s="7" t="s">
        <v>36</v>
      </c>
      <c r="G27" s="7" t="s">
        <v>933</v>
      </c>
      <c r="H27" s="14" t="s">
        <v>40</v>
      </c>
      <c r="I27" s="15" t="s">
        <v>41</v>
      </c>
      <c r="J27" s="14" t="s">
        <v>41</v>
      </c>
      <c r="K27" s="8"/>
      <c r="L27" s="29" t="str">
        <f>"42,5"</f>
        <v>42,5</v>
      </c>
      <c r="M27" s="8" t="str">
        <f>"45,4407"</f>
        <v>45,4407</v>
      </c>
      <c r="N27" s="7" t="s">
        <v>577</v>
      </c>
    </row>
    <row r="28" spans="1:14">
      <c r="B28" s="5" t="s">
        <v>31</v>
      </c>
    </row>
    <row r="29" spans="1:14" ht="16">
      <c r="A29" s="52" t="s">
        <v>237</v>
      </c>
      <c r="B29" s="52"/>
      <c r="C29" s="53"/>
      <c r="D29" s="53"/>
      <c r="E29" s="53"/>
      <c r="F29" s="53"/>
      <c r="G29" s="53"/>
      <c r="H29" s="53"/>
      <c r="I29" s="53"/>
      <c r="J29" s="53"/>
      <c r="K29" s="53"/>
    </row>
    <row r="30" spans="1:14">
      <c r="A30" s="17" t="s">
        <v>30</v>
      </c>
      <c r="B30" s="16" t="s">
        <v>578</v>
      </c>
      <c r="C30" s="16" t="s">
        <v>579</v>
      </c>
      <c r="D30" s="16" t="s">
        <v>580</v>
      </c>
      <c r="E30" s="16" t="s">
        <v>983</v>
      </c>
      <c r="F30" s="16" t="s">
        <v>36</v>
      </c>
      <c r="G30" s="16" t="s">
        <v>944</v>
      </c>
      <c r="H30" s="22" t="s">
        <v>42</v>
      </c>
      <c r="I30" s="22" t="s">
        <v>256</v>
      </c>
      <c r="J30" s="23" t="s">
        <v>96</v>
      </c>
      <c r="K30" s="17"/>
      <c r="L30" s="30" t="str">
        <f>"47,5"</f>
        <v>47,5</v>
      </c>
      <c r="M30" s="17" t="str">
        <f>"59,9450"</f>
        <v>59,9450</v>
      </c>
      <c r="N30" s="16" t="s">
        <v>927</v>
      </c>
    </row>
    <row r="31" spans="1:14">
      <c r="A31" s="19" t="s">
        <v>218</v>
      </c>
      <c r="B31" s="18" t="s">
        <v>411</v>
      </c>
      <c r="C31" s="18" t="s">
        <v>579</v>
      </c>
      <c r="D31" s="18" t="s">
        <v>581</v>
      </c>
      <c r="E31" s="18" t="s">
        <v>983</v>
      </c>
      <c r="F31" s="18" t="s">
        <v>94</v>
      </c>
      <c r="G31" s="18" t="s">
        <v>944</v>
      </c>
      <c r="H31" s="25" t="s">
        <v>42</v>
      </c>
      <c r="I31" s="25" t="s">
        <v>42</v>
      </c>
      <c r="J31" s="24" t="s">
        <v>42</v>
      </c>
      <c r="K31" s="19"/>
      <c r="L31" s="32" t="str">
        <f>"45,0"</f>
        <v>45,0</v>
      </c>
      <c r="M31" s="19" t="str">
        <f>"57,1365"</f>
        <v>57,1365</v>
      </c>
      <c r="N31" s="18" t="s">
        <v>927</v>
      </c>
    </row>
    <row r="32" spans="1:14">
      <c r="B32" s="5" t="s">
        <v>31</v>
      </c>
    </row>
    <row r="33" spans="1:14" ht="16">
      <c r="A33" s="52" t="s">
        <v>45</v>
      </c>
      <c r="B33" s="52"/>
      <c r="C33" s="53"/>
      <c r="D33" s="53"/>
      <c r="E33" s="53"/>
      <c r="F33" s="53"/>
      <c r="G33" s="53"/>
      <c r="H33" s="53"/>
      <c r="I33" s="53"/>
      <c r="J33" s="53"/>
      <c r="K33" s="53"/>
    </row>
    <row r="34" spans="1:14">
      <c r="A34" s="17" t="s">
        <v>30</v>
      </c>
      <c r="B34" s="16" t="s">
        <v>582</v>
      </c>
      <c r="C34" s="16" t="s">
        <v>583</v>
      </c>
      <c r="D34" s="16" t="s">
        <v>325</v>
      </c>
      <c r="E34" s="16" t="s">
        <v>983</v>
      </c>
      <c r="F34" s="16" t="s">
        <v>892</v>
      </c>
      <c r="G34" s="16" t="s">
        <v>945</v>
      </c>
      <c r="H34" s="22" t="s">
        <v>235</v>
      </c>
      <c r="I34" s="22" t="s">
        <v>106</v>
      </c>
      <c r="J34" s="22" t="s">
        <v>43</v>
      </c>
      <c r="K34" s="17"/>
      <c r="L34" s="30" t="str">
        <f>"85,0"</f>
        <v>85,0</v>
      </c>
      <c r="M34" s="17" t="str">
        <f>"66,7420"</f>
        <v>66,7420</v>
      </c>
      <c r="N34" s="16" t="s">
        <v>584</v>
      </c>
    </row>
    <row r="35" spans="1:14">
      <c r="A35" s="21" t="s">
        <v>30</v>
      </c>
      <c r="B35" s="20" t="s">
        <v>585</v>
      </c>
      <c r="C35" s="20" t="s">
        <v>586</v>
      </c>
      <c r="D35" s="20" t="s">
        <v>325</v>
      </c>
      <c r="E35" s="20" t="s">
        <v>984</v>
      </c>
      <c r="F35" s="20" t="s">
        <v>36</v>
      </c>
      <c r="G35" s="20" t="s">
        <v>953</v>
      </c>
      <c r="H35" s="27" t="s">
        <v>66</v>
      </c>
      <c r="I35" s="27" t="s">
        <v>587</v>
      </c>
      <c r="J35" s="26" t="s">
        <v>243</v>
      </c>
      <c r="K35" s="21"/>
      <c r="L35" s="31" t="str">
        <f>"107,5"</f>
        <v>107,5</v>
      </c>
      <c r="M35" s="21" t="str">
        <f>"84,4090"</f>
        <v>84,4090</v>
      </c>
      <c r="N35" s="20"/>
    </row>
    <row r="36" spans="1:14">
      <c r="A36" s="21" t="s">
        <v>30</v>
      </c>
      <c r="B36" s="20" t="s">
        <v>588</v>
      </c>
      <c r="C36" s="20" t="s">
        <v>589</v>
      </c>
      <c r="D36" s="20" t="s">
        <v>590</v>
      </c>
      <c r="E36" s="20" t="s">
        <v>981</v>
      </c>
      <c r="F36" s="20" t="s">
        <v>135</v>
      </c>
      <c r="G36" s="20" t="s">
        <v>936</v>
      </c>
      <c r="H36" s="27" t="s">
        <v>95</v>
      </c>
      <c r="I36" s="27" t="s">
        <v>122</v>
      </c>
      <c r="J36" s="26" t="s">
        <v>50</v>
      </c>
      <c r="K36" s="21"/>
      <c r="L36" s="31" t="str">
        <f>"115,0"</f>
        <v>115,0</v>
      </c>
      <c r="M36" s="21" t="str">
        <f>"90,5280"</f>
        <v>90,5280</v>
      </c>
      <c r="N36" s="20" t="s">
        <v>591</v>
      </c>
    </row>
    <row r="37" spans="1:14">
      <c r="A37" s="19" t="s">
        <v>218</v>
      </c>
      <c r="B37" s="18" t="s">
        <v>592</v>
      </c>
      <c r="C37" s="18" t="s">
        <v>593</v>
      </c>
      <c r="D37" s="18" t="s">
        <v>594</v>
      </c>
      <c r="E37" s="18" t="s">
        <v>981</v>
      </c>
      <c r="F37" s="18" t="s">
        <v>36</v>
      </c>
      <c r="G37" s="18" t="s">
        <v>933</v>
      </c>
      <c r="H37" s="24" t="s">
        <v>95</v>
      </c>
      <c r="I37" s="25" t="s">
        <v>587</v>
      </c>
      <c r="J37" s="25" t="s">
        <v>587</v>
      </c>
      <c r="K37" s="19"/>
      <c r="L37" s="32" t="str">
        <f>"105,0"</f>
        <v>105,0</v>
      </c>
      <c r="M37" s="19" t="str">
        <f>"81,5430"</f>
        <v>81,5430</v>
      </c>
      <c r="N37" s="18" t="s">
        <v>566</v>
      </c>
    </row>
    <row r="38" spans="1:14">
      <c r="B38" s="5" t="s">
        <v>31</v>
      </c>
    </row>
    <row r="39" spans="1:14" ht="16">
      <c r="A39" s="52" t="s">
        <v>117</v>
      </c>
      <c r="B39" s="52"/>
      <c r="C39" s="53"/>
      <c r="D39" s="53"/>
      <c r="E39" s="53"/>
      <c r="F39" s="53"/>
      <c r="G39" s="53"/>
      <c r="H39" s="53"/>
      <c r="I39" s="53"/>
      <c r="J39" s="53"/>
      <c r="K39" s="53"/>
    </row>
    <row r="40" spans="1:14">
      <c r="A40" s="17" t="s">
        <v>30</v>
      </c>
      <c r="B40" s="16" t="s">
        <v>595</v>
      </c>
      <c r="C40" s="16" t="s">
        <v>596</v>
      </c>
      <c r="D40" s="16" t="s">
        <v>597</v>
      </c>
      <c r="E40" s="16" t="s">
        <v>984</v>
      </c>
      <c r="F40" s="16" t="s">
        <v>36</v>
      </c>
      <c r="G40" s="16" t="s">
        <v>937</v>
      </c>
      <c r="H40" s="22" t="s">
        <v>50</v>
      </c>
      <c r="I40" s="22" t="s">
        <v>55</v>
      </c>
      <c r="J40" s="23" t="s">
        <v>63</v>
      </c>
      <c r="K40" s="17"/>
      <c r="L40" s="30" t="str">
        <f>"125,0"</f>
        <v>125,0</v>
      </c>
      <c r="M40" s="17" t="str">
        <f>"91,0625"</f>
        <v>91,0625</v>
      </c>
      <c r="N40" s="16" t="s">
        <v>883</v>
      </c>
    </row>
    <row r="41" spans="1:14">
      <c r="A41" s="21" t="s">
        <v>218</v>
      </c>
      <c r="B41" s="20" t="s">
        <v>598</v>
      </c>
      <c r="C41" s="20" t="s">
        <v>599</v>
      </c>
      <c r="D41" s="20" t="s">
        <v>600</v>
      </c>
      <c r="E41" s="20" t="s">
        <v>984</v>
      </c>
      <c r="F41" s="20" t="s">
        <v>36</v>
      </c>
      <c r="G41" s="20" t="s">
        <v>937</v>
      </c>
      <c r="H41" s="27" t="s">
        <v>66</v>
      </c>
      <c r="I41" s="27" t="s">
        <v>95</v>
      </c>
      <c r="J41" s="27" t="s">
        <v>587</v>
      </c>
      <c r="K41" s="21"/>
      <c r="L41" s="31" t="str">
        <f>"107,5"</f>
        <v>107,5</v>
      </c>
      <c r="M41" s="21" t="str">
        <f>"79,1200"</f>
        <v>79,1200</v>
      </c>
      <c r="N41" s="20" t="s">
        <v>883</v>
      </c>
    </row>
    <row r="42" spans="1:14">
      <c r="A42" s="21" t="s">
        <v>30</v>
      </c>
      <c r="B42" s="20" t="s">
        <v>601</v>
      </c>
      <c r="C42" s="20" t="s">
        <v>602</v>
      </c>
      <c r="D42" s="20" t="s">
        <v>603</v>
      </c>
      <c r="E42" s="20" t="s">
        <v>981</v>
      </c>
      <c r="F42" s="20" t="s">
        <v>36</v>
      </c>
      <c r="G42" s="20" t="s">
        <v>936</v>
      </c>
      <c r="H42" s="27" t="s">
        <v>103</v>
      </c>
      <c r="I42" s="26" t="s">
        <v>123</v>
      </c>
      <c r="J42" s="26" t="s">
        <v>123</v>
      </c>
      <c r="K42" s="21"/>
      <c r="L42" s="31" t="str">
        <f>"145,0"</f>
        <v>145,0</v>
      </c>
      <c r="M42" s="21" t="str">
        <f>"103,7040"</f>
        <v>103,7040</v>
      </c>
      <c r="N42" s="20"/>
    </row>
    <row r="43" spans="1:14">
      <c r="A43" s="21" t="s">
        <v>218</v>
      </c>
      <c r="B43" s="20" t="s">
        <v>604</v>
      </c>
      <c r="C43" s="20" t="s">
        <v>605</v>
      </c>
      <c r="D43" s="20" t="s">
        <v>606</v>
      </c>
      <c r="E43" s="20" t="s">
        <v>981</v>
      </c>
      <c r="F43" s="20" t="s">
        <v>36</v>
      </c>
      <c r="G43" s="20" t="s">
        <v>933</v>
      </c>
      <c r="H43" s="27" t="s">
        <v>50</v>
      </c>
      <c r="I43" s="27" t="s">
        <v>64</v>
      </c>
      <c r="J43" s="27" t="s">
        <v>77</v>
      </c>
      <c r="K43" s="21"/>
      <c r="L43" s="31" t="str">
        <f>"140,0"</f>
        <v>140,0</v>
      </c>
      <c r="M43" s="21" t="str">
        <f>"101,6960"</f>
        <v>101,6960</v>
      </c>
      <c r="N43" s="20" t="s">
        <v>607</v>
      </c>
    </row>
    <row r="44" spans="1:14">
      <c r="A44" s="21" t="s">
        <v>219</v>
      </c>
      <c r="B44" s="20" t="s">
        <v>608</v>
      </c>
      <c r="C44" s="20" t="s">
        <v>609</v>
      </c>
      <c r="D44" s="20" t="s">
        <v>572</v>
      </c>
      <c r="E44" s="20" t="s">
        <v>981</v>
      </c>
      <c r="F44" s="20" t="s">
        <v>36</v>
      </c>
      <c r="G44" s="20" t="s">
        <v>933</v>
      </c>
      <c r="H44" s="27" t="s">
        <v>269</v>
      </c>
      <c r="I44" s="27" t="s">
        <v>55</v>
      </c>
      <c r="J44" s="26" t="s">
        <v>63</v>
      </c>
      <c r="K44" s="21"/>
      <c r="L44" s="31" t="str">
        <f>"125,0"</f>
        <v>125,0</v>
      </c>
      <c r="M44" s="21" t="str">
        <f>"90,0875"</f>
        <v>90,0875</v>
      </c>
      <c r="N44" s="20" t="s">
        <v>610</v>
      </c>
    </row>
    <row r="45" spans="1:14">
      <c r="A45" s="21" t="s">
        <v>220</v>
      </c>
      <c r="B45" s="20" t="s">
        <v>611</v>
      </c>
      <c r="C45" s="20" t="s">
        <v>612</v>
      </c>
      <c r="D45" s="20" t="s">
        <v>613</v>
      </c>
      <c r="E45" s="20" t="s">
        <v>981</v>
      </c>
      <c r="F45" s="20" t="s">
        <v>36</v>
      </c>
      <c r="G45" s="20" t="s">
        <v>933</v>
      </c>
      <c r="H45" s="26" t="s">
        <v>269</v>
      </c>
      <c r="I45" s="27" t="s">
        <v>269</v>
      </c>
      <c r="J45" s="26" t="s">
        <v>55</v>
      </c>
      <c r="K45" s="21"/>
      <c r="L45" s="31" t="str">
        <f>"117,5"</f>
        <v>117,5</v>
      </c>
      <c r="M45" s="21" t="str">
        <f>"87,3025"</f>
        <v>87,3025</v>
      </c>
      <c r="N45" s="20"/>
    </row>
    <row r="46" spans="1:14">
      <c r="A46" s="21" t="s">
        <v>222</v>
      </c>
      <c r="B46" s="20" t="s">
        <v>614</v>
      </c>
      <c r="C46" s="20" t="s">
        <v>615</v>
      </c>
      <c r="D46" s="20" t="s">
        <v>616</v>
      </c>
      <c r="E46" s="20" t="s">
        <v>981</v>
      </c>
      <c r="F46" s="20" t="s">
        <v>36</v>
      </c>
      <c r="G46" s="20" t="s">
        <v>954</v>
      </c>
      <c r="H46" s="26" t="s">
        <v>64</v>
      </c>
      <c r="I46" s="26" t="s">
        <v>64</v>
      </c>
      <c r="J46" s="26" t="s">
        <v>64</v>
      </c>
      <c r="K46" s="21"/>
      <c r="L46" s="31">
        <v>0</v>
      </c>
      <c r="M46" s="21" t="str">
        <f>"0,0000"</f>
        <v>0,0000</v>
      </c>
      <c r="N46" s="20" t="s">
        <v>559</v>
      </c>
    </row>
    <row r="47" spans="1:14">
      <c r="A47" s="19" t="s">
        <v>222</v>
      </c>
      <c r="B47" s="18" t="s">
        <v>617</v>
      </c>
      <c r="C47" s="18" t="s">
        <v>618</v>
      </c>
      <c r="D47" s="18" t="s">
        <v>619</v>
      </c>
      <c r="E47" s="18" t="s">
        <v>982</v>
      </c>
      <c r="F47" s="18" t="s">
        <v>36</v>
      </c>
      <c r="G47" s="18" t="s">
        <v>933</v>
      </c>
      <c r="H47" s="25" t="s">
        <v>49</v>
      </c>
      <c r="I47" s="25" t="s">
        <v>122</v>
      </c>
      <c r="J47" s="25" t="s">
        <v>122</v>
      </c>
      <c r="K47" s="19"/>
      <c r="L47" s="32">
        <v>0</v>
      </c>
      <c r="M47" s="19" t="str">
        <f>"0,0000"</f>
        <v>0,0000</v>
      </c>
      <c r="N47" s="18" t="s">
        <v>620</v>
      </c>
    </row>
    <row r="48" spans="1:14">
      <c r="B48" s="5" t="s">
        <v>31</v>
      </c>
    </row>
    <row r="49" spans="1:14" ht="16">
      <c r="A49" s="52" t="s">
        <v>70</v>
      </c>
      <c r="B49" s="52"/>
      <c r="C49" s="53"/>
      <c r="D49" s="53"/>
      <c r="E49" s="53"/>
      <c r="F49" s="53"/>
      <c r="G49" s="53"/>
      <c r="H49" s="53"/>
      <c r="I49" s="53"/>
      <c r="J49" s="53"/>
      <c r="K49" s="53"/>
    </row>
    <row r="50" spans="1:14">
      <c r="A50" s="17" t="s">
        <v>30</v>
      </c>
      <c r="B50" s="16" t="s">
        <v>621</v>
      </c>
      <c r="C50" s="16" t="s">
        <v>622</v>
      </c>
      <c r="D50" s="16" t="s">
        <v>623</v>
      </c>
      <c r="E50" s="16" t="s">
        <v>984</v>
      </c>
      <c r="F50" s="16" t="s">
        <v>36</v>
      </c>
      <c r="G50" s="16" t="s">
        <v>936</v>
      </c>
      <c r="H50" s="22" t="s">
        <v>63</v>
      </c>
      <c r="I50" s="23" t="s">
        <v>64</v>
      </c>
      <c r="J50" s="23" t="s">
        <v>64</v>
      </c>
      <c r="K50" s="17"/>
      <c r="L50" s="30" t="str">
        <f>"130,0"</f>
        <v>130,0</v>
      </c>
      <c r="M50" s="17" t="str">
        <f>"88,0620"</f>
        <v>88,0620</v>
      </c>
      <c r="N50" s="16" t="s">
        <v>624</v>
      </c>
    </row>
    <row r="51" spans="1:14">
      <c r="A51" s="21" t="s">
        <v>30</v>
      </c>
      <c r="B51" s="20" t="s">
        <v>625</v>
      </c>
      <c r="C51" s="20" t="s">
        <v>626</v>
      </c>
      <c r="D51" s="20" t="s">
        <v>627</v>
      </c>
      <c r="E51" s="20" t="s">
        <v>980</v>
      </c>
      <c r="F51" s="20" t="s">
        <v>36</v>
      </c>
      <c r="G51" s="20" t="s">
        <v>933</v>
      </c>
      <c r="H51" s="26" t="s">
        <v>51</v>
      </c>
      <c r="I51" s="27" t="s">
        <v>51</v>
      </c>
      <c r="J51" s="27" t="s">
        <v>76</v>
      </c>
      <c r="K51" s="21"/>
      <c r="L51" s="31" t="str">
        <f>"132,5"</f>
        <v>132,5</v>
      </c>
      <c r="M51" s="21" t="str">
        <f>"89,8218"</f>
        <v>89,8218</v>
      </c>
      <c r="N51" s="20"/>
    </row>
    <row r="52" spans="1:14">
      <c r="A52" s="21" t="s">
        <v>30</v>
      </c>
      <c r="B52" s="20" t="s">
        <v>628</v>
      </c>
      <c r="C52" s="20" t="s">
        <v>629</v>
      </c>
      <c r="D52" s="20" t="s">
        <v>630</v>
      </c>
      <c r="E52" s="20" t="s">
        <v>981</v>
      </c>
      <c r="F52" s="20" t="s">
        <v>36</v>
      </c>
      <c r="G52" s="20" t="s">
        <v>938</v>
      </c>
      <c r="H52" s="27" t="s">
        <v>121</v>
      </c>
      <c r="I52" s="27" t="s">
        <v>290</v>
      </c>
      <c r="J52" s="27" t="s">
        <v>104</v>
      </c>
      <c r="K52" s="21"/>
      <c r="L52" s="31" t="str">
        <f>"150,0"</f>
        <v>150,0</v>
      </c>
      <c r="M52" s="21" t="str">
        <f>"101,7750"</f>
        <v>101,7750</v>
      </c>
      <c r="N52" s="20" t="s">
        <v>318</v>
      </c>
    </row>
    <row r="53" spans="1:14">
      <c r="A53" s="21" t="s">
        <v>218</v>
      </c>
      <c r="B53" s="20" t="s">
        <v>631</v>
      </c>
      <c r="C53" s="20" t="s">
        <v>166</v>
      </c>
      <c r="D53" s="20" t="s">
        <v>632</v>
      </c>
      <c r="E53" s="20" t="s">
        <v>981</v>
      </c>
      <c r="F53" s="20" t="s">
        <v>36</v>
      </c>
      <c r="G53" s="20" t="s">
        <v>933</v>
      </c>
      <c r="H53" s="27" t="s">
        <v>63</v>
      </c>
      <c r="I53" s="27" t="s">
        <v>103</v>
      </c>
      <c r="J53" s="21"/>
      <c r="K53" s="21"/>
      <c r="L53" s="31" t="str">
        <f>"145,0"</f>
        <v>145,0</v>
      </c>
      <c r="M53" s="21" t="str">
        <f>"98,7595"</f>
        <v>98,7595</v>
      </c>
      <c r="N53" s="20"/>
    </row>
    <row r="54" spans="1:14">
      <c r="A54" s="21" t="s">
        <v>219</v>
      </c>
      <c r="B54" s="20" t="s">
        <v>633</v>
      </c>
      <c r="C54" s="20" t="s">
        <v>634</v>
      </c>
      <c r="D54" s="20" t="s">
        <v>635</v>
      </c>
      <c r="E54" s="20" t="s">
        <v>981</v>
      </c>
      <c r="F54" s="20" t="s">
        <v>36</v>
      </c>
      <c r="G54" s="20" t="s">
        <v>937</v>
      </c>
      <c r="H54" s="27" t="s">
        <v>63</v>
      </c>
      <c r="I54" s="27" t="s">
        <v>77</v>
      </c>
      <c r="J54" s="26" t="s">
        <v>103</v>
      </c>
      <c r="K54" s="21"/>
      <c r="L54" s="31" t="str">
        <f>"140,0"</f>
        <v>140,0</v>
      </c>
      <c r="M54" s="21" t="str">
        <f>"94,0660"</f>
        <v>94,0660</v>
      </c>
      <c r="N54" s="20" t="s">
        <v>636</v>
      </c>
    </row>
    <row r="55" spans="1:14">
      <c r="A55" s="21" t="s">
        <v>220</v>
      </c>
      <c r="B55" s="20" t="s">
        <v>637</v>
      </c>
      <c r="C55" s="20" t="s">
        <v>638</v>
      </c>
      <c r="D55" s="20" t="s">
        <v>639</v>
      </c>
      <c r="E55" s="20" t="s">
        <v>981</v>
      </c>
      <c r="F55" s="20"/>
      <c r="G55" s="20" t="s">
        <v>933</v>
      </c>
      <c r="H55" s="27" t="s">
        <v>63</v>
      </c>
      <c r="I55" s="27" t="s">
        <v>76</v>
      </c>
      <c r="J55" s="27" t="s">
        <v>64</v>
      </c>
      <c r="K55" s="21"/>
      <c r="L55" s="31" t="str">
        <f>"135,0"</f>
        <v>135,0</v>
      </c>
      <c r="M55" s="21" t="str">
        <f>"92,4615"</f>
        <v>92,4615</v>
      </c>
      <c r="N55" s="20" t="s">
        <v>640</v>
      </c>
    </row>
    <row r="56" spans="1:14">
      <c r="A56" s="21" t="s">
        <v>221</v>
      </c>
      <c r="B56" s="20" t="s">
        <v>641</v>
      </c>
      <c r="C56" s="20" t="s">
        <v>642</v>
      </c>
      <c r="D56" s="20" t="s">
        <v>643</v>
      </c>
      <c r="E56" s="20" t="s">
        <v>981</v>
      </c>
      <c r="F56" s="20" t="s">
        <v>36</v>
      </c>
      <c r="G56" s="20" t="s">
        <v>933</v>
      </c>
      <c r="H56" s="27" t="s">
        <v>76</v>
      </c>
      <c r="I56" s="26" t="s">
        <v>64</v>
      </c>
      <c r="J56" s="27" t="s">
        <v>64</v>
      </c>
      <c r="K56" s="21"/>
      <c r="L56" s="31" t="str">
        <f>"135,0"</f>
        <v>135,0</v>
      </c>
      <c r="M56" s="21" t="str">
        <f>"91,8810"</f>
        <v>91,8810</v>
      </c>
      <c r="N56" s="20" t="s">
        <v>322</v>
      </c>
    </row>
    <row r="57" spans="1:14">
      <c r="A57" s="21" t="s">
        <v>410</v>
      </c>
      <c r="B57" s="20" t="s">
        <v>347</v>
      </c>
      <c r="C57" s="20" t="s">
        <v>348</v>
      </c>
      <c r="D57" s="20" t="s">
        <v>349</v>
      </c>
      <c r="E57" s="20" t="s">
        <v>981</v>
      </c>
      <c r="F57" s="20" t="s">
        <v>62</v>
      </c>
      <c r="G57" s="20" t="s">
        <v>935</v>
      </c>
      <c r="H57" s="27" t="s">
        <v>63</v>
      </c>
      <c r="I57" s="27" t="s">
        <v>64</v>
      </c>
      <c r="J57" s="26" t="s">
        <v>103</v>
      </c>
      <c r="K57" s="21"/>
      <c r="L57" s="31" t="str">
        <f>"135,0"</f>
        <v>135,0</v>
      </c>
      <c r="M57" s="21" t="str">
        <f>"90,9090"</f>
        <v>90,9090</v>
      </c>
      <c r="N57" s="20" t="s">
        <v>283</v>
      </c>
    </row>
    <row r="58" spans="1:14">
      <c r="A58" s="21" t="s">
        <v>726</v>
      </c>
      <c r="B58" s="20" t="s">
        <v>341</v>
      </c>
      <c r="C58" s="20" t="s">
        <v>342</v>
      </c>
      <c r="D58" s="20" t="s">
        <v>343</v>
      </c>
      <c r="E58" s="20" t="s">
        <v>981</v>
      </c>
      <c r="F58" s="20" t="s">
        <v>62</v>
      </c>
      <c r="G58" s="20" t="s">
        <v>935</v>
      </c>
      <c r="H58" s="27" t="s">
        <v>64</v>
      </c>
      <c r="I58" s="26" t="s">
        <v>77</v>
      </c>
      <c r="J58" s="26" t="s">
        <v>77</v>
      </c>
      <c r="K58" s="21"/>
      <c r="L58" s="31" t="str">
        <f>"135,0"</f>
        <v>135,0</v>
      </c>
      <c r="M58" s="21" t="str">
        <f>"90,5715"</f>
        <v>90,5715</v>
      </c>
      <c r="N58" s="20" t="s">
        <v>283</v>
      </c>
    </row>
    <row r="59" spans="1:14">
      <c r="A59" s="21" t="s">
        <v>727</v>
      </c>
      <c r="B59" s="20" t="s">
        <v>644</v>
      </c>
      <c r="C59" s="20" t="s">
        <v>645</v>
      </c>
      <c r="D59" s="20" t="s">
        <v>646</v>
      </c>
      <c r="E59" s="20" t="s">
        <v>981</v>
      </c>
      <c r="F59" s="20" t="s">
        <v>36</v>
      </c>
      <c r="G59" s="20" t="s">
        <v>955</v>
      </c>
      <c r="H59" s="27" t="s">
        <v>55</v>
      </c>
      <c r="I59" s="27" t="s">
        <v>51</v>
      </c>
      <c r="J59" s="27" t="s">
        <v>76</v>
      </c>
      <c r="K59" s="21"/>
      <c r="L59" s="31" t="str">
        <f>"132,5"</f>
        <v>132,5</v>
      </c>
      <c r="M59" s="21" t="str">
        <f>"90,8950"</f>
        <v>90,8950</v>
      </c>
      <c r="N59" s="20"/>
    </row>
    <row r="60" spans="1:14">
      <c r="A60" s="21" t="s">
        <v>728</v>
      </c>
      <c r="B60" s="20" t="s">
        <v>647</v>
      </c>
      <c r="C60" s="20" t="s">
        <v>648</v>
      </c>
      <c r="D60" s="20" t="s">
        <v>349</v>
      </c>
      <c r="E60" s="20" t="s">
        <v>981</v>
      </c>
      <c r="F60" s="20" t="s">
        <v>36</v>
      </c>
      <c r="G60" s="20" t="s">
        <v>936</v>
      </c>
      <c r="H60" s="27" t="s">
        <v>51</v>
      </c>
      <c r="I60" s="26" t="s">
        <v>63</v>
      </c>
      <c r="J60" s="26" t="s">
        <v>63</v>
      </c>
      <c r="K60" s="21"/>
      <c r="L60" s="31" t="str">
        <f>"127,5"</f>
        <v>127,5</v>
      </c>
      <c r="M60" s="21" t="str">
        <f>"85,8585"</f>
        <v>85,8585</v>
      </c>
      <c r="N60" s="20"/>
    </row>
    <row r="61" spans="1:14">
      <c r="A61" s="21" t="s">
        <v>729</v>
      </c>
      <c r="B61" s="20" t="s">
        <v>649</v>
      </c>
      <c r="C61" s="20" t="s">
        <v>650</v>
      </c>
      <c r="D61" s="20" t="s">
        <v>651</v>
      </c>
      <c r="E61" s="20" t="s">
        <v>981</v>
      </c>
      <c r="F61" s="20" t="s">
        <v>36</v>
      </c>
      <c r="G61" s="20" t="s">
        <v>933</v>
      </c>
      <c r="H61" s="27" t="s">
        <v>274</v>
      </c>
      <c r="I61" s="26" t="s">
        <v>243</v>
      </c>
      <c r="J61" s="26" t="s">
        <v>243</v>
      </c>
      <c r="K61" s="21"/>
      <c r="L61" s="31" t="str">
        <f>"102,5"</f>
        <v>102,5</v>
      </c>
      <c r="M61" s="21" t="str">
        <f>"69,2797"</f>
        <v>69,2797</v>
      </c>
      <c r="N61" s="20"/>
    </row>
    <row r="62" spans="1:14">
      <c r="A62" s="19" t="s">
        <v>222</v>
      </c>
      <c r="B62" s="18" t="s">
        <v>199</v>
      </c>
      <c r="C62" s="18" t="s">
        <v>652</v>
      </c>
      <c r="D62" s="18" t="s">
        <v>653</v>
      </c>
      <c r="E62" s="20" t="s">
        <v>981</v>
      </c>
      <c r="F62" s="18" t="s">
        <v>36</v>
      </c>
      <c r="G62" s="18" t="s">
        <v>933</v>
      </c>
      <c r="H62" s="25" t="s">
        <v>51</v>
      </c>
      <c r="I62" s="25" t="s">
        <v>51</v>
      </c>
      <c r="J62" s="25" t="s">
        <v>51</v>
      </c>
      <c r="K62" s="19"/>
      <c r="L62" s="32">
        <v>0</v>
      </c>
      <c r="M62" s="19" t="str">
        <f>"0,0000"</f>
        <v>0,0000</v>
      </c>
      <c r="N62" s="18"/>
    </row>
    <row r="63" spans="1:14">
      <c r="B63" s="5" t="s">
        <v>31</v>
      </c>
    </row>
    <row r="64" spans="1:14" ht="16">
      <c r="A64" s="52" t="s">
        <v>139</v>
      </c>
      <c r="B64" s="52"/>
      <c r="C64" s="53"/>
      <c r="D64" s="53"/>
      <c r="E64" s="53"/>
      <c r="F64" s="53"/>
      <c r="G64" s="53"/>
      <c r="H64" s="53"/>
      <c r="I64" s="53"/>
      <c r="J64" s="53"/>
      <c r="K64" s="53"/>
    </row>
    <row r="65" spans="1:14">
      <c r="A65" s="17" t="s">
        <v>30</v>
      </c>
      <c r="B65" s="16" t="s">
        <v>654</v>
      </c>
      <c r="C65" s="16" t="s">
        <v>655</v>
      </c>
      <c r="D65" s="16" t="s">
        <v>656</v>
      </c>
      <c r="E65" s="16" t="s">
        <v>984</v>
      </c>
      <c r="F65" s="16" t="s">
        <v>36</v>
      </c>
      <c r="G65" s="16" t="s">
        <v>937</v>
      </c>
      <c r="H65" s="22" t="s">
        <v>56</v>
      </c>
      <c r="I65" s="23" t="s">
        <v>121</v>
      </c>
      <c r="J65" s="22" t="s">
        <v>121</v>
      </c>
      <c r="K65" s="17"/>
      <c r="L65" s="30" t="str">
        <f>"142,5"</f>
        <v>142,5</v>
      </c>
      <c r="M65" s="17" t="str">
        <f>"92,0978"</f>
        <v>92,0978</v>
      </c>
      <c r="N65" s="16" t="s">
        <v>883</v>
      </c>
    </row>
    <row r="66" spans="1:14">
      <c r="A66" s="21" t="s">
        <v>30</v>
      </c>
      <c r="B66" s="20" t="s">
        <v>657</v>
      </c>
      <c r="C66" s="20" t="s">
        <v>658</v>
      </c>
      <c r="D66" s="20" t="s">
        <v>656</v>
      </c>
      <c r="E66" s="20" t="s">
        <v>980</v>
      </c>
      <c r="F66" s="20" t="s">
        <v>36</v>
      </c>
      <c r="G66" s="20" t="s">
        <v>956</v>
      </c>
      <c r="H66" s="27" t="s">
        <v>76</v>
      </c>
      <c r="I66" s="26" t="s">
        <v>56</v>
      </c>
      <c r="J66" s="26" t="s">
        <v>56</v>
      </c>
      <c r="K66" s="21"/>
      <c r="L66" s="31" t="str">
        <f>"132,5"</f>
        <v>132,5</v>
      </c>
      <c r="M66" s="21" t="str">
        <f>"85,6348"</f>
        <v>85,6348</v>
      </c>
      <c r="N66" s="20" t="s">
        <v>659</v>
      </c>
    </row>
    <row r="67" spans="1:14">
      <c r="A67" s="21" t="s">
        <v>30</v>
      </c>
      <c r="B67" s="20" t="s">
        <v>660</v>
      </c>
      <c r="C67" s="20" t="s">
        <v>661</v>
      </c>
      <c r="D67" s="20" t="s">
        <v>662</v>
      </c>
      <c r="E67" s="20" t="s">
        <v>981</v>
      </c>
      <c r="F67" s="20" t="s">
        <v>36</v>
      </c>
      <c r="G67" s="20" t="s">
        <v>957</v>
      </c>
      <c r="H67" s="27" t="s">
        <v>123</v>
      </c>
      <c r="I67" s="27" t="s">
        <v>136</v>
      </c>
      <c r="J67" s="27" t="s">
        <v>67</v>
      </c>
      <c r="K67" s="21"/>
      <c r="L67" s="31" t="str">
        <f>"165,0"</f>
        <v>165,0</v>
      </c>
      <c r="M67" s="21" t="str">
        <f>"108,3390"</f>
        <v>108,3390</v>
      </c>
      <c r="N67" s="20" t="s">
        <v>928</v>
      </c>
    </row>
    <row r="68" spans="1:14">
      <c r="A68" s="21" t="s">
        <v>218</v>
      </c>
      <c r="B68" s="20" t="s">
        <v>663</v>
      </c>
      <c r="C68" s="20" t="s">
        <v>664</v>
      </c>
      <c r="D68" s="20" t="s">
        <v>665</v>
      </c>
      <c r="E68" s="20" t="s">
        <v>981</v>
      </c>
      <c r="F68" s="20" t="s">
        <v>36</v>
      </c>
      <c r="G68" s="20" t="s">
        <v>976</v>
      </c>
      <c r="H68" s="27" t="s">
        <v>666</v>
      </c>
      <c r="I68" s="27" t="s">
        <v>123</v>
      </c>
      <c r="J68" s="27" t="s">
        <v>190</v>
      </c>
      <c r="K68" s="21"/>
      <c r="L68" s="31" t="str">
        <f>"157,5"</f>
        <v>157,5</v>
      </c>
      <c r="M68" s="21" t="str">
        <f>"100,7685"</f>
        <v>100,7685</v>
      </c>
      <c r="N68" s="20" t="s">
        <v>667</v>
      </c>
    </row>
    <row r="69" spans="1:14">
      <c r="A69" s="21" t="s">
        <v>219</v>
      </c>
      <c r="B69" s="20" t="s">
        <v>668</v>
      </c>
      <c r="C69" s="20" t="s">
        <v>669</v>
      </c>
      <c r="D69" s="20" t="s">
        <v>360</v>
      </c>
      <c r="E69" s="20" t="s">
        <v>981</v>
      </c>
      <c r="F69" s="20" t="s">
        <v>36</v>
      </c>
      <c r="G69" s="20" t="s">
        <v>933</v>
      </c>
      <c r="H69" s="27" t="s">
        <v>290</v>
      </c>
      <c r="I69" s="27" t="s">
        <v>666</v>
      </c>
      <c r="J69" s="27" t="s">
        <v>123</v>
      </c>
      <c r="K69" s="21"/>
      <c r="L69" s="31" t="str">
        <f>"155,0"</f>
        <v>155,0</v>
      </c>
      <c r="M69" s="21" t="str">
        <f>"99,2310"</f>
        <v>99,2310</v>
      </c>
      <c r="N69" s="20" t="s">
        <v>670</v>
      </c>
    </row>
    <row r="70" spans="1:14">
      <c r="A70" s="21" t="s">
        <v>220</v>
      </c>
      <c r="B70" s="20" t="s">
        <v>671</v>
      </c>
      <c r="C70" s="20" t="s">
        <v>672</v>
      </c>
      <c r="D70" s="20" t="s">
        <v>673</v>
      </c>
      <c r="E70" s="20" t="s">
        <v>981</v>
      </c>
      <c r="F70" s="20" t="s">
        <v>36</v>
      </c>
      <c r="G70" s="20" t="s">
        <v>958</v>
      </c>
      <c r="H70" s="27" t="s">
        <v>103</v>
      </c>
      <c r="I70" s="27" t="s">
        <v>666</v>
      </c>
      <c r="J70" s="27" t="s">
        <v>123</v>
      </c>
      <c r="K70" s="21"/>
      <c r="L70" s="31" t="str">
        <f>"155,0"</f>
        <v>155,0</v>
      </c>
      <c r="M70" s="21" t="str">
        <f>"99,0605"</f>
        <v>99,0605</v>
      </c>
      <c r="N70" s="20"/>
    </row>
    <row r="71" spans="1:14">
      <c r="A71" s="21" t="s">
        <v>221</v>
      </c>
      <c r="B71" s="20" t="s">
        <v>674</v>
      </c>
      <c r="C71" s="20" t="s">
        <v>675</v>
      </c>
      <c r="D71" s="20" t="s">
        <v>656</v>
      </c>
      <c r="E71" s="20" t="s">
        <v>981</v>
      </c>
      <c r="F71" s="20" t="s">
        <v>36</v>
      </c>
      <c r="G71" s="20" t="s">
        <v>959</v>
      </c>
      <c r="H71" s="27" t="s">
        <v>77</v>
      </c>
      <c r="I71" s="27" t="s">
        <v>104</v>
      </c>
      <c r="J71" s="26" t="s">
        <v>190</v>
      </c>
      <c r="K71" s="21"/>
      <c r="L71" s="31" t="str">
        <f>"150,0"</f>
        <v>150,0</v>
      </c>
      <c r="M71" s="21" t="str">
        <f>"96,9450"</f>
        <v>96,9450</v>
      </c>
      <c r="N71" s="20"/>
    </row>
    <row r="72" spans="1:14">
      <c r="A72" s="21" t="s">
        <v>410</v>
      </c>
      <c r="B72" s="20" t="s">
        <v>676</v>
      </c>
      <c r="C72" s="20" t="s">
        <v>677</v>
      </c>
      <c r="D72" s="20" t="s">
        <v>678</v>
      </c>
      <c r="E72" s="20" t="s">
        <v>981</v>
      </c>
      <c r="F72" s="20" t="s">
        <v>892</v>
      </c>
      <c r="G72" s="20" t="s">
        <v>945</v>
      </c>
      <c r="H72" s="26" t="s">
        <v>55</v>
      </c>
      <c r="I72" s="27" t="s">
        <v>55</v>
      </c>
      <c r="J72" s="26" t="s">
        <v>76</v>
      </c>
      <c r="K72" s="21"/>
      <c r="L72" s="31" t="str">
        <f>"125,0"</f>
        <v>125,0</v>
      </c>
      <c r="M72" s="21" t="str">
        <f>"80,4500"</f>
        <v>80,4500</v>
      </c>
      <c r="N72" s="20" t="s">
        <v>455</v>
      </c>
    </row>
    <row r="73" spans="1:14">
      <c r="A73" s="21" t="s">
        <v>222</v>
      </c>
      <c r="B73" s="20" t="s">
        <v>679</v>
      </c>
      <c r="C73" s="20" t="s">
        <v>680</v>
      </c>
      <c r="D73" s="20" t="s">
        <v>360</v>
      </c>
      <c r="E73" s="20" t="s">
        <v>981</v>
      </c>
      <c r="F73" s="20" t="s">
        <v>892</v>
      </c>
      <c r="G73" s="20" t="s">
        <v>945</v>
      </c>
      <c r="H73" s="26" t="s">
        <v>290</v>
      </c>
      <c r="I73" s="26" t="s">
        <v>290</v>
      </c>
      <c r="J73" s="26" t="s">
        <v>290</v>
      </c>
      <c r="K73" s="21"/>
      <c r="L73" s="31">
        <v>0</v>
      </c>
      <c r="M73" s="21" t="str">
        <f>"0,0000"</f>
        <v>0,0000</v>
      </c>
      <c r="N73" s="20" t="s">
        <v>455</v>
      </c>
    </row>
    <row r="74" spans="1:14">
      <c r="A74" s="19" t="s">
        <v>30</v>
      </c>
      <c r="B74" s="18" t="s">
        <v>681</v>
      </c>
      <c r="C74" s="18" t="s">
        <v>682</v>
      </c>
      <c r="D74" s="18" t="s">
        <v>683</v>
      </c>
      <c r="E74" s="18" t="s">
        <v>985</v>
      </c>
      <c r="F74" s="18" t="s">
        <v>684</v>
      </c>
      <c r="G74" s="18" t="s">
        <v>933</v>
      </c>
      <c r="H74" s="24" t="s">
        <v>77</v>
      </c>
      <c r="I74" s="24" t="s">
        <v>103</v>
      </c>
      <c r="J74" s="19"/>
      <c r="K74" s="19"/>
      <c r="L74" s="32" t="str">
        <f>"145,0"</f>
        <v>145,0</v>
      </c>
      <c r="M74" s="19" t="str">
        <f>"132,7903"</f>
        <v>132,7903</v>
      </c>
      <c r="N74" s="18"/>
    </row>
    <row r="75" spans="1:14">
      <c r="B75" s="5" t="s">
        <v>31</v>
      </c>
    </row>
    <row r="76" spans="1:14" ht="16">
      <c r="A76" s="52" t="s">
        <v>80</v>
      </c>
      <c r="B76" s="52"/>
      <c r="C76" s="53"/>
      <c r="D76" s="53"/>
      <c r="E76" s="53"/>
      <c r="F76" s="53"/>
      <c r="G76" s="53"/>
      <c r="H76" s="53"/>
      <c r="I76" s="53"/>
      <c r="J76" s="53"/>
      <c r="K76" s="53"/>
    </row>
    <row r="77" spans="1:14">
      <c r="A77" s="17" t="s">
        <v>30</v>
      </c>
      <c r="B77" s="16" t="s">
        <v>685</v>
      </c>
      <c r="C77" s="16" t="s">
        <v>686</v>
      </c>
      <c r="D77" s="16" t="s">
        <v>171</v>
      </c>
      <c r="E77" s="16" t="s">
        <v>980</v>
      </c>
      <c r="F77" s="16" t="s">
        <v>36</v>
      </c>
      <c r="G77" s="16" t="s">
        <v>937</v>
      </c>
      <c r="H77" s="22" t="s">
        <v>56</v>
      </c>
      <c r="I77" s="23" t="s">
        <v>121</v>
      </c>
      <c r="J77" s="23" t="s">
        <v>121</v>
      </c>
      <c r="K77" s="17"/>
      <c r="L77" s="30" t="str">
        <f>"137,5"</f>
        <v>137,5</v>
      </c>
      <c r="M77" s="17" t="str">
        <f>"83,8887"</f>
        <v>83,8887</v>
      </c>
      <c r="N77" s="16" t="s">
        <v>883</v>
      </c>
    </row>
    <row r="78" spans="1:14">
      <c r="A78" s="21" t="s">
        <v>30</v>
      </c>
      <c r="B78" s="20" t="s">
        <v>687</v>
      </c>
      <c r="C78" s="20" t="s">
        <v>688</v>
      </c>
      <c r="D78" s="20" t="s">
        <v>689</v>
      </c>
      <c r="E78" s="20" t="s">
        <v>981</v>
      </c>
      <c r="F78" s="20" t="s">
        <v>36</v>
      </c>
      <c r="G78" s="20" t="s">
        <v>933</v>
      </c>
      <c r="H78" s="27" t="s">
        <v>123</v>
      </c>
      <c r="I78" s="27" t="s">
        <v>67</v>
      </c>
      <c r="J78" s="26" t="s">
        <v>114</v>
      </c>
      <c r="K78" s="21"/>
      <c r="L78" s="31" t="str">
        <f>"165,0"</f>
        <v>165,0</v>
      </c>
      <c r="M78" s="21" t="str">
        <f>"101,6565"</f>
        <v>101,6565</v>
      </c>
      <c r="N78" s="20" t="s">
        <v>690</v>
      </c>
    </row>
    <row r="79" spans="1:14">
      <c r="A79" s="21" t="s">
        <v>222</v>
      </c>
      <c r="B79" s="20" t="s">
        <v>691</v>
      </c>
      <c r="C79" s="20" t="s">
        <v>692</v>
      </c>
      <c r="D79" s="20" t="s">
        <v>693</v>
      </c>
      <c r="E79" s="20" t="s">
        <v>982</v>
      </c>
      <c r="F79" s="20" t="s">
        <v>36</v>
      </c>
      <c r="G79" s="20" t="s">
        <v>933</v>
      </c>
      <c r="H79" s="26" t="s">
        <v>104</v>
      </c>
      <c r="I79" s="26" t="s">
        <v>104</v>
      </c>
      <c r="J79" s="26" t="s">
        <v>104</v>
      </c>
      <c r="K79" s="21"/>
      <c r="L79" s="31">
        <v>0</v>
      </c>
      <c r="M79" s="21" t="str">
        <f>"0,0000"</f>
        <v>0,0000</v>
      </c>
      <c r="N79" s="20"/>
    </row>
    <row r="80" spans="1:14">
      <c r="A80" s="21" t="s">
        <v>30</v>
      </c>
      <c r="B80" s="20" t="s">
        <v>694</v>
      </c>
      <c r="C80" s="20" t="s">
        <v>695</v>
      </c>
      <c r="D80" s="20" t="s">
        <v>696</v>
      </c>
      <c r="E80" s="20" t="s">
        <v>986</v>
      </c>
      <c r="F80" s="20" t="s">
        <v>36</v>
      </c>
      <c r="G80" s="20" t="s">
        <v>445</v>
      </c>
      <c r="H80" s="26" t="s">
        <v>128</v>
      </c>
      <c r="I80" s="27" t="s">
        <v>128</v>
      </c>
      <c r="J80" s="26" t="s">
        <v>74</v>
      </c>
      <c r="K80" s="21"/>
      <c r="L80" s="31" t="str">
        <f>"192,5"</f>
        <v>192,5</v>
      </c>
      <c r="M80" s="21" t="str">
        <f>"149,6781"</f>
        <v>149,6781</v>
      </c>
      <c r="N80" s="20"/>
    </row>
    <row r="81" spans="1:14">
      <c r="A81" s="19" t="s">
        <v>30</v>
      </c>
      <c r="B81" s="18" t="s">
        <v>697</v>
      </c>
      <c r="C81" s="18" t="s">
        <v>698</v>
      </c>
      <c r="D81" s="18" t="s">
        <v>699</v>
      </c>
      <c r="E81" s="18" t="s">
        <v>987</v>
      </c>
      <c r="F81" s="18" t="s">
        <v>94</v>
      </c>
      <c r="G81" s="18" t="s">
        <v>944</v>
      </c>
      <c r="H81" s="25" t="s">
        <v>50</v>
      </c>
      <c r="I81" s="24" t="s">
        <v>55</v>
      </c>
      <c r="J81" s="24" t="s">
        <v>51</v>
      </c>
      <c r="K81" s="19"/>
      <c r="L81" s="32" t="str">
        <f>"127,5"</f>
        <v>127,5</v>
      </c>
      <c r="M81" s="19" t="str">
        <f>"157,7751"</f>
        <v>157,7751</v>
      </c>
      <c r="N81" s="18"/>
    </row>
    <row r="82" spans="1:14">
      <c r="B82" s="5" t="s">
        <v>31</v>
      </c>
    </row>
    <row r="83" spans="1:14" ht="16">
      <c r="A83" s="52" t="s">
        <v>9</v>
      </c>
      <c r="B83" s="52"/>
      <c r="C83" s="53"/>
      <c r="D83" s="53"/>
      <c r="E83" s="53"/>
      <c r="F83" s="53"/>
      <c r="G83" s="53"/>
      <c r="H83" s="53"/>
      <c r="I83" s="53"/>
      <c r="J83" s="53"/>
      <c r="K83" s="53"/>
    </row>
    <row r="84" spans="1:14">
      <c r="A84" s="17" t="s">
        <v>30</v>
      </c>
      <c r="B84" s="16" t="s">
        <v>387</v>
      </c>
      <c r="C84" s="16" t="s">
        <v>388</v>
      </c>
      <c r="D84" s="16" t="s">
        <v>389</v>
      </c>
      <c r="E84" s="16" t="s">
        <v>980</v>
      </c>
      <c r="F84" s="16" t="s">
        <v>62</v>
      </c>
      <c r="G84" s="16" t="s">
        <v>943</v>
      </c>
      <c r="H84" s="22" t="s">
        <v>64</v>
      </c>
      <c r="I84" s="22" t="s">
        <v>121</v>
      </c>
      <c r="J84" s="17"/>
      <c r="K84" s="17"/>
      <c r="L84" s="30" t="str">
        <f>"142,5"</f>
        <v>142,5</v>
      </c>
      <c r="M84" s="17" t="str">
        <f>"86,6542"</f>
        <v>86,6542</v>
      </c>
      <c r="N84" s="16" t="s">
        <v>884</v>
      </c>
    </row>
    <row r="85" spans="1:14">
      <c r="A85" s="21" t="s">
        <v>30</v>
      </c>
      <c r="B85" s="20" t="s">
        <v>700</v>
      </c>
      <c r="C85" s="20" t="s">
        <v>701</v>
      </c>
      <c r="D85" s="20" t="s">
        <v>702</v>
      </c>
      <c r="E85" s="20" t="s">
        <v>981</v>
      </c>
      <c r="F85" s="20" t="s">
        <v>36</v>
      </c>
      <c r="G85" s="20" t="s">
        <v>933</v>
      </c>
      <c r="H85" s="27" t="s">
        <v>290</v>
      </c>
      <c r="I85" s="27" t="s">
        <v>123</v>
      </c>
      <c r="J85" s="27" t="s">
        <v>136</v>
      </c>
      <c r="K85" s="21"/>
      <c r="L85" s="31" t="str">
        <f>"160,0"</f>
        <v>160,0</v>
      </c>
      <c r="M85" s="21" t="str">
        <f>"94,4800"</f>
        <v>94,4800</v>
      </c>
      <c r="N85" s="20"/>
    </row>
    <row r="86" spans="1:14">
      <c r="A86" s="21" t="s">
        <v>218</v>
      </c>
      <c r="B86" s="20" t="s">
        <v>703</v>
      </c>
      <c r="C86" s="20" t="s">
        <v>704</v>
      </c>
      <c r="D86" s="20" t="s">
        <v>705</v>
      </c>
      <c r="E86" s="20" t="s">
        <v>981</v>
      </c>
      <c r="F86" s="20" t="s">
        <v>36</v>
      </c>
      <c r="G86" s="20" t="s">
        <v>960</v>
      </c>
      <c r="H86" s="27" t="s">
        <v>290</v>
      </c>
      <c r="I86" s="27" t="s">
        <v>104</v>
      </c>
      <c r="J86" s="27" t="s">
        <v>123</v>
      </c>
      <c r="K86" s="21"/>
      <c r="L86" s="31" t="str">
        <f>"155,0"</f>
        <v>155,0</v>
      </c>
      <c r="M86" s="21" t="str">
        <f>"92,8140"</f>
        <v>92,8140</v>
      </c>
      <c r="N86" s="20"/>
    </row>
    <row r="87" spans="1:14">
      <c r="A87" s="19" t="s">
        <v>30</v>
      </c>
      <c r="B87" s="18" t="s">
        <v>706</v>
      </c>
      <c r="C87" s="18" t="s">
        <v>707</v>
      </c>
      <c r="D87" s="18" t="s">
        <v>708</v>
      </c>
      <c r="E87" s="18" t="s">
        <v>985</v>
      </c>
      <c r="F87" s="18" t="s">
        <v>36</v>
      </c>
      <c r="G87" s="18" t="s">
        <v>933</v>
      </c>
      <c r="H87" s="24" t="s">
        <v>64</v>
      </c>
      <c r="I87" s="24" t="s">
        <v>103</v>
      </c>
      <c r="J87" s="24" t="s">
        <v>104</v>
      </c>
      <c r="K87" s="19"/>
      <c r="L87" s="32" t="str">
        <f>"150,0"</f>
        <v>150,0</v>
      </c>
      <c r="M87" s="19" t="str">
        <f>"135,4865"</f>
        <v>135,4865</v>
      </c>
      <c r="N87" s="18"/>
    </row>
    <row r="88" spans="1:14">
      <c r="B88" s="5" t="s">
        <v>31</v>
      </c>
    </row>
    <row r="89" spans="1:14" ht="16">
      <c r="A89" s="52" t="s">
        <v>198</v>
      </c>
      <c r="B89" s="52"/>
      <c r="C89" s="53"/>
      <c r="D89" s="53"/>
      <c r="E89" s="53"/>
      <c r="F89" s="53"/>
      <c r="G89" s="53"/>
      <c r="H89" s="53"/>
      <c r="I89" s="53"/>
      <c r="J89" s="53"/>
      <c r="K89" s="53"/>
    </row>
    <row r="90" spans="1:14">
      <c r="A90" s="17" t="s">
        <v>30</v>
      </c>
      <c r="B90" s="16" t="s">
        <v>709</v>
      </c>
      <c r="C90" s="16" t="s">
        <v>710</v>
      </c>
      <c r="D90" s="16" t="s">
        <v>711</v>
      </c>
      <c r="E90" s="16" t="s">
        <v>981</v>
      </c>
      <c r="F90" s="16" t="s">
        <v>36</v>
      </c>
      <c r="G90" s="16" t="s">
        <v>933</v>
      </c>
      <c r="H90" s="22" t="s">
        <v>78</v>
      </c>
      <c r="I90" s="23" t="s">
        <v>74</v>
      </c>
      <c r="J90" s="23" t="s">
        <v>74</v>
      </c>
      <c r="K90" s="17"/>
      <c r="L90" s="30" t="str">
        <f>"190,0"</f>
        <v>190,0</v>
      </c>
      <c r="M90" s="17" t="str">
        <f>"109,4210"</f>
        <v>109,4210</v>
      </c>
      <c r="N90" s="16" t="s">
        <v>712</v>
      </c>
    </row>
    <row r="91" spans="1:14">
      <c r="A91" s="21" t="s">
        <v>218</v>
      </c>
      <c r="B91" s="20" t="s">
        <v>713</v>
      </c>
      <c r="C91" s="20" t="s">
        <v>714</v>
      </c>
      <c r="D91" s="20" t="s">
        <v>715</v>
      </c>
      <c r="E91" s="20" t="s">
        <v>981</v>
      </c>
      <c r="F91" s="20" t="s">
        <v>425</v>
      </c>
      <c r="G91" s="20" t="s">
        <v>933</v>
      </c>
      <c r="H91" s="27" t="s">
        <v>184</v>
      </c>
      <c r="I91" s="27" t="s">
        <v>18</v>
      </c>
      <c r="J91" s="26" t="s">
        <v>128</v>
      </c>
      <c r="K91" s="21"/>
      <c r="L91" s="31" t="str">
        <f>"182,5"</f>
        <v>182,5</v>
      </c>
      <c r="M91" s="21" t="str">
        <f>"104,2988"</f>
        <v>104,2988</v>
      </c>
      <c r="N91" s="20" t="s">
        <v>716</v>
      </c>
    </row>
    <row r="92" spans="1:14">
      <c r="A92" s="19" t="s">
        <v>30</v>
      </c>
      <c r="B92" s="18" t="s">
        <v>717</v>
      </c>
      <c r="C92" s="18" t="s">
        <v>718</v>
      </c>
      <c r="D92" s="18" t="s">
        <v>719</v>
      </c>
      <c r="E92" s="18" t="s">
        <v>982</v>
      </c>
      <c r="F92" s="18" t="s">
        <v>36</v>
      </c>
      <c r="G92" s="18" t="s">
        <v>933</v>
      </c>
      <c r="H92" s="24" t="s">
        <v>136</v>
      </c>
      <c r="I92" s="25" t="s">
        <v>191</v>
      </c>
      <c r="J92" s="25" t="s">
        <v>191</v>
      </c>
      <c r="K92" s="19"/>
      <c r="L92" s="32" t="str">
        <f>"160,0"</f>
        <v>160,0</v>
      </c>
      <c r="M92" s="19" t="str">
        <f>"94,0990"</f>
        <v>94,0990</v>
      </c>
      <c r="N92" s="18"/>
    </row>
    <row r="93" spans="1:14">
      <c r="B93" s="5" t="s">
        <v>31</v>
      </c>
    </row>
    <row r="94" spans="1:14">
      <c r="B94" s="5" t="s">
        <v>31</v>
      </c>
    </row>
    <row r="95" spans="1:14">
      <c r="B95" s="5" t="s">
        <v>31</v>
      </c>
    </row>
    <row r="96" spans="1:14" ht="18">
      <c r="B96" s="9" t="s">
        <v>22</v>
      </c>
      <c r="C96" s="9"/>
    </row>
    <row r="97" spans="2:6" ht="16">
      <c r="B97" s="10" t="s">
        <v>86</v>
      </c>
      <c r="C97" s="10"/>
    </row>
    <row r="98" spans="2:6" ht="14">
      <c r="B98" s="11"/>
      <c r="C98" s="12" t="s">
        <v>24</v>
      </c>
    </row>
    <row r="99" spans="2:6" ht="14">
      <c r="B99" s="13" t="s">
        <v>25</v>
      </c>
      <c r="C99" s="13" t="s">
        <v>26</v>
      </c>
      <c r="D99" s="13" t="s">
        <v>903</v>
      </c>
      <c r="E99" s="13" t="s">
        <v>430</v>
      </c>
      <c r="F99" s="13" t="s">
        <v>28</v>
      </c>
    </row>
    <row r="100" spans="2:6">
      <c r="B100" s="5" t="s">
        <v>567</v>
      </c>
      <c r="C100" s="5" t="s">
        <v>24</v>
      </c>
      <c r="D100" s="6" t="s">
        <v>405</v>
      </c>
      <c r="E100" s="6" t="s">
        <v>54</v>
      </c>
      <c r="F100" s="6" t="s">
        <v>720</v>
      </c>
    </row>
    <row r="101" spans="2:6">
      <c r="B101" s="5" t="s">
        <v>548</v>
      </c>
      <c r="C101" s="5" t="s">
        <v>24</v>
      </c>
      <c r="D101" s="6" t="s">
        <v>209</v>
      </c>
      <c r="E101" s="6" t="s">
        <v>294</v>
      </c>
      <c r="F101" s="6" t="s">
        <v>721</v>
      </c>
    </row>
    <row r="102" spans="2:6">
      <c r="B102" s="5" t="s">
        <v>298</v>
      </c>
      <c r="C102" s="5" t="s">
        <v>24</v>
      </c>
      <c r="D102" s="6" t="s">
        <v>87</v>
      </c>
      <c r="E102" s="6" t="s">
        <v>294</v>
      </c>
      <c r="F102" s="6" t="s">
        <v>722</v>
      </c>
    </row>
    <row r="104" spans="2:6" ht="16">
      <c r="B104" s="10" t="s">
        <v>23</v>
      </c>
      <c r="C104" s="10"/>
    </row>
    <row r="105" spans="2:6" ht="14">
      <c r="B105" s="11"/>
      <c r="C105" s="12" t="s">
        <v>24</v>
      </c>
    </row>
    <row r="106" spans="2:6" ht="14">
      <c r="B106" s="13" t="s">
        <v>25</v>
      </c>
      <c r="C106" s="13" t="s">
        <v>26</v>
      </c>
      <c r="D106" s="13" t="s">
        <v>903</v>
      </c>
      <c r="E106" s="13" t="s">
        <v>430</v>
      </c>
      <c r="F106" s="13" t="s">
        <v>28</v>
      </c>
    </row>
    <row r="107" spans="2:6">
      <c r="B107" s="5" t="s">
        <v>709</v>
      </c>
      <c r="C107" s="5" t="s">
        <v>24</v>
      </c>
      <c r="D107" s="6" t="s">
        <v>407</v>
      </c>
      <c r="E107" s="6" t="s">
        <v>78</v>
      </c>
      <c r="F107" s="6" t="s">
        <v>723</v>
      </c>
    </row>
    <row r="108" spans="2:6">
      <c r="B108" s="5" t="s">
        <v>713</v>
      </c>
      <c r="C108" s="5" t="s">
        <v>24</v>
      </c>
      <c r="D108" s="6" t="s">
        <v>407</v>
      </c>
      <c r="E108" s="6" t="s">
        <v>18</v>
      </c>
      <c r="F108" s="6" t="s">
        <v>724</v>
      </c>
    </row>
    <row r="109" spans="2:6">
      <c r="B109" s="5" t="s">
        <v>687</v>
      </c>
      <c r="C109" s="5" t="s">
        <v>24</v>
      </c>
      <c r="D109" s="6" t="s">
        <v>89</v>
      </c>
      <c r="E109" s="6" t="s">
        <v>67</v>
      </c>
      <c r="F109" s="6" t="s">
        <v>725</v>
      </c>
    </row>
  </sheetData>
  <mergeCells count="26">
    <mergeCell ref="A89:K89"/>
    <mergeCell ref="B3:B4"/>
    <mergeCell ref="A33:K33"/>
    <mergeCell ref="A39:K39"/>
    <mergeCell ref="A49:K49"/>
    <mergeCell ref="A64:K64"/>
    <mergeCell ref="A76:K76"/>
    <mergeCell ref="A83:K83"/>
    <mergeCell ref="A9:K9"/>
    <mergeCell ref="A14:K14"/>
    <mergeCell ref="A17:K17"/>
    <mergeCell ref="A22:K22"/>
    <mergeCell ref="A26:K26"/>
    <mergeCell ref="A29:K29"/>
    <mergeCell ref="L3:L4"/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465C7-02ED-4713-BE97-D142AF499D9A}">
  <dimension ref="A1:N70"/>
  <sheetViews>
    <sheetView topLeftCell="A24" workbookViewId="0">
      <selection activeCell="E61" sqref="E61"/>
    </sheetView>
  </sheetViews>
  <sheetFormatPr baseColWidth="10" defaultColWidth="9.1640625" defaultRowHeight="13"/>
  <cols>
    <col min="1" max="1" width="7.1640625" style="5" bestFit="1" customWidth="1"/>
    <col min="2" max="2" width="22.33203125" style="5" bestFit="1" customWidth="1"/>
    <col min="3" max="3" width="27.5" style="5" bestFit="1" customWidth="1"/>
    <col min="4" max="4" width="20.83203125" style="5" bestFit="1" customWidth="1"/>
    <col min="5" max="5" width="10.1640625" style="5" bestFit="1" customWidth="1"/>
    <col min="6" max="6" width="21.83203125" style="5" bestFit="1" customWidth="1"/>
    <col min="7" max="7" width="20.5" style="5" bestFit="1" customWidth="1"/>
    <col min="8" max="10" width="5.5" style="6" customWidth="1"/>
    <col min="11" max="11" width="4.5" style="6" customWidth="1"/>
    <col min="12" max="12" width="10.5" style="28" bestFit="1" customWidth="1"/>
    <col min="13" max="13" width="8.5" style="6" bestFit="1" customWidth="1"/>
    <col min="14" max="14" width="25.83203125" style="5" bestFit="1" customWidth="1"/>
    <col min="15" max="16384" width="9.1640625" style="3"/>
  </cols>
  <sheetData>
    <row r="1" spans="1:14" s="2" customFormat="1" ht="29" customHeight="1">
      <c r="A1" s="41" t="s">
        <v>911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4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</row>
    <row r="3" spans="1:14" s="1" customFormat="1" ht="12.75" customHeight="1">
      <c r="A3" s="49" t="s">
        <v>931</v>
      </c>
      <c r="B3" s="54" t="s">
        <v>0</v>
      </c>
      <c r="C3" s="51" t="s">
        <v>978</v>
      </c>
      <c r="D3" s="51" t="s">
        <v>5</v>
      </c>
      <c r="E3" s="35" t="s">
        <v>979</v>
      </c>
      <c r="F3" s="35"/>
      <c r="G3" s="35" t="s">
        <v>920</v>
      </c>
      <c r="H3" s="35" t="s">
        <v>7</v>
      </c>
      <c r="I3" s="35"/>
      <c r="J3" s="35"/>
      <c r="K3" s="35"/>
      <c r="L3" s="33" t="s">
        <v>431</v>
      </c>
      <c r="M3" s="35" t="s">
        <v>3</v>
      </c>
      <c r="N3" s="37" t="s">
        <v>2</v>
      </c>
    </row>
    <row r="4" spans="1:14" s="1" customFormat="1" ht="21" customHeight="1" thickBot="1">
      <c r="A4" s="50"/>
      <c r="B4" s="55"/>
      <c r="C4" s="36"/>
      <c r="D4" s="36"/>
      <c r="E4" s="36"/>
      <c r="F4" s="36"/>
      <c r="G4" s="36"/>
      <c r="H4" s="4">
        <v>1</v>
      </c>
      <c r="I4" s="4">
        <v>2</v>
      </c>
      <c r="J4" s="4">
        <v>3</v>
      </c>
      <c r="K4" s="4" t="s">
        <v>4</v>
      </c>
      <c r="L4" s="34"/>
      <c r="M4" s="36"/>
      <c r="N4" s="38"/>
    </row>
    <row r="5" spans="1:14" ht="16">
      <c r="A5" s="39" t="s">
        <v>99</v>
      </c>
      <c r="B5" s="39"/>
      <c r="C5" s="40"/>
      <c r="D5" s="40"/>
      <c r="E5" s="40"/>
      <c r="F5" s="40"/>
      <c r="G5" s="40"/>
      <c r="H5" s="40"/>
      <c r="I5" s="40"/>
      <c r="J5" s="40"/>
      <c r="K5" s="40"/>
    </row>
    <row r="6" spans="1:14">
      <c r="A6" s="8" t="s">
        <v>30</v>
      </c>
      <c r="B6" s="7" t="s">
        <v>432</v>
      </c>
      <c r="C6" s="7" t="s">
        <v>433</v>
      </c>
      <c r="D6" s="7" t="s">
        <v>434</v>
      </c>
      <c r="E6" s="7" t="s">
        <v>981</v>
      </c>
      <c r="F6" s="7" t="s">
        <v>435</v>
      </c>
      <c r="G6" s="7" t="s">
        <v>933</v>
      </c>
      <c r="H6" s="14" t="s">
        <v>54</v>
      </c>
      <c r="I6" s="14" t="s">
        <v>37</v>
      </c>
      <c r="J6" s="15" t="s">
        <v>43</v>
      </c>
      <c r="K6" s="8"/>
      <c r="L6" s="29" t="str">
        <f>"80,0"</f>
        <v>80,0</v>
      </c>
      <c r="M6" s="8" t="str">
        <f>"95,2000"</f>
        <v>95,2000</v>
      </c>
      <c r="N6" s="7"/>
    </row>
    <row r="7" spans="1:14">
      <c r="B7" s="5" t="s">
        <v>31</v>
      </c>
    </row>
    <row r="8" spans="1:14" ht="16">
      <c r="A8" s="52" t="s">
        <v>45</v>
      </c>
      <c r="B8" s="52"/>
      <c r="C8" s="53"/>
      <c r="D8" s="53"/>
      <c r="E8" s="53"/>
      <c r="F8" s="53"/>
      <c r="G8" s="53"/>
      <c r="H8" s="53"/>
      <c r="I8" s="53"/>
      <c r="J8" s="53"/>
      <c r="K8" s="53"/>
    </row>
    <row r="9" spans="1:14">
      <c r="A9" s="17" t="s">
        <v>30</v>
      </c>
      <c r="B9" s="16" t="s">
        <v>436</v>
      </c>
      <c r="C9" s="16" t="s">
        <v>437</v>
      </c>
      <c r="D9" s="16" t="s">
        <v>438</v>
      </c>
      <c r="E9" s="16" t="s">
        <v>981</v>
      </c>
      <c r="F9" s="16" t="s">
        <v>135</v>
      </c>
      <c r="G9" s="16" t="s">
        <v>936</v>
      </c>
      <c r="H9" s="22" t="s">
        <v>38</v>
      </c>
      <c r="I9" s="22" t="s">
        <v>65</v>
      </c>
      <c r="J9" s="23" t="s">
        <v>66</v>
      </c>
      <c r="K9" s="17"/>
      <c r="L9" s="30" t="str">
        <f>"95,0"</f>
        <v>95,0</v>
      </c>
      <c r="M9" s="17" t="str">
        <f>"99,4365"</f>
        <v>99,4365</v>
      </c>
      <c r="N9" s="16" t="s">
        <v>885</v>
      </c>
    </row>
    <row r="10" spans="1:14">
      <c r="A10" s="19" t="s">
        <v>218</v>
      </c>
      <c r="B10" s="18" t="s">
        <v>439</v>
      </c>
      <c r="C10" s="18" t="s">
        <v>440</v>
      </c>
      <c r="D10" s="18" t="s">
        <v>441</v>
      </c>
      <c r="E10" s="18" t="s">
        <v>981</v>
      </c>
      <c r="F10" s="18" t="s">
        <v>36</v>
      </c>
      <c r="G10" s="18" t="s">
        <v>933</v>
      </c>
      <c r="H10" s="24" t="s">
        <v>53</v>
      </c>
      <c r="I10" s="25" t="s">
        <v>54</v>
      </c>
      <c r="J10" s="19"/>
      <c r="K10" s="19"/>
      <c r="L10" s="32" t="str">
        <f>"70,0"</f>
        <v>70,0</v>
      </c>
      <c r="M10" s="19" t="str">
        <f>"75,7260"</f>
        <v>75,7260</v>
      </c>
      <c r="N10" s="18"/>
    </row>
    <row r="11" spans="1:14">
      <c r="B11" s="5" t="s">
        <v>31</v>
      </c>
    </row>
    <row r="12" spans="1:14" ht="16">
      <c r="A12" s="52" t="s">
        <v>117</v>
      </c>
      <c r="B12" s="52"/>
      <c r="C12" s="53"/>
      <c r="D12" s="53"/>
      <c r="E12" s="53"/>
      <c r="F12" s="53"/>
      <c r="G12" s="53"/>
      <c r="H12" s="53"/>
      <c r="I12" s="53"/>
      <c r="J12" s="53"/>
      <c r="K12" s="53"/>
    </row>
    <row r="13" spans="1:14">
      <c r="A13" s="17" t="s">
        <v>30</v>
      </c>
      <c r="B13" s="16" t="s">
        <v>442</v>
      </c>
      <c r="C13" s="16" t="s">
        <v>443</v>
      </c>
      <c r="D13" s="16" t="s">
        <v>444</v>
      </c>
      <c r="E13" s="16" t="s">
        <v>984</v>
      </c>
      <c r="F13" s="16" t="s">
        <v>36</v>
      </c>
      <c r="G13" s="16" t="s">
        <v>933</v>
      </c>
      <c r="H13" s="22" t="s">
        <v>105</v>
      </c>
      <c r="I13" s="23" t="s">
        <v>43</v>
      </c>
      <c r="J13" s="22" t="s">
        <v>38</v>
      </c>
      <c r="K13" s="17"/>
      <c r="L13" s="30" t="str">
        <f>"90,0"</f>
        <v>90,0</v>
      </c>
      <c r="M13" s="17" t="str">
        <f>"66,3750"</f>
        <v>66,3750</v>
      </c>
      <c r="N13" s="16"/>
    </row>
    <row r="14" spans="1:14">
      <c r="A14" s="19" t="s">
        <v>30</v>
      </c>
      <c r="B14" s="18" t="s">
        <v>411</v>
      </c>
      <c r="C14" s="18" t="s">
        <v>446</v>
      </c>
      <c r="D14" s="18" t="s">
        <v>335</v>
      </c>
      <c r="E14" s="18" t="s">
        <v>986</v>
      </c>
      <c r="F14" s="18" t="s">
        <v>891</v>
      </c>
      <c r="G14" s="18" t="s">
        <v>944</v>
      </c>
      <c r="H14" s="24" t="s">
        <v>184</v>
      </c>
      <c r="I14" s="25" t="s">
        <v>68</v>
      </c>
      <c r="J14" s="25" t="s">
        <v>68</v>
      </c>
      <c r="K14" s="19"/>
      <c r="L14" s="32" t="str">
        <f>"172,5"</f>
        <v>172,5</v>
      </c>
      <c r="M14" s="19" t="str">
        <f>"145,7708"</f>
        <v>145,7708</v>
      </c>
      <c r="N14" s="18" t="s">
        <v>413</v>
      </c>
    </row>
    <row r="15" spans="1:14">
      <c r="B15" s="5" t="s">
        <v>31</v>
      </c>
    </row>
    <row r="16" spans="1:14" ht="16">
      <c r="A16" s="52" t="s">
        <v>70</v>
      </c>
      <c r="B16" s="52"/>
      <c r="C16" s="53"/>
      <c r="D16" s="53"/>
      <c r="E16" s="53"/>
      <c r="F16" s="53"/>
      <c r="G16" s="53"/>
      <c r="H16" s="53"/>
      <c r="I16" s="53"/>
      <c r="J16" s="53"/>
      <c r="K16" s="53"/>
    </row>
    <row r="17" spans="1:14">
      <c r="A17" s="17" t="s">
        <v>30</v>
      </c>
      <c r="B17" s="16" t="s">
        <v>447</v>
      </c>
      <c r="C17" s="16" t="s">
        <v>448</v>
      </c>
      <c r="D17" s="16" t="s">
        <v>449</v>
      </c>
      <c r="E17" s="16" t="s">
        <v>984</v>
      </c>
      <c r="F17" s="16" t="s">
        <v>36</v>
      </c>
      <c r="G17" s="16" t="s">
        <v>933</v>
      </c>
      <c r="H17" s="22" t="s">
        <v>95</v>
      </c>
      <c r="I17" s="23" t="s">
        <v>49</v>
      </c>
      <c r="J17" s="22" t="s">
        <v>49</v>
      </c>
      <c r="K17" s="17"/>
      <c r="L17" s="30" t="str">
        <f>"110,0"</f>
        <v>110,0</v>
      </c>
      <c r="M17" s="17" t="str">
        <f>"75,1520"</f>
        <v>75,1520</v>
      </c>
      <c r="N17" s="16"/>
    </row>
    <row r="18" spans="1:14">
      <c r="A18" s="21" t="s">
        <v>30</v>
      </c>
      <c r="B18" s="20" t="s">
        <v>450</v>
      </c>
      <c r="C18" s="20" t="s">
        <v>451</v>
      </c>
      <c r="D18" s="20" t="s">
        <v>452</v>
      </c>
      <c r="E18" s="20" t="s">
        <v>981</v>
      </c>
      <c r="F18" s="20" t="s">
        <v>36</v>
      </c>
      <c r="G18" s="20" t="s">
        <v>933</v>
      </c>
      <c r="H18" s="27" t="s">
        <v>114</v>
      </c>
      <c r="I18" s="27" t="s">
        <v>84</v>
      </c>
      <c r="J18" s="27" t="s">
        <v>78</v>
      </c>
      <c r="K18" s="21"/>
      <c r="L18" s="31" t="str">
        <f>"190,0"</f>
        <v>190,0</v>
      </c>
      <c r="M18" s="21" t="str">
        <f>"131,4040"</f>
        <v>131,4040</v>
      </c>
      <c r="N18" s="20"/>
    </row>
    <row r="19" spans="1:14">
      <c r="A19" s="21" t="s">
        <v>218</v>
      </c>
      <c r="B19" s="20" t="s">
        <v>124</v>
      </c>
      <c r="C19" s="20" t="s">
        <v>125</v>
      </c>
      <c r="D19" s="20" t="s">
        <v>126</v>
      </c>
      <c r="E19" s="20" t="s">
        <v>981</v>
      </c>
      <c r="F19" s="20" t="s">
        <v>892</v>
      </c>
      <c r="G19" s="20" t="s">
        <v>945</v>
      </c>
      <c r="H19" s="27" t="s">
        <v>84</v>
      </c>
      <c r="I19" s="27" t="s">
        <v>127</v>
      </c>
      <c r="J19" s="26" t="s">
        <v>128</v>
      </c>
      <c r="K19" s="21"/>
      <c r="L19" s="31" t="str">
        <f>"187,5"</f>
        <v>187,5</v>
      </c>
      <c r="M19" s="21" t="str">
        <f>"125,8875"</f>
        <v>125,8875</v>
      </c>
      <c r="N19" s="20"/>
    </row>
    <row r="20" spans="1:14">
      <c r="A20" s="21" t="s">
        <v>219</v>
      </c>
      <c r="B20" s="20" t="s">
        <v>453</v>
      </c>
      <c r="C20" s="20" t="s">
        <v>454</v>
      </c>
      <c r="D20" s="20" t="s">
        <v>113</v>
      </c>
      <c r="E20" s="20" t="s">
        <v>981</v>
      </c>
      <c r="F20" s="20" t="s">
        <v>892</v>
      </c>
      <c r="G20" s="20" t="s">
        <v>945</v>
      </c>
      <c r="H20" s="26" t="s">
        <v>103</v>
      </c>
      <c r="I20" s="27" t="s">
        <v>104</v>
      </c>
      <c r="J20" s="26" t="s">
        <v>190</v>
      </c>
      <c r="K20" s="21"/>
      <c r="L20" s="31" t="str">
        <f>"150,0"</f>
        <v>150,0</v>
      </c>
      <c r="M20" s="21" t="str">
        <f>"100,8600"</f>
        <v>100,8600</v>
      </c>
      <c r="N20" s="20" t="s">
        <v>455</v>
      </c>
    </row>
    <row r="21" spans="1:14">
      <c r="A21" s="21" t="s">
        <v>220</v>
      </c>
      <c r="B21" s="20" t="s">
        <v>456</v>
      </c>
      <c r="C21" s="20" t="s">
        <v>457</v>
      </c>
      <c r="D21" s="20" t="s">
        <v>458</v>
      </c>
      <c r="E21" s="20" t="s">
        <v>981</v>
      </c>
      <c r="F21" s="20" t="s">
        <v>36</v>
      </c>
      <c r="G21" s="20" t="s">
        <v>933</v>
      </c>
      <c r="H21" s="27" t="s">
        <v>56</v>
      </c>
      <c r="I21" s="27" t="s">
        <v>121</v>
      </c>
      <c r="J21" s="27" t="s">
        <v>290</v>
      </c>
      <c r="K21" s="21"/>
      <c r="L21" s="31" t="str">
        <f>"147,5"</f>
        <v>147,5</v>
      </c>
      <c r="M21" s="21" t="str">
        <f>"100,3000"</f>
        <v>100,3000</v>
      </c>
      <c r="N21" s="20"/>
    </row>
    <row r="22" spans="1:14">
      <c r="A22" s="19" t="s">
        <v>30</v>
      </c>
      <c r="B22" s="18" t="s">
        <v>459</v>
      </c>
      <c r="C22" s="18" t="s">
        <v>460</v>
      </c>
      <c r="D22" s="18" t="s">
        <v>461</v>
      </c>
      <c r="E22" s="18" t="s">
        <v>982</v>
      </c>
      <c r="F22" s="18" t="s">
        <v>891</v>
      </c>
      <c r="G22" s="18" t="s">
        <v>933</v>
      </c>
      <c r="H22" s="24" t="s">
        <v>63</v>
      </c>
      <c r="I22" s="24" t="s">
        <v>121</v>
      </c>
      <c r="J22" s="24" t="s">
        <v>290</v>
      </c>
      <c r="K22" s="19"/>
      <c r="L22" s="32" t="str">
        <f>"147,5"</f>
        <v>147,5</v>
      </c>
      <c r="M22" s="19" t="str">
        <f>"112,1778"</f>
        <v>112,1778</v>
      </c>
      <c r="N22" s="18" t="s">
        <v>462</v>
      </c>
    </row>
    <row r="23" spans="1:14">
      <c r="B23" s="5" t="s">
        <v>31</v>
      </c>
    </row>
    <row r="24" spans="1:14" ht="16">
      <c r="A24" s="52" t="s">
        <v>139</v>
      </c>
      <c r="B24" s="52"/>
      <c r="C24" s="53"/>
      <c r="D24" s="53"/>
      <c r="E24" s="53"/>
      <c r="F24" s="53"/>
      <c r="G24" s="53"/>
      <c r="H24" s="53"/>
      <c r="I24" s="53"/>
      <c r="J24" s="53"/>
      <c r="K24" s="53"/>
    </row>
    <row r="25" spans="1:14">
      <c r="A25" s="17" t="s">
        <v>30</v>
      </c>
      <c r="B25" s="16" t="s">
        <v>463</v>
      </c>
      <c r="C25" s="16" t="s">
        <v>464</v>
      </c>
      <c r="D25" s="16" t="s">
        <v>465</v>
      </c>
      <c r="E25" s="16" t="s">
        <v>984</v>
      </c>
      <c r="F25" s="16" t="s">
        <v>36</v>
      </c>
      <c r="G25" s="16" t="s">
        <v>937</v>
      </c>
      <c r="H25" s="22" t="s">
        <v>105</v>
      </c>
      <c r="I25" s="23" t="s">
        <v>235</v>
      </c>
      <c r="J25" s="23" t="s">
        <v>235</v>
      </c>
      <c r="K25" s="17"/>
      <c r="L25" s="30" t="str">
        <f>"75,0"</f>
        <v>75,0</v>
      </c>
      <c r="M25" s="17" t="str">
        <f>"48,0450"</f>
        <v>48,0450</v>
      </c>
      <c r="N25" s="16"/>
    </row>
    <row r="26" spans="1:14">
      <c r="A26" s="21" t="s">
        <v>30</v>
      </c>
      <c r="B26" s="20" t="s">
        <v>466</v>
      </c>
      <c r="C26" s="20" t="s">
        <v>467</v>
      </c>
      <c r="D26" s="20" t="s">
        <v>363</v>
      </c>
      <c r="E26" s="20" t="s">
        <v>981</v>
      </c>
      <c r="F26" s="20" t="s">
        <v>62</v>
      </c>
      <c r="G26" s="20" t="s">
        <v>947</v>
      </c>
      <c r="H26" s="27" t="s">
        <v>16</v>
      </c>
      <c r="I26" s="27" t="s">
        <v>68</v>
      </c>
      <c r="J26" s="27" t="s">
        <v>18</v>
      </c>
      <c r="K26" s="21"/>
      <c r="L26" s="31" t="str">
        <f>"182,5"</f>
        <v>182,5</v>
      </c>
      <c r="M26" s="21" t="str">
        <f>"116,5810"</f>
        <v>116,5810</v>
      </c>
      <c r="N26" s="20" t="s">
        <v>468</v>
      </c>
    </row>
    <row r="27" spans="1:14">
      <c r="A27" s="21" t="s">
        <v>218</v>
      </c>
      <c r="B27" s="20" t="s">
        <v>469</v>
      </c>
      <c r="C27" s="20" t="s">
        <v>470</v>
      </c>
      <c r="D27" s="20" t="s">
        <v>471</v>
      </c>
      <c r="E27" s="20" t="s">
        <v>981</v>
      </c>
      <c r="F27" s="20" t="s">
        <v>36</v>
      </c>
      <c r="G27" s="20" t="s">
        <v>933</v>
      </c>
      <c r="H27" s="27" t="s">
        <v>290</v>
      </c>
      <c r="I27" s="27" t="s">
        <v>123</v>
      </c>
      <c r="J27" s="26" t="s">
        <v>136</v>
      </c>
      <c r="K27" s="21"/>
      <c r="L27" s="31" t="str">
        <f>"155,0"</f>
        <v>155,0</v>
      </c>
      <c r="M27" s="21" t="str">
        <f>"100,4865"</f>
        <v>100,4865</v>
      </c>
      <c r="N27" s="20" t="s">
        <v>472</v>
      </c>
    </row>
    <row r="28" spans="1:14">
      <c r="A28" s="19" t="s">
        <v>219</v>
      </c>
      <c r="B28" s="18" t="s">
        <v>473</v>
      </c>
      <c r="C28" s="18" t="s">
        <v>474</v>
      </c>
      <c r="D28" s="18" t="s">
        <v>475</v>
      </c>
      <c r="E28" s="18" t="s">
        <v>981</v>
      </c>
      <c r="F28" s="18" t="s">
        <v>36</v>
      </c>
      <c r="G28" s="18" t="s">
        <v>957</v>
      </c>
      <c r="H28" s="24" t="s">
        <v>63</v>
      </c>
      <c r="I28" s="24" t="s">
        <v>56</v>
      </c>
      <c r="J28" s="24" t="s">
        <v>77</v>
      </c>
      <c r="K28" s="19"/>
      <c r="L28" s="32" t="str">
        <f>"140,0"</f>
        <v>140,0</v>
      </c>
      <c r="M28" s="19" t="str">
        <f>"90,9860"</f>
        <v>90,9860</v>
      </c>
      <c r="N28" s="18" t="s">
        <v>929</v>
      </c>
    </row>
    <row r="29" spans="1:14">
      <c r="B29" s="5" t="s">
        <v>31</v>
      </c>
    </row>
    <row r="30" spans="1:14" ht="16">
      <c r="A30" s="52" t="s">
        <v>80</v>
      </c>
      <c r="B30" s="52"/>
      <c r="C30" s="53"/>
      <c r="D30" s="53"/>
      <c r="E30" s="53"/>
      <c r="F30" s="53"/>
      <c r="G30" s="53"/>
      <c r="H30" s="53"/>
      <c r="I30" s="53"/>
      <c r="J30" s="53"/>
      <c r="K30" s="53"/>
    </row>
    <row r="31" spans="1:14">
      <c r="A31" s="17" t="s">
        <v>30</v>
      </c>
      <c r="B31" s="16" t="s">
        <v>476</v>
      </c>
      <c r="C31" s="16" t="s">
        <v>477</v>
      </c>
      <c r="D31" s="16" t="s">
        <v>478</v>
      </c>
      <c r="E31" s="16" t="s">
        <v>980</v>
      </c>
      <c r="F31" s="16" t="s">
        <v>36</v>
      </c>
      <c r="G31" s="16" t="s">
        <v>933</v>
      </c>
      <c r="H31" s="22" t="s">
        <v>17</v>
      </c>
      <c r="I31" s="23" t="s">
        <v>69</v>
      </c>
      <c r="J31" s="23" t="s">
        <v>69</v>
      </c>
      <c r="K31" s="17"/>
      <c r="L31" s="30" t="str">
        <f>"177,5"</f>
        <v>177,5</v>
      </c>
      <c r="M31" s="17" t="str">
        <f>"109,7483"</f>
        <v>109,7483</v>
      </c>
      <c r="N31" s="16"/>
    </row>
    <row r="32" spans="1:14">
      <c r="A32" s="21" t="s">
        <v>30</v>
      </c>
      <c r="B32" s="20" t="s">
        <v>479</v>
      </c>
      <c r="C32" s="20" t="s">
        <v>480</v>
      </c>
      <c r="D32" s="20" t="s">
        <v>481</v>
      </c>
      <c r="E32" s="20" t="s">
        <v>981</v>
      </c>
      <c r="F32" s="20" t="s">
        <v>135</v>
      </c>
      <c r="G32" s="20" t="s">
        <v>936</v>
      </c>
      <c r="H32" s="26" t="s">
        <v>78</v>
      </c>
      <c r="I32" s="27" t="s">
        <v>339</v>
      </c>
      <c r="J32" s="26" t="s">
        <v>74</v>
      </c>
      <c r="K32" s="21"/>
      <c r="L32" s="31" t="str">
        <f>"195,0"</f>
        <v>195,0</v>
      </c>
      <c r="M32" s="21" t="str">
        <f>"118,8720"</f>
        <v>118,8720</v>
      </c>
      <c r="N32" s="20" t="s">
        <v>591</v>
      </c>
    </row>
    <row r="33" spans="1:14">
      <c r="A33" s="21" t="s">
        <v>218</v>
      </c>
      <c r="B33" s="20" t="s">
        <v>482</v>
      </c>
      <c r="C33" s="20" t="s">
        <v>483</v>
      </c>
      <c r="D33" s="20" t="s">
        <v>484</v>
      </c>
      <c r="E33" s="20" t="s">
        <v>981</v>
      </c>
      <c r="F33" s="20" t="s">
        <v>36</v>
      </c>
      <c r="G33" s="20" t="s">
        <v>933</v>
      </c>
      <c r="H33" s="27" t="s">
        <v>17</v>
      </c>
      <c r="I33" s="27" t="s">
        <v>69</v>
      </c>
      <c r="J33" s="26" t="s">
        <v>78</v>
      </c>
      <c r="K33" s="21"/>
      <c r="L33" s="31" t="str">
        <f>"185,0"</f>
        <v>185,0</v>
      </c>
      <c r="M33" s="21" t="str">
        <f>"116,1615"</f>
        <v>116,1615</v>
      </c>
      <c r="N33" s="20" t="s">
        <v>485</v>
      </c>
    </row>
    <row r="34" spans="1:14">
      <c r="A34" s="21" t="s">
        <v>219</v>
      </c>
      <c r="B34" s="20" t="s">
        <v>486</v>
      </c>
      <c r="C34" s="20" t="s">
        <v>487</v>
      </c>
      <c r="D34" s="20" t="s">
        <v>416</v>
      </c>
      <c r="E34" s="20" t="s">
        <v>981</v>
      </c>
      <c r="F34" s="20" t="s">
        <v>36</v>
      </c>
      <c r="G34" s="20" t="s">
        <v>961</v>
      </c>
      <c r="H34" s="27" t="s">
        <v>68</v>
      </c>
      <c r="I34" s="27" t="s">
        <v>69</v>
      </c>
      <c r="J34" s="26" t="s">
        <v>127</v>
      </c>
      <c r="K34" s="21"/>
      <c r="L34" s="31" t="str">
        <f>"185,0"</f>
        <v>185,0</v>
      </c>
      <c r="M34" s="21" t="str">
        <f>"113,8120"</f>
        <v>113,8120</v>
      </c>
      <c r="N34" s="20"/>
    </row>
    <row r="35" spans="1:14">
      <c r="A35" s="21" t="s">
        <v>220</v>
      </c>
      <c r="B35" s="20" t="s">
        <v>488</v>
      </c>
      <c r="C35" s="20" t="s">
        <v>489</v>
      </c>
      <c r="D35" s="20" t="s">
        <v>490</v>
      </c>
      <c r="E35" s="20" t="s">
        <v>981</v>
      </c>
      <c r="F35" s="20" t="s">
        <v>36</v>
      </c>
      <c r="G35" s="20" t="s">
        <v>936</v>
      </c>
      <c r="H35" s="27" t="s">
        <v>68</v>
      </c>
      <c r="I35" s="26" t="s">
        <v>69</v>
      </c>
      <c r="J35" s="26" t="s">
        <v>69</v>
      </c>
      <c r="K35" s="21"/>
      <c r="L35" s="31" t="str">
        <f>"175,0"</f>
        <v>175,0</v>
      </c>
      <c r="M35" s="21" t="str">
        <f>"106,5050"</f>
        <v>106,5050</v>
      </c>
      <c r="N35" s="20" t="s">
        <v>491</v>
      </c>
    </row>
    <row r="36" spans="1:14">
      <c r="A36" s="21" t="s">
        <v>222</v>
      </c>
      <c r="B36" s="20" t="s">
        <v>492</v>
      </c>
      <c r="C36" s="20" t="s">
        <v>493</v>
      </c>
      <c r="D36" s="20" t="s">
        <v>494</v>
      </c>
      <c r="E36" s="20" t="s">
        <v>981</v>
      </c>
      <c r="F36" s="20" t="s">
        <v>892</v>
      </c>
      <c r="G36" s="20" t="s">
        <v>945</v>
      </c>
      <c r="H36" s="26" t="s">
        <v>495</v>
      </c>
      <c r="I36" s="26" t="s">
        <v>495</v>
      </c>
      <c r="J36" s="26" t="s">
        <v>495</v>
      </c>
      <c r="K36" s="21"/>
      <c r="L36" s="31">
        <v>0</v>
      </c>
      <c r="M36" s="21" t="str">
        <f>"0,0000"</f>
        <v>0,0000</v>
      </c>
      <c r="N36" s="20" t="s">
        <v>496</v>
      </c>
    </row>
    <row r="37" spans="1:14">
      <c r="A37" s="21" t="s">
        <v>30</v>
      </c>
      <c r="B37" s="20" t="s">
        <v>497</v>
      </c>
      <c r="C37" s="20" t="s">
        <v>498</v>
      </c>
      <c r="D37" s="20" t="s">
        <v>499</v>
      </c>
      <c r="E37" s="20" t="s">
        <v>982</v>
      </c>
      <c r="F37" s="20" t="s">
        <v>36</v>
      </c>
      <c r="G37" s="20" t="s">
        <v>933</v>
      </c>
      <c r="H37" s="27" t="s">
        <v>84</v>
      </c>
      <c r="I37" s="27" t="s">
        <v>78</v>
      </c>
      <c r="J37" s="27" t="s">
        <v>74</v>
      </c>
      <c r="K37" s="21"/>
      <c r="L37" s="31" t="str">
        <f>"200,0"</f>
        <v>200,0</v>
      </c>
      <c r="M37" s="21" t="str">
        <f>"124,9617"</f>
        <v>124,9617</v>
      </c>
      <c r="N37" s="20"/>
    </row>
    <row r="38" spans="1:14">
      <c r="A38" s="19" t="s">
        <v>222</v>
      </c>
      <c r="B38" s="18" t="s">
        <v>492</v>
      </c>
      <c r="C38" s="18" t="s">
        <v>500</v>
      </c>
      <c r="D38" s="18" t="s">
        <v>494</v>
      </c>
      <c r="E38" s="18" t="s">
        <v>982</v>
      </c>
      <c r="F38" s="18" t="s">
        <v>892</v>
      </c>
      <c r="G38" s="18" t="s">
        <v>945</v>
      </c>
      <c r="H38" s="25" t="s">
        <v>495</v>
      </c>
      <c r="I38" s="25" t="s">
        <v>495</v>
      </c>
      <c r="J38" s="25" t="s">
        <v>495</v>
      </c>
      <c r="K38" s="19"/>
      <c r="L38" s="32">
        <v>0</v>
      </c>
      <c r="M38" s="19" t="str">
        <f>"0,0000"</f>
        <v>0,0000</v>
      </c>
      <c r="N38" s="18" t="s">
        <v>496</v>
      </c>
    </row>
    <row r="39" spans="1:14">
      <c r="B39" s="5" t="s">
        <v>31</v>
      </c>
    </row>
    <row r="40" spans="1:14" ht="16">
      <c r="A40" s="52" t="s">
        <v>9</v>
      </c>
      <c r="B40" s="52"/>
      <c r="C40" s="53"/>
      <c r="D40" s="53"/>
      <c r="E40" s="53"/>
      <c r="F40" s="53"/>
      <c r="G40" s="53"/>
      <c r="H40" s="53"/>
      <c r="I40" s="53"/>
      <c r="J40" s="53"/>
      <c r="K40" s="53"/>
    </row>
    <row r="41" spans="1:14">
      <c r="A41" s="17" t="s">
        <v>30</v>
      </c>
      <c r="B41" s="16" t="s">
        <v>501</v>
      </c>
      <c r="C41" s="16" t="s">
        <v>502</v>
      </c>
      <c r="D41" s="16" t="s">
        <v>503</v>
      </c>
      <c r="E41" s="16" t="s">
        <v>981</v>
      </c>
      <c r="F41" s="16" t="s">
        <v>36</v>
      </c>
      <c r="G41" s="16" t="s">
        <v>933</v>
      </c>
      <c r="H41" s="22" t="s">
        <v>184</v>
      </c>
      <c r="I41" s="22" t="s">
        <v>84</v>
      </c>
      <c r="J41" s="23" t="s">
        <v>18</v>
      </c>
      <c r="K41" s="17"/>
      <c r="L41" s="30" t="str">
        <f>"180,0"</f>
        <v>180,0</v>
      </c>
      <c r="M41" s="17" t="str">
        <f>"105,9300"</f>
        <v>105,9300</v>
      </c>
      <c r="N41" s="16" t="s">
        <v>504</v>
      </c>
    </row>
    <row r="42" spans="1:14">
      <c r="A42" s="21" t="s">
        <v>218</v>
      </c>
      <c r="B42" s="20" t="s">
        <v>505</v>
      </c>
      <c r="C42" s="20" t="s">
        <v>506</v>
      </c>
      <c r="D42" s="20" t="s">
        <v>12</v>
      </c>
      <c r="E42" s="20" t="s">
        <v>981</v>
      </c>
      <c r="F42" s="20" t="s">
        <v>36</v>
      </c>
      <c r="G42" s="20" t="s">
        <v>961</v>
      </c>
      <c r="H42" s="27" t="s">
        <v>136</v>
      </c>
      <c r="I42" s="27" t="s">
        <v>16</v>
      </c>
      <c r="J42" s="27" t="s">
        <v>184</v>
      </c>
      <c r="K42" s="21"/>
      <c r="L42" s="31" t="str">
        <f>"172,5"</f>
        <v>172,5</v>
      </c>
      <c r="M42" s="21" t="str">
        <f>"102,8790"</f>
        <v>102,8790</v>
      </c>
      <c r="N42" s="20"/>
    </row>
    <row r="43" spans="1:14">
      <c r="A43" s="21" t="s">
        <v>219</v>
      </c>
      <c r="B43" s="20" t="s">
        <v>507</v>
      </c>
      <c r="C43" s="20" t="s">
        <v>508</v>
      </c>
      <c r="D43" s="20" t="s">
        <v>509</v>
      </c>
      <c r="E43" s="20" t="s">
        <v>981</v>
      </c>
      <c r="F43" s="20" t="s">
        <v>892</v>
      </c>
      <c r="G43" s="20" t="s">
        <v>945</v>
      </c>
      <c r="H43" s="27" t="s">
        <v>16</v>
      </c>
      <c r="I43" s="26" t="s">
        <v>68</v>
      </c>
      <c r="J43" s="21"/>
      <c r="K43" s="21"/>
      <c r="L43" s="31" t="str">
        <f>"167,5"</f>
        <v>167,5</v>
      </c>
      <c r="M43" s="21" t="str">
        <f>"101,5385"</f>
        <v>101,5385</v>
      </c>
      <c r="N43" s="20"/>
    </row>
    <row r="44" spans="1:14">
      <c r="A44" s="21" t="s">
        <v>220</v>
      </c>
      <c r="B44" s="20" t="s">
        <v>510</v>
      </c>
      <c r="C44" s="20" t="s">
        <v>511</v>
      </c>
      <c r="D44" s="20" t="s">
        <v>512</v>
      </c>
      <c r="E44" s="20" t="s">
        <v>981</v>
      </c>
      <c r="F44" s="20" t="s">
        <v>36</v>
      </c>
      <c r="G44" s="20" t="s">
        <v>962</v>
      </c>
      <c r="H44" s="27" t="s">
        <v>103</v>
      </c>
      <c r="I44" s="26" t="s">
        <v>104</v>
      </c>
      <c r="J44" s="27" t="s">
        <v>104</v>
      </c>
      <c r="K44" s="21"/>
      <c r="L44" s="31" t="str">
        <f>"150,0"</f>
        <v>150,0</v>
      </c>
      <c r="M44" s="21" t="str">
        <f>"89,5200"</f>
        <v>89,5200</v>
      </c>
      <c r="N44" s="20"/>
    </row>
    <row r="45" spans="1:14">
      <c r="A45" s="21" t="s">
        <v>222</v>
      </c>
      <c r="B45" s="20" t="s">
        <v>513</v>
      </c>
      <c r="C45" s="20" t="s">
        <v>514</v>
      </c>
      <c r="D45" s="20" t="s">
        <v>515</v>
      </c>
      <c r="E45" s="20" t="s">
        <v>981</v>
      </c>
      <c r="F45" s="20" t="s">
        <v>36</v>
      </c>
      <c r="G45" s="20" t="s">
        <v>963</v>
      </c>
      <c r="H45" s="26" t="s">
        <v>68</v>
      </c>
      <c r="I45" s="26" t="s">
        <v>68</v>
      </c>
      <c r="J45" s="26" t="s">
        <v>68</v>
      </c>
      <c r="K45" s="21"/>
      <c r="L45" s="31">
        <v>0</v>
      </c>
      <c r="M45" s="21" t="str">
        <f>"0,0000"</f>
        <v>0,0000</v>
      </c>
      <c r="N45" s="20"/>
    </row>
    <row r="46" spans="1:14">
      <c r="A46" s="19" t="s">
        <v>30</v>
      </c>
      <c r="B46" s="18" t="s">
        <v>516</v>
      </c>
      <c r="C46" s="18" t="s">
        <v>517</v>
      </c>
      <c r="D46" s="18" t="s">
        <v>518</v>
      </c>
      <c r="E46" s="18" t="s">
        <v>982</v>
      </c>
      <c r="F46" s="18" t="s">
        <v>36</v>
      </c>
      <c r="G46" s="18" t="s">
        <v>936</v>
      </c>
      <c r="H46" s="24" t="s">
        <v>339</v>
      </c>
      <c r="I46" s="24" t="s">
        <v>147</v>
      </c>
      <c r="J46" s="25" t="s">
        <v>495</v>
      </c>
      <c r="K46" s="19"/>
      <c r="L46" s="32" t="str">
        <f>"205,0"</f>
        <v>205,0</v>
      </c>
      <c r="M46" s="19" t="str">
        <f>"121,8844"</f>
        <v>121,8844</v>
      </c>
      <c r="N46" s="18"/>
    </row>
    <row r="47" spans="1:14">
      <c r="B47" s="5" t="s">
        <v>31</v>
      </c>
    </row>
    <row r="48" spans="1:14" ht="16">
      <c r="A48" s="52" t="s">
        <v>198</v>
      </c>
      <c r="B48" s="52"/>
      <c r="C48" s="53"/>
      <c r="D48" s="53"/>
      <c r="E48" s="53"/>
      <c r="F48" s="53"/>
      <c r="G48" s="53"/>
      <c r="H48" s="53"/>
      <c r="I48" s="53"/>
      <c r="J48" s="53"/>
      <c r="K48" s="53"/>
    </row>
    <row r="49" spans="1:14">
      <c r="A49" s="17" t="s">
        <v>30</v>
      </c>
      <c r="B49" s="16" t="s">
        <v>519</v>
      </c>
      <c r="C49" s="16" t="s">
        <v>520</v>
      </c>
      <c r="D49" s="16" t="s">
        <v>521</v>
      </c>
      <c r="E49" s="16" t="s">
        <v>981</v>
      </c>
      <c r="F49" s="16" t="s">
        <v>278</v>
      </c>
      <c r="G49" s="16" t="s">
        <v>933</v>
      </c>
      <c r="H49" s="22" t="s">
        <v>79</v>
      </c>
      <c r="I49" s="22" t="s">
        <v>75</v>
      </c>
      <c r="J49" s="22" t="s">
        <v>19</v>
      </c>
      <c r="K49" s="17"/>
      <c r="L49" s="30" t="str">
        <f>"230,0"</f>
        <v>230,0</v>
      </c>
      <c r="M49" s="17" t="str">
        <f>"134,2970"</f>
        <v>134,2970</v>
      </c>
      <c r="N49" s="16"/>
    </row>
    <row r="50" spans="1:14">
      <c r="A50" s="21" t="s">
        <v>218</v>
      </c>
      <c r="B50" s="20" t="s">
        <v>522</v>
      </c>
      <c r="C50" s="20" t="s">
        <v>523</v>
      </c>
      <c r="D50" s="20" t="s">
        <v>524</v>
      </c>
      <c r="E50" s="20" t="s">
        <v>981</v>
      </c>
      <c r="F50" s="20" t="s">
        <v>36</v>
      </c>
      <c r="G50" s="20" t="s">
        <v>936</v>
      </c>
      <c r="H50" s="26" t="s">
        <v>50</v>
      </c>
      <c r="I50" s="26" t="s">
        <v>50</v>
      </c>
      <c r="J50" s="27" t="s">
        <v>50</v>
      </c>
      <c r="K50" s="21"/>
      <c r="L50" s="31" t="str">
        <f>"120,0"</f>
        <v>120,0</v>
      </c>
      <c r="M50" s="21" t="str">
        <f>"70,2960"</f>
        <v>70,2960</v>
      </c>
      <c r="N50" s="20" t="s">
        <v>886</v>
      </c>
    </row>
    <row r="51" spans="1:14">
      <c r="A51" s="19" t="s">
        <v>30</v>
      </c>
      <c r="B51" s="18" t="s">
        <v>525</v>
      </c>
      <c r="C51" s="18" t="s">
        <v>526</v>
      </c>
      <c r="D51" s="18" t="s">
        <v>527</v>
      </c>
      <c r="E51" s="18" t="s">
        <v>986</v>
      </c>
      <c r="F51" s="18" t="s">
        <v>425</v>
      </c>
      <c r="G51" s="18" t="s">
        <v>933</v>
      </c>
      <c r="H51" s="24" t="s">
        <v>74</v>
      </c>
      <c r="I51" s="24" t="s">
        <v>147</v>
      </c>
      <c r="J51" s="24" t="s">
        <v>79</v>
      </c>
      <c r="K51" s="19"/>
      <c r="L51" s="32" t="str">
        <f>"210,0"</f>
        <v>210,0</v>
      </c>
      <c r="M51" s="19" t="str">
        <f>"155,4688"</f>
        <v>155,4688</v>
      </c>
      <c r="N51" s="18"/>
    </row>
    <row r="52" spans="1:14">
      <c r="B52" s="5" t="s">
        <v>31</v>
      </c>
    </row>
    <row r="53" spans="1:14" ht="16">
      <c r="A53" s="52" t="s">
        <v>203</v>
      </c>
      <c r="B53" s="52"/>
      <c r="C53" s="53"/>
      <c r="D53" s="53"/>
      <c r="E53" s="53"/>
      <c r="F53" s="53"/>
      <c r="G53" s="53"/>
      <c r="H53" s="53"/>
      <c r="I53" s="53"/>
      <c r="J53" s="53"/>
      <c r="K53" s="53"/>
    </row>
    <row r="54" spans="1:14">
      <c r="A54" s="17" t="s">
        <v>30</v>
      </c>
      <c r="B54" s="16" t="s">
        <v>528</v>
      </c>
      <c r="C54" s="16" t="s">
        <v>529</v>
      </c>
      <c r="D54" s="16" t="s">
        <v>530</v>
      </c>
      <c r="E54" s="16" t="s">
        <v>981</v>
      </c>
      <c r="F54" s="16" t="s">
        <v>36</v>
      </c>
      <c r="G54" s="16" t="s">
        <v>933</v>
      </c>
      <c r="H54" s="22" t="s">
        <v>19</v>
      </c>
      <c r="I54" s="23" t="s">
        <v>372</v>
      </c>
      <c r="J54" s="23" t="s">
        <v>372</v>
      </c>
      <c r="K54" s="17"/>
      <c r="L54" s="30" t="str">
        <f>"230,0"</f>
        <v>230,0</v>
      </c>
      <c r="M54" s="17" t="str">
        <f>"130,2720"</f>
        <v>130,2720</v>
      </c>
      <c r="N54" s="16"/>
    </row>
    <row r="55" spans="1:14">
      <c r="A55" s="21" t="s">
        <v>218</v>
      </c>
      <c r="B55" s="20" t="s">
        <v>531</v>
      </c>
      <c r="C55" s="20" t="s">
        <v>532</v>
      </c>
      <c r="D55" s="20" t="s">
        <v>530</v>
      </c>
      <c r="E55" s="20" t="s">
        <v>981</v>
      </c>
      <c r="F55" s="20" t="s">
        <v>36</v>
      </c>
      <c r="G55" s="20" t="s">
        <v>933</v>
      </c>
      <c r="H55" s="27" t="s">
        <v>74</v>
      </c>
      <c r="I55" s="26" t="s">
        <v>147</v>
      </c>
      <c r="J55" s="26" t="s">
        <v>147</v>
      </c>
      <c r="K55" s="21"/>
      <c r="L55" s="31" t="str">
        <f>"200,0"</f>
        <v>200,0</v>
      </c>
      <c r="M55" s="21" t="str">
        <f>"113,2800"</f>
        <v>113,2800</v>
      </c>
      <c r="N55" s="20"/>
    </row>
    <row r="56" spans="1:14">
      <c r="A56" s="21" t="s">
        <v>30</v>
      </c>
      <c r="B56" s="20" t="s">
        <v>528</v>
      </c>
      <c r="C56" s="20" t="s">
        <v>533</v>
      </c>
      <c r="D56" s="20" t="s">
        <v>530</v>
      </c>
      <c r="E56" s="20" t="s">
        <v>982</v>
      </c>
      <c r="F56" s="20" t="s">
        <v>36</v>
      </c>
      <c r="G56" s="20" t="s">
        <v>933</v>
      </c>
      <c r="H56" s="27" t="s">
        <v>19</v>
      </c>
      <c r="I56" s="26" t="s">
        <v>372</v>
      </c>
      <c r="J56" s="26" t="s">
        <v>372</v>
      </c>
      <c r="K56" s="21"/>
      <c r="L56" s="31" t="str">
        <f>"230,0"</f>
        <v>230,0</v>
      </c>
      <c r="M56" s="21" t="str">
        <f>"130,9234"</f>
        <v>130,9234</v>
      </c>
      <c r="N56" s="20"/>
    </row>
    <row r="57" spans="1:14">
      <c r="A57" s="19" t="s">
        <v>218</v>
      </c>
      <c r="B57" s="18" t="s">
        <v>531</v>
      </c>
      <c r="C57" s="18" t="s">
        <v>534</v>
      </c>
      <c r="D57" s="18" t="s">
        <v>530</v>
      </c>
      <c r="E57" s="18" t="s">
        <v>982</v>
      </c>
      <c r="F57" s="18" t="s">
        <v>36</v>
      </c>
      <c r="G57" s="18" t="s">
        <v>933</v>
      </c>
      <c r="H57" s="24" t="s">
        <v>74</v>
      </c>
      <c r="I57" s="25" t="s">
        <v>147</v>
      </c>
      <c r="J57" s="25" t="s">
        <v>147</v>
      </c>
      <c r="K57" s="19"/>
      <c r="L57" s="32" t="str">
        <f>"200,0"</f>
        <v>200,0</v>
      </c>
      <c r="M57" s="19" t="str">
        <f>"124,1549"</f>
        <v>124,1549</v>
      </c>
      <c r="N57" s="18"/>
    </row>
    <row r="58" spans="1:14">
      <c r="B58" s="5" t="s">
        <v>31</v>
      </c>
    </row>
    <row r="59" spans="1:14" ht="16">
      <c r="A59" s="52" t="s">
        <v>535</v>
      </c>
      <c r="B59" s="52"/>
      <c r="C59" s="53"/>
      <c r="D59" s="53"/>
      <c r="E59" s="53"/>
      <c r="F59" s="53"/>
      <c r="G59" s="53"/>
      <c r="H59" s="53"/>
      <c r="I59" s="53"/>
      <c r="J59" s="53"/>
      <c r="K59" s="53"/>
    </row>
    <row r="60" spans="1:14">
      <c r="A60" s="8" t="s">
        <v>30</v>
      </c>
      <c r="B60" s="7" t="s">
        <v>536</v>
      </c>
      <c r="C60" s="7" t="s">
        <v>537</v>
      </c>
      <c r="D60" s="7" t="s">
        <v>538</v>
      </c>
      <c r="E60" s="7" t="s">
        <v>981</v>
      </c>
      <c r="F60" s="7" t="s">
        <v>891</v>
      </c>
      <c r="G60" s="7" t="s">
        <v>933</v>
      </c>
      <c r="H60" s="14" t="s">
        <v>75</v>
      </c>
      <c r="I60" s="15" t="s">
        <v>19</v>
      </c>
      <c r="J60" s="15" t="s">
        <v>19</v>
      </c>
      <c r="K60" s="8"/>
      <c r="L60" s="29" t="str">
        <f>"220,0"</f>
        <v>220,0</v>
      </c>
      <c r="M60" s="8" t="str">
        <f>"119,9000"</f>
        <v>119,9000</v>
      </c>
      <c r="N60" s="7" t="s">
        <v>462</v>
      </c>
    </row>
    <row r="61" spans="1:14">
      <c r="B61" s="5" t="s">
        <v>31</v>
      </c>
    </row>
    <row r="62" spans="1:14">
      <c r="B62" s="5" t="s">
        <v>31</v>
      </c>
    </row>
    <row r="63" spans="1:14">
      <c r="B63" s="5" t="s">
        <v>31</v>
      </c>
    </row>
    <row r="64" spans="1:14" ht="18">
      <c r="B64" s="9" t="s">
        <v>22</v>
      </c>
      <c r="C64" s="9"/>
    </row>
    <row r="65" spans="2:6" ht="16">
      <c r="B65" s="10" t="s">
        <v>23</v>
      </c>
      <c r="C65" s="10"/>
    </row>
    <row r="66" spans="2:6" ht="14">
      <c r="B66" s="11"/>
      <c r="C66" s="12" t="s">
        <v>24</v>
      </c>
    </row>
    <row r="67" spans="2:6" ht="14">
      <c r="B67" s="13" t="s">
        <v>25</v>
      </c>
      <c r="C67" s="13" t="s">
        <v>26</v>
      </c>
      <c r="D67" s="13" t="s">
        <v>903</v>
      </c>
      <c r="E67" s="13" t="s">
        <v>430</v>
      </c>
      <c r="F67" s="13" t="s">
        <v>28</v>
      </c>
    </row>
    <row r="68" spans="2:6">
      <c r="B68" s="5" t="s">
        <v>519</v>
      </c>
      <c r="C68" s="5" t="s">
        <v>24</v>
      </c>
      <c r="D68" s="6" t="s">
        <v>407</v>
      </c>
      <c r="E68" s="6" t="s">
        <v>19</v>
      </c>
      <c r="F68" s="6" t="s">
        <v>539</v>
      </c>
    </row>
    <row r="69" spans="2:6">
      <c r="B69" s="5" t="s">
        <v>528</v>
      </c>
      <c r="C69" s="5" t="s">
        <v>24</v>
      </c>
      <c r="D69" s="6" t="s">
        <v>213</v>
      </c>
      <c r="E69" s="6" t="s">
        <v>19</v>
      </c>
      <c r="F69" s="6" t="s">
        <v>540</v>
      </c>
    </row>
    <row r="70" spans="2:6">
      <c r="B70" s="5" t="s">
        <v>536</v>
      </c>
      <c r="C70" s="5" t="s">
        <v>24</v>
      </c>
      <c r="D70" s="6" t="s">
        <v>541</v>
      </c>
      <c r="E70" s="6" t="s">
        <v>75</v>
      </c>
      <c r="F70" s="6" t="s">
        <v>542</v>
      </c>
    </row>
  </sheetData>
  <mergeCells count="22">
    <mergeCell ref="A48:K48"/>
    <mergeCell ref="A53:K53"/>
    <mergeCell ref="A59:K59"/>
    <mergeCell ref="B3:B4"/>
    <mergeCell ref="A8:K8"/>
    <mergeCell ref="A12:K12"/>
    <mergeCell ref="A16:K16"/>
    <mergeCell ref="A24:K24"/>
    <mergeCell ref="A30:K30"/>
    <mergeCell ref="A40:K40"/>
    <mergeCell ref="L3:L4"/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36C1D-48AC-4607-B5A4-54C9D002D886}">
  <dimension ref="A1:N20"/>
  <sheetViews>
    <sheetView workbookViewId="0">
      <selection sqref="A1:N2"/>
    </sheetView>
  </sheetViews>
  <sheetFormatPr baseColWidth="10" defaultColWidth="9.1640625" defaultRowHeight="13"/>
  <cols>
    <col min="1" max="1" width="7.1640625" style="5" bestFit="1" customWidth="1"/>
    <col min="2" max="2" width="20.5" style="5" bestFit="1" customWidth="1"/>
    <col min="3" max="3" width="27.5" style="5" bestFit="1" customWidth="1"/>
    <col min="4" max="4" width="20.83203125" style="5" bestFit="1" customWidth="1"/>
    <col min="5" max="5" width="10.1640625" style="5" bestFit="1" customWidth="1"/>
    <col min="6" max="6" width="21.83203125" style="5" bestFit="1" customWidth="1"/>
    <col min="7" max="7" width="20.5" style="5" bestFit="1" customWidth="1"/>
    <col min="8" max="10" width="5.5" style="6" customWidth="1"/>
    <col min="11" max="11" width="4.5" style="6" customWidth="1"/>
    <col min="12" max="12" width="10.5" style="6" bestFit="1" customWidth="1"/>
    <col min="13" max="13" width="8.5" style="6" bestFit="1" customWidth="1"/>
    <col min="14" max="14" width="22.1640625" style="5" customWidth="1"/>
    <col min="15" max="16384" width="9.1640625" style="3"/>
  </cols>
  <sheetData>
    <row r="1" spans="1:14" s="2" customFormat="1" ht="29" customHeight="1">
      <c r="A1" s="41" t="s">
        <v>912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4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</row>
    <row r="3" spans="1:14" s="1" customFormat="1" ht="12.75" customHeight="1">
      <c r="A3" s="49" t="s">
        <v>931</v>
      </c>
      <c r="B3" s="54" t="s">
        <v>0</v>
      </c>
      <c r="C3" s="51" t="s">
        <v>978</v>
      </c>
      <c r="D3" s="51" t="s">
        <v>5</v>
      </c>
      <c r="E3" s="35" t="s">
        <v>979</v>
      </c>
      <c r="F3" s="35"/>
      <c r="G3" s="35" t="s">
        <v>920</v>
      </c>
      <c r="H3" s="35" t="s">
        <v>7</v>
      </c>
      <c r="I3" s="35"/>
      <c r="J3" s="35"/>
      <c r="K3" s="35"/>
      <c r="L3" s="35" t="s">
        <v>431</v>
      </c>
      <c r="M3" s="35" t="s">
        <v>3</v>
      </c>
      <c r="N3" s="37" t="s">
        <v>2</v>
      </c>
    </row>
    <row r="4" spans="1:14" s="1" customFormat="1" ht="21" customHeight="1" thickBot="1">
      <c r="A4" s="50"/>
      <c r="B4" s="55"/>
      <c r="C4" s="36"/>
      <c r="D4" s="36"/>
      <c r="E4" s="36"/>
      <c r="F4" s="36"/>
      <c r="G4" s="36"/>
      <c r="H4" s="4">
        <v>1</v>
      </c>
      <c r="I4" s="4">
        <v>2</v>
      </c>
      <c r="J4" s="4">
        <v>3</v>
      </c>
      <c r="K4" s="4" t="s">
        <v>4</v>
      </c>
      <c r="L4" s="36"/>
      <c r="M4" s="36"/>
      <c r="N4" s="38"/>
    </row>
    <row r="5" spans="1:14" ht="16">
      <c r="A5" s="39" t="s">
        <v>45</v>
      </c>
      <c r="B5" s="39"/>
      <c r="C5" s="40"/>
      <c r="D5" s="40"/>
      <c r="E5" s="40"/>
      <c r="F5" s="40"/>
      <c r="G5" s="40"/>
      <c r="H5" s="40"/>
      <c r="I5" s="40"/>
      <c r="J5" s="40"/>
      <c r="K5" s="40"/>
    </row>
    <row r="6" spans="1:14">
      <c r="A6" s="8" t="s">
        <v>30</v>
      </c>
      <c r="B6" s="7" t="s">
        <v>730</v>
      </c>
      <c r="C6" s="7" t="s">
        <v>731</v>
      </c>
      <c r="D6" s="7" t="s">
        <v>732</v>
      </c>
      <c r="E6" s="7" t="s">
        <v>981</v>
      </c>
      <c r="F6" s="7" t="s">
        <v>892</v>
      </c>
      <c r="G6" s="7" t="s">
        <v>945</v>
      </c>
      <c r="H6" s="14" t="s">
        <v>587</v>
      </c>
      <c r="I6" s="14" t="s">
        <v>49</v>
      </c>
      <c r="J6" s="14" t="s">
        <v>243</v>
      </c>
      <c r="K6" s="8"/>
      <c r="L6" s="8" t="str">
        <f>"112,5"</f>
        <v>112,5</v>
      </c>
      <c r="M6" s="8" t="str">
        <f>"101,5650"</f>
        <v>101,5650</v>
      </c>
      <c r="N6" s="7" t="s">
        <v>455</v>
      </c>
    </row>
    <row r="7" spans="1:14">
      <c r="B7" s="5" t="s">
        <v>31</v>
      </c>
    </row>
    <row r="8" spans="1:14" ht="16">
      <c r="A8" s="52" t="s">
        <v>70</v>
      </c>
      <c r="B8" s="52"/>
      <c r="C8" s="53"/>
      <c r="D8" s="53"/>
      <c r="E8" s="53"/>
      <c r="F8" s="53"/>
      <c r="G8" s="53"/>
      <c r="H8" s="53"/>
      <c r="I8" s="53"/>
      <c r="J8" s="53"/>
      <c r="K8" s="53"/>
    </row>
    <row r="9" spans="1:14">
      <c r="A9" s="8" t="s">
        <v>30</v>
      </c>
      <c r="B9" s="7" t="s">
        <v>733</v>
      </c>
      <c r="C9" s="7" t="s">
        <v>734</v>
      </c>
      <c r="D9" s="7" t="s">
        <v>134</v>
      </c>
      <c r="E9" s="7" t="s">
        <v>981</v>
      </c>
      <c r="F9" s="7" t="s">
        <v>892</v>
      </c>
      <c r="G9" s="7" t="s">
        <v>945</v>
      </c>
      <c r="H9" s="14" t="s">
        <v>18</v>
      </c>
      <c r="I9" s="14" t="s">
        <v>735</v>
      </c>
      <c r="J9" s="14" t="s">
        <v>147</v>
      </c>
      <c r="K9" s="8"/>
      <c r="L9" s="8" t="str">
        <f>"205,0"</f>
        <v>205,0</v>
      </c>
      <c r="M9" s="8" t="str">
        <f>"132,1430"</f>
        <v>132,1430</v>
      </c>
      <c r="N9" s="7" t="s">
        <v>584</v>
      </c>
    </row>
    <row r="10" spans="1:14">
      <c r="B10" s="5" t="s">
        <v>31</v>
      </c>
    </row>
    <row r="11" spans="1:14" ht="16">
      <c r="A11" s="52" t="s">
        <v>9</v>
      </c>
      <c r="B11" s="52"/>
      <c r="C11" s="53"/>
      <c r="D11" s="53"/>
      <c r="E11" s="53"/>
      <c r="F11" s="53"/>
      <c r="G11" s="53"/>
      <c r="H11" s="53"/>
      <c r="I11" s="53"/>
      <c r="J11" s="53"/>
      <c r="K11" s="53"/>
    </row>
    <row r="12" spans="1:14">
      <c r="A12" s="17" t="s">
        <v>30</v>
      </c>
      <c r="B12" s="16" t="s">
        <v>736</v>
      </c>
      <c r="C12" s="16" t="s">
        <v>737</v>
      </c>
      <c r="D12" s="16" t="s">
        <v>738</v>
      </c>
      <c r="E12" s="16" t="s">
        <v>981</v>
      </c>
      <c r="F12" s="16" t="s">
        <v>36</v>
      </c>
      <c r="G12" s="16" t="s">
        <v>933</v>
      </c>
      <c r="H12" s="22" t="s">
        <v>74</v>
      </c>
      <c r="I12" s="22" t="s">
        <v>85</v>
      </c>
      <c r="J12" s="23" t="s">
        <v>19</v>
      </c>
      <c r="K12" s="17"/>
      <c r="L12" s="17" t="str">
        <f>"215,0"</f>
        <v>215,0</v>
      </c>
      <c r="M12" s="17" t="str">
        <f>"121,4427"</f>
        <v>121,4427</v>
      </c>
      <c r="N12" s="16"/>
    </row>
    <row r="13" spans="1:14">
      <c r="A13" s="19" t="s">
        <v>30</v>
      </c>
      <c r="B13" s="18" t="s">
        <v>736</v>
      </c>
      <c r="C13" s="18" t="s">
        <v>739</v>
      </c>
      <c r="D13" s="18" t="s">
        <v>738</v>
      </c>
      <c r="E13" s="18" t="s">
        <v>982</v>
      </c>
      <c r="F13" s="18" t="s">
        <v>36</v>
      </c>
      <c r="G13" s="18" t="s">
        <v>933</v>
      </c>
      <c r="H13" s="24" t="s">
        <v>74</v>
      </c>
      <c r="I13" s="24" t="s">
        <v>85</v>
      </c>
      <c r="J13" s="25" t="s">
        <v>19</v>
      </c>
      <c r="K13" s="19"/>
      <c r="L13" s="19" t="str">
        <f>"215,0"</f>
        <v>215,0</v>
      </c>
      <c r="M13" s="19" t="str">
        <f>"123,8716"</f>
        <v>123,8716</v>
      </c>
      <c r="N13" s="18"/>
    </row>
    <row r="14" spans="1:14">
      <c r="B14" s="5" t="s">
        <v>31</v>
      </c>
    </row>
    <row r="15" spans="1:14" ht="16">
      <c r="A15" s="52" t="s">
        <v>198</v>
      </c>
      <c r="B15" s="52"/>
      <c r="C15" s="53"/>
      <c r="D15" s="53"/>
      <c r="E15" s="53"/>
      <c r="F15" s="53"/>
      <c r="G15" s="53"/>
      <c r="H15" s="53"/>
      <c r="I15" s="53"/>
      <c r="J15" s="53"/>
      <c r="K15" s="53"/>
    </row>
    <row r="16" spans="1:14">
      <c r="A16" s="8" t="s">
        <v>30</v>
      </c>
      <c r="B16" s="7" t="s">
        <v>740</v>
      </c>
      <c r="C16" s="7" t="s">
        <v>741</v>
      </c>
      <c r="D16" s="7" t="s">
        <v>742</v>
      </c>
      <c r="E16" s="7" t="s">
        <v>981</v>
      </c>
      <c r="F16" s="7" t="s">
        <v>36</v>
      </c>
      <c r="G16" s="7" t="s">
        <v>937</v>
      </c>
      <c r="H16" s="14" t="s">
        <v>19</v>
      </c>
      <c r="I16" s="14" t="s">
        <v>137</v>
      </c>
      <c r="J16" s="15" t="s">
        <v>129</v>
      </c>
      <c r="K16" s="8"/>
      <c r="L16" s="8" t="str">
        <f>"250,0"</f>
        <v>250,0</v>
      </c>
      <c r="M16" s="8" t="str">
        <f>"137,9125"</f>
        <v>137,9125</v>
      </c>
      <c r="N16" s="7"/>
    </row>
    <row r="17" spans="1:14">
      <c r="B17" s="5" t="s">
        <v>31</v>
      </c>
    </row>
    <row r="18" spans="1:14" ht="16">
      <c r="A18" s="52" t="s">
        <v>535</v>
      </c>
      <c r="B18" s="52"/>
      <c r="C18" s="53"/>
      <c r="D18" s="53"/>
      <c r="E18" s="53"/>
      <c r="F18" s="53"/>
      <c r="G18" s="53"/>
      <c r="H18" s="53"/>
      <c r="I18" s="53"/>
      <c r="J18" s="53"/>
      <c r="K18" s="53"/>
    </row>
    <row r="19" spans="1:14">
      <c r="A19" s="8" t="s">
        <v>30</v>
      </c>
      <c r="B19" s="7" t="s">
        <v>743</v>
      </c>
      <c r="C19" s="7" t="s">
        <v>744</v>
      </c>
      <c r="D19" s="7" t="s">
        <v>745</v>
      </c>
      <c r="E19" s="7" t="s">
        <v>981</v>
      </c>
      <c r="F19" s="7" t="s">
        <v>36</v>
      </c>
      <c r="G19" s="7" t="s">
        <v>964</v>
      </c>
      <c r="H19" s="14" t="s">
        <v>78</v>
      </c>
      <c r="I19" s="14" t="s">
        <v>147</v>
      </c>
      <c r="J19" s="14" t="s">
        <v>85</v>
      </c>
      <c r="K19" s="8"/>
      <c r="L19" s="8" t="str">
        <f>"215,0"</f>
        <v>215,0</v>
      </c>
      <c r="M19" s="8" t="str">
        <f>"112,7084"</f>
        <v>112,7084</v>
      </c>
      <c r="N19" s="7" t="s">
        <v>746</v>
      </c>
    </row>
    <row r="20" spans="1:14">
      <c r="B20" s="5" t="s">
        <v>31</v>
      </c>
    </row>
  </sheetData>
  <mergeCells count="17">
    <mergeCell ref="A8:K8"/>
    <mergeCell ref="A11:K11"/>
    <mergeCell ref="A15:K15"/>
    <mergeCell ref="A18:K18"/>
    <mergeCell ref="B3:B4"/>
    <mergeCell ref="L3:L4"/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WRPF ПЛ без экипировки ДК</vt:lpstr>
      <vt:lpstr>WRPF ПЛ без экипировки</vt:lpstr>
      <vt:lpstr>WRPF ПЛ в бинтах ДК</vt:lpstr>
      <vt:lpstr>WRPF ПЛ в бинтах</vt:lpstr>
      <vt:lpstr>WRPF Двоеборье без экип ДК</vt:lpstr>
      <vt:lpstr>WRPF Двоеборье без экип</vt:lpstr>
      <vt:lpstr>WRPF Жим лежа без экип ДК</vt:lpstr>
      <vt:lpstr>WRPF Жим лежа без экип</vt:lpstr>
      <vt:lpstr>WEPF Жим софт однопетельная ДК</vt:lpstr>
      <vt:lpstr>WEPF Жим софт однопетельная</vt:lpstr>
      <vt:lpstr>WEPF Жим софт многопетельнаяДК</vt:lpstr>
      <vt:lpstr>WEPF Жим софт многопетельная</vt:lpstr>
      <vt:lpstr>WRPF Жим СФО</vt:lpstr>
      <vt:lpstr>WRPF Тяга без экипировки ДК</vt:lpstr>
      <vt:lpstr>WRPF Тяга без экипировки</vt:lpstr>
      <vt:lpstr>WRPF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2021-03-01T13:54:56Z</dcterms:modified>
</cp:coreProperties>
</file>