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EF9166FB-FC79-4642-AB24-0AEA7C1FC41D}" xr6:coauthVersionLast="45" xr6:coauthVersionMax="45" xr10:uidLastSave="{00000000-0000-0000-0000-000000000000}"/>
  <bookViews>
    <workbookView xWindow="0" yWindow="460" windowWidth="28800" windowHeight="16120" tabRatio="500" activeTab="3" xr2:uid="{00000000-000D-0000-FFFF-FFFF00000000}"/>
  </bookViews>
  <sheets>
    <sheet name="WPF AM Жим в 1-сл. эк." sheetId="1" r:id="rId1"/>
    <sheet name="WPF AM Жим безэк." sheetId="2" r:id="rId2"/>
    <sheet name="WPF PRO Жим в 1-сл. эк." sheetId="3" r:id="rId3"/>
    <sheet name="WPF PRO Жим безэк." sheetId="4" r:id="rId4"/>
  </sheets>
  <definedNames>
    <definedName name="_xlnm._FilterDatabase" localSheetId="1">#REF!</definedName>
    <definedName name="_FilterDatabase" localSheetId="3">'WPF PRO Жим безэк.'!$A$1:$K$3</definedName>
  </definedName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2" i="4" l="1"/>
  <c r="K22" i="4"/>
  <c r="L21" i="4"/>
  <c r="K21" i="4"/>
  <c r="L20" i="4"/>
  <c r="K20" i="4"/>
  <c r="L17" i="4"/>
  <c r="K17" i="4"/>
  <c r="L16" i="4"/>
  <c r="K16" i="4"/>
  <c r="L15" i="4"/>
  <c r="K15" i="4"/>
  <c r="L14" i="4"/>
  <c r="K14" i="4"/>
  <c r="L11" i="4"/>
  <c r="K11" i="4"/>
  <c r="L10" i="4"/>
  <c r="K10" i="4"/>
  <c r="L7" i="4"/>
  <c r="K7" i="4"/>
  <c r="L6" i="4"/>
  <c r="K6" i="4"/>
  <c r="L9" i="3"/>
  <c r="K9" i="3"/>
  <c r="L6" i="3"/>
  <c r="K6" i="3"/>
  <c r="L126" i="2"/>
  <c r="K126" i="2"/>
  <c r="L125" i="2"/>
  <c r="K125" i="2"/>
  <c r="L122" i="2"/>
  <c r="K122" i="2"/>
  <c r="L121" i="2"/>
  <c r="K121" i="2"/>
  <c r="L120" i="2"/>
  <c r="K120" i="2"/>
  <c r="L117" i="2"/>
  <c r="K117" i="2"/>
  <c r="L116" i="2"/>
  <c r="K116" i="2"/>
  <c r="L115" i="2"/>
  <c r="K115" i="2"/>
  <c r="L114" i="2"/>
  <c r="K114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03" i="2"/>
  <c r="K103" i="2"/>
  <c r="L102" i="2"/>
  <c r="K102" i="2"/>
  <c r="L101" i="2"/>
  <c r="K101" i="2"/>
  <c r="L100" i="2"/>
  <c r="K100" i="2"/>
  <c r="L99" i="2"/>
  <c r="K99" i="2"/>
  <c r="L98" i="2"/>
  <c r="K98" i="2"/>
  <c r="L97" i="2"/>
  <c r="K97" i="2"/>
  <c r="L94" i="2"/>
  <c r="K94" i="2"/>
  <c r="L93" i="2"/>
  <c r="K93" i="2"/>
  <c r="L92" i="2"/>
  <c r="K92" i="2"/>
  <c r="L91" i="2"/>
  <c r="K91" i="2"/>
  <c r="L90" i="2"/>
  <c r="K90" i="2"/>
  <c r="L89" i="2"/>
  <c r="K89" i="2"/>
  <c r="L88" i="2"/>
  <c r="K88" i="2"/>
  <c r="L87" i="2"/>
  <c r="K87" i="2"/>
  <c r="L86" i="2"/>
  <c r="K86" i="2"/>
  <c r="L85" i="2"/>
  <c r="K85" i="2"/>
  <c r="L84" i="2"/>
  <c r="K84" i="2"/>
  <c r="L83" i="2"/>
  <c r="K83" i="2"/>
  <c r="L82" i="2"/>
  <c r="K82" i="2"/>
  <c r="L81" i="2"/>
  <c r="K81" i="2"/>
  <c r="L80" i="2"/>
  <c r="K80" i="2"/>
  <c r="L79" i="2"/>
  <c r="K79" i="2"/>
  <c r="L78" i="2"/>
  <c r="K78" i="2"/>
  <c r="L77" i="2"/>
  <c r="K77" i="2"/>
  <c r="L76" i="2"/>
  <c r="K76" i="2"/>
  <c r="L75" i="2"/>
  <c r="K75" i="2"/>
  <c r="L74" i="2"/>
  <c r="K74" i="2"/>
  <c r="L73" i="2"/>
  <c r="K73" i="2"/>
  <c r="L70" i="2"/>
  <c r="K70" i="2"/>
  <c r="L69" i="2"/>
  <c r="K69" i="2"/>
  <c r="L68" i="2"/>
  <c r="K68" i="2"/>
  <c r="L67" i="2"/>
  <c r="K67" i="2"/>
  <c r="L66" i="2"/>
  <c r="K66" i="2"/>
  <c r="L65" i="2"/>
  <c r="K65" i="2"/>
  <c r="L64" i="2"/>
  <c r="K64" i="2"/>
  <c r="L63" i="2"/>
  <c r="K63" i="2"/>
  <c r="L62" i="2"/>
  <c r="K62" i="2"/>
  <c r="L61" i="2"/>
  <c r="K61" i="2"/>
  <c r="L60" i="2"/>
  <c r="K60" i="2"/>
  <c r="L59" i="2"/>
  <c r="K59" i="2"/>
  <c r="L58" i="2"/>
  <c r="K58" i="2"/>
  <c r="L55" i="2"/>
  <c r="K55" i="2"/>
  <c r="L54" i="2"/>
  <c r="K54" i="2"/>
  <c r="L53" i="2"/>
  <c r="K53" i="2"/>
  <c r="L52" i="2"/>
  <c r="K52" i="2"/>
  <c r="L51" i="2"/>
  <c r="K51" i="2"/>
  <c r="L50" i="2"/>
  <c r="K50" i="2"/>
  <c r="L49" i="2"/>
  <c r="K49" i="2"/>
  <c r="L48" i="2"/>
  <c r="K48" i="2"/>
  <c r="L47" i="2"/>
  <c r="K47" i="2"/>
  <c r="L46" i="2"/>
  <c r="K46" i="2"/>
  <c r="L43" i="2"/>
  <c r="K43" i="2"/>
  <c r="L42" i="2"/>
  <c r="K42" i="2"/>
  <c r="L41" i="2"/>
  <c r="K41" i="2"/>
  <c r="L40" i="2"/>
  <c r="K40" i="2"/>
  <c r="L39" i="2"/>
  <c r="K39" i="2"/>
  <c r="L38" i="2"/>
  <c r="K38" i="2"/>
  <c r="L35" i="2"/>
  <c r="K35" i="2"/>
  <c r="L32" i="2"/>
  <c r="K32" i="2"/>
  <c r="L31" i="2"/>
  <c r="K31" i="2"/>
  <c r="L30" i="2"/>
  <c r="K30" i="2"/>
  <c r="L29" i="2"/>
  <c r="K29" i="2"/>
  <c r="L26" i="2"/>
  <c r="K26" i="2"/>
  <c r="L25" i="2"/>
  <c r="K25" i="2"/>
  <c r="L24" i="2"/>
  <c r="K24" i="2"/>
  <c r="L21" i="2"/>
  <c r="K21" i="2"/>
  <c r="L18" i="2"/>
  <c r="K18" i="2"/>
  <c r="L17" i="2"/>
  <c r="K17" i="2"/>
  <c r="L14" i="2"/>
  <c r="K14" i="2"/>
  <c r="L13" i="2"/>
  <c r="K13" i="2"/>
  <c r="L12" i="2"/>
  <c r="K12" i="2"/>
  <c r="L11" i="2"/>
  <c r="K11" i="2"/>
  <c r="L10" i="2"/>
  <c r="K10" i="2"/>
  <c r="L9" i="2"/>
  <c r="K9" i="2"/>
  <c r="L6" i="2"/>
  <c r="K6" i="2"/>
  <c r="L35" i="1"/>
  <c r="K35" i="1"/>
  <c r="L34" i="1"/>
  <c r="K34" i="1"/>
  <c r="L33" i="1"/>
  <c r="K33" i="1"/>
  <c r="L30" i="1"/>
  <c r="K30" i="1"/>
  <c r="L29" i="1"/>
  <c r="K29" i="1"/>
  <c r="L26" i="1"/>
  <c r="K26" i="1"/>
  <c r="L25" i="1"/>
  <c r="K25" i="1"/>
  <c r="L22" i="1"/>
  <c r="K22" i="1"/>
  <c r="L19" i="1"/>
  <c r="K19" i="1"/>
  <c r="L16" i="1"/>
  <c r="K16" i="1"/>
  <c r="L15" i="1"/>
  <c r="K15" i="1"/>
  <c r="L12" i="1"/>
  <c r="K12" i="1"/>
  <c r="L9" i="1"/>
  <c r="K9" i="1"/>
  <c r="L6" i="1"/>
  <c r="K6" i="1"/>
</calcChain>
</file>

<file path=xl/sharedStrings.xml><?xml version="1.0" encoding="utf-8"?>
<sst xmlns="http://schemas.openxmlformats.org/spreadsheetml/2006/main" count="1648" uniqueCount="588">
  <si>
    <t>ФИО</t>
  </si>
  <si>
    <t>Собственный 
Вес</t>
  </si>
  <si>
    <t>Команда</t>
  </si>
  <si>
    <t>Город/Область</t>
  </si>
  <si>
    <t>Жим лёжа</t>
  </si>
  <si>
    <t>Результат</t>
  </si>
  <si>
    <t>Очки</t>
  </si>
  <si>
    <t>Тренер</t>
  </si>
  <si>
    <t>Рек</t>
  </si>
  <si>
    <t>ВЕСОВАЯ КАТЕГОРИЯ   56</t>
  </si>
  <si>
    <t>1. Демьяненко Ксения</t>
  </si>
  <si>
    <t>Открытая (16.06.1994)/25</t>
  </si>
  <si>
    <t>55,70</t>
  </si>
  <si>
    <t xml:space="preserve">Лично </t>
  </si>
  <si>
    <t xml:space="preserve">Архангельск/Архангельская область </t>
  </si>
  <si>
    <t>35,0</t>
  </si>
  <si>
    <t>40,0</t>
  </si>
  <si>
    <t>45,0</t>
  </si>
  <si>
    <t xml:space="preserve"> </t>
  </si>
  <si>
    <t>ВЕСОВАЯ КАТЕГОРИЯ   75</t>
  </si>
  <si>
    <t>1. Шелег Александра</t>
  </si>
  <si>
    <t>Открытая (15.12.1991)/27</t>
  </si>
  <si>
    <t>74,80</t>
  </si>
  <si>
    <t xml:space="preserve">Калининград/Калининградская область </t>
  </si>
  <si>
    <t>22,5</t>
  </si>
  <si>
    <t>27,5</t>
  </si>
  <si>
    <t>32,5</t>
  </si>
  <si>
    <t>ВЕСОВАЯ КАТЕГОРИЯ   60</t>
  </si>
  <si>
    <t>1. Самусенко Всеволод</t>
  </si>
  <si>
    <t>Открытая (02.02.1994)/25</t>
  </si>
  <si>
    <t>58,60</t>
  </si>
  <si>
    <t xml:space="preserve">Хабаровск/Хабаровский край </t>
  </si>
  <si>
    <t>50,0</t>
  </si>
  <si>
    <t>55,0</t>
  </si>
  <si>
    <t>1. Михайлюк Андрей</t>
  </si>
  <si>
    <t>Открытая (03.09.1992)/27</t>
  </si>
  <si>
    <t>73,50</t>
  </si>
  <si>
    <t>147,5</t>
  </si>
  <si>
    <t>162,5</t>
  </si>
  <si>
    <t>170,0</t>
  </si>
  <si>
    <t>2. Торопов Максим</t>
  </si>
  <si>
    <t>Открытая (18.11.1986)/32</t>
  </si>
  <si>
    <t>75,00</t>
  </si>
  <si>
    <t>100,0</t>
  </si>
  <si>
    <t>105,0</t>
  </si>
  <si>
    <t>110,0</t>
  </si>
  <si>
    <t>ВЕСОВАЯ КАТЕГОРИЯ   82.5</t>
  </si>
  <si>
    <t>1. Осокин Павел</t>
  </si>
  <si>
    <t>Открытая (10.10.1988)/31</t>
  </si>
  <si>
    <t>79,70</t>
  </si>
  <si>
    <t>130,0</t>
  </si>
  <si>
    <t>ВЕСОВАЯ КАТЕГОРИЯ   90</t>
  </si>
  <si>
    <t>1. Кременчуцкий Андрей</t>
  </si>
  <si>
    <t>Открытая (26.04.1990)/29</t>
  </si>
  <si>
    <t>88,30</t>
  </si>
  <si>
    <t>140,0</t>
  </si>
  <si>
    <t>150,0</t>
  </si>
  <si>
    <t>160,0</t>
  </si>
  <si>
    <t>ВЕСОВАЯ КАТЕГОРИЯ   100</t>
  </si>
  <si>
    <t>1. Магомедов Заур</t>
  </si>
  <si>
    <t>Открытая (28.03.1993)/26</t>
  </si>
  <si>
    <t>92,30</t>
  </si>
  <si>
    <t>132,5</t>
  </si>
  <si>
    <t>135,0</t>
  </si>
  <si>
    <t>2. Якимов Илья</t>
  </si>
  <si>
    <t>Открытая (19.11.1985)/33</t>
  </si>
  <si>
    <t>96,80</t>
  </si>
  <si>
    <t xml:space="preserve">Санкт-Петербург/ </t>
  </si>
  <si>
    <t>120,0</t>
  </si>
  <si>
    <t>ВЕСОВАЯ КАТЕГОРИЯ   110</t>
  </si>
  <si>
    <t>1. Домницкий Олег</t>
  </si>
  <si>
    <t>Открытая (24.10.1986)/33</t>
  </si>
  <si>
    <t>100,20</t>
  </si>
  <si>
    <t>145,0</t>
  </si>
  <si>
    <t>152,5</t>
  </si>
  <si>
    <t>2. Демченко Дмитрий</t>
  </si>
  <si>
    <t>Открытая (26.07.1984)/35</t>
  </si>
  <si>
    <t>109,10</t>
  </si>
  <si>
    <t xml:space="preserve">Мурманск/Мурманская область </t>
  </si>
  <si>
    <t>125,0</t>
  </si>
  <si>
    <t>ВЕСОВАЯ КАТЕГОРИЯ   125</t>
  </si>
  <si>
    <t>1. Кошелев Александр</t>
  </si>
  <si>
    <t>Открытая (25.03.1982)/37</t>
  </si>
  <si>
    <t>115,10</t>
  </si>
  <si>
    <t xml:space="preserve">Москва/ </t>
  </si>
  <si>
    <t>200,0</t>
  </si>
  <si>
    <t>212,5</t>
  </si>
  <si>
    <t>2. Лисенков Сергей</t>
  </si>
  <si>
    <t>Открытая (18.11.1968)/50</t>
  </si>
  <si>
    <t>110,40</t>
  </si>
  <si>
    <t xml:space="preserve">Южно-Сахалинск/Сахалинская область </t>
  </si>
  <si>
    <t>127,5</t>
  </si>
  <si>
    <t>1. Лисенков Сергей</t>
  </si>
  <si>
    <t>Ветераны 50 - 54 (18.11.1968)/50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</si>
  <si>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</si>
  <si>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</si>
  <si>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</si>
  <si>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</si>
  <si>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</si>
  <si>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>ВЕСОВАЯ КАТЕГОРИЯ   48</t>
  </si>
  <si>
    <t>1. Кожевникова Анастасия</t>
  </si>
  <si>
    <t>Открытая (21.07.1994)/25</t>
  </si>
  <si>
    <t>47,90</t>
  </si>
  <si>
    <t>25,0</t>
  </si>
  <si>
    <t>1. Камышникова Марина</t>
  </si>
  <si>
    <t>Открытая (16.02.1979)/40</t>
  </si>
  <si>
    <t>56,00</t>
  </si>
  <si>
    <t xml:space="preserve">Москва </t>
  </si>
  <si>
    <t>57,5</t>
  </si>
  <si>
    <t>2. Кузнецова Гульнара</t>
  </si>
  <si>
    <t>Открытая (08.04.1975)/44</t>
  </si>
  <si>
    <t>53,80</t>
  </si>
  <si>
    <t xml:space="preserve">Омск/Омская область </t>
  </si>
  <si>
    <t>37,5</t>
  </si>
  <si>
    <t>3. Щербакова Дарья</t>
  </si>
  <si>
    <t>Открытая (16.09.1988)/31</t>
  </si>
  <si>
    <t>55,40</t>
  </si>
  <si>
    <t>-. Демьяненко Ксения</t>
  </si>
  <si>
    <t>Ветераны 40 - 44 (16.02.1979)/40</t>
  </si>
  <si>
    <t>Ветераны 40 - 44 (08.04.1975)/44</t>
  </si>
  <si>
    <t>1. Делегеоз Юлия</t>
  </si>
  <si>
    <t>Открытая (03.01.1971)/48</t>
  </si>
  <si>
    <t>58,70</t>
  </si>
  <si>
    <t>Ветераны 45 - 49 (03.01.1971)/48</t>
  </si>
  <si>
    <t>ВЕСОВАЯ КАТЕГОРИЯ   67.5</t>
  </si>
  <si>
    <t>1. Барышникова Нина</t>
  </si>
  <si>
    <t>Открытая (25.01.1981)/38</t>
  </si>
  <si>
    <t>61,90</t>
  </si>
  <si>
    <t>30,0</t>
  </si>
  <si>
    <t>1. Бутырская Дарья</t>
  </si>
  <si>
    <t>Открытая (25.08.1993)/26</t>
  </si>
  <si>
    <t>74,70</t>
  </si>
  <si>
    <t>42,5</t>
  </si>
  <si>
    <t>47,5</t>
  </si>
  <si>
    <t>2. Обидейко Ярослава</t>
  </si>
  <si>
    <t>Открытая (27.06.1987)/32</t>
  </si>
  <si>
    <t>69,10</t>
  </si>
  <si>
    <t xml:space="preserve">Новосибирск/Новосибирская область </t>
  </si>
  <si>
    <t>-. Шелег Александра</t>
  </si>
  <si>
    <t>1. Колпакова Елена</t>
  </si>
  <si>
    <t>Открытая (05.10.1985)/34</t>
  </si>
  <si>
    <t>76,20</t>
  </si>
  <si>
    <t xml:space="preserve">Ростов-на-Дону/Ростовская область </t>
  </si>
  <si>
    <t>2. Панчишко Марина</t>
  </si>
  <si>
    <t>Открытая (18.05.1993)/26</t>
  </si>
  <si>
    <t>82,50</t>
  </si>
  <si>
    <t>3. Камельчук Светлана</t>
  </si>
  <si>
    <t>Открытая (17.08.1967)/52</t>
  </si>
  <si>
    <t>1. Камельчук Светлана</t>
  </si>
  <si>
    <t>Ветераны 50 - 54 (17.08.1967)/52</t>
  </si>
  <si>
    <t>1. Каримов Ильяс</t>
  </si>
  <si>
    <t>Открытая (26.08.1985)/34</t>
  </si>
  <si>
    <t>66,00</t>
  </si>
  <si>
    <t xml:space="preserve">Астрахань/Астраханская область </t>
  </si>
  <si>
    <t>112,5</t>
  </si>
  <si>
    <t>115,0</t>
  </si>
  <si>
    <t>2. Мальгинов Алексей</t>
  </si>
  <si>
    <t>Открытая (24.12.1988)/30</t>
  </si>
  <si>
    <t>67,40</t>
  </si>
  <si>
    <t xml:space="preserve">Магадан/Магаданская область </t>
  </si>
  <si>
    <t>95,0</t>
  </si>
  <si>
    <t>3. Федухин Николай</t>
  </si>
  <si>
    <t>Открытая (13.04.1949)/70</t>
  </si>
  <si>
    <t>63,30</t>
  </si>
  <si>
    <t>85,0</t>
  </si>
  <si>
    <t>90,0</t>
  </si>
  <si>
    <t>92,5</t>
  </si>
  <si>
    <t>4. Жиренко Геннадий</t>
  </si>
  <si>
    <t>Открытая (09.02.1966)/53</t>
  </si>
  <si>
    <t>62,00</t>
  </si>
  <si>
    <t>87,5</t>
  </si>
  <si>
    <t>1. Жиренко Геннадий</t>
  </si>
  <si>
    <t>Ветераны 50 - 54 (09.02.1966)/53</t>
  </si>
  <si>
    <t>1. Федухин Николай</t>
  </si>
  <si>
    <t>Ветераны 70 - 74 (13.04.1949)/70</t>
  </si>
  <si>
    <t>157,5</t>
  </si>
  <si>
    <t>2. Цапок Валерий</t>
  </si>
  <si>
    <t>Открытая (29.05.1983)/36</t>
  </si>
  <si>
    <t>72,30</t>
  </si>
  <si>
    <t>3. Левандовский Никита</t>
  </si>
  <si>
    <t>74,90</t>
  </si>
  <si>
    <t>4. Калугин Павел</t>
  </si>
  <si>
    <t>Открытая (25.10.1980)/39</t>
  </si>
  <si>
    <t>74,50</t>
  </si>
  <si>
    <t xml:space="preserve">Сыктывкар/Коми республика </t>
  </si>
  <si>
    <t>5. Кравченко Кирилл</t>
  </si>
  <si>
    <t>Открытая (18.09.1988)/31</t>
  </si>
  <si>
    <t>73,00</t>
  </si>
  <si>
    <t>6. Саута Андрей</t>
  </si>
  <si>
    <t>Открытая (24.10.1994)/25</t>
  </si>
  <si>
    <t>74,20</t>
  </si>
  <si>
    <t>7. Серов Алексей</t>
  </si>
  <si>
    <t>Открытая (08.07.1981)/38</t>
  </si>
  <si>
    <t>70,30</t>
  </si>
  <si>
    <t>8. Павличук Михаил</t>
  </si>
  <si>
    <t>Открытая (01.12.1993)/25</t>
  </si>
  <si>
    <t>69,40</t>
  </si>
  <si>
    <t>60,0</t>
  </si>
  <si>
    <t>-. Яковлев Руслан</t>
  </si>
  <si>
    <t>Открытая (07.07.1992)/27</t>
  </si>
  <si>
    <t>69,00</t>
  </si>
  <si>
    <t xml:space="preserve">Казань/Татарстан республика </t>
  </si>
  <si>
    <t>1. Далгатов Тагир</t>
  </si>
  <si>
    <t>Ветераны 40 - 44 (09.06.1977)/42</t>
  </si>
  <si>
    <t>71,10</t>
  </si>
  <si>
    <t>70,0</t>
  </si>
  <si>
    <t>75,0</t>
  </si>
  <si>
    <t>77,5</t>
  </si>
  <si>
    <t>1. Гавриленко Владислав</t>
  </si>
  <si>
    <t>Открытая (11.08.1994)/25</t>
  </si>
  <si>
    <t>165,0</t>
  </si>
  <si>
    <t>167,5</t>
  </si>
  <si>
    <t>2. Пивнов Владимир</t>
  </si>
  <si>
    <t>Открытая (05.11.1953)/66</t>
  </si>
  <si>
    <t>78,80</t>
  </si>
  <si>
    <t xml:space="preserve">Новиков И.П. </t>
  </si>
  <si>
    <t>3. Осокин Павел</t>
  </si>
  <si>
    <t>4. Пфейфер Владимир</t>
  </si>
  <si>
    <t>Открытая (14.02.1971)/48</t>
  </si>
  <si>
    <t>80,70</t>
  </si>
  <si>
    <t xml:space="preserve">Стрежевой/Томская область </t>
  </si>
  <si>
    <t>5. Аракелян Эдуард</t>
  </si>
  <si>
    <t>Открытая (15.02.1970)/49</t>
  </si>
  <si>
    <t>80,10</t>
  </si>
  <si>
    <t xml:space="preserve">Ставрополь/Ставропольский край </t>
  </si>
  <si>
    <t>6. Труханов Михаил</t>
  </si>
  <si>
    <t>Открытая (09.08.1981)/38</t>
  </si>
  <si>
    <t>80,90</t>
  </si>
  <si>
    <t>7. Филимонов Михаил</t>
  </si>
  <si>
    <t>Открытая (21.06.1988)/31</t>
  </si>
  <si>
    <t>80,00</t>
  </si>
  <si>
    <t>8. Рогачев Алексей</t>
  </si>
  <si>
    <t>Открытая (16.07.1988)/31</t>
  </si>
  <si>
    <t>80,0</t>
  </si>
  <si>
    <t>82,5</t>
  </si>
  <si>
    <t>1. Пфейфер Владимир</t>
  </si>
  <si>
    <t>Ветераны 45 - 49 (14.02.1971)/48</t>
  </si>
  <si>
    <t>2. Аракелян Эдуард</t>
  </si>
  <si>
    <t>Ветераны 45 - 49 (15.02.1970)/49</t>
  </si>
  <si>
    <t>-. Шатухо Федор</t>
  </si>
  <si>
    <t>Ветераны 45 - 49 (27.10.1974)/45</t>
  </si>
  <si>
    <t>1. Орлов Сергей</t>
  </si>
  <si>
    <t>Ветераны 50 - 54 (16.11.1967)/52</t>
  </si>
  <si>
    <t>79,30</t>
  </si>
  <si>
    <t>1. Пивнов Владимир</t>
  </si>
  <si>
    <t>Ветераны 65 - 69 (05.11.1953)/66</t>
  </si>
  <si>
    <t>1. Ануфриев Сергей</t>
  </si>
  <si>
    <t>Открытая (03.10.1969)/50</t>
  </si>
  <si>
    <t>87,70</t>
  </si>
  <si>
    <t>2. Кременчуцкий Андрей</t>
  </si>
  <si>
    <t>142,5</t>
  </si>
  <si>
    <t>155,0</t>
  </si>
  <si>
    <t>3. Нурахметов Никита</t>
  </si>
  <si>
    <t>Открытая (04.01.1991)/28</t>
  </si>
  <si>
    <t>85,00</t>
  </si>
  <si>
    <t xml:space="preserve">Кемерово/Кемеровская область </t>
  </si>
  <si>
    <t>137,5</t>
  </si>
  <si>
    <t>4. Валенцев Владимир</t>
  </si>
  <si>
    <t>Открытая (25.12.1965)/53</t>
  </si>
  <si>
    <t>84,00</t>
  </si>
  <si>
    <t>5. Пронин Юрий</t>
  </si>
  <si>
    <t>Открытая (08.01.1968)/51</t>
  </si>
  <si>
    <t>86,10</t>
  </si>
  <si>
    <t xml:space="preserve">Ухта/Коми республика </t>
  </si>
  <si>
    <t>122,5</t>
  </si>
  <si>
    <t>6. Провоторов Роман</t>
  </si>
  <si>
    <t>Открытая (15.03.1988)/31</t>
  </si>
  <si>
    <t>86,30</t>
  </si>
  <si>
    <t>117,5</t>
  </si>
  <si>
    <t>7. Орехов Василий</t>
  </si>
  <si>
    <t>Открытая (02.08.1994)/25</t>
  </si>
  <si>
    <t>83,50</t>
  </si>
  <si>
    <t>8. Литвинцов Евгений</t>
  </si>
  <si>
    <t>Открытая (15.12.1978)/40</t>
  </si>
  <si>
    <t>87,80</t>
  </si>
  <si>
    <t>9. Кабанов Геогргий</t>
  </si>
  <si>
    <t>Открытая (04.05.1986)/33</t>
  </si>
  <si>
    <t>89,00</t>
  </si>
  <si>
    <t>10. Шаметов Эльдар</t>
  </si>
  <si>
    <t>Открытая (18.02.1980)/39</t>
  </si>
  <si>
    <t>87,60</t>
  </si>
  <si>
    <t>11. Мирошников Олег</t>
  </si>
  <si>
    <t>Открытая (23.11.1961)/57</t>
  </si>
  <si>
    <t>85,10</t>
  </si>
  <si>
    <t>12. Горшенев Артем</t>
  </si>
  <si>
    <t>Открытая (01.02.1994)/25</t>
  </si>
  <si>
    <t>84,80</t>
  </si>
  <si>
    <t>102,5</t>
  </si>
  <si>
    <t>13. Вязовецков Александр</t>
  </si>
  <si>
    <t>Открытая (12.12.1984)/34</t>
  </si>
  <si>
    <t>89,80</t>
  </si>
  <si>
    <t>14. Фомюк Константин</t>
  </si>
  <si>
    <t>Открытая (01.07.1983)/36</t>
  </si>
  <si>
    <t>86,80</t>
  </si>
  <si>
    <t>1. Литвинцов Евгений</t>
  </si>
  <si>
    <t>Ветераны 40 - 44 (15.12.1978)/40</t>
  </si>
  <si>
    <t>2. Химион Олег</t>
  </si>
  <si>
    <t>Ветераны 40 - 44 (20.06.1975)/44</t>
  </si>
  <si>
    <t>Ветераны 50 - 54 (03.10.1969)/50</t>
  </si>
  <si>
    <t>2. Валенцев Владимир</t>
  </si>
  <si>
    <t>Ветераны 50 - 54 (25.12.1965)/53</t>
  </si>
  <si>
    <t>3. Гатауллин Даниэль</t>
  </si>
  <si>
    <t>Ветераны 50 - 54 (09.04.1969)/50</t>
  </si>
  <si>
    <t>85,60</t>
  </si>
  <si>
    <t>4. Пронин Юрий</t>
  </si>
  <si>
    <t>Ветераны 50 - 54 (08.01.1968)/51</t>
  </si>
  <si>
    <t>1. Мирошников Олег</t>
  </si>
  <si>
    <t>Ветераны 55 - 59 (23.11.1961)/57</t>
  </si>
  <si>
    <t>1. Пивоваров Валерий</t>
  </si>
  <si>
    <t>Ветераны 65 - 69 (20.05.1952)/67</t>
  </si>
  <si>
    <t>86,20</t>
  </si>
  <si>
    <t>1. Герасименко Андрей</t>
  </si>
  <si>
    <t>Открытая (06.09.1990)/29</t>
  </si>
  <si>
    <t>99,60</t>
  </si>
  <si>
    <t>180,0</t>
  </si>
  <si>
    <t>190,0</t>
  </si>
  <si>
    <t>2. Леоненко Борис</t>
  </si>
  <si>
    <t>Открытая (15.05.1992)/27</t>
  </si>
  <si>
    <t>98,70</t>
  </si>
  <si>
    <t>3. Долгушин Денис</t>
  </si>
  <si>
    <t>Открытая (24.04.1978)/41</t>
  </si>
  <si>
    <t>99,80</t>
  </si>
  <si>
    <t>4. Пыльнев Александр</t>
  </si>
  <si>
    <t>Открытая (25.07.1995)/24</t>
  </si>
  <si>
    <t>92,00</t>
  </si>
  <si>
    <t>5. Магомедов Заур</t>
  </si>
  <si>
    <t>6. Лазарев Виталий</t>
  </si>
  <si>
    <t>Открытая (14.11.1973)/46</t>
  </si>
  <si>
    <t>97,90</t>
  </si>
  <si>
    <t xml:space="preserve">Новочеркасск/Ростовская область </t>
  </si>
  <si>
    <t>7. Порхунов Олег</t>
  </si>
  <si>
    <t>Открытая (19.08.1981)/38</t>
  </si>
  <si>
    <t>92,20</t>
  </si>
  <si>
    <t>8. Якимов Илья</t>
  </si>
  <si>
    <t>9. Шаховцев Григорий</t>
  </si>
  <si>
    <t>Открытая (22.06.1970)/49</t>
  </si>
  <si>
    <t>97,80</t>
  </si>
  <si>
    <t>1. Долгушин Денис</t>
  </si>
  <si>
    <t>Ветераны 40 - 44 (24.04.1978)/41</t>
  </si>
  <si>
    <t>1. Лазарев Виталий</t>
  </si>
  <si>
    <t>Ветераны 45 - 49 (14.11.1973)/46</t>
  </si>
  <si>
    <t>2. Шаховцев Григорий</t>
  </si>
  <si>
    <t>Ветераны 45 - 49 (22.06.1970)/49</t>
  </si>
  <si>
    <t>3. Лутфуллин Артур</t>
  </si>
  <si>
    <t>Ветераны 45 - 49 (25.10.1974)/45</t>
  </si>
  <si>
    <t>92,90</t>
  </si>
  <si>
    <t>1. Сокоренко Игорь</t>
  </si>
  <si>
    <t>Ветераны 50 - 54 (01.07.1968)/51</t>
  </si>
  <si>
    <t>97,50</t>
  </si>
  <si>
    <t>2. Караваев Виктор</t>
  </si>
  <si>
    <t>Ветераны 50 - 54 (27.09.1965)/54</t>
  </si>
  <si>
    <t>1. Веснин Артем</t>
  </si>
  <si>
    <t>Ветераны 45 - 49 (08.09.1971)/48</t>
  </si>
  <si>
    <t>105,40</t>
  </si>
  <si>
    <t>-. Нефедов Александр</t>
  </si>
  <si>
    <t>Ветераны 55 - 59 (14.06.1961)/58</t>
  </si>
  <si>
    <t>110,00</t>
  </si>
  <si>
    <t>ВЕСОВАЯ КАТЕГОРИЯ   140</t>
  </si>
  <si>
    <t>1. Бабешко Владислав</t>
  </si>
  <si>
    <t>Открытая (29.05.1974)/45</t>
  </si>
  <si>
    <t>132,20</t>
  </si>
  <si>
    <t>Ветераны 45 - 49 (29.05.1974)/45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</si>
  <si>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</si>
  <si>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</si>
  <si>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</si>
  <si>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</si>
  <si>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</si>
  <si>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</si>
  <si>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</si>
  <si>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</si>
  <si>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Камышникова Марина</t>
  </si>
  <si>
    <t>56</t>
  </si>
  <si>
    <t>67,6545</t>
  </si>
  <si>
    <t>Кузнецова Гульнара</t>
  </si>
  <si>
    <t>48,5640</t>
  </si>
  <si>
    <t>Бутырская Дарья</t>
  </si>
  <si>
    <t>75</t>
  </si>
  <si>
    <t>45,2675</t>
  </si>
  <si>
    <t>Обидейко Ярослава</t>
  </si>
  <si>
    <t>42,6615</t>
  </si>
  <si>
    <t>Колпакова Елена</t>
  </si>
  <si>
    <t>82.5</t>
  </si>
  <si>
    <t>42,3630</t>
  </si>
  <si>
    <t>Панчишко Марина</t>
  </si>
  <si>
    <t>40,5000</t>
  </si>
  <si>
    <t>Делегеоз Юлия</t>
  </si>
  <si>
    <t>60</t>
  </si>
  <si>
    <t>39,6900</t>
  </si>
  <si>
    <t>Кожевникова Анастасия</t>
  </si>
  <si>
    <t>48</t>
  </si>
  <si>
    <t>36,4788</t>
  </si>
  <si>
    <t>Камельчук Светлана</t>
  </si>
  <si>
    <t>33,7500</t>
  </si>
  <si>
    <t>Барышникова Нина</t>
  </si>
  <si>
    <t>67.5</t>
  </si>
  <si>
    <t>32,6520</t>
  </si>
  <si>
    <t>Щербакова Дарья</t>
  </si>
  <si>
    <t>29,6650</t>
  </si>
  <si>
    <t xml:space="preserve">Мужчины </t>
  </si>
  <si>
    <t>Герасименко Андрей</t>
  </si>
  <si>
    <t>100</t>
  </si>
  <si>
    <t>115,8240</t>
  </si>
  <si>
    <t>Михайлюк Андрей</t>
  </si>
  <si>
    <t>113,8410</t>
  </si>
  <si>
    <t>Гавриленко Владислав</t>
  </si>
  <si>
    <t>112,9095</t>
  </si>
  <si>
    <t>Ануфриев Сергей</t>
  </si>
  <si>
    <t>90</t>
  </si>
  <si>
    <t>110,0070</t>
  </si>
  <si>
    <t>Кошелев Александр</t>
  </si>
  <si>
    <t>125</t>
  </si>
  <si>
    <t>104,5620</t>
  </si>
  <si>
    <t>Пивнов Владимир</t>
  </si>
  <si>
    <t>103,3950</t>
  </si>
  <si>
    <t>Кременчуцкий Андрей</t>
  </si>
  <si>
    <t>99,9285</t>
  </si>
  <si>
    <t>Цапок Валерий</t>
  </si>
  <si>
    <t>98,7525</t>
  </si>
  <si>
    <t>Леоненко Борис</t>
  </si>
  <si>
    <t>97,8880</t>
  </si>
  <si>
    <t>Осокин Павел</t>
  </si>
  <si>
    <t>95,8020</t>
  </si>
  <si>
    <t>Пфейфер Владимир</t>
  </si>
  <si>
    <t>95,0600</t>
  </si>
  <si>
    <t>Долгушин Денис</t>
  </si>
  <si>
    <t>92,8877</t>
  </si>
  <si>
    <t>Левандовский Никита</t>
  </si>
  <si>
    <t>92,7160</t>
  </si>
  <si>
    <t>Калугин Павел</t>
  </si>
  <si>
    <t>91,2773</t>
  </si>
  <si>
    <t>Домницкий Олег</t>
  </si>
  <si>
    <t>110</t>
  </si>
  <si>
    <t>91,2150</t>
  </si>
  <si>
    <t>Нурахметов Никита</t>
  </si>
  <si>
    <t>90,5162</t>
  </si>
  <si>
    <t>Каримов Ильяс</t>
  </si>
  <si>
    <t>90,2980</t>
  </si>
  <si>
    <t>Пыльнев Александр</t>
  </si>
  <si>
    <t>85,2525</t>
  </si>
  <si>
    <t>Магомедов Заур</t>
  </si>
  <si>
    <t>85,1175</t>
  </si>
  <si>
    <t>Валенцев Владимир</t>
  </si>
  <si>
    <t>84,5070</t>
  </si>
  <si>
    <t>Кравченко Кирилл</t>
  </si>
  <si>
    <t>83,5360</t>
  </si>
  <si>
    <t>Лазарев Виталий</t>
  </si>
  <si>
    <t>82,8765</t>
  </si>
  <si>
    <t>Саута Андрей</t>
  </si>
  <si>
    <t>82,5585</t>
  </si>
  <si>
    <t>Мальгинов Алексей</t>
  </si>
  <si>
    <t>81,0495</t>
  </si>
  <si>
    <t>Порхунов Олег</t>
  </si>
  <si>
    <t>80,4270</t>
  </si>
  <si>
    <t>Пронин Юрий</t>
  </si>
  <si>
    <t>80,0660</t>
  </si>
  <si>
    <t>Провоторов Роман</t>
  </si>
  <si>
    <t>79,9680</t>
  </si>
  <si>
    <t>Орехов Василий</t>
  </si>
  <si>
    <t>79,8120</t>
  </si>
  <si>
    <t>Аракелян Эдуард</t>
  </si>
  <si>
    <t>78,4530</t>
  </si>
  <si>
    <t>Литвинцов Евгений</t>
  </si>
  <si>
    <t>77,6040</t>
  </si>
  <si>
    <t>Кабанов Геогргий</t>
  </si>
  <si>
    <t>77,0520</t>
  </si>
  <si>
    <t>Шаметов Эльдар</t>
  </si>
  <si>
    <t>76,0812</t>
  </si>
  <si>
    <t>Бабешко Владислав</t>
  </si>
  <si>
    <t>140</t>
  </si>
  <si>
    <t>74,7167</t>
  </si>
  <si>
    <t>Якимов Илья</t>
  </si>
  <si>
    <t>74,0280</t>
  </si>
  <si>
    <t>Демченко Дмитрий</t>
  </si>
  <si>
    <t>73,7500</t>
  </si>
  <si>
    <t>Шаховцев Григорий</t>
  </si>
  <si>
    <t>73,7040</t>
  </si>
  <si>
    <t>Федухин Николай</t>
  </si>
  <si>
    <t>73,1970</t>
  </si>
  <si>
    <t>Жиренко Геннадий</t>
  </si>
  <si>
    <t>72,4588</t>
  </si>
  <si>
    <t>Лисенков Сергей</t>
  </si>
  <si>
    <t>70,5360</t>
  </si>
  <si>
    <t>Мирошников Олег</t>
  </si>
  <si>
    <t>69,0795</t>
  </si>
  <si>
    <t>Труханов Михаил</t>
  </si>
  <si>
    <t>67,7900</t>
  </si>
  <si>
    <t>Серов Алексей</t>
  </si>
  <si>
    <t>65,3538</t>
  </si>
  <si>
    <t>Филимонов Михаил</t>
  </si>
  <si>
    <t>61,4430</t>
  </si>
  <si>
    <t>Горшенев Артем</t>
  </si>
  <si>
    <t>59,3280</t>
  </si>
  <si>
    <t>Рогачев Алексей</t>
  </si>
  <si>
    <t>54,3200</t>
  </si>
  <si>
    <t>Вязовецков Александр</t>
  </si>
  <si>
    <t>51,1280</t>
  </si>
  <si>
    <t>Фомюк Константин</t>
  </si>
  <si>
    <t>50,4292</t>
  </si>
  <si>
    <t>Самусенко Всеволод</t>
  </si>
  <si>
    <t>47,9435</t>
  </si>
  <si>
    <t>Павличук Михаил</t>
  </si>
  <si>
    <t>45,2640</t>
  </si>
  <si>
    <t>Мастера</t>
  </si>
  <si>
    <t xml:space="preserve">Мастера 65 - 69 </t>
  </si>
  <si>
    <t>156,2298</t>
  </si>
  <si>
    <t xml:space="preserve">Мастера 50 - 54 </t>
  </si>
  <si>
    <t>124,3079</t>
  </si>
  <si>
    <t>Пивоваров Валерий</t>
  </si>
  <si>
    <t>120,9465</t>
  </si>
  <si>
    <t xml:space="preserve">Мастера 70 - 74 </t>
  </si>
  <si>
    <t>120,4091</t>
  </si>
  <si>
    <t xml:space="preserve">Мастера 45 - 49 </t>
  </si>
  <si>
    <t>104,2808</t>
  </si>
  <si>
    <t>100,0563</t>
  </si>
  <si>
    <t>Сокоренко Игорь</t>
  </si>
  <si>
    <t>95,2297</t>
  </si>
  <si>
    <t xml:space="preserve">Мастера 40 - 44 </t>
  </si>
  <si>
    <t>93,8166</t>
  </si>
  <si>
    <t>Гатауллин Даниэль</t>
  </si>
  <si>
    <t>92,6176</t>
  </si>
  <si>
    <t>Орлов Сергей</t>
  </si>
  <si>
    <t>91,9738</t>
  </si>
  <si>
    <t>91,8357</t>
  </si>
  <si>
    <t>88,5121</t>
  </si>
  <si>
    <t xml:space="preserve">Мастера 55 - 59 </t>
  </si>
  <si>
    <t>87,5928</t>
  </si>
  <si>
    <t>87,3182</t>
  </si>
  <si>
    <t>85,7912</t>
  </si>
  <si>
    <t>82,0326</t>
  </si>
  <si>
    <t>Караваев Виктор</t>
  </si>
  <si>
    <t>81,4506</t>
  </si>
  <si>
    <t>79,7057</t>
  </si>
  <si>
    <t>78,8262</t>
  </si>
  <si>
    <t>Химион Олег</t>
  </si>
  <si>
    <t>78,6910</t>
  </si>
  <si>
    <t>Веснин Артем</t>
  </si>
  <si>
    <t>75,2893</t>
  </si>
  <si>
    <t>Лутфуллин Артур</t>
  </si>
  <si>
    <t>72,9374</t>
  </si>
  <si>
    <t>Далгатов Тагир</t>
  </si>
  <si>
    <t>58,5444</t>
  </si>
  <si>
    <t>1. Семенов Юрий</t>
  </si>
  <si>
    <t>Открытая (12.10.1988)/31</t>
  </si>
  <si>
    <t>187,5</t>
  </si>
  <si>
    <t>1. Зазуля Илья</t>
  </si>
  <si>
    <t>Открытая (13.08.1986)/33</t>
  </si>
  <si>
    <t>82,80</t>
  </si>
  <si>
    <t>172,5</t>
  </si>
  <si>
    <t>2. Тимофеев Александр</t>
  </si>
  <si>
    <t>Открытая (27.05.1989)/30</t>
  </si>
  <si>
    <t>82,20</t>
  </si>
  <si>
    <t>1. Калашин Кирилл</t>
  </si>
  <si>
    <t>Открытая (30.09.1987)/32</t>
  </si>
  <si>
    <t>83,00</t>
  </si>
  <si>
    <t>2. Зазуля Илья</t>
  </si>
  <si>
    <t>1. Чапаев Максим</t>
  </si>
  <si>
    <t>Открытая (26.06.1991)/28</t>
  </si>
  <si>
    <t>108,80</t>
  </si>
  <si>
    <t>195,0</t>
  </si>
  <si>
    <t>2. Кузнецов Максим</t>
  </si>
  <si>
    <t>Открытая (19.10.1989)/30</t>
  </si>
  <si>
    <t>106,20</t>
  </si>
  <si>
    <t>197,5</t>
  </si>
  <si>
    <t>3. Старцев Виталий</t>
  </si>
  <si>
    <t>Открытая (06.06.1963)/56</t>
  </si>
  <si>
    <t>1. Старцев Виталий</t>
  </si>
  <si>
    <t>Ветераны 55 - 59 (06.06.1963)/56</t>
  </si>
  <si>
    <t>1. Нурахметов Вячеслав</t>
  </si>
  <si>
    <t>Открытая (29.10.1962)/57</t>
  </si>
  <si>
    <t>119,20</t>
  </si>
  <si>
    <t>175,0</t>
  </si>
  <si>
    <t>2. Новиков Игорь</t>
  </si>
  <si>
    <t>Открытая (24.08.1984)/35</t>
  </si>
  <si>
    <t>110,30</t>
  </si>
  <si>
    <t>Ветераны 55 - 59 (29.10.1962)/57</t>
  </si>
  <si>
    <t>Всероссийский турнир по жиму лежа "Небо России в надежных руках", посвященный Международному дню авиадиспетчера
WPF AM Жим лежа Безэкипировочный
Москва 16 - 17 ноября 2019 г.</t>
  </si>
  <si>
    <t>Всероссийский турнир по жиму лежа "Небо России в надежных руках", посвященный Международному дню авиадиспетчера
WPF AM Жим лежа в Однослойной экипировке
Москва 16 - 17 ноября 2019 г.</t>
  </si>
  <si>
    <t>Всероссийский турнир по жиму лежа "Небо России в надежных руках", посвященный Международному дню авиадиспетчера
WPF PRO Жим лежа в Однослойной экипировке
Москва 16 - 17 ноября 2019 г.</t>
  </si>
  <si>
    <t>Всероссийский турнир по жиму лежа "Небо России в надежных руках", посвященный Международному дню авиадиспетчера
WPF PRO Жим лежа Безэкипировочный
Москва 16 - 17 ноября 2019 г.</t>
  </si>
  <si>
    <t xml:space="preserve">
Дата рождения/Возраст</t>
  </si>
  <si>
    <t>Возрастная группа</t>
  </si>
  <si>
    <t>O</t>
  </si>
  <si>
    <t>M1</t>
  </si>
  <si>
    <t>M2</t>
  </si>
  <si>
    <t>M3</t>
  </si>
  <si>
    <t>M5</t>
  </si>
  <si>
    <t>M6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</si>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</sst>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 Cyr"/>
      <charset val="204"/>
    </font>
    <font>
      <b/>
      <sz val="24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i/>
      <sz val="12"/>
      <name val="Arial Cyr"/>
      <charset val="204"/>
    </font>
    <font>
      <b/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left"/>
    </xf>
    <xf numFmtId="49" fontId="0" fillId="0" borderId="8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0" fillId="0" borderId="9" xfId="0" applyNumberFormat="1" applyFont="1" applyBorder="1" applyAlignment="1">
      <alignment horizontal="left"/>
    </xf>
    <xf numFmtId="49" fontId="0" fillId="0" borderId="9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0" fillId="0" borderId="10" xfId="0" applyNumberFormat="1" applyFont="1" applyBorder="1" applyAlignment="1">
      <alignment horizontal="left"/>
    </xf>
    <xf numFmtId="49" fontId="0" fillId="0" borderId="10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0" fillId="0" borderId="11" xfId="0" applyNumberFormat="1" applyFont="1" applyBorder="1" applyAlignment="1">
      <alignment horizontal="left"/>
    </xf>
    <xf numFmtId="49" fontId="0" fillId="0" borderId="11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49" fontId="10" fillId="0" borderId="0" xfId="0" applyNumberFormat="1" applyFont="1" applyBorder="1" applyAlignment="1">
      <alignment horizontal="left"/>
    </xf>
    <xf numFmtId="49" fontId="3" fillId="0" borderId="8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left" indent="1"/>
    </xf>
    <xf numFmtId="49" fontId="2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3"/>
  <sheetViews>
    <sheetView zoomScale="112" zoomScaleNormal="112" workbookViewId="0">
      <selection activeCell="D36" sqref="D36"/>
    </sheetView>
  </sheetViews>
  <sheetFormatPr baseColWidth="10" defaultColWidth="8.83203125" defaultRowHeight="13"/>
  <cols>
    <col min="1" max="1" width="26" style="1" customWidth="1"/>
    <col min="2" max="2" width="29.6640625" style="1" customWidth="1"/>
    <col min="3" max="3" width="15.33203125" style="1" customWidth="1"/>
    <col min="4" max="4" width="8.5" style="1" customWidth="1"/>
    <col min="5" max="5" width="22.6640625" style="1" customWidth="1"/>
    <col min="6" max="6" width="36.33203125" style="1" customWidth="1"/>
    <col min="7" max="9" width="5.5" style="2" customWidth="1"/>
    <col min="10" max="10" width="4.83203125" style="2" customWidth="1"/>
    <col min="11" max="11" width="13.33203125" style="1" customWidth="1"/>
    <col min="12" max="12" width="8.5" style="2" customWidth="1"/>
    <col min="13" max="13" width="8.83203125" style="1" customWidth="1"/>
    <col min="14" max="1025" width="9.1640625" style="2" customWidth="1"/>
  </cols>
  <sheetData>
    <row r="1" spans="1:13" s="3" customFormat="1" ht="29" customHeight="1">
      <c r="A1" s="29" t="s">
        <v>576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3" customFormat="1" ht="96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4" customFormat="1" ht="12.75" customHeight="1">
      <c r="A3" s="30" t="s">
        <v>0</v>
      </c>
      <c r="B3" s="31" t="s">
        <v>579</v>
      </c>
      <c r="C3" s="31" t="s">
        <v>1</v>
      </c>
      <c r="D3" s="32" t="s">
        <v>580</v>
      </c>
      <c r="E3" s="32" t="s">
        <v>2</v>
      </c>
      <c r="F3" s="32" t="s">
        <v>3</v>
      </c>
      <c r="G3" s="33" t="s">
        <v>4</v>
      </c>
      <c r="H3" s="33"/>
      <c r="I3" s="33"/>
      <c r="J3" s="33"/>
      <c r="K3" s="32" t="s">
        <v>5</v>
      </c>
      <c r="L3" s="32" t="s">
        <v>6</v>
      </c>
      <c r="M3" s="34" t="s">
        <v>7</v>
      </c>
    </row>
    <row r="4" spans="1:13" s="4" customFormat="1" ht="21" customHeight="1">
      <c r="A4" s="30"/>
      <c r="B4" s="31"/>
      <c r="C4" s="31"/>
      <c r="D4" s="31"/>
      <c r="E4" s="31"/>
      <c r="F4" s="31"/>
      <c r="G4" s="5">
        <v>1</v>
      </c>
      <c r="H4" s="5">
        <v>2</v>
      </c>
      <c r="I4" s="5">
        <v>3</v>
      </c>
      <c r="J4" s="5" t="s">
        <v>8</v>
      </c>
      <c r="K4" s="32"/>
      <c r="L4" s="32"/>
      <c r="M4" s="34"/>
    </row>
    <row r="5" spans="1:13" ht="16">
      <c r="A5" s="28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3">
      <c r="A6" s="6" t="s">
        <v>10</v>
      </c>
      <c r="B6" s="6" t="s">
        <v>11</v>
      </c>
      <c r="C6" s="6" t="s">
        <v>12</v>
      </c>
      <c r="D6" s="6" t="s">
        <v>581</v>
      </c>
      <c r="E6" s="6" t="s">
        <v>13</v>
      </c>
      <c r="F6" s="6" t="s">
        <v>14</v>
      </c>
      <c r="G6" s="7" t="s">
        <v>15</v>
      </c>
      <c r="H6" s="7" t="s">
        <v>16</v>
      </c>
      <c r="I6" s="8" t="s">
        <v>17</v>
      </c>
      <c r="J6" s="8"/>
      <c r="K6" s="6" t="str">
        <f>"40,0"</f>
        <v>40,0</v>
      </c>
      <c r="L6" s="7" t="str">
        <f>"47,2640"</f>
        <v>47,2640</v>
      </c>
      <c r="M6" s="6" t="s">
        <v>18</v>
      </c>
    </row>
    <row r="8" spans="1:13" ht="16">
      <c r="A8" s="27" t="s">
        <v>19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3">
      <c r="A9" s="6" t="s">
        <v>20</v>
      </c>
      <c r="B9" s="6" t="s">
        <v>21</v>
      </c>
      <c r="C9" s="6" t="s">
        <v>22</v>
      </c>
      <c r="D9" s="6" t="s">
        <v>581</v>
      </c>
      <c r="E9" s="6" t="s">
        <v>13</v>
      </c>
      <c r="F9" s="6" t="s">
        <v>23</v>
      </c>
      <c r="G9" s="7" t="s">
        <v>24</v>
      </c>
      <c r="H9" s="7" t="s">
        <v>25</v>
      </c>
      <c r="I9" s="7" t="s">
        <v>26</v>
      </c>
      <c r="J9" s="8"/>
      <c r="K9" s="6" t="str">
        <f>"32,5"</f>
        <v>32,5</v>
      </c>
      <c r="L9" s="7" t="str">
        <f>"30,9465"</f>
        <v>30,9465</v>
      </c>
      <c r="M9" s="6" t="s">
        <v>18</v>
      </c>
    </row>
    <row r="11" spans="1:13" ht="16">
      <c r="A11" s="27" t="s">
        <v>27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3">
      <c r="A12" s="6" t="s">
        <v>28</v>
      </c>
      <c r="B12" s="6" t="s">
        <v>29</v>
      </c>
      <c r="C12" s="6" t="s">
        <v>30</v>
      </c>
      <c r="D12" s="6" t="s">
        <v>581</v>
      </c>
      <c r="E12" s="6" t="s">
        <v>13</v>
      </c>
      <c r="F12" s="6" t="s">
        <v>31</v>
      </c>
      <c r="G12" s="7" t="s">
        <v>17</v>
      </c>
      <c r="H12" s="7" t="s">
        <v>32</v>
      </c>
      <c r="I12" s="7" t="s">
        <v>33</v>
      </c>
      <c r="J12" s="8"/>
      <c r="K12" s="6" t="str">
        <f>"55,0"</f>
        <v>55,0</v>
      </c>
      <c r="L12" s="7" t="str">
        <f>"47,9435"</f>
        <v>47,9435</v>
      </c>
      <c r="M12" s="6" t="s">
        <v>18</v>
      </c>
    </row>
    <row r="14" spans="1:13" ht="16">
      <c r="A14" s="27" t="s">
        <v>19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3">
      <c r="A15" s="9" t="s">
        <v>34</v>
      </c>
      <c r="B15" s="9" t="s">
        <v>35</v>
      </c>
      <c r="C15" s="9" t="s">
        <v>36</v>
      </c>
      <c r="D15" s="9" t="s">
        <v>581</v>
      </c>
      <c r="E15" s="9" t="s">
        <v>13</v>
      </c>
      <c r="F15" s="9" t="s">
        <v>31</v>
      </c>
      <c r="G15" s="10" t="s">
        <v>37</v>
      </c>
      <c r="H15" s="10" t="s">
        <v>38</v>
      </c>
      <c r="I15" s="11" t="s">
        <v>39</v>
      </c>
      <c r="J15" s="11"/>
      <c r="K15" s="9" t="str">
        <f>"162,5"</f>
        <v>162,5</v>
      </c>
      <c r="L15" s="10" t="str">
        <f>"117,4550"</f>
        <v>117,4550</v>
      </c>
      <c r="M15" s="9" t="s">
        <v>18</v>
      </c>
    </row>
    <row r="16" spans="1:13">
      <c r="A16" s="12" t="s">
        <v>40</v>
      </c>
      <c r="B16" s="12" t="s">
        <v>41</v>
      </c>
      <c r="C16" s="12" t="s">
        <v>42</v>
      </c>
      <c r="D16" s="12" t="s">
        <v>581</v>
      </c>
      <c r="E16" s="12" t="s">
        <v>13</v>
      </c>
      <c r="F16" s="12" t="s">
        <v>23</v>
      </c>
      <c r="G16" s="13" t="s">
        <v>43</v>
      </c>
      <c r="H16" s="13" t="s">
        <v>44</v>
      </c>
      <c r="I16" s="14" t="s">
        <v>45</v>
      </c>
      <c r="J16" s="14"/>
      <c r="K16" s="12" t="str">
        <f>"105,0"</f>
        <v>105,0</v>
      </c>
      <c r="L16" s="13" t="str">
        <f>"74,8230"</f>
        <v>74,8230</v>
      </c>
      <c r="M16" s="12" t="s">
        <v>18</v>
      </c>
    </row>
    <row r="18" spans="1:13" ht="16">
      <c r="A18" s="27" t="s">
        <v>46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3">
      <c r="A19" s="6" t="s">
        <v>47</v>
      </c>
      <c r="B19" s="6" t="s">
        <v>48</v>
      </c>
      <c r="C19" s="6" t="s">
        <v>49</v>
      </c>
      <c r="D19" s="6" t="s">
        <v>581</v>
      </c>
      <c r="E19" s="6" t="s">
        <v>13</v>
      </c>
      <c r="F19" s="6" t="s">
        <v>31</v>
      </c>
      <c r="G19" s="7" t="s">
        <v>50</v>
      </c>
      <c r="H19" s="7" t="s">
        <v>37</v>
      </c>
      <c r="I19" s="8"/>
      <c r="J19" s="8"/>
      <c r="K19" s="6" t="str">
        <f>"147,5"</f>
        <v>147,5</v>
      </c>
      <c r="L19" s="7" t="str">
        <f>"100,9343"</f>
        <v>100,9343</v>
      </c>
      <c r="M19" s="6" t="s">
        <v>18</v>
      </c>
    </row>
    <row r="21" spans="1:13" ht="16">
      <c r="A21" s="27" t="s">
        <v>51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3">
      <c r="A22" s="6" t="s">
        <v>52</v>
      </c>
      <c r="B22" s="6" t="s">
        <v>53</v>
      </c>
      <c r="C22" s="6" t="s">
        <v>54</v>
      </c>
      <c r="D22" s="6" t="s">
        <v>581</v>
      </c>
      <c r="E22" s="6" t="s">
        <v>13</v>
      </c>
      <c r="F22" s="6" t="s">
        <v>31</v>
      </c>
      <c r="G22" s="7" t="s">
        <v>55</v>
      </c>
      <c r="H22" s="7" t="s">
        <v>56</v>
      </c>
      <c r="I22" s="7" t="s">
        <v>57</v>
      </c>
      <c r="J22" s="8"/>
      <c r="K22" s="6" t="str">
        <f>"160,0"</f>
        <v>160,0</v>
      </c>
      <c r="L22" s="7" t="str">
        <f>"103,1520"</f>
        <v>103,1520</v>
      </c>
      <c r="M22" s="6" t="s">
        <v>18</v>
      </c>
    </row>
    <row r="24" spans="1:13" ht="16">
      <c r="A24" s="27" t="s">
        <v>58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3">
      <c r="A25" s="9" t="s">
        <v>59</v>
      </c>
      <c r="B25" s="9" t="s">
        <v>60</v>
      </c>
      <c r="C25" s="9" t="s">
        <v>61</v>
      </c>
      <c r="D25" s="9" t="s">
        <v>581</v>
      </c>
      <c r="E25" s="9" t="s">
        <v>13</v>
      </c>
      <c r="F25" s="9" t="s">
        <v>14</v>
      </c>
      <c r="G25" s="10" t="s">
        <v>50</v>
      </c>
      <c r="H25" s="10" t="s">
        <v>62</v>
      </c>
      <c r="I25" s="10" t="s">
        <v>63</v>
      </c>
      <c r="J25" s="11"/>
      <c r="K25" s="9" t="str">
        <f>"135,0"</f>
        <v>135,0</v>
      </c>
      <c r="L25" s="10" t="str">
        <f>"85,1175"</f>
        <v>85,1175</v>
      </c>
      <c r="M25" s="9" t="s">
        <v>18</v>
      </c>
    </row>
    <row r="26" spans="1:13">
      <c r="A26" s="12" t="s">
        <v>64</v>
      </c>
      <c r="B26" s="12" t="s">
        <v>65</v>
      </c>
      <c r="C26" s="12" t="s">
        <v>66</v>
      </c>
      <c r="D26" s="12" t="s">
        <v>581</v>
      </c>
      <c r="E26" s="12" t="s">
        <v>13</v>
      </c>
      <c r="F26" s="12" t="s">
        <v>67</v>
      </c>
      <c r="G26" s="13" t="s">
        <v>68</v>
      </c>
      <c r="H26" s="13" t="s">
        <v>50</v>
      </c>
      <c r="I26" s="14" t="s">
        <v>63</v>
      </c>
      <c r="J26" s="14"/>
      <c r="K26" s="12" t="str">
        <f>"130,0"</f>
        <v>130,0</v>
      </c>
      <c r="L26" s="13" t="str">
        <f>"80,1970"</f>
        <v>80,1970</v>
      </c>
      <c r="M26" s="12" t="s">
        <v>18</v>
      </c>
    </row>
    <row r="28" spans="1:13" ht="16">
      <c r="A28" s="27" t="s">
        <v>69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3">
      <c r="A29" s="9" t="s">
        <v>70</v>
      </c>
      <c r="B29" s="9" t="s">
        <v>71</v>
      </c>
      <c r="C29" s="9" t="s">
        <v>72</v>
      </c>
      <c r="D29" s="9" t="s">
        <v>581</v>
      </c>
      <c r="E29" s="9" t="s">
        <v>13</v>
      </c>
      <c r="F29" s="9" t="s">
        <v>31</v>
      </c>
      <c r="G29" s="10" t="s">
        <v>73</v>
      </c>
      <c r="H29" s="10" t="s">
        <v>74</v>
      </c>
      <c r="I29" s="10" t="s">
        <v>38</v>
      </c>
      <c r="J29" s="11"/>
      <c r="K29" s="9" t="str">
        <f>"162,5"</f>
        <v>162,5</v>
      </c>
      <c r="L29" s="10" t="str">
        <f>"98,8162"</f>
        <v>98,8162</v>
      </c>
      <c r="M29" s="9" t="s">
        <v>18</v>
      </c>
    </row>
    <row r="30" spans="1:13">
      <c r="A30" s="12" t="s">
        <v>75</v>
      </c>
      <c r="B30" s="12" t="s">
        <v>76</v>
      </c>
      <c r="C30" s="12" t="s">
        <v>77</v>
      </c>
      <c r="D30" s="12" t="s">
        <v>581</v>
      </c>
      <c r="E30" s="12" t="s">
        <v>13</v>
      </c>
      <c r="F30" s="12" t="s">
        <v>78</v>
      </c>
      <c r="G30" s="13" t="s">
        <v>45</v>
      </c>
      <c r="H30" s="13" t="s">
        <v>79</v>
      </c>
      <c r="I30" s="14" t="s">
        <v>50</v>
      </c>
      <c r="J30" s="14"/>
      <c r="K30" s="12" t="str">
        <f>"125,0"</f>
        <v>125,0</v>
      </c>
      <c r="L30" s="13" t="str">
        <f>"73,7500"</f>
        <v>73,7500</v>
      </c>
      <c r="M30" s="12" t="s">
        <v>18</v>
      </c>
    </row>
    <row r="32" spans="1:13" ht="16">
      <c r="A32" s="27" t="s">
        <v>80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3">
      <c r="A33" s="9" t="s">
        <v>81</v>
      </c>
      <c r="B33" s="9" t="s">
        <v>82</v>
      </c>
      <c r="C33" s="9" t="s">
        <v>83</v>
      </c>
      <c r="D33" s="9" t="s">
        <v>581</v>
      </c>
      <c r="E33" s="9" t="s">
        <v>13</v>
      </c>
      <c r="F33" s="9" t="s">
        <v>84</v>
      </c>
      <c r="G33" s="10" t="s">
        <v>85</v>
      </c>
      <c r="H33" s="11" t="s">
        <v>86</v>
      </c>
      <c r="I33" s="11" t="s">
        <v>86</v>
      </c>
      <c r="J33" s="11"/>
      <c r="K33" s="9" t="str">
        <f>"200,0"</f>
        <v>200,0</v>
      </c>
      <c r="L33" s="10" t="str">
        <f>"116,1800"</f>
        <v>116,1800</v>
      </c>
      <c r="M33" s="9"/>
    </row>
    <row r="34" spans="1:13">
      <c r="A34" s="15" t="s">
        <v>87</v>
      </c>
      <c r="B34" s="15" t="s">
        <v>88</v>
      </c>
      <c r="C34" s="15" t="s">
        <v>89</v>
      </c>
      <c r="D34" s="15" t="s">
        <v>581</v>
      </c>
      <c r="E34" s="15" t="s">
        <v>13</v>
      </c>
      <c r="F34" s="15" t="s">
        <v>90</v>
      </c>
      <c r="G34" s="16" t="s">
        <v>91</v>
      </c>
      <c r="H34" s="17" t="s">
        <v>38</v>
      </c>
      <c r="I34" s="17"/>
      <c r="J34" s="17"/>
      <c r="K34" s="15" t="str">
        <f>"127,5"</f>
        <v>127,5</v>
      </c>
      <c r="L34" s="16" t="str">
        <f>"74,9445"</f>
        <v>74,9445</v>
      </c>
      <c r="M34" s="15" t="s">
        <v>18</v>
      </c>
    </row>
    <row r="35" spans="1:13">
      <c r="A35" s="12" t="s">
        <v>92</v>
      </c>
      <c r="B35" s="12" t="s">
        <v>93</v>
      </c>
      <c r="C35" s="12" t="s">
        <v>89</v>
      </c>
      <c r="D35" s="12" t="s">
        <v>581</v>
      </c>
      <c r="E35" s="12" t="s">
        <v>13</v>
      </c>
      <c r="F35" s="12" t="s">
        <v>90</v>
      </c>
      <c r="G35" s="13" t="s">
        <v>91</v>
      </c>
      <c r="H35" s="14" t="s">
        <v>38</v>
      </c>
      <c r="I35" s="14"/>
      <c r="J35" s="14"/>
      <c r="K35" s="12" t="str">
        <f>"127,5"</f>
        <v>127,5</v>
      </c>
      <c r="L35" s="13" t="str">
        <f>"84,6873"</f>
        <v>84,6873</v>
      </c>
      <c r="M35" s="12" t="s">
        <v>18</v>
      </c>
    </row>
    <row r="37" spans="1:13" ht="16">
      <c r="E37" s="18" t="s">
        <v>94</v>
      </c>
    </row>
    <row r="38" spans="1:13" ht="16">
      <c r="E38" s="18" t="s">
        <v>95</v>
      </c>
    </row>
    <row r="39" spans="1:13" ht="16">
      <c r="E39" s="18" t="s">
        <v>96</v>
      </c>
    </row>
    <row r="40" spans="1:13" ht="16">
      <c r="E40" s="18" t="s">
        <v>97</v>
      </c>
    </row>
    <row r="41" spans="1:13" ht="16">
      <c r="E41" s="18" t="s">
        <v>97</v>
      </c>
    </row>
    <row r="42" spans="1:13" ht="16">
      <c r="E42" s="18" t="s">
        <v>98</v>
      </c>
    </row>
    <row r="43" spans="1:13" ht="16">
      <c r="E43" s="18"/>
    </row>
  </sheetData>
  <mergeCells count="20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21:L21"/>
    <mergeCell ref="A24:L24"/>
    <mergeCell ref="A28:L28"/>
    <mergeCell ref="A32:L32"/>
    <mergeCell ref="A5:L5"/>
    <mergeCell ref="A8:L8"/>
    <mergeCell ref="A11:L11"/>
    <mergeCell ref="A14:L14"/>
    <mergeCell ref="A18:L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232"/>
  <sheetViews>
    <sheetView topLeftCell="A103" zoomScale="112" zoomScaleNormal="112" workbookViewId="0">
      <selection activeCell="D127" sqref="D127"/>
    </sheetView>
  </sheetViews>
  <sheetFormatPr baseColWidth="10" defaultColWidth="8.83203125" defaultRowHeight="13"/>
  <cols>
    <col min="1" max="1" width="26" style="1" customWidth="1"/>
    <col min="2" max="2" width="29.6640625" style="1" customWidth="1"/>
    <col min="3" max="3" width="15.5" style="1" customWidth="1"/>
    <col min="4" max="4" width="8.5" style="1" customWidth="1"/>
    <col min="5" max="5" width="22.6640625" style="1" customWidth="1"/>
    <col min="6" max="6" width="36.33203125" style="1" customWidth="1"/>
    <col min="7" max="9" width="5.5" style="2" customWidth="1"/>
    <col min="10" max="10" width="4.83203125" style="2" customWidth="1"/>
    <col min="11" max="11" width="11.83203125" style="1" customWidth="1"/>
    <col min="12" max="12" width="8.5" style="2" customWidth="1"/>
    <col min="13" max="13" width="15.5" style="1" customWidth="1"/>
    <col min="14" max="1025" width="9.1640625" style="2" customWidth="1"/>
  </cols>
  <sheetData>
    <row r="1" spans="1:13" s="3" customFormat="1" ht="29" customHeight="1">
      <c r="A1" s="29" t="s">
        <v>575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3" customFormat="1" ht="94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4" customFormat="1" ht="12.75" customHeight="1">
      <c r="A3" s="30" t="s">
        <v>0</v>
      </c>
      <c r="B3" s="31" t="s">
        <v>579</v>
      </c>
      <c r="C3" s="31" t="s">
        <v>1</v>
      </c>
      <c r="D3" s="32" t="s">
        <v>580</v>
      </c>
      <c r="E3" s="32" t="s">
        <v>2</v>
      </c>
      <c r="F3" s="32" t="s">
        <v>3</v>
      </c>
      <c r="G3" s="33" t="s">
        <v>4</v>
      </c>
      <c r="H3" s="33"/>
      <c r="I3" s="33"/>
      <c r="J3" s="33"/>
      <c r="K3" s="32" t="s">
        <v>5</v>
      </c>
      <c r="L3" s="32" t="s">
        <v>6</v>
      </c>
      <c r="M3" s="34" t="s">
        <v>7</v>
      </c>
    </row>
    <row r="4" spans="1:13" s="4" customFormat="1" ht="21" customHeight="1">
      <c r="A4" s="30"/>
      <c r="B4" s="31"/>
      <c r="C4" s="31"/>
      <c r="D4" s="31"/>
      <c r="E4" s="31"/>
      <c r="F4" s="31"/>
      <c r="G4" s="5">
        <v>1</v>
      </c>
      <c r="H4" s="5">
        <v>2</v>
      </c>
      <c r="I4" s="5">
        <v>3</v>
      </c>
      <c r="J4" s="5" t="s">
        <v>8</v>
      </c>
      <c r="K4" s="32"/>
      <c r="L4" s="32"/>
      <c r="M4" s="34"/>
    </row>
    <row r="5" spans="1:13" ht="16">
      <c r="A5" s="28" t="s">
        <v>99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3">
      <c r="A6" s="6" t="s">
        <v>100</v>
      </c>
      <c r="B6" s="6" t="s">
        <v>101</v>
      </c>
      <c r="C6" s="6" t="s">
        <v>102</v>
      </c>
      <c r="D6" s="6" t="s">
        <v>581</v>
      </c>
      <c r="E6" s="6" t="s">
        <v>13</v>
      </c>
      <c r="F6" s="6" t="s">
        <v>31</v>
      </c>
      <c r="G6" s="7" t="s">
        <v>24</v>
      </c>
      <c r="H6" s="7" t="s">
        <v>103</v>
      </c>
      <c r="I6" s="7" t="s">
        <v>25</v>
      </c>
      <c r="J6" s="8"/>
      <c r="K6" s="6" t="str">
        <f>"27,5"</f>
        <v>27,5</v>
      </c>
      <c r="L6" s="7" t="str">
        <f>"36,4788"</f>
        <v>36,4788</v>
      </c>
      <c r="M6" s="6" t="s">
        <v>18</v>
      </c>
    </row>
    <row r="8" spans="1:13" ht="16">
      <c r="A8" s="27" t="s">
        <v>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3">
      <c r="A9" s="9" t="s">
        <v>104</v>
      </c>
      <c r="B9" s="9" t="s">
        <v>105</v>
      </c>
      <c r="C9" s="9" t="s">
        <v>106</v>
      </c>
      <c r="D9" s="9" t="s">
        <v>581</v>
      </c>
      <c r="E9" s="9" t="s">
        <v>107</v>
      </c>
      <c r="F9" s="9" t="s">
        <v>84</v>
      </c>
      <c r="G9" s="10" t="s">
        <v>32</v>
      </c>
      <c r="H9" s="10" t="s">
        <v>33</v>
      </c>
      <c r="I9" s="10" t="s">
        <v>108</v>
      </c>
      <c r="J9" s="11"/>
      <c r="K9" s="9" t="str">
        <f>"57,5"</f>
        <v>57,5</v>
      </c>
      <c r="L9" s="10" t="str">
        <f>"67,6545"</f>
        <v>67,6545</v>
      </c>
      <c r="M9" s="9"/>
    </row>
    <row r="10" spans="1:13">
      <c r="A10" s="15" t="s">
        <v>109</v>
      </c>
      <c r="B10" s="15" t="s">
        <v>110</v>
      </c>
      <c r="C10" s="15" t="s">
        <v>111</v>
      </c>
      <c r="D10" s="15" t="s">
        <v>581</v>
      </c>
      <c r="E10" s="15" t="s">
        <v>13</v>
      </c>
      <c r="F10" s="15" t="s">
        <v>112</v>
      </c>
      <c r="G10" s="17" t="s">
        <v>113</v>
      </c>
      <c r="H10" s="16" t="s">
        <v>113</v>
      </c>
      <c r="I10" s="16" t="s">
        <v>16</v>
      </c>
      <c r="J10" s="17"/>
      <c r="K10" s="15" t="str">
        <f>"40,0"</f>
        <v>40,0</v>
      </c>
      <c r="L10" s="16" t="str">
        <f>"48,5640"</f>
        <v>48,5640</v>
      </c>
      <c r="M10" s="15"/>
    </row>
    <row r="11" spans="1:13">
      <c r="A11" s="15" t="s">
        <v>114</v>
      </c>
      <c r="B11" s="15" t="s">
        <v>115</v>
      </c>
      <c r="C11" s="15" t="s">
        <v>116</v>
      </c>
      <c r="D11" s="15" t="s">
        <v>581</v>
      </c>
      <c r="E11" s="15" t="s">
        <v>13</v>
      </c>
      <c r="F11" s="15" t="s">
        <v>31</v>
      </c>
      <c r="G11" s="16" t="s">
        <v>103</v>
      </c>
      <c r="H11" s="17" t="s">
        <v>25</v>
      </c>
      <c r="I11" s="17" t="s">
        <v>25</v>
      </c>
      <c r="J11" s="17"/>
      <c r="K11" s="15" t="str">
        <f>"25,0"</f>
        <v>25,0</v>
      </c>
      <c r="L11" s="16" t="str">
        <f>"29,6650"</f>
        <v>29,6650</v>
      </c>
      <c r="M11" s="15"/>
    </row>
    <row r="12" spans="1:13">
      <c r="A12" s="15" t="s">
        <v>117</v>
      </c>
      <c r="B12" s="15" t="s">
        <v>11</v>
      </c>
      <c r="C12" s="15" t="s">
        <v>12</v>
      </c>
      <c r="D12" s="15" t="s">
        <v>581</v>
      </c>
      <c r="E12" s="15" t="s">
        <v>13</v>
      </c>
      <c r="F12" s="15" t="s">
        <v>14</v>
      </c>
      <c r="G12" s="17" t="s">
        <v>17</v>
      </c>
      <c r="H12" s="17" t="s">
        <v>17</v>
      </c>
      <c r="I12" s="17" t="s">
        <v>17</v>
      </c>
      <c r="J12" s="17"/>
      <c r="K12" s="15" t="str">
        <f>"0.00"</f>
        <v>0.00</v>
      </c>
      <c r="L12" s="16" t="str">
        <f>"0,0000"</f>
        <v>0,0000</v>
      </c>
      <c r="M12" s="15"/>
    </row>
    <row r="13" spans="1:13">
      <c r="A13" s="15" t="s">
        <v>104</v>
      </c>
      <c r="B13" s="15" t="s">
        <v>118</v>
      </c>
      <c r="C13" s="15" t="s">
        <v>106</v>
      </c>
      <c r="D13" s="15" t="s">
        <v>582</v>
      </c>
      <c r="E13" s="15" t="s">
        <v>107</v>
      </c>
      <c r="F13" s="15" t="s">
        <v>84</v>
      </c>
      <c r="G13" s="16" t="s">
        <v>32</v>
      </c>
      <c r="H13" s="16" t="s">
        <v>33</v>
      </c>
      <c r="I13" s="16" t="s">
        <v>108</v>
      </c>
      <c r="J13" s="17"/>
      <c r="K13" s="15" t="str">
        <f>"57,5"</f>
        <v>57,5</v>
      </c>
      <c r="L13" s="16" t="str">
        <f>"67,6545"</f>
        <v>67,6545</v>
      </c>
      <c r="M13" s="15"/>
    </row>
    <row r="14" spans="1:13">
      <c r="A14" s="12" t="s">
        <v>109</v>
      </c>
      <c r="B14" s="12" t="s">
        <v>119</v>
      </c>
      <c r="C14" s="12" t="s">
        <v>111</v>
      </c>
      <c r="D14" s="12" t="s">
        <v>582</v>
      </c>
      <c r="E14" s="12" t="s">
        <v>13</v>
      </c>
      <c r="F14" s="12" t="s">
        <v>112</v>
      </c>
      <c r="G14" s="14" t="s">
        <v>113</v>
      </c>
      <c r="H14" s="13" t="s">
        <v>113</v>
      </c>
      <c r="I14" s="13" t="s">
        <v>16</v>
      </c>
      <c r="J14" s="14"/>
      <c r="K14" s="12" t="str">
        <f>"40,0"</f>
        <v>40,0</v>
      </c>
      <c r="L14" s="13" t="str">
        <f>"50,6523"</f>
        <v>50,6523</v>
      </c>
      <c r="M14" s="12"/>
    </row>
    <row r="16" spans="1:13" ht="16">
      <c r="A16" s="27" t="s">
        <v>27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3">
      <c r="A17" s="9" t="s">
        <v>120</v>
      </c>
      <c r="B17" s="9" t="s">
        <v>121</v>
      </c>
      <c r="C17" s="9" t="s">
        <v>122</v>
      </c>
      <c r="D17" s="9" t="s">
        <v>581</v>
      </c>
      <c r="E17" s="9" t="s">
        <v>13</v>
      </c>
      <c r="F17" s="9" t="s">
        <v>84</v>
      </c>
      <c r="G17" s="10" t="s">
        <v>15</v>
      </c>
      <c r="H17" s="11" t="s">
        <v>113</v>
      </c>
      <c r="I17" s="11" t="s">
        <v>113</v>
      </c>
      <c r="J17" s="11"/>
      <c r="K17" s="9" t="str">
        <f>"35,0"</f>
        <v>35,0</v>
      </c>
      <c r="L17" s="10" t="str">
        <f>"39,6900"</f>
        <v>39,6900</v>
      </c>
      <c r="M17" s="9"/>
    </row>
    <row r="18" spans="1:13">
      <c r="A18" s="12" t="s">
        <v>120</v>
      </c>
      <c r="B18" s="12" t="s">
        <v>123</v>
      </c>
      <c r="C18" s="12" t="s">
        <v>122</v>
      </c>
      <c r="D18" s="12" t="s">
        <v>583</v>
      </c>
      <c r="E18" s="12" t="s">
        <v>13</v>
      </c>
      <c r="F18" s="12" t="s">
        <v>84</v>
      </c>
      <c r="G18" s="13" t="s">
        <v>15</v>
      </c>
      <c r="H18" s="14" t="s">
        <v>113</v>
      </c>
      <c r="I18" s="14" t="s">
        <v>113</v>
      </c>
      <c r="J18" s="14"/>
      <c r="K18" s="12" t="str">
        <f>"35,0"</f>
        <v>35,0</v>
      </c>
      <c r="L18" s="13" t="str">
        <f>"43,5399"</f>
        <v>43,5399</v>
      </c>
      <c r="M18" s="12"/>
    </row>
    <row r="20" spans="1:13" ht="16">
      <c r="A20" s="27" t="s">
        <v>124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3">
      <c r="A21" s="6" t="s">
        <v>125</v>
      </c>
      <c r="B21" s="6" t="s">
        <v>126</v>
      </c>
      <c r="C21" s="6" t="s">
        <v>127</v>
      </c>
      <c r="D21" s="6" t="s">
        <v>581</v>
      </c>
      <c r="E21" s="6" t="s">
        <v>13</v>
      </c>
      <c r="F21" s="6" t="s">
        <v>31</v>
      </c>
      <c r="G21" s="7" t="s">
        <v>103</v>
      </c>
      <c r="H21" s="7" t="s">
        <v>25</v>
      </c>
      <c r="I21" s="7" t="s">
        <v>128</v>
      </c>
      <c r="J21" s="8"/>
      <c r="K21" s="6" t="str">
        <f>"30,0"</f>
        <v>30,0</v>
      </c>
      <c r="L21" s="7" t="str">
        <f>"32,6520"</f>
        <v>32,6520</v>
      </c>
      <c r="M21" s="6"/>
    </row>
    <row r="23" spans="1:13" ht="16">
      <c r="A23" s="27" t="s">
        <v>19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3">
      <c r="A24" s="9" t="s">
        <v>129</v>
      </c>
      <c r="B24" s="9" t="s">
        <v>130</v>
      </c>
      <c r="C24" s="9" t="s">
        <v>131</v>
      </c>
      <c r="D24" s="9" t="s">
        <v>581</v>
      </c>
      <c r="E24" s="9" t="s">
        <v>13</v>
      </c>
      <c r="F24" s="9" t="s">
        <v>84</v>
      </c>
      <c r="G24" s="10" t="s">
        <v>132</v>
      </c>
      <c r="H24" s="10" t="s">
        <v>17</v>
      </c>
      <c r="I24" s="10" t="s">
        <v>133</v>
      </c>
      <c r="J24" s="11"/>
      <c r="K24" s="9" t="str">
        <f>"47,5"</f>
        <v>47,5</v>
      </c>
      <c r="L24" s="10" t="str">
        <f>"45,2675"</f>
        <v>45,2675</v>
      </c>
      <c r="M24" s="9"/>
    </row>
    <row r="25" spans="1:13">
      <c r="A25" s="15" t="s">
        <v>134</v>
      </c>
      <c r="B25" s="15" t="s">
        <v>135</v>
      </c>
      <c r="C25" s="15" t="s">
        <v>136</v>
      </c>
      <c r="D25" s="15" t="s">
        <v>581</v>
      </c>
      <c r="E25" s="15" t="s">
        <v>13</v>
      </c>
      <c r="F25" s="15" t="s">
        <v>137</v>
      </c>
      <c r="G25" s="16" t="s">
        <v>15</v>
      </c>
      <c r="H25" s="17" t="s">
        <v>132</v>
      </c>
      <c r="I25" s="16" t="s">
        <v>132</v>
      </c>
      <c r="J25" s="17"/>
      <c r="K25" s="15" t="str">
        <f>"42,5"</f>
        <v>42,5</v>
      </c>
      <c r="L25" s="16" t="str">
        <f>"42,6615"</f>
        <v>42,6615</v>
      </c>
      <c r="M25" s="15"/>
    </row>
    <row r="26" spans="1:13">
      <c r="A26" s="12" t="s">
        <v>138</v>
      </c>
      <c r="B26" s="12" t="s">
        <v>21</v>
      </c>
      <c r="C26" s="12" t="s">
        <v>22</v>
      </c>
      <c r="D26" s="12" t="s">
        <v>581</v>
      </c>
      <c r="E26" s="12" t="s">
        <v>13</v>
      </c>
      <c r="F26" s="12" t="s">
        <v>23</v>
      </c>
      <c r="G26" s="14" t="s">
        <v>26</v>
      </c>
      <c r="H26" s="14" t="s">
        <v>26</v>
      </c>
      <c r="I26" s="14" t="s">
        <v>26</v>
      </c>
      <c r="J26" s="14"/>
      <c r="K26" s="12" t="str">
        <f>"0.00"</f>
        <v>0.00</v>
      </c>
      <c r="L26" s="13" t="str">
        <f>"0,0000"</f>
        <v>0,0000</v>
      </c>
      <c r="M26" s="12"/>
    </row>
    <row r="28" spans="1:13" ht="16">
      <c r="A28" s="27" t="s">
        <v>46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3">
      <c r="A29" s="9" t="s">
        <v>139</v>
      </c>
      <c r="B29" s="9" t="s">
        <v>140</v>
      </c>
      <c r="C29" s="9" t="s">
        <v>141</v>
      </c>
      <c r="D29" s="9" t="s">
        <v>581</v>
      </c>
      <c r="E29" s="9" t="s">
        <v>13</v>
      </c>
      <c r="F29" s="9" t="s">
        <v>142</v>
      </c>
      <c r="G29" s="10" t="s">
        <v>132</v>
      </c>
      <c r="H29" s="10" t="s">
        <v>17</v>
      </c>
      <c r="I29" s="11" t="s">
        <v>133</v>
      </c>
      <c r="J29" s="11"/>
      <c r="K29" s="9" t="str">
        <f>"45,0"</f>
        <v>45,0</v>
      </c>
      <c r="L29" s="10" t="str">
        <f>"42,3630"</f>
        <v>42,3630</v>
      </c>
      <c r="M29" s="9"/>
    </row>
    <row r="30" spans="1:13">
      <c r="A30" s="15" t="s">
        <v>143</v>
      </c>
      <c r="B30" s="15" t="s">
        <v>144</v>
      </c>
      <c r="C30" s="15" t="s">
        <v>145</v>
      </c>
      <c r="D30" s="15" t="s">
        <v>581</v>
      </c>
      <c r="E30" s="15" t="s">
        <v>13</v>
      </c>
      <c r="F30" s="15" t="s">
        <v>84</v>
      </c>
      <c r="G30" s="16" t="s">
        <v>16</v>
      </c>
      <c r="H30" s="16" t="s">
        <v>132</v>
      </c>
      <c r="I30" s="16" t="s">
        <v>17</v>
      </c>
      <c r="J30" s="17"/>
      <c r="K30" s="15" t="str">
        <f>"45,0"</f>
        <v>45,0</v>
      </c>
      <c r="L30" s="16" t="str">
        <f>"40,5000"</f>
        <v>40,5000</v>
      </c>
      <c r="M30" s="15"/>
    </row>
    <row r="31" spans="1:13">
      <c r="A31" s="15" t="s">
        <v>146</v>
      </c>
      <c r="B31" s="15" t="s">
        <v>147</v>
      </c>
      <c r="C31" s="15" t="s">
        <v>145</v>
      </c>
      <c r="D31" s="15" t="s">
        <v>581</v>
      </c>
      <c r="E31" s="15" t="s">
        <v>13</v>
      </c>
      <c r="F31" s="15" t="s">
        <v>84</v>
      </c>
      <c r="G31" s="16" t="s">
        <v>15</v>
      </c>
      <c r="H31" s="17" t="s">
        <v>113</v>
      </c>
      <c r="I31" s="16" t="s">
        <v>113</v>
      </c>
      <c r="J31" s="17"/>
      <c r="K31" s="15" t="str">
        <f>"37,5"</f>
        <v>37,5</v>
      </c>
      <c r="L31" s="16" t="str">
        <f>"33,7500"</f>
        <v>33,7500</v>
      </c>
      <c r="M31" s="15"/>
    </row>
    <row r="32" spans="1:13">
      <c r="A32" s="12" t="s">
        <v>148</v>
      </c>
      <c r="B32" s="12" t="s">
        <v>149</v>
      </c>
      <c r="C32" s="12" t="s">
        <v>145</v>
      </c>
      <c r="D32" s="12" t="s">
        <v>584</v>
      </c>
      <c r="E32" s="12" t="s">
        <v>13</v>
      </c>
      <c r="F32" s="12" t="s">
        <v>84</v>
      </c>
      <c r="G32" s="13" t="s">
        <v>15</v>
      </c>
      <c r="H32" s="14" t="s">
        <v>113</v>
      </c>
      <c r="I32" s="13" t="s">
        <v>113</v>
      </c>
      <c r="J32" s="14"/>
      <c r="K32" s="12" t="str">
        <f>"37,5"</f>
        <v>37,5</v>
      </c>
      <c r="L32" s="13" t="str">
        <f>"39,3187"</f>
        <v>39,3187</v>
      </c>
      <c r="M32" s="12"/>
    </row>
    <row r="34" spans="1:13" ht="16">
      <c r="A34" s="27" t="s">
        <v>27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3">
      <c r="A35" s="6" t="s">
        <v>28</v>
      </c>
      <c r="B35" s="6" t="s">
        <v>29</v>
      </c>
      <c r="C35" s="6" t="s">
        <v>30</v>
      </c>
      <c r="D35" s="6" t="s">
        <v>581</v>
      </c>
      <c r="E35" s="6" t="s">
        <v>13</v>
      </c>
      <c r="F35" s="6" t="s">
        <v>31</v>
      </c>
      <c r="G35" s="7" t="s">
        <v>16</v>
      </c>
      <c r="H35" s="7" t="s">
        <v>133</v>
      </c>
      <c r="I35" s="7" t="s">
        <v>33</v>
      </c>
      <c r="J35" s="8"/>
      <c r="K35" s="6" t="str">
        <f>"55,0"</f>
        <v>55,0</v>
      </c>
      <c r="L35" s="7" t="str">
        <f>"47,9435"</f>
        <v>47,9435</v>
      </c>
      <c r="M35" s="6"/>
    </row>
    <row r="37" spans="1:13" ht="16">
      <c r="A37" s="27" t="s">
        <v>124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3">
      <c r="A38" s="9" t="s">
        <v>150</v>
      </c>
      <c r="B38" s="9" t="s">
        <v>151</v>
      </c>
      <c r="C38" s="9" t="s">
        <v>152</v>
      </c>
      <c r="D38" s="9" t="s">
        <v>581</v>
      </c>
      <c r="E38" s="9" t="s">
        <v>13</v>
      </c>
      <c r="F38" s="9" t="s">
        <v>153</v>
      </c>
      <c r="G38" s="10" t="s">
        <v>45</v>
      </c>
      <c r="H38" s="10" t="s">
        <v>154</v>
      </c>
      <c r="I38" s="10" t="s">
        <v>155</v>
      </c>
      <c r="J38" s="11"/>
      <c r="K38" s="9" t="str">
        <f>"115,0"</f>
        <v>115,0</v>
      </c>
      <c r="L38" s="10" t="str">
        <f>"90,2980"</f>
        <v>90,2980</v>
      </c>
      <c r="M38" s="9"/>
    </row>
    <row r="39" spans="1:13">
      <c r="A39" s="15" t="s">
        <v>156</v>
      </c>
      <c r="B39" s="15" t="s">
        <v>157</v>
      </c>
      <c r="C39" s="15" t="s">
        <v>158</v>
      </c>
      <c r="D39" s="15" t="s">
        <v>581</v>
      </c>
      <c r="E39" s="15" t="s">
        <v>13</v>
      </c>
      <c r="F39" s="15" t="s">
        <v>159</v>
      </c>
      <c r="G39" s="16" t="s">
        <v>160</v>
      </c>
      <c r="H39" s="16" t="s">
        <v>43</v>
      </c>
      <c r="I39" s="16" t="s">
        <v>44</v>
      </c>
      <c r="J39" s="17"/>
      <c r="K39" s="15" t="str">
        <f>"105,0"</f>
        <v>105,0</v>
      </c>
      <c r="L39" s="16" t="str">
        <f>"81,0495"</f>
        <v>81,0495</v>
      </c>
      <c r="M39" s="15" t="s">
        <v>18</v>
      </c>
    </row>
    <row r="40" spans="1:13">
      <c r="A40" s="15" t="s">
        <v>161</v>
      </c>
      <c r="B40" s="15" t="s">
        <v>162</v>
      </c>
      <c r="C40" s="15" t="s">
        <v>163</v>
      </c>
      <c r="D40" s="15" t="s">
        <v>581</v>
      </c>
      <c r="E40" s="15" t="s">
        <v>13</v>
      </c>
      <c r="F40" s="15" t="s">
        <v>14</v>
      </c>
      <c r="G40" s="16" t="s">
        <v>164</v>
      </c>
      <c r="H40" s="16" t="s">
        <v>165</v>
      </c>
      <c r="I40" s="17" t="s">
        <v>166</v>
      </c>
      <c r="J40" s="17"/>
      <c r="K40" s="15" t="str">
        <f>"90,0"</f>
        <v>90,0</v>
      </c>
      <c r="L40" s="16" t="str">
        <f>"73,1970"</f>
        <v>73,1970</v>
      </c>
      <c r="M40" s="15" t="s">
        <v>18</v>
      </c>
    </row>
    <row r="41" spans="1:13">
      <c r="A41" s="15" t="s">
        <v>167</v>
      </c>
      <c r="B41" s="15" t="s">
        <v>168</v>
      </c>
      <c r="C41" s="15" t="s">
        <v>169</v>
      </c>
      <c r="D41" s="15" t="s">
        <v>581</v>
      </c>
      <c r="E41" s="15" t="s">
        <v>13</v>
      </c>
      <c r="F41" s="15" t="s">
        <v>142</v>
      </c>
      <c r="G41" s="16" t="s">
        <v>170</v>
      </c>
      <c r="H41" s="17" t="s">
        <v>160</v>
      </c>
      <c r="I41" s="17" t="s">
        <v>160</v>
      </c>
      <c r="J41" s="17"/>
      <c r="K41" s="15" t="str">
        <f>"87,5"</f>
        <v>87,5</v>
      </c>
      <c r="L41" s="16" t="str">
        <f>"72,4588"</f>
        <v>72,4588</v>
      </c>
      <c r="M41" s="15" t="s">
        <v>18</v>
      </c>
    </row>
    <row r="42" spans="1:13">
      <c r="A42" s="15" t="s">
        <v>171</v>
      </c>
      <c r="B42" s="15" t="s">
        <v>172</v>
      </c>
      <c r="C42" s="15" t="s">
        <v>169</v>
      </c>
      <c r="D42" s="15" t="s">
        <v>584</v>
      </c>
      <c r="E42" s="15" t="s">
        <v>13</v>
      </c>
      <c r="F42" s="15" t="s">
        <v>142</v>
      </c>
      <c r="G42" s="16" t="s">
        <v>170</v>
      </c>
      <c r="H42" s="17" t="s">
        <v>160</v>
      </c>
      <c r="I42" s="17" t="s">
        <v>160</v>
      </c>
      <c r="J42" s="17"/>
      <c r="K42" s="15" t="str">
        <f>"87,5"</f>
        <v>87,5</v>
      </c>
      <c r="L42" s="16" t="str">
        <f>"85,7912"</f>
        <v>85,7912</v>
      </c>
      <c r="M42" s="15" t="s">
        <v>18</v>
      </c>
    </row>
    <row r="43" spans="1:13">
      <c r="A43" s="12" t="s">
        <v>173</v>
      </c>
      <c r="B43" s="12" t="s">
        <v>174</v>
      </c>
      <c r="C43" s="12" t="s">
        <v>163</v>
      </c>
      <c r="D43" s="12" t="s">
        <v>585</v>
      </c>
      <c r="E43" s="12" t="s">
        <v>13</v>
      </c>
      <c r="F43" s="12" t="s">
        <v>14</v>
      </c>
      <c r="G43" s="13" t="s">
        <v>164</v>
      </c>
      <c r="H43" s="13" t="s">
        <v>165</v>
      </c>
      <c r="I43" s="14" t="s">
        <v>166</v>
      </c>
      <c r="J43" s="14"/>
      <c r="K43" s="12" t="str">
        <f>"90,0"</f>
        <v>90,0</v>
      </c>
      <c r="L43" s="13" t="str">
        <f>"120,4091"</f>
        <v>120,4091</v>
      </c>
      <c r="M43" s="12" t="s">
        <v>18</v>
      </c>
    </row>
    <row r="45" spans="1:13" ht="16">
      <c r="A45" s="27" t="s">
        <v>19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3">
      <c r="A46" s="9" t="s">
        <v>34</v>
      </c>
      <c r="B46" s="9" t="s">
        <v>35</v>
      </c>
      <c r="C46" s="9" t="s">
        <v>36</v>
      </c>
      <c r="D46" s="9" t="s">
        <v>581</v>
      </c>
      <c r="E46" s="9" t="s">
        <v>13</v>
      </c>
      <c r="F46" s="9" t="s">
        <v>31</v>
      </c>
      <c r="G46" s="10" t="s">
        <v>56</v>
      </c>
      <c r="H46" s="10" t="s">
        <v>175</v>
      </c>
      <c r="I46" s="11" t="s">
        <v>57</v>
      </c>
      <c r="J46" s="11"/>
      <c r="K46" s="9" t="str">
        <f>"157,5"</f>
        <v>157,5</v>
      </c>
      <c r="L46" s="10" t="str">
        <f>"113,8410"</f>
        <v>113,8410</v>
      </c>
      <c r="M46" s="9" t="s">
        <v>18</v>
      </c>
    </row>
    <row r="47" spans="1:13">
      <c r="A47" s="15" t="s">
        <v>176</v>
      </c>
      <c r="B47" s="15" t="s">
        <v>177</v>
      </c>
      <c r="C47" s="15" t="s">
        <v>178</v>
      </c>
      <c r="D47" s="15" t="s">
        <v>581</v>
      </c>
      <c r="E47" s="15" t="s">
        <v>13</v>
      </c>
      <c r="F47" s="15" t="s">
        <v>84</v>
      </c>
      <c r="G47" s="16" t="s">
        <v>79</v>
      </c>
      <c r="H47" s="16" t="s">
        <v>50</v>
      </c>
      <c r="I47" s="16" t="s">
        <v>63</v>
      </c>
      <c r="J47" s="17"/>
      <c r="K47" s="15" t="str">
        <f>"135,0"</f>
        <v>135,0</v>
      </c>
      <c r="L47" s="16" t="str">
        <f>"98,7525"</f>
        <v>98,7525</v>
      </c>
      <c r="M47" s="15"/>
    </row>
    <row r="48" spans="1:13">
      <c r="A48" s="15" t="s">
        <v>179</v>
      </c>
      <c r="B48" s="15" t="s">
        <v>29</v>
      </c>
      <c r="C48" s="15" t="s">
        <v>180</v>
      </c>
      <c r="D48" s="15" t="s">
        <v>581</v>
      </c>
      <c r="E48" s="15" t="s">
        <v>13</v>
      </c>
      <c r="F48" s="15" t="s">
        <v>137</v>
      </c>
      <c r="G48" s="16" t="s">
        <v>68</v>
      </c>
      <c r="H48" s="16" t="s">
        <v>79</v>
      </c>
      <c r="I48" s="16" t="s">
        <v>50</v>
      </c>
      <c r="J48" s="17"/>
      <c r="K48" s="15" t="str">
        <f>"130,0"</f>
        <v>130,0</v>
      </c>
      <c r="L48" s="16" t="str">
        <f>"92,7160"</f>
        <v>92,7160</v>
      </c>
      <c r="M48" s="15"/>
    </row>
    <row r="49" spans="1:13">
      <c r="A49" s="15" t="s">
        <v>181</v>
      </c>
      <c r="B49" s="15" t="s">
        <v>182</v>
      </c>
      <c r="C49" s="15" t="s">
        <v>183</v>
      </c>
      <c r="D49" s="15" t="s">
        <v>581</v>
      </c>
      <c r="E49" s="15" t="s">
        <v>13</v>
      </c>
      <c r="F49" s="15" t="s">
        <v>184</v>
      </c>
      <c r="G49" s="16" t="s">
        <v>91</v>
      </c>
      <c r="H49" s="17" t="s">
        <v>62</v>
      </c>
      <c r="I49" s="17" t="s">
        <v>62</v>
      </c>
      <c r="J49" s="17"/>
      <c r="K49" s="15" t="str">
        <f>"127,5"</f>
        <v>127,5</v>
      </c>
      <c r="L49" s="16" t="str">
        <f>"91,2773"</f>
        <v>91,2773</v>
      </c>
      <c r="M49" s="15"/>
    </row>
    <row r="50" spans="1:13">
      <c r="A50" s="15" t="s">
        <v>185</v>
      </c>
      <c r="B50" s="15" t="s">
        <v>186</v>
      </c>
      <c r="C50" s="15" t="s">
        <v>187</v>
      </c>
      <c r="D50" s="15" t="s">
        <v>581</v>
      </c>
      <c r="E50" s="15" t="s">
        <v>13</v>
      </c>
      <c r="F50" s="15" t="s">
        <v>84</v>
      </c>
      <c r="G50" s="16" t="s">
        <v>45</v>
      </c>
      <c r="H50" s="16" t="s">
        <v>155</v>
      </c>
      <c r="I50" s="17" t="s">
        <v>68</v>
      </c>
      <c r="J50" s="17"/>
      <c r="K50" s="15" t="str">
        <f>"115,0"</f>
        <v>115,0</v>
      </c>
      <c r="L50" s="16" t="str">
        <f>"83,5360"</f>
        <v>83,5360</v>
      </c>
      <c r="M50" s="15"/>
    </row>
    <row r="51" spans="1:13">
      <c r="A51" s="15" t="s">
        <v>188</v>
      </c>
      <c r="B51" s="15" t="s">
        <v>189</v>
      </c>
      <c r="C51" s="15" t="s">
        <v>190</v>
      </c>
      <c r="D51" s="15" t="s">
        <v>581</v>
      </c>
      <c r="E51" s="15" t="s">
        <v>13</v>
      </c>
      <c r="F51" s="15" t="s">
        <v>159</v>
      </c>
      <c r="G51" s="16" t="s">
        <v>43</v>
      </c>
      <c r="H51" s="16" t="s">
        <v>45</v>
      </c>
      <c r="I51" s="16" t="s">
        <v>155</v>
      </c>
      <c r="J51" s="17"/>
      <c r="K51" s="15" t="str">
        <f>"115,0"</f>
        <v>115,0</v>
      </c>
      <c r="L51" s="16" t="str">
        <f>"82,5585"</f>
        <v>82,5585</v>
      </c>
      <c r="M51" s="15"/>
    </row>
    <row r="52" spans="1:13">
      <c r="A52" s="15" t="s">
        <v>191</v>
      </c>
      <c r="B52" s="15" t="s">
        <v>192</v>
      </c>
      <c r="C52" s="15" t="s">
        <v>193</v>
      </c>
      <c r="D52" s="15" t="s">
        <v>581</v>
      </c>
      <c r="E52" s="15" t="s">
        <v>13</v>
      </c>
      <c r="F52" s="15" t="s">
        <v>84</v>
      </c>
      <c r="G52" s="16" t="s">
        <v>164</v>
      </c>
      <c r="H52" s="16" t="s">
        <v>170</v>
      </c>
      <c r="I52" s="17" t="s">
        <v>165</v>
      </c>
      <c r="J52" s="17"/>
      <c r="K52" s="15" t="str">
        <f>"87,5"</f>
        <v>87,5</v>
      </c>
      <c r="L52" s="16" t="str">
        <f>"65,3538"</f>
        <v>65,3538</v>
      </c>
      <c r="M52" s="15"/>
    </row>
    <row r="53" spans="1:13">
      <c r="A53" s="15" t="s">
        <v>194</v>
      </c>
      <c r="B53" s="15" t="s">
        <v>195</v>
      </c>
      <c r="C53" s="15" t="s">
        <v>196</v>
      </c>
      <c r="D53" s="15" t="s">
        <v>581</v>
      </c>
      <c r="E53" s="15" t="s">
        <v>13</v>
      </c>
      <c r="F53" s="15" t="s">
        <v>84</v>
      </c>
      <c r="G53" s="16" t="s">
        <v>32</v>
      </c>
      <c r="H53" s="16" t="s">
        <v>33</v>
      </c>
      <c r="I53" s="16" t="s">
        <v>197</v>
      </c>
      <c r="J53" s="17"/>
      <c r="K53" s="15" t="str">
        <f>"60,0"</f>
        <v>60,0</v>
      </c>
      <c r="L53" s="16" t="str">
        <f>"45,2640"</f>
        <v>45,2640</v>
      </c>
      <c r="M53" s="15" t="s">
        <v>18</v>
      </c>
    </row>
    <row r="54" spans="1:13">
      <c r="A54" s="15" t="s">
        <v>198</v>
      </c>
      <c r="B54" s="15" t="s">
        <v>199</v>
      </c>
      <c r="C54" s="15" t="s">
        <v>200</v>
      </c>
      <c r="D54" s="15" t="s">
        <v>581</v>
      </c>
      <c r="E54" s="15" t="s">
        <v>13</v>
      </c>
      <c r="F54" s="15" t="s">
        <v>201</v>
      </c>
      <c r="G54" s="17" t="s">
        <v>165</v>
      </c>
      <c r="H54" s="17" t="s">
        <v>165</v>
      </c>
      <c r="I54" s="17" t="s">
        <v>166</v>
      </c>
      <c r="J54" s="17"/>
      <c r="K54" s="15" t="str">
        <f>"0.00"</f>
        <v>0.00</v>
      </c>
      <c r="L54" s="16" t="str">
        <f>"0,0000"</f>
        <v>0,0000</v>
      </c>
      <c r="M54" s="15" t="s">
        <v>18</v>
      </c>
    </row>
    <row r="55" spans="1:13">
      <c r="A55" s="12" t="s">
        <v>202</v>
      </c>
      <c r="B55" s="12" t="s">
        <v>203</v>
      </c>
      <c r="C55" s="12" t="s">
        <v>204</v>
      </c>
      <c r="D55" s="12" t="s">
        <v>582</v>
      </c>
      <c r="E55" s="12" t="s">
        <v>13</v>
      </c>
      <c r="F55" s="12" t="s">
        <v>84</v>
      </c>
      <c r="G55" s="13" t="s">
        <v>205</v>
      </c>
      <c r="H55" s="13" t="s">
        <v>206</v>
      </c>
      <c r="I55" s="13" t="s">
        <v>207</v>
      </c>
      <c r="J55" s="14"/>
      <c r="K55" s="12" t="str">
        <f>"77,5"</f>
        <v>77,5</v>
      </c>
      <c r="L55" s="13" t="str">
        <f>"58,5444"</f>
        <v>58,5444</v>
      </c>
      <c r="M55" s="12" t="s">
        <v>18</v>
      </c>
    </row>
    <row r="57" spans="1:13" ht="16">
      <c r="A57" s="27" t="s">
        <v>46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3">
      <c r="A58" s="9" t="s">
        <v>208</v>
      </c>
      <c r="B58" s="9" t="s">
        <v>209</v>
      </c>
      <c r="C58" s="9" t="s">
        <v>49</v>
      </c>
      <c r="D58" s="9" t="s">
        <v>581</v>
      </c>
      <c r="E58" s="9" t="s">
        <v>13</v>
      </c>
      <c r="F58" s="9" t="s">
        <v>159</v>
      </c>
      <c r="G58" s="10" t="s">
        <v>57</v>
      </c>
      <c r="H58" s="10" t="s">
        <v>210</v>
      </c>
      <c r="I58" s="11" t="s">
        <v>211</v>
      </c>
      <c r="J58" s="11"/>
      <c r="K58" s="9" t="str">
        <f>"165,0"</f>
        <v>165,0</v>
      </c>
      <c r="L58" s="10" t="str">
        <f>"112,9095"</f>
        <v>112,9095</v>
      </c>
      <c r="M58" s="9" t="s">
        <v>18</v>
      </c>
    </row>
    <row r="59" spans="1:13">
      <c r="A59" s="15" t="s">
        <v>212</v>
      </c>
      <c r="B59" s="15" t="s">
        <v>213</v>
      </c>
      <c r="C59" s="15" t="s">
        <v>214</v>
      </c>
      <c r="D59" s="15" t="s">
        <v>581</v>
      </c>
      <c r="E59" s="15" t="s">
        <v>107</v>
      </c>
      <c r="F59" s="15" t="s">
        <v>84</v>
      </c>
      <c r="G59" s="16" t="s">
        <v>55</v>
      </c>
      <c r="H59" s="16" t="s">
        <v>73</v>
      </c>
      <c r="I59" s="16" t="s">
        <v>56</v>
      </c>
      <c r="J59" s="17"/>
      <c r="K59" s="15" t="str">
        <f>"150,0"</f>
        <v>150,0</v>
      </c>
      <c r="L59" s="16" t="str">
        <f>"103,3950"</f>
        <v>103,3950</v>
      </c>
      <c r="M59" s="15" t="s">
        <v>215</v>
      </c>
    </row>
    <row r="60" spans="1:13">
      <c r="A60" s="15" t="s">
        <v>216</v>
      </c>
      <c r="B60" s="15" t="s">
        <v>48</v>
      </c>
      <c r="C60" s="15" t="s">
        <v>49</v>
      </c>
      <c r="D60" s="15" t="s">
        <v>581</v>
      </c>
      <c r="E60" s="15" t="s">
        <v>13</v>
      </c>
      <c r="F60" s="15" t="s">
        <v>31</v>
      </c>
      <c r="G60" s="16" t="s">
        <v>50</v>
      </c>
      <c r="H60" s="16" t="s">
        <v>55</v>
      </c>
      <c r="I60" s="17" t="s">
        <v>37</v>
      </c>
      <c r="J60" s="17"/>
      <c r="K60" s="15" t="str">
        <f>"140,0"</f>
        <v>140,0</v>
      </c>
      <c r="L60" s="16" t="str">
        <f>"95,8020"</f>
        <v>95,8020</v>
      </c>
      <c r="M60" s="15" t="s">
        <v>18</v>
      </c>
    </row>
    <row r="61" spans="1:13">
      <c r="A61" s="15" t="s">
        <v>217</v>
      </c>
      <c r="B61" s="15" t="s">
        <v>218</v>
      </c>
      <c r="C61" s="15" t="s">
        <v>219</v>
      </c>
      <c r="D61" s="15" t="s">
        <v>581</v>
      </c>
      <c r="E61" s="15" t="s">
        <v>13</v>
      </c>
      <c r="F61" s="15" t="s">
        <v>220</v>
      </c>
      <c r="G61" s="16" t="s">
        <v>63</v>
      </c>
      <c r="H61" s="16" t="s">
        <v>55</v>
      </c>
      <c r="I61" s="17" t="s">
        <v>73</v>
      </c>
      <c r="J61" s="17"/>
      <c r="K61" s="15" t="str">
        <f>"140,0"</f>
        <v>140,0</v>
      </c>
      <c r="L61" s="16" t="str">
        <f>"95,0600"</f>
        <v>95,0600</v>
      </c>
      <c r="M61" s="15" t="s">
        <v>18</v>
      </c>
    </row>
    <row r="62" spans="1:13">
      <c r="A62" s="15" t="s">
        <v>221</v>
      </c>
      <c r="B62" s="15" t="s">
        <v>222</v>
      </c>
      <c r="C62" s="15" t="s">
        <v>223</v>
      </c>
      <c r="D62" s="15" t="s">
        <v>581</v>
      </c>
      <c r="E62" s="15" t="s">
        <v>13</v>
      </c>
      <c r="F62" s="15" t="s">
        <v>224</v>
      </c>
      <c r="G62" s="16" t="s">
        <v>45</v>
      </c>
      <c r="H62" s="16" t="s">
        <v>154</v>
      </c>
      <c r="I62" s="16" t="s">
        <v>155</v>
      </c>
      <c r="J62" s="17"/>
      <c r="K62" s="15" t="str">
        <f>"115,0"</f>
        <v>115,0</v>
      </c>
      <c r="L62" s="16" t="str">
        <f>"78,4530"</f>
        <v>78,4530</v>
      </c>
      <c r="M62" s="15" t="s">
        <v>18</v>
      </c>
    </row>
    <row r="63" spans="1:13">
      <c r="A63" s="15" t="s">
        <v>225</v>
      </c>
      <c r="B63" s="15" t="s">
        <v>226</v>
      </c>
      <c r="C63" s="15" t="s">
        <v>227</v>
      </c>
      <c r="D63" s="15" t="s">
        <v>581</v>
      </c>
      <c r="E63" s="15" t="s">
        <v>13</v>
      </c>
      <c r="F63" s="15" t="s">
        <v>84</v>
      </c>
      <c r="G63" s="17" t="s">
        <v>164</v>
      </c>
      <c r="H63" s="16" t="s">
        <v>164</v>
      </c>
      <c r="I63" s="16" t="s">
        <v>43</v>
      </c>
      <c r="J63" s="17"/>
      <c r="K63" s="15" t="str">
        <f>"100,0"</f>
        <v>100,0</v>
      </c>
      <c r="L63" s="16" t="str">
        <f>"67,7900"</f>
        <v>67,7900</v>
      </c>
      <c r="M63" s="15" t="s">
        <v>18</v>
      </c>
    </row>
    <row r="64" spans="1:13">
      <c r="A64" s="15" t="s">
        <v>228</v>
      </c>
      <c r="B64" s="15" t="s">
        <v>229</v>
      </c>
      <c r="C64" s="15" t="s">
        <v>230</v>
      </c>
      <c r="D64" s="15" t="s">
        <v>581</v>
      </c>
      <c r="E64" s="15" t="s">
        <v>13</v>
      </c>
      <c r="F64" s="15" t="s">
        <v>84</v>
      </c>
      <c r="G64" s="16" t="s">
        <v>164</v>
      </c>
      <c r="H64" s="16" t="s">
        <v>165</v>
      </c>
      <c r="I64" s="17" t="s">
        <v>160</v>
      </c>
      <c r="J64" s="17"/>
      <c r="K64" s="15" t="str">
        <f>"90,0"</f>
        <v>90,0</v>
      </c>
      <c r="L64" s="16" t="str">
        <f>"61,4430"</f>
        <v>61,4430</v>
      </c>
      <c r="M64" s="15" t="s">
        <v>18</v>
      </c>
    </row>
    <row r="65" spans="1:13">
      <c r="A65" s="15" t="s">
        <v>231</v>
      </c>
      <c r="B65" s="15" t="s">
        <v>232</v>
      </c>
      <c r="C65" s="15" t="s">
        <v>219</v>
      </c>
      <c r="D65" s="15" t="s">
        <v>581</v>
      </c>
      <c r="E65" s="15" t="s">
        <v>13</v>
      </c>
      <c r="F65" s="15" t="s">
        <v>84</v>
      </c>
      <c r="G65" s="17" t="s">
        <v>233</v>
      </c>
      <c r="H65" s="16" t="s">
        <v>233</v>
      </c>
      <c r="I65" s="17" t="s">
        <v>234</v>
      </c>
      <c r="J65" s="17"/>
      <c r="K65" s="15" t="str">
        <f>"80,0"</f>
        <v>80,0</v>
      </c>
      <c r="L65" s="16" t="str">
        <f>"54,3200"</f>
        <v>54,3200</v>
      </c>
      <c r="M65" s="15" t="s">
        <v>18</v>
      </c>
    </row>
    <row r="66" spans="1:13">
      <c r="A66" s="15" t="s">
        <v>235</v>
      </c>
      <c r="B66" s="15" t="s">
        <v>236</v>
      </c>
      <c r="C66" s="15" t="s">
        <v>219</v>
      </c>
      <c r="D66" s="15" t="s">
        <v>583</v>
      </c>
      <c r="E66" s="15" t="s">
        <v>13</v>
      </c>
      <c r="F66" s="15" t="s">
        <v>220</v>
      </c>
      <c r="G66" s="16" t="s">
        <v>63</v>
      </c>
      <c r="H66" s="16" t="s">
        <v>55</v>
      </c>
      <c r="I66" s="17" t="s">
        <v>73</v>
      </c>
      <c r="J66" s="17"/>
      <c r="K66" s="15" t="str">
        <f>"140,0"</f>
        <v>140,0</v>
      </c>
      <c r="L66" s="16" t="str">
        <f>"104,2808"</f>
        <v>104,2808</v>
      </c>
      <c r="M66" s="15" t="s">
        <v>18</v>
      </c>
    </row>
    <row r="67" spans="1:13">
      <c r="A67" s="15" t="s">
        <v>237</v>
      </c>
      <c r="B67" s="15" t="s">
        <v>238</v>
      </c>
      <c r="C67" s="15" t="s">
        <v>223</v>
      </c>
      <c r="D67" s="15" t="s">
        <v>583</v>
      </c>
      <c r="E67" s="15" t="s">
        <v>13</v>
      </c>
      <c r="F67" s="15" t="s">
        <v>224</v>
      </c>
      <c r="G67" s="16" t="s">
        <v>45</v>
      </c>
      <c r="H67" s="16" t="s">
        <v>154</v>
      </c>
      <c r="I67" s="16" t="s">
        <v>155</v>
      </c>
      <c r="J67" s="17"/>
      <c r="K67" s="15" t="str">
        <f>"115,0"</f>
        <v>115,0</v>
      </c>
      <c r="L67" s="16" t="str">
        <f>"87,3182"</f>
        <v>87,3182</v>
      </c>
      <c r="M67" s="15" t="s">
        <v>18</v>
      </c>
    </row>
    <row r="68" spans="1:13">
      <c r="A68" s="15" t="s">
        <v>239</v>
      </c>
      <c r="B68" s="15" t="s">
        <v>240</v>
      </c>
      <c r="C68" s="15" t="s">
        <v>145</v>
      </c>
      <c r="D68" s="15" t="s">
        <v>583</v>
      </c>
      <c r="E68" s="15" t="s">
        <v>13</v>
      </c>
      <c r="F68" s="15" t="s">
        <v>84</v>
      </c>
      <c r="G68" s="17"/>
      <c r="H68" s="17"/>
      <c r="I68" s="17"/>
      <c r="J68" s="17"/>
      <c r="K68" s="15" t="str">
        <f>"0.00"</f>
        <v>0.00</v>
      </c>
      <c r="L68" s="16" t="str">
        <f>"0,0000"</f>
        <v>0,0000</v>
      </c>
      <c r="M68" s="15"/>
    </row>
    <row r="69" spans="1:13">
      <c r="A69" s="15" t="s">
        <v>241</v>
      </c>
      <c r="B69" s="15" t="s">
        <v>242</v>
      </c>
      <c r="C69" s="15" t="s">
        <v>243</v>
      </c>
      <c r="D69" s="15" t="s">
        <v>584</v>
      </c>
      <c r="E69" s="15" t="s">
        <v>13</v>
      </c>
      <c r="F69" s="15" t="s">
        <v>84</v>
      </c>
      <c r="G69" s="17" t="s">
        <v>155</v>
      </c>
      <c r="H69" s="17" t="s">
        <v>155</v>
      </c>
      <c r="I69" s="16" t="s">
        <v>155</v>
      </c>
      <c r="J69" s="17"/>
      <c r="K69" s="15" t="str">
        <f>"115,0"</f>
        <v>115,0</v>
      </c>
      <c r="L69" s="16" t="str">
        <f>"91,9738"</f>
        <v>91,9738</v>
      </c>
      <c r="M69" s="15"/>
    </row>
    <row r="70" spans="1:13">
      <c r="A70" s="12" t="s">
        <v>244</v>
      </c>
      <c r="B70" s="12" t="s">
        <v>245</v>
      </c>
      <c r="C70" s="12" t="s">
        <v>214</v>
      </c>
      <c r="D70" s="12" t="s">
        <v>586</v>
      </c>
      <c r="E70" s="12" t="s">
        <v>107</v>
      </c>
      <c r="F70" s="12" t="s">
        <v>84</v>
      </c>
      <c r="G70" s="13" t="s">
        <v>55</v>
      </c>
      <c r="H70" s="13" t="s">
        <v>73</v>
      </c>
      <c r="I70" s="13" t="s">
        <v>56</v>
      </c>
      <c r="J70" s="14"/>
      <c r="K70" s="12" t="str">
        <f>"150,0"</f>
        <v>150,0</v>
      </c>
      <c r="L70" s="13" t="str">
        <f>"156,2298"</f>
        <v>156,2298</v>
      </c>
      <c r="M70" s="12" t="s">
        <v>215</v>
      </c>
    </row>
    <row r="72" spans="1:13" ht="16">
      <c r="A72" s="27" t="s">
        <v>51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</row>
    <row r="73" spans="1:13">
      <c r="A73" s="9" t="s">
        <v>246</v>
      </c>
      <c r="B73" s="9" t="s">
        <v>247</v>
      </c>
      <c r="C73" s="9" t="s">
        <v>248</v>
      </c>
      <c r="D73" s="9" t="s">
        <v>581</v>
      </c>
      <c r="E73" s="9" t="s">
        <v>13</v>
      </c>
      <c r="F73" s="9" t="s">
        <v>84</v>
      </c>
      <c r="G73" s="10" t="s">
        <v>38</v>
      </c>
      <c r="H73" s="10" t="s">
        <v>211</v>
      </c>
      <c r="I73" s="10" t="s">
        <v>39</v>
      </c>
      <c r="J73" s="11"/>
      <c r="K73" s="9" t="str">
        <f>"170,0"</f>
        <v>170,0</v>
      </c>
      <c r="L73" s="10" t="str">
        <f>"110,0070"</f>
        <v>110,0070</v>
      </c>
      <c r="M73" s="9"/>
    </row>
    <row r="74" spans="1:13">
      <c r="A74" s="15" t="s">
        <v>249</v>
      </c>
      <c r="B74" s="15" t="s">
        <v>53</v>
      </c>
      <c r="C74" s="15" t="s">
        <v>54</v>
      </c>
      <c r="D74" s="15" t="s">
        <v>581</v>
      </c>
      <c r="E74" s="15" t="s">
        <v>13</v>
      </c>
      <c r="F74" s="15" t="s">
        <v>31</v>
      </c>
      <c r="G74" s="16" t="s">
        <v>250</v>
      </c>
      <c r="H74" s="16" t="s">
        <v>37</v>
      </c>
      <c r="I74" s="16" t="s">
        <v>251</v>
      </c>
      <c r="J74" s="17"/>
      <c r="K74" s="15" t="str">
        <f>"155,0"</f>
        <v>155,0</v>
      </c>
      <c r="L74" s="16" t="str">
        <f>"99,9285"</f>
        <v>99,9285</v>
      </c>
      <c r="M74" s="15"/>
    </row>
    <row r="75" spans="1:13">
      <c r="A75" s="15" t="s">
        <v>252</v>
      </c>
      <c r="B75" s="15" t="s">
        <v>253</v>
      </c>
      <c r="C75" s="15" t="s">
        <v>254</v>
      </c>
      <c r="D75" s="15" t="s">
        <v>581</v>
      </c>
      <c r="E75" s="15" t="s">
        <v>13</v>
      </c>
      <c r="F75" s="15" t="s">
        <v>255</v>
      </c>
      <c r="G75" s="16" t="s">
        <v>79</v>
      </c>
      <c r="H75" s="16" t="s">
        <v>63</v>
      </c>
      <c r="I75" s="16" t="s">
        <v>256</v>
      </c>
      <c r="J75" s="17"/>
      <c r="K75" s="15" t="str">
        <f>"137,5"</f>
        <v>137,5</v>
      </c>
      <c r="L75" s="16" t="str">
        <f>"90,5162"</f>
        <v>90,5162</v>
      </c>
      <c r="M75" s="15"/>
    </row>
    <row r="76" spans="1:13">
      <c r="A76" s="15" t="s">
        <v>257</v>
      </c>
      <c r="B76" s="15" t="s">
        <v>258</v>
      </c>
      <c r="C76" s="15" t="s">
        <v>259</v>
      </c>
      <c r="D76" s="15" t="s">
        <v>581</v>
      </c>
      <c r="E76" s="15" t="s">
        <v>13</v>
      </c>
      <c r="F76" s="15" t="s">
        <v>84</v>
      </c>
      <c r="G76" s="16" t="s">
        <v>79</v>
      </c>
      <c r="H76" s="16" t="s">
        <v>91</v>
      </c>
      <c r="I76" s="17" t="s">
        <v>50</v>
      </c>
      <c r="J76" s="17"/>
      <c r="K76" s="15" t="str">
        <f>"127,5"</f>
        <v>127,5</v>
      </c>
      <c r="L76" s="16" t="str">
        <f>"84,5070"</f>
        <v>84,5070</v>
      </c>
      <c r="M76" s="15"/>
    </row>
    <row r="77" spans="1:13">
      <c r="A77" s="15" t="s">
        <v>260</v>
      </c>
      <c r="B77" s="15" t="s">
        <v>261</v>
      </c>
      <c r="C77" s="15" t="s">
        <v>262</v>
      </c>
      <c r="D77" s="15" t="s">
        <v>581</v>
      </c>
      <c r="E77" s="15" t="s">
        <v>13</v>
      </c>
      <c r="F77" s="15" t="s">
        <v>263</v>
      </c>
      <c r="G77" s="16" t="s">
        <v>155</v>
      </c>
      <c r="H77" s="16" t="s">
        <v>264</v>
      </c>
      <c r="I77" s="17" t="s">
        <v>50</v>
      </c>
      <c r="J77" s="17"/>
      <c r="K77" s="15" t="str">
        <f>"122,5"</f>
        <v>122,5</v>
      </c>
      <c r="L77" s="16" t="str">
        <f>"80,0660"</f>
        <v>80,0660</v>
      </c>
      <c r="M77" s="15"/>
    </row>
    <row r="78" spans="1:13">
      <c r="A78" s="15" t="s">
        <v>265</v>
      </c>
      <c r="B78" s="15" t="s">
        <v>266</v>
      </c>
      <c r="C78" s="15" t="s">
        <v>267</v>
      </c>
      <c r="D78" s="15" t="s">
        <v>581</v>
      </c>
      <c r="E78" s="15" t="s">
        <v>13</v>
      </c>
      <c r="F78" s="15" t="s">
        <v>78</v>
      </c>
      <c r="G78" s="16" t="s">
        <v>268</v>
      </c>
      <c r="H78" s="17" t="s">
        <v>264</v>
      </c>
      <c r="I78" s="16" t="s">
        <v>264</v>
      </c>
      <c r="J78" s="17"/>
      <c r="K78" s="15" t="str">
        <f>"122,5"</f>
        <v>122,5</v>
      </c>
      <c r="L78" s="16" t="str">
        <f>"79,9680"</f>
        <v>79,9680</v>
      </c>
      <c r="M78" s="15"/>
    </row>
    <row r="79" spans="1:13">
      <c r="A79" s="15" t="s">
        <v>269</v>
      </c>
      <c r="B79" s="15" t="s">
        <v>270</v>
      </c>
      <c r="C79" s="15" t="s">
        <v>271</v>
      </c>
      <c r="D79" s="15" t="s">
        <v>581</v>
      </c>
      <c r="E79" s="15" t="s">
        <v>13</v>
      </c>
      <c r="F79" s="15" t="s">
        <v>84</v>
      </c>
      <c r="G79" s="16" t="s">
        <v>68</v>
      </c>
      <c r="H79" s="17" t="s">
        <v>79</v>
      </c>
      <c r="I79" s="17" t="s">
        <v>79</v>
      </c>
      <c r="J79" s="17"/>
      <c r="K79" s="15" t="str">
        <f>"120,0"</f>
        <v>120,0</v>
      </c>
      <c r="L79" s="16" t="str">
        <f>"79,8120"</f>
        <v>79,8120</v>
      </c>
      <c r="M79" s="15"/>
    </row>
    <row r="80" spans="1:13">
      <c r="A80" s="15" t="s">
        <v>272</v>
      </c>
      <c r="B80" s="15" t="s">
        <v>273</v>
      </c>
      <c r="C80" s="15" t="s">
        <v>274</v>
      </c>
      <c r="D80" s="15" t="s">
        <v>581</v>
      </c>
      <c r="E80" s="15" t="s">
        <v>13</v>
      </c>
      <c r="F80" s="15" t="s">
        <v>142</v>
      </c>
      <c r="G80" s="16" t="s">
        <v>45</v>
      </c>
      <c r="H80" s="16" t="s">
        <v>155</v>
      </c>
      <c r="I80" s="16" t="s">
        <v>68</v>
      </c>
      <c r="J80" s="17"/>
      <c r="K80" s="15" t="str">
        <f>"120,0"</f>
        <v>120,0</v>
      </c>
      <c r="L80" s="16" t="str">
        <f>"77,6040"</f>
        <v>77,6040</v>
      </c>
      <c r="M80" s="15"/>
    </row>
    <row r="81" spans="1:13">
      <c r="A81" s="15" t="s">
        <v>275</v>
      </c>
      <c r="B81" s="15" t="s">
        <v>276</v>
      </c>
      <c r="C81" s="15" t="s">
        <v>277</v>
      </c>
      <c r="D81" s="15" t="s">
        <v>581</v>
      </c>
      <c r="E81" s="15" t="s">
        <v>13</v>
      </c>
      <c r="F81" s="15" t="s">
        <v>142</v>
      </c>
      <c r="G81" s="16" t="s">
        <v>155</v>
      </c>
      <c r="H81" s="17" t="s">
        <v>268</v>
      </c>
      <c r="I81" s="16" t="s">
        <v>68</v>
      </c>
      <c r="J81" s="17"/>
      <c r="K81" s="15" t="str">
        <f>"120,0"</f>
        <v>120,0</v>
      </c>
      <c r="L81" s="16" t="str">
        <f>"77,0520"</f>
        <v>77,0520</v>
      </c>
      <c r="M81" s="15"/>
    </row>
    <row r="82" spans="1:13">
      <c r="A82" s="15" t="s">
        <v>278</v>
      </c>
      <c r="B82" s="15" t="s">
        <v>279</v>
      </c>
      <c r="C82" s="15" t="s">
        <v>280</v>
      </c>
      <c r="D82" s="15" t="s">
        <v>581</v>
      </c>
      <c r="E82" s="15" t="s">
        <v>13</v>
      </c>
      <c r="F82" s="15" t="s">
        <v>142</v>
      </c>
      <c r="G82" s="16" t="s">
        <v>45</v>
      </c>
      <c r="H82" s="16" t="s">
        <v>155</v>
      </c>
      <c r="I82" s="16" t="s">
        <v>268</v>
      </c>
      <c r="J82" s="17"/>
      <c r="K82" s="15" t="str">
        <f>"117,5"</f>
        <v>117,5</v>
      </c>
      <c r="L82" s="16" t="str">
        <f>"76,0812"</f>
        <v>76,0812</v>
      </c>
      <c r="M82" s="15"/>
    </row>
    <row r="83" spans="1:13">
      <c r="A83" s="15" t="s">
        <v>281</v>
      </c>
      <c r="B83" s="15" t="s">
        <v>282</v>
      </c>
      <c r="C83" s="15" t="s">
        <v>283</v>
      </c>
      <c r="D83" s="15" t="s">
        <v>581</v>
      </c>
      <c r="E83" s="15" t="s">
        <v>13</v>
      </c>
      <c r="F83" s="15" t="s">
        <v>112</v>
      </c>
      <c r="G83" s="16" t="s">
        <v>44</v>
      </c>
      <c r="H83" s="17" t="s">
        <v>154</v>
      </c>
      <c r="I83" s="17" t="s">
        <v>154</v>
      </c>
      <c r="J83" s="17"/>
      <c r="K83" s="15" t="str">
        <f>"105,0"</f>
        <v>105,0</v>
      </c>
      <c r="L83" s="16" t="str">
        <f>"69,0795"</f>
        <v>69,0795</v>
      </c>
      <c r="M83" s="15"/>
    </row>
    <row r="84" spans="1:13">
      <c r="A84" s="15" t="s">
        <v>284</v>
      </c>
      <c r="B84" s="15" t="s">
        <v>285</v>
      </c>
      <c r="C84" s="15" t="s">
        <v>286</v>
      </c>
      <c r="D84" s="15" t="s">
        <v>581</v>
      </c>
      <c r="E84" s="15" t="s">
        <v>13</v>
      </c>
      <c r="F84" s="15" t="s">
        <v>84</v>
      </c>
      <c r="G84" s="16" t="s">
        <v>165</v>
      </c>
      <c r="H84" s="17" t="s">
        <v>43</v>
      </c>
      <c r="I84" s="17" t="s">
        <v>287</v>
      </c>
      <c r="J84" s="17"/>
      <c r="K84" s="15" t="str">
        <f>"90,0"</f>
        <v>90,0</v>
      </c>
      <c r="L84" s="16" t="str">
        <f>"59,3280"</f>
        <v>59,3280</v>
      </c>
      <c r="M84" s="15"/>
    </row>
    <row r="85" spans="1:13">
      <c r="A85" s="15" t="s">
        <v>288</v>
      </c>
      <c r="B85" s="15" t="s">
        <v>289</v>
      </c>
      <c r="C85" s="15" t="s">
        <v>290</v>
      </c>
      <c r="D85" s="15" t="s">
        <v>581</v>
      </c>
      <c r="E85" s="15" t="s">
        <v>13</v>
      </c>
      <c r="F85" s="15" t="s">
        <v>84</v>
      </c>
      <c r="G85" s="17" t="s">
        <v>206</v>
      </c>
      <c r="H85" s="16" t="s">
        <v>207</v>
      </c>
      <c r="I85" s="16" t="s">
        <v>233</v>
      </c>
      <c r="J85" s="17"/>
      <c r="K85" s="15" t="str">
        <f>"80,0"</f>
        <v>80,0</v>
      </c>
      <c r="L85" s="16" t="str">
        <f>"51,1280"</f>
        <v>51,1280</v>
      </c>
      <c r="M85" s="15"/>
    </row>
    <row r="86" spans="1:13">
      <c r="A86" s="15" t="s">
        <v>291</v>
      </c>
      <c r="B86" s="15" t="s">
        <v>292</v>
      </c>
      <c r="C86" s="15" t="s">
        <v>293</v>
      </c>
      <c r="D86" s="15" t="s">
        <v>581</v>
      </c>
      <c r="E86" s="15" t="s">
        <v>13</v>
      </c>
      <c r="F86" s="15" t="s">
        <v>84</v>
      </c>
      <c r="G86" s="16" t="s">
        <v>205</v>
      </c>
      <c r="H86" s="16" t="s">
        <v>206</v>
      </c>
      <c r="I86" s="16" t="s">
        <v>207</v>
      </c>
      <c r="J86" s="17"/>
      <c r="K86" s="15" t="str">
        <f>"77,5"</f>
        <v>77,5</v>
      </c>
      <c r="L86" s="16" t="str">
        <f>"50,4292"</f>
        <v>50,4292</v>
      </c>
      <c r="M86" s="15"/>
    </row>
    <row r="87" spans="1:13">
      <c r="A87" s="15" t="s">
        <v>294</v>
      </c>
      <c r="B87" s="15" t="s">
        <v>295</v>
      </c>
      <c r="C87" s="15" t="s">
        <v>274</v>
      </c>
      <c r="D87" s="15" t="s">
        <v>582</v>
      </c>
      <c r="E87" s="15" t="s">
        <v>13</v>
      </c>
      <c r="F87" s="15" t="s">
        <v>142</v>
      </c>
      <c r="G87" s="16" t="s">
        <v>45</v>
      </c>
      <c r="H87" s="16" t="s">
        <v>155</v>
      </c>
      <c r="I87" s="16" t="s">
        <v>68</v>
      </c>
      <c r="J87" s="17"/>
      <c r="K87" s="15" t="str">
        <f>"120,0"</f>
        <v>120,0</v>
      </c>
      <c r="L87" s="16" t="str">
        <f>"77,6040"</f>
        <v>77,6040</v>
      </c>
      <c r="M87" s="15"/>
    </row>
    <row r="88" spans="1:13">
      <c r="A88" s="15" t="s">
        <v>296</v>
      </c>
      <c r="B88" s="15" t="s">
        <v>297</v>
      </c>
      <c r="C88" s="15" t="s">
        <v>277</v>
      </c>
      <c r="D88" s="15" t="s">
        <v>582</v>
      </c>
      <c r="E88" s="15" t="s">
        <v>13</v>
      </c>
      <c r="F88" s="15" t="s">
        <v>14</v>
      </c>
      <c r="G88" s="16" t="s">
        <v>45</v>
      </c>
      <c r="H88" s="17" t="s">
        <v>268</v>
      </c>
      <c r="I88" s="16" t="s">
        <v>268</v>
      </c>
      <c r="J88" s="17"/>
      <c r="K88" s="15" t="str">
        <f>"117,5"</f>
        <v>117,5</v>
      </c>
      <c r="L88" s="16" t="str">
        <f>"78,6910"</f>
        <v>78,6910</v>
      </c>
      <c r="M88" s="15"/>
    </row>
    <row r="89" spans="1:13">
      <c r="A89" s="15" t="s">
        <v>246</v>
      </c>
      <c r="B89" s="15" t="s">
        <v>298</v>
      </c>
      <c r="C89" s="15" t="s">
        <v>248</v>
      </c>
      <c r="D89" s="15" t="s">
        <v>584</v>
      </c>
      <c r="E89" s="15" t="s">
        <v>13</v>
      </c>
      <c r="F89" s="15" t="s">
        <v>84</v>
      </c>
      <c r="G89" s="16" t="s">
        <v>38</v>
      </c>
      <c r="H89" s="16" t="s">
        <v>211</v>
      </c>
      <c r="I89" s="16" t="s">
        <v>39</v>
      </c>
      <c r="J89" s="17"/>
      <c r="K89" s="15" t="str">
        <f>"170,0"</f>
        <v>170,0</v>
      </c>
      <c r="L89" s="16" t="str">
        <f>"124,3079"</f>
        <v>124,3079</v>
      </c>
      <c r="M89" s="15"/>
    </row>
    <row r="90" spans="1:13">
      <c r="A90" s="15" t="s">
        <v>299</v>
      </c>
      <c r="B90" s="15" t="s">
        <v>300</v>
      </c>
      <c r="C90" s="15" t="s">
        <v>259</v>
      </c>
      <c r="D90" s="15" t="s">
        <v>584</v>
      </c>
      <c r="E90" s="15" t="s">
        <v>13</v>
      </c>
      <c r="F90" s="15" t="s">
        <v>84</v>
      </c>
      <c r="G90" s="16" t="s">
        <v>79</v>
      </c>
      <c r="H90" s="16" t="s">
        <v>91</v>
      </c>
      <c r="I90" s="17" t="s">
        <v>50</v>
      </c>
      <c r="J90" s="17"/>
      <c r="K90" s="15" t="str">
        <f>"127,5"</f>
        <v>127,5</v>
      </c>
      <c r="L90" s="16" t="str">
        <f>"100,0563"</f>
        <v>100,0563</v>
      </c>
      <c r="M90" s="15"/>
    </row>
    <row r="91" spans="1:13">
      <c r="A91" s="15" t="s">
        <v>301</v>
      </c>
      <c r="B91" s="15" t="s">
        <v>302</v>
      </c>
      <c r="C91" s="15" t="s">
        <v>303</v>
      </c>
      <c r="D91" s="15" t="s">
        <v>584</v>
      </c>
      <c r="E91" s="15" t="s">
        <v>13</v>
      </c>
      <c r="F91" s="15" t="s">
        <v>201</v>
      </c>
      <c r="G91" s="16" t="s">
        <v>79</v>
      </c>
      <c r="H91" s="17" t="s">
        <v>63</v>
      </c>
      <c r="I91" s="17" t="s">
        <v>63</v>
      </c>
      <c r="J91" s="17"/>
      <c r="K91" s="15" t="str">
        <f>"125,0"</f>
        <v>125,0</v>
      </c>
      <c r="L91" s="16" t="str">
        <f>"92,6176"</f>
        <v>92,6176</v>
      </c>
      <c r="M91" s="15"/>
    </row>
    <row r="92" spans="1:13">
      <c r="A92" s="15" t="s">
        <v>304</v>
      </c>
      <c r="B92" s="15" t="s">
        <v>305</v>
      </c>
      <c r="C92" s="15" t="s">
        <v>262</v>
      </c>
      <c r="D92" s="15" t="s">
        <v>584</v>
      </c>
      <c r="E92" s="15" t="s">
        <v>13</v>
      </c>
      <c r="F92" s="15" t="s">
        <v>263</v>
      </c>
      <c r="G92" s="16" t="s">
        <v>155</v>
      </c>
      <c r="H92" s="16" t="s">
        <v>264</v>
      </c>
      <c r="I92" s="17" t="s">
        <v>50</v>
      </c>
      <c r="J92" s="17"/>
      <c r="K92" s="15" t="str">
        <f>"122,5"</f>
        <v>122,5</v>
      </c>
      <c r="L92" s="16" t="str">
        <f>"91,8357"</f>
        <v>91,8357</v>
      </c>
      <c r="M92" s="15"/>
    </row>
    <row r="93" spans="1:13">
      <c r="A93" s="15" t="s">
        <v>306</v>
      </c>
      <c r="B93" s="15" t="s">
        <v>307</v>
      </c>
      <c r="C93" s="15" t="s">
        <v>283</v>
      </c>
      <c r="D93" s="15" t="s">
        <v>587</v>
      </c>
      <c r="E93" s="15" t="s">
        <v>13</v>
      </c>
      <c r="F93" s="15" t="s">
        <v>112</v>
      </c>
      <c r="G93" s="16" t="s">
        <v>44</v>
      </c>
      <c r="H93" s="17" t="s">
        <v>154</v>
      </c>
      <c r="I93" s="17" t="s">
        <v>154</v>
      </c>
      <c r="J93" s="17"/>
      <c r="K93" s="15" t="str">
        <f>"105,0"</f>
        <v>105,0</v>
      </c>
      <c r="L93" s="16" t="str">
        <f>"87,5928"</f>
        <v>87,5928</v>
      </c>
      <c r="M93" s="15"/>
    </row>
    <row r="94" spans="1:13">
      <c r="A94" s="12" t="s">
        <v>308</v>
      </c>
      <c r="B94" s="12" t="s">
        <v>309</v>
      </c>
      <c r="C94" s="12" t="s">
        <v>310</v>
      </c>
      <c r="D94" s="12" t="s">
        <v>586</v>
      </c>
      <c r="E94" s="12" t="s">
        <v>13</v>
      </c>
      <c r="F94" s="12" t="s">
        <v>84</v>
      </c>
      <c r="G94" s="13" t="s">
        <v>68</v>
      </c>
      <c r="H94" s="14" t="s">
        <v>79</v>
      </c>
      <c r="I94" s="14" t="s">
        <v>79</v>
      </c>
      <c r="J94" s="14"/>
      <c r="K94" s="12" t="str">
        <f>"120,0"</f>
        <v>120,0</v>
      </c>
      <c r="L94" s="13" t="str">
        <f>"120,9465"</f>
        <v>120,9465</v>
      </c>
      <c r="M94" s="12"/>
    </row>
    <row r="96" spans="1:13" ht="16">
      <c r="A96" s="27" t="s">
        <v>58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3">
      <c r="A97" s="9" t="s">
        <v>311</v>
      </c>
      <c r="B97" s="9" t="s">
        <v>312</v>
      </c>
      <c r="C97" s="9" t="s">
        <v>313</v>
      </c>
      <c r="D97" s="9" t="s">
        <v>581</v>
      </c>
      <c r="E97" s="9" t="s">
        <v>13</v>
      </c>
      <c r="F97" s="9" t="s">
        <v>84</v>
      </c>
      <c r="G97" s="10" t="s">
        <v>314</v>
      </c>
      <c r="H97" s="10" t="s">
        <v>315</v>
      </c>
      <c r="I97" s="11" t="s">
        <v>85</v>
      </c>
      <c r="J97" s="11"/>
      <c r="K97" s="9" t="str">
        <f>"190,0"</f>
        <v>190,0</v>
      </c>
      <c r="L97" s="10" t="str">
        <f>"115,8240"</f>
        <v>115,8240</v>
      </c>
      <c r="M97" s="9"/>
    </row>
    <row r="98" spans="1:13">
      <c r="A98" s="15" t="s">
        <v>316</v>
      </c>
      <c r="B98" s="15" t="s">
        <v>317</v>
      </c>
      <c r="C98" s="15" t="s">
        <v>318</v>
      </c>
      <c r="D98" s="15" t="s">
        <v>581</v>
      </c>
      <c r="E98" s="15" t="s">
        <v>13</v>
      </c>
      <c r="F98" s="15" t="s">
        <v>159</v>
      </c>
      <c r="G98" s="16" t="s">
        <v>56</v>
      </c>
      <c r="H98" s="16" t="s">
        <v>57</v>
      </c>
      <c r="I98" s="17"/>
      <c r="J98" s="17"/>
      <c r="K98" s="15" t="str">
        <f>"160,0"</f>
        <v>160,0</v>
      </c>
      <c r="L98" s="16" t="str">
        <f>"97,8880"</f>
        <v>97,8880</v>
      </c>
      <c r="M98" s="15"/>
    </row>
    <row r="99" spans="1:13">
      <c r="A99" s="15" t="s">
        <v>319</v>
      </c>
      <c r="B99" s="15" t="s">
        <v>320</v>
      </c>
      <c r="C99" s="15" t="s">
        <v>321</v>
      </c>
      <c r="D99" s="15" t="s">
        <v>581</v>
      </c>
      <c r="E99" s="15" t="s">
        <v>13</v>
      </c>
      <c r="F99" s="15" t="s">
        <v>84</v>
      </c>
      <c r="G99" s="16" t="s">
        <v>73</v>
      </c>
      <c r="H99" s="16" t="s">
        <v>74</v>
      </c>
      <c r="I99" s="17" t="s">
        <v>175</v>
      </c>
      <c r="J99" s="17"/>
      <c r="K99" s="15" t="str">
        <f>"152,5"</f>
        <v>152,5</v>
      </c>
      <c r="L99" s="16" t="str">
        <f>"92,8877"</f>
        <v>92,8877</v>
      </c>
      <c r="M99" s="15"/>
    </row>
    <row r="100" spans="1:13">
      <c r="A100" s="15" t="s">
        <v>322</v>
      </c>
      <c r="B100" s="15" t="s">
        <v>323</v>
      </c>
      <c r="C100" s="15" t="s">
        <v>324</v>
      </c>
      <c r="D100" s="15" t="s">
        <v>581</v>
      </c>
      <c r="E100" s="15" t="s">
        <v>13</v>
      </c>
      <c r="F100" s="15" t="s">
        <v>159</v>
      </c>
      <c r="G100" s="16" t="s">
        <v>79</v>
      </c>
      <c r="H100" s="16" t="s">
        <v>50</v>
      </c>
      <c r="I100" s="16" t="s">
        <v>63</v>
      </c>
      <c r="J100" s="17"/>
      <c r="K100" s="15" t="str">
        <f>"135,0"</f>
        <v>135,0</v>
      </c>
      <c r="L100" s="16" t="str">
        <f>"85,2525"</f>
        <v>85,2525</v>
      </c>
      <c r="M100" s="15"/>
    </row>
    <row r="101" spans="1:13">
      <c r="A101" s="15" t="s">
        <v>325</v>
      </c>
      <c r="B101" s="15" t="s">
        <v>60</v>
      </c>
      <c r="C101" s="15" t="s">
        <v>61</v>
      </c>
      <c r="D101" s="15" t="s">
        <v>581</v>
      </c>
      <c r="E101" s="15" t="s">
        <v>13</v>
      </c>
      <c r="F101" s="15" t="s">
        <v>14</v>
      </c>
      <c r="G101" s="16" t="s">
        <v>50</v>
      </c>
      <c r="H101" s="17" t="s">
        <v>63</v>
      </c>
      <c r="I101" s="16" t="s">
        <v>63</v>
      </c>
      <c r="J101" s="17"/>
      <c r="K101" s="15" t="str">
        <f>"135,0"</f>
        <v>135,0</v>
      </c>
      <c r="L101" s="16" t="str">
        <f>"85,1175"</f>
        <v>85,1175</v>
      </c>
      <c r="M101" s="15"/>
    </row>
    <row r="102" spans="1:13">
      <c r="A102" s="15" t="s">
        <v>326</v>
      </c>
      <c r="B102" s="15" t="s">
        <v>327</v>
      </c>
      <c r="C102" s="15" t="s">
        <v>328</v>
      </c>
      <c r="D102" s="15" t="s">
        <v>581</v>
      </c>
      <c r="E102" s="15" t="s">
        <v>13</v>
      </c>
      <c r="F102" s="15" t="s">
        <v>329</v>
      </c>
      <c r="G102" s="16" t="s">
        <v>50</v>
      </c>
      <c r="H102" s="16" t="s">
        <v>63</v>
      </c>
      <c r="I102" s="17" t="s">
        <v>55</v>
      </c>
      <c r="J102" s="17"/>
      <c r="K102" s="15" t="str">
        <f>"135,0"</f>
        <v>135,0</v>
      </c>
      <c r="L102" s="16" t="str">
        <f>"82,8765"</f>
        <v>82,8765</v>
      </c>
      <c r="M102" s="15"/>
    </row>
    <row r="103" spans="1:13">
      <c r="A103" s="15" t="s">
        <v>330</v>
      </c>
      <c r="B103" s="15" t="s">
        <v>331</v>
      </c>
      <c r="C103" s="15" t="s">
        <v>332</v>
      </c>
      <c r="D103" s="15" t="s">
        <v>581</v>
      </c>
      <c r="E103" s="15" t="s">
        <v>13</v>
      </c>
      <c r="F103" s="15" t="s">
        <v>14</v>
      </c>
      <c r="G103" s="16" t="s">
        <v>155</v>
      </c>
      <c r="H103" s="16" t="s">
        <v>68</v>
      </c>
      <c r="I103" s="16" t="s">
        <v>91</v>
      </c>
      <c r="J103" s="17"/>
      <c r="K103" s="15" t="str">
        <f>"127,5"</f>
        <v>127,5</v>
      </c>
      <c r="L103" s="16" t="str">
        <f>"80,4270"</f>
        <v>80,4270</v>
      </c>
      <c r="M103" s="15"/>
    </row>
    <row r="104" spans="1:13">
      <c r="A104" s="15" t="s">
        <v>333</v>
      </c>
      <c r="B104" s="15" t="s">
        <v>65</v>
      </c>
      <c r="C104" s="15" t="s">
        <v>66</v>
      </c>
      <c r="D104" s="15" t="s">
        <v>581</v>
      </c>
      <c r="E104" s="15" t="s">
        <v>13</v>
      </c>
      <c r="F104" s="15" t="s">
        <v>67</v>
      </c>
      <c r="G104" s="17" t="s">
        <v>155</v>
      </c>
      <c r="H104" s="17" t="s">
        <v>155</v>
      </c>
      <c r="I104" s="16" t="s">
        <v>68</v>
      </c>
      <c r="J104" s="17"/>
      <c r="K104" s="15" t="str">
        <f>"120,0"</f>
        <v>120,0</v>
      </c>
      <c r="L104" s="16" t="str">
        <f>"74,0280"</f>
        <v>74,0280</v>
      </c>
      <c r="M104" s="15"/>
    </row>
    <row r="105" spans="1:13">
      <c r="A105" s="15" t="s">
        <v>334</v>
      </c>
      <c r="B105" s="15" t="s">
        <v>335</v>
      </c>
      <c r="C105" s="15" t="s">
        <v>336</v>
      </c>
      <c r="D105" s="15" t="s">
        <v>581</v>
      </c>
      <c r="E105" s="15" t="s">
        <v>13</v>
      </c>
      <c r="F105" s="15" t="s">
        <v>263</v>
      </c>
      <c r="G105" s="16" t="s">
        <v>45</v>
      </c>
      <c r="H105" s="16" t="s">
        <v>155</v>
      </c>
      <c r="I105" s="16" t="s">
        <v>68</v>
      </c>
      <c r="J105" s="17"/>
      <c r="K105" s="15" t="str">
        <f>"120,0"</f>
        <v>120,0</v>
      </c>
      <c r="L105" s="16" t="str">
        <f>"73,7040"</f>
        <v>73,7040</v>
      </c>
      <c r="M105" s="15"/>
    </row>
    <row r="106" spans="1:13">
      <c r="A106" s="15" t="s">
        <v>337</v>
      </c>
      <c r="B106" s="15" t="s">
        <v>338</v>
      </c>
      <c r="C106" s="15" t="s">
        <v>321</v>
      </c>
      <c r="D106" s="15" t="s">
        <v>582</v>
      </c>
      <c r="E106" s="15" t="s">
        <v>13</v>
      </c>
      <c r="F106" s="15" t="s">
        <v>84</v>
      </c>
      <c r="G106" s="16" t="s">
        <v>73</v>
      </c>
      <c r="H106" s="16" t="s">
        <v>74</v>
      </c>
      <c r="I106" s="17" t="s">
        <v>175</v>
      </c>
      <c r="J106" s="17"/>
      <c r="K106" s="15" t="str">
        <f>"152,5"</f>
        <v>152,5</v>
      </c>
      <c r="L106" s="16" t="str">
        <f>"93,8166"</f>
        <v>93,8166</v>
      </c>
      <c r="M106" s="15"/>
    </row>
    <row r="107" spans="1:13">
      <c r="A107" s="15" t="s">
        <v>339</v>
      </c>
      <c r="B107" s="15" t="s">
        <v>340</v>
      </c>
      <c r="C107" s="15" t="s">
        <v>328</v>
      </c>
      <c r="D107" s="15" t="s">
        <v>583</v>
      </c>
      <c r="E107" s="15" t="s">
        <v>13</v>
      </c>
      <c r="F107" s="15" t="s">
        <v>329</v>
      </c>
      <c r="G107" s="16" t="s">
        <v>50</v>
      </c>
      <c r="H107" s="16" t="s">
        <v>63</v>
      </c>
      <c r="I107" s="17" t="s">
        <v>55</v>
      </c>
      <c r="J107" s="17"/>
      <c r="K107" s="15" t="str">
        <f>"135,0"</f>
        <v>135,0</v>
      </c>
      <c r="L107" s="16" t="str">
        <f>"88,5121"</f>
        <v>88,5121</v>
      </c>
      <c r="M107" s="15"/>
    </row>
    <row r="108" spans="1:13">
      <c r="A108" s="15" t="s">
        <v>341</v>
      </c>
      <c r="B108" s="15" t="s">
        <v>342</v>
      </c>
      <c r="C108" s="15" t="s">
        <v>336</v>
      </c>
      <c r="D108" s="15" t="s">
        <v>583</v>
      </c>
      <c r="E108" s="15" t="s">
        <v>13</v>
      </c>
      <c r="F108" s="15" t="s">
        <v>263</v>
      </c>
      <c r="G108" s="16" t="s">
        <v>45</v>
      </c>
      <c r="H108" s="16" t="s">
        <v>155</v>
      </c>
      <c r="I108" s="16" t="s">
        <v>68</v>
      </c>
      <c r="J108" s="17"/>
      <c r="K108" s="15" t="str">
        <f>"120,0"</f>
        <v>120,0</v>
      </c>
      <c r="L108" s="16" t="str">
        <f>"82,0326"</f>
        <v>82,0326</v>
      </c>
      <c r="M108" s="15"/>
    </row>
    <row r="109" spans="1:13">
      <c r="A109" s="15" t="s">
        <v>343</v>
      </c>
      <c r="B109" s="15" t="s">
        <v>344</v>
      </c>
      <c r="C109" s="15" t="s">
        <v>345</v>
      </c>
      <c r="D109" s="15" t="s">
        <v>583</v>
      </c>
      <c r="E109" s="15" t="s">
        <v>13</v>
      </c>
      <c r="F109" s="15" t="s">
        <v>159</v>
      </c>
      <c r="G109" s="16" t="s">
        <v>44</v>
      </c>
      <c r="H109" s="16" t="s">
        <v>45</v>
      </c>
      <c r="I109" s="17" t="s">
        <v>154</v>
      </c>
      <c r="J109" s="17"/>
      <c r="K109" s="15" t="str">
        <f>"110,0"</f>
        <v>110,0</v>
      </c>
      <c r="L109" s="16" t="str">
        <f>"72,9374"</f>
        <v>72,9374</v>
      </c>
      <c r="M109" s="15"/>
    </row>
    <row r="110" spans="1:13">
      <c r="A110" s="15" t="s">
        <v>346</v>
      </c>
      <c r="B110" s="15" t="s">
        <v>347</v>
      </c>
      <c r="C110" s="15" t="s">
        <v>348</v>
      </c>
      <c r="D110" s="15" t="s">
        <v>584</v>
      </c>
      <c r="E110" s="15" t="s">
        <v>13</v>
      </c>
      <c r="F110" s="15" t="s">
        <v>137</v>
      </c>
      <c r="G110" s="16" t="s">
        <v>50</v>
      </c>
      <c r="H110" s="16" t="s">
        <v>63</v>
      </c>
      <c r="I110" s="17" t="s">
        <v>55</v>
      </c>
      <c r="J110" s="17"/>
      <c r="K110" s="15" t="str">
        <f>"135,0"</f>
        <v>135,0</v>
      </c>
      <c r="L110" s="16" t="str">
        <f>"95,2297"</f>
        <v>95,2297</v>
      </c>
      <c r="M110" s="15"/>
    </row>
    <row r="111" spans="1:13">
      <c r="A111" s="12" t="s">
        <v>349</v>
      </c>
      <c r="B111" s="12" t="s">
        <v>350</v>
      </c>
      <c r="C111" s="12" t="s">
        <v>348</v>
      </c>
      <c r="D111" s="12" t="s">
        <v>584</v>
      </c>
      <c r="E111" s="12" t="s">
        <v>13</v>
      </c>
      <c r="F111" s="12" t="s">
        <v>142</v>
      </c>
      <c r="G111" s="13" t="s">
        <v>43</v>
      </c>
      <c r="H111" s="13" t="s">
        <v>44</v>
      </c>
      <c r="I111" s="13" t="s">
        <v>45</v>
      </c>
      <c r="J111" s="14"/>
      <c r="K111" s="12" t="str">
        <f>"110,0"</f>
        <v>110,0</v>
      </c>
      <c r="L111" s="13" t="str">
        <f>"81,4506"</f>
        <v>81,4506</v>
      </c>
      <c r="M111" s="12"/>
    </row>
    <row r="113" spans="1:13" ht="16">
      <c r="A113" s="27" t="s">
        <v>69</v>
      </c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</row>
    <row r="114" spans="1:13">
      <c r="A114" s="9" t="s">
        <v>70</v>
      </c>
      <c r="B114" s="9" t="s">
        <v>71</v>
      </c>
      <c r="C114" s="9" t="s">
        <v>72</v>
      </c>
      <c r="D114" s="9" t="s">
        <v>581</v>
      </c>
      <c r="E114" s="9" t="s">
        <v>13</v>
      </c>
      <c r="F114" s="9" t="s">
        <v>31</v>
      </c>
      <c r="G114" s="10" t="s">
        <v>63</v>
      </c>
      <c r="H114" s="10" t="s">
        <v>56</v>
      </c>
      <c r="I114" s="11"/>
      <c r="J114" s="11"/>
      <c r="K114" s="9" t="str">
        <f>"150,0"</f>
        <v>150,0</v>
      </c>
      <c r="L114" s="10" t="str">
        <f>"91,2150"</f>
        <v>91,2150</v>
      </c>
      <c r="M114" s="9"/>
    </row>
    <row r="115" spans="1:13">
      <c r="A115" s="15" t="s">
        <v>75</v>
      </c>
      <c r="B115" s="15" t="s">
        <v>76</v>
      </c>
      <c r="C115" s="15" t="s">
        <v>77</v>
      </c>
      <c r="D115" s="15" t="s">
        <v>581</v>
      </c>
      <c r="E115" s="15" t="s">
        <v>13</v>
      </c>
      <c r="F115" s="15" t="s">
        <v>78</v>
      </c>
      <c r="G115" s="16" t="s">
        <v>45</v>
      </c>
      <c r="H115" s="16" t="s">
        <v>155</v>
      </c>
      <c r="I115" s="16" t="s">
        <v>79</v>
      </c>
      <c r="J115" s="17"/>
      <c r="K115" s="15" t="str">
        <f>"125,0"</f>
        <v>125,0</v>
      </c>
      <c r="L115" s="16" t="str">
        <f>"73,7500"</f>
        <v>73,7500</v>
      </c>
      <c r="M115" s="15"/>
    </row>
    <row r="116" spans="1:13">
      <c r="A116" s="15" t="s">
        <v>351</v>
      </c>
      <c r="B116" s="15" t="s">
        <v>352</v>
      </c>
      <c r="C116" s="15" t="s">
        <v>353</v>
      </c>
      <c r="D116" s="15" t="s">
        <v>583</v>
      </c>
      <c r="E116" s="15" t="s">
        <v>13</v>
      </c>
      <c r="F116" s="15" t="s">
        <v>84</v>
      </c>
      <c r="G116" s="16" t="s">
        <v>45</v>
      </c>
      <c r="H116" s="16" t="s">
        <v>155</v>
      </c>
      <c r="I116" s="17" t="s">
        <v>68</v>
      </c>
      <c r="J116" s="17"/>
      <c r="K116" s="15" t="str">
        <f>"115,0"</f>
        <v>115,0</v>
      </c>
      <c r="L116" s="16" t="str">
        <f>"75,2893"</f>
        <v>75,2893</v>
      </c>
      <c r="M116" s="15"/>
    </row>
    <row r="117" spans="1:13">
      <c r="A117" s="12" t="s">
        <v>354</v>
      </c>
      <c r="B117" s="12" t="s">
        <v>355</v>
      </c>
      <c r="C117" s="12" t="s">
        <v>356</v>
      </c>
      <c r="D117" s="12" t="s">
        <v>587</v>
      </c>
      <c r="E117" s="12" t="s">
        <v>13</v>
      </c>
      <c r="F117" s="12" t="s">
        <v>84</v>
      </c>
      <c r="G117" s="14"/>
      <c r="H117" s="14"/>
      <c r="I117" s="14"/>
      <c r="J117" s="14"/>
      <c r="K117" s="12" t="str">
        <f>"0.00"</f>
        <v>0.00</v>
      </c>
      <c r="L117" s="13" t="str">
        <f>"0,0000"</f>
        <v>0,0000</v>
      </c>
      <c r="M117" s="12"/>
    </row>
    <row r="119" spans="1:13" ht="16">
      <c r="A119" s="27" t="s">
        <v>80</v>
      </c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1:13">
      <c r="A120" s="9" t="s">
        <v>81</v>
      </c>
      <c r="B120" s="9" t="s">
        <v>82</v>
      </c>
      <c r="C120" s="9" t="s">
        <v>83</v>
      </c>
      <c r="D120" s="9" t="s">
        <v>581</v>
      </c>
      <c r="E120" s="9" t="s">
        <v>13</v>
      </c>
      <c r="F120" s="9" t="s">
        <v>84</v>
      </c>
      <c r="G120" s="10" t="s">
        <v>39</v>
      </c>
      <c r="H120" s="10" t="s">
        <v>314</v>
      </c>
      <c r="I120" s="11"/>
      <c r="J120" s="11"/>
      <c r="K120" s="9" t="str">
        <f>"180,0"</f>
        <v>180,0</v>
      </c>
      <c r="L120" s="10" t="str">
        <f>"104,5620"</f>
        <v>104,5620</v>
      </c>
      <c r="M120" s="9"/>
    </row>
    <row r="121" spans="1:13">
      <c r="A121" s="15" t="s">
        <v>87</v>
      </c>
      <c r="B121" s="15" t="s">
        <v>88</v>
      </c>
      <c r="C121" s="15" t="s">
        <v>89</v>
      </c>
      <c r="D121" s="15" t="s">
        <v>581</v>
      </c>
      <c r="E121" s="15" t="s">
        <v>13</v>
      </c>
      <c r="F121" s="15" t="s">
        <v>90</v>
      </c>
      <c r="G121" s="16" t="s">
        <v>155</v>
      </c>
      <c r="H121" s="16" t="s">
        <v>268</v>
      </c>
      <c r="I121" s="16" t="s">
        <v>68</v>
      </c>
      <c r="J121" s="17"/>
      <c r="K121" s="15" t="str">
        <f>"120,0"</f>
        <v>120,0</v>
      </c>
      <c r="L121" s="16" t="str">
        <f>"70,5360"</f>
        <v>70,5360</v>
      </c>
      <c r="M121" s="15"/>
    </row>
    <row r="122" spans="1:13">
      <c r="A122" s="12" t="s">
        <v>92</v>
      </c>
      <c r="B122" s="12" t="s">
        <v>93</v>
      </c>
      <c r="C122" s="12" t="s">
        <v>89</v>
      </c>
      <c r="D122" s="12" t="s">
        <v>584</v>
      </c>
      <c r="E122" s="12" t="s">
        <v>13</v>
      </c>
      <c r="F122" s="12" t="s">
        <v>90</v>
      </c>
      <c r="G122" s="13" t="s">
        <v>155</v>
      </c>
      <c r="H122" s="13" t="s">
        <v>268</v>
      </c>
      <c r="I122" s="13" t="s">
        <v>68</v>
      </c>
      <c r="J122" s="14"/>
      <c r="K122" s="12" t="str">
        <f>"120,0"</f>
        <v>120,0</v>
      </c>
      <c r="L122" s="13" t="str">
        <f>"79,7057"</f>
        <v>79,7057</v>
      </c>
      <c r="M122" s="12"/>
    </row>
    <row r="124" spans="1:13" ht="16">
      <c r="A124" s="27" t="s">
        <v>357</v>
      </c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1:13">
      <c r="A125" s="9" t="s">
        <v>358</v>
      </c>
      <c r="B125" s="9" t="s">
        <v>359</v>
      </c>
      <c r="C125" s="9" t="s">
        <v>360</v>
      </c>
      <c r="D125" s="9" t="s">
        <v>581</v>
      </c>
      <c r="E125" s="9" t="s">
        <v>13</v>
      </c>
      <c r="F125" s="9" t="s">
        <v>142</v>
      </c>
      <c r="G125" s="10" t="s">
        <v>79</v>
      </c>
      <c r="H125" s="10" t="s">
        <v>50</v>
      </c>
      <c r="I125" s="10" t="s">
        <v>62</v>
      </c>
      <c r="J125" s="11"/>
      <c r="K125" s="9" t="str">
        <f>"132,5"</f>
        <v>132,5</v>
      </c>
      <c r="L125" s="10" t="str">
        <f>"74,7167"</f>
        <v>74,7167</v>
      </c>
      <c r="M125" s="9" t="s">
        <v>18</v>
      </c>
    </row>
    <row r="126" spans="1:13">
      <c r="A126" s="12" t="s">
        <v>358</v>
      </c>
      <c r="B126" s="12" t="s">
        <v>361</v>
      </c>
      <c r="C126" s="12" t="s">
        <v>360</v>
      </c>
      <c r="D126" s="12" t="s">
        <v>583</v>
      </c>
      <c r="E126" s="12" t="s">
        <v>13</v>
      </c>
      <c r="F126" s="12" t="s">
        <v>142</v>
      </c>
      <c r="G126" s="13" t="s">
        <v>79</v>
      </c>
      <c r="H126" s="13" t="s">
        <v>50</v>
      </c>
      <c r="I126" s="13" t="s">
        <v>62</v>
      </c>
      <c r="J126" s="14"/>
      <c r="K126" s="12" t="str">
        <f>"132,5"</f>
        <v>132,5</v>
      </c>
      <c r="L126" s="13" t="str">
        <f>"78,8262"</f>
        <v>78,8262</v>
      </c>
      <c r="M126" s="12" t="s">
        <v>18</v>
      </c>
    </row>
    <row r="128" spans="1:13" ht="16">
      <c r="E128" s="18" t="s">
        <v>94</v>
      </c>
    </row>
    <row r="129" spans="1:5" ht="16">
      <c r="E129" s="18" t="s">
        <v>95</v>
      </c>
    </row>
    <row r="130" spans="1:5" ht="16">
      <c r="E130" s="18" t="s">
        <v>96</v>
      </c>
    </row>
    <row r="131" spans="1:5" ht="16">
      <c r="E131" s="18" t="s">
        <v>97</v>
      </c>
    </row>
    <row r="132" spans="1:5" ht="16">
      <c r="E132" s="18" t="s">
        <v>97</v>
      </c>
    </row>
    <row r="133" spans="1:5" ht="16">
      <c r="E133" s="18" t="s">
        <v>98</v>
      </c>
    </row>
    <row r="134" spans="1:5" ht="16">
      <c r="E134" s="18"/>
    </row>
    <row r="136" spans="1:5" ht="18">
      <c r="A136" s="19" t="s">
        <v>362</v>
      </c>
      <c r="B136" s="20"/>
    </row>
    <row r="137" spans="1:5" ht="16">
      <c r="A137" s="21"/>
      <c r="B137" s="21"/>
    </row>
    <row r="138" spans="1:5" ht="16">
      <c r="A138" s="22" t="s">
        <v>363</v>
      </c>
      <c r="B138" s="23" t="s">
        <v>364</v>
      </c>
    </row>
    <row r="139" spans="1:5" ht="14">
      <c r="A139" s="24" t="s">
        <v>365</v>
      </c>
      <c r="B139" s="24" t="s">
        <v>366</v>
      </c>
      <c r="C139" s="24" t="s">
        <v>367</v>
      </c>
      <c r="D139" s="24" t="s">
        <v>368</v>
      </c>
      <c r="E139" s="24" t="s">
        <v>369</v>
      </c>
    </row>
    <row r="140" spans="1:5">
      <c r="A140" s="25" t="s">
        <v>370</v>
      </c>
      <c r="B140" s="1" t="s">
        <v>364</v>
      </c>
      <c r="C140" s="1" t="s">
        <v>371</v>
      </c>
      <c r="D140" s="1" t="s">
        <v>108</v>
      </c>
      <c r="E140" s="26" t="s">
        <v>372</v>
      </c>
    </row>
    <row r="141" spans="1:5">
      <c r="A141" s="25" t="s">
        <v>373</v>
      </c>
      <c r="B141" s="1" t="s">
        <v>364</v>
      </c>
      <c r="C141" s="1" t="s">
        <v>371</v>
      </c>
      <c r="D141" s="1" t="s">
        <v>16</v>
      </c>
      <c r="E141" s="26" t="s">
        <v>374</v>
      </c>
    </row>
    <row r="142" spans="1:5">
      <c r="A142" s="25" t="s">
        <v>375</v>
      </c>
      <c r="B142" s="1" t="s">
        <v>364</v>
      </c>
      <c r="C142" s="1" t="s">
        <v>376</v>
      </c>
      <c r="D142" s="1" t="s">
        <v>133</v>
      </c>
      <c r="E142" s="26" t="s">
        <v>377</v>
      </c>
    </row>
    <row r="143" spans="1:5">
      <c r="A143" s="25" t="s">
        <v>378</v>
      </c>
      <c r="B143" s="1" t="s">
        <v>364</v>
      </c>
      <c r="C143" s="1" t="s">
        <v>376</v>
      </c>
      <c r="D143" s="1" t="s">
        <v>132</v>
      </c>
      <c r="E143" s="26" t="s">
        <v>379</v>
      </c>
    </row>
    <row r="144" spans="1:5">
      <c r="A144" s="25" t="s">
        <v>380</v>
      </c>
      <c r="B144" s="1" t="s">
        <v>364</v>
      </c>
      <c r="C144" s="1" t="s">
        <v>381</v>
      </c>
      <c r="D144" s="1" t="s">
        <v>17</v>
      </c>
      <c r="E144" s="26" t="s">
        <v>382</v>
      </c>
    </row>
    <row r="145" spans="1:5">
      <c r="A145" s="25" t="s">
        <v>383</v>
      </c>
      <c r="B145" s="1" t="s">
        <v>364</v>
      </c>
      <c r="C145" s="1" t="s">
        <v>381</v>
      </c>
      <c r="D145" s="1" t="s">
        <v>17</v>
      </c>
      <c r="E145" s="26" t="s">
        <v>384</v>
      </c>
    </row>
    <row r="146" spans="1:5">
      <c r="A146" s="25" t="s">
        <v>385</v>
      </c>
      <c r="B146" s="1" t="s">
        <v>364</v>
      </c>
      <c r="C146" s="1" t="s">
        <v>386</v>
      </c>
      <c r="D146" s="1" t="s">
        <v>15</v>
      </c>
      <c r="E146" s="26" t="s">
        <v>387</v>
      </c>
    </row>
    <row r="147" spans="1:5">
      <c r="A147" s="25" t="s">
        <v>388</v>
      </c>
      <c r="B147" s="1" t="s">
        <v>364</v>
      </c>
      <c r="C147" s="1" t="s">
        <v>389</v>
      </c>
      <c r="D147" s="1" t="s">
        <v>25</v>
      </c>
      <c r="E147" s="26" t="s">
        <v>390</v>
      </c>
    </row>
    <row r="148" spans="1:5">
      <c r="A148" s="25" t="s">
        <v>391</v>
      </c>
      <c r="B148" s="1" t="s">
        <v>364</v>
      </c>
      <c r="C148" s="1" t="s">
        <v>381</v>
      </c>
      <c r="D148" s="1" t="s">
        <v>113</v>
      </c>
      <c r="E148" s="26" t="s">
        <v>392</v>
      </c>
    </row>
    <row r="149" spans="1:5">
      <c r="A149" s="25" t="s">
        <v>393</v>
      </c>
      <c r="B149" s="1" t="s">
        <v>364</v>
      </c>
      <c r="C149" s="1" t="s">
        <v>394</v>
      </c>
      <c r="D149" s="1" t="s">
        <v>128</v>
      </c>
      <c r="E149" s="26" t="s">
        <v>395</v>
      </c>
    </row>
    <row r="150" spans="1:5">
      <c r="A150" s="25" t="s">
        <v>396</v>
      </c>
      <c r="B150" s="1" t="s">
        <v>364</v>
      </c>
      <c r="C150" s="1" t="s">
        <v>371</v>
      </c>
      <c r="D150" s="1" t="s">
        <v>103</v>
      </c>
      <c r="E150" s="26" t="s">
        <v>397</v>
      </c>
    </row>
    <row r="154" spans="1:5" ht="16">
      <c r="A154" s="21"/>
      <c r="B154" s="21"/>
    </row>
    <row r="155" spans="1:5" ht="16">
      <c r="A155" s="22" t="s">
        <v>398</v>
      </c>
      <c r="B155" s="23" t="s">
        <v>364</v>
      </c>
    </row>
    <row r="156" spans="1:5" ht="14">
      <c r="A156" s="24" t="s">
        <v>365</v>
      </c>
      <c r="B156" s="24" t="s">
        <v>366</v>
      </c>
      <c r="C156" s="24" t="s">
        <v>367</v>
      </c>
      <c r="D156" s="24" t="s">
        <v>368</v>
      </c>
      <c r="E156" s="24" t="s">
        <v>369</v>
      </c>
    </row>
    <row r="157" spans="1:5">
      <c r="A157" s="25" t="s">
        <v>399</v>
      </c>
      <c r="B157" s="1" t="s">
        <v>364</v>
      </c>
      <c r="C157" s="1" t="s">
        <v>400</v>
      </c>
      <c r="D157" s="1" t="s">
        <v>315</v>
      </c>
      <c r="E157" s="26" t="s">
        <v>401</v>
      </c>
    </row>
    <row r="158" spans="1:5">
      <c r="A158" s="25" t="s">
        <v>402</v>
      </c>
      <c r="B158" s="1" t="s">
        <v>364</v>
      </c>
      <c r="C158" s="1" t="s">
        <v>376</v>
      </c>
      <c r="D158" s="1" t="s">
        <v>175</v>
      </c>
      <c r="E158" s="26" t="s">
        <v>403</v>
      </c>
    </row>
    <row r="159" spans="1:5">
      <c r="A159" s="25" t="s">
        <v>404</v>
      </c>
      <c r="B159" s="1" t="s">
        <v>364</v>
      </c>
      <c r="C159" s="1" t="s">
        <v>381</v>
      </c>
      <c r="D159" s="1" t="s">
        <v>210</v>
      </c>
      <c r="E159" s="26" t="s">
        <v>405</v>
      </c>
    </row>
    <row r="160" spans="1:5">
      <c r="A160" s="25" t="s">
        <v>406</v>
      </c>
      <c r="B160" s="1" t="s">
        <v>364</v>
      </c>
      <c r="C160" s="1" t="s">
        <v>407</v>
      </c>
      <c r="D160" s="1" t="s">
        <v>39</v>
      </c>
      <c r="E160" s="26" t="s">
        <v>408</v>
      </c>
    </row>
    <row r="161" spans="1:5">
      <c r="A161" s="25" t="s">
        <v>409</v>
      </c>
      <c r="B161" s="1" t="s">
        <v>364</v>
      </c>
      <c r="C161" s="1" t="s">
        <v>410</v>
      </c>
      <c r="D161" s="1" t="s">
        <v>314</v>
      </c>
      <c r="E161" s="26" t="s">
        <v>411</v>
      </c>
    </row>
    <row r="162" spans="1:5">
      <c r="A162" s="25" t="s">
        <v>412</v>
      </c>
      <c r="B162" s="1" t="s">
        <v>364</v>
      </c>
      <c r="C162" s="1" t="s">
        <v>381</v>
      </c>
      <c r="D162" s="1" t="s">
        <v>56</v>
      </c>
      <c r="E162" s="26" t="s">
        <v>413</v>
      </c>
    </row>
    <row r="163" spans="1:5">
      <c r="A163" s="25" t="s">
        <v>414</v>
      </c>
      <c r="B163" s="1" t="s">
        <v>364</v>
      </c>
      <c r="C163" s="1" t="s">
        <v>407</v>
      </c>
      <c r="D163" s="1" t="s">
        <v>251</v>
      </c>
      <c r="E163" s="26" t="s">
        <v>415</v>
      </c>
    </row>
    <row r="164" spans="1:5">
      <c r="A164" s="25" t="s">
        <v>416</v>
      </c>
      <c r="B164" s="1" t="s">
        <v>364</v>
      </c>
      <c r="C164" s="1" t="s">
        <v>376</v>
      </c>
      <c r="D164" s="1" t="s">
        <v>63</v>
      </c>
      <c r="E164" s="26" t="s">
        <v>417</v>
      </c>
    </row>
    <row r="165" spans="1:5">
      <c r="A165" s="25" t="s">
        <v>418</v>
      </c>
      <c r="B165" s="1" t="s">
        <v>364</v>
      </c>
      <c r="C165" s="1" t="s">
        <v>400</v>
      </c>
      <c r="D165" s="1" t="s">
        <v>57</v>
      </c>
      <c r="E165" s="26" t="s">
        <v>419</v>
      </c>
    </row>
    <row r="166" spans="1:5">
      <c r="A166" s="25" t="s">
        <v>420</v>
      </c>
      <c r="B166" s="1" t="s">
        <v>364</v>
      </c>
      <c r="C166" s="1" t="s">
        <v>381</v>
      </c>
      <c r="D166" s="1" t="s">
        <v>55</v>
      </c>
      <c r="E166" s="26" t="s">
        <v>421</v>
      </c>
    </row>
    <row r="167" spans="1:5">
      <c r="A167" s="25" t="s">
        <v>422</v>
      </c>
      <c r="B167" s="1" t="s">
        <v>364</v>
      </c>
      <c r="C167" s="1" t="s">
        <v>381</v>
      </c>
      <c r="D167" s="1" t="s">
        <v>55</v>
      </c>
      <c r="E167" s="26" t="s">
        <v>423</v>
      </c>
    </row>
    <row r="168" spans="1:5">
      <c r="A168" s="25" t="s">
        <v>424</v>
      </c>
      <c r="B168" s="1" t="s">
        <v>364</v>
      </c>
      <c r="C168" s="1" t="s">
        <v>400</v>
      </c>
      <c r="D168" s="1" t="s">
        <v>74</v>
      </c>
      <c r="E168" s="26" t="s">
        <v>425</v>
      </c>
    </row>
    <row r="169" spans="1:5">
      <c r="A169" s="25" t="s">
        <v>426</v>
      </c>
      <c r="B169" s="1" t="s">
        <v>364</v>
      </c>
      <c r="C169" s="1" t="s">
        <v>376</v>
      </c>
      <c r="D169" s="1" t="s">
        <v>50</v>
      </c>
      <c r="E169" s="26" t="s">
        <v>427</v>
      </c>
    </row>
    <row r="170" spans="1:5">
      <c r="A170" s="25" t="s">
        <v>428</v>
      </c>
      <c r="B170" s="1" t="s">
        <v>364</v>
      </c>
      <c r="C170" s="1" t="s">
        <v>376</v>
      </c>
      <c r="D170" s="1" t="s">
        <v>91</v>
      </c>
      <c r="E170" s="26" t="s">
        <v>429</v>
      </c>
    </row>
    <row r="171" spans="1:5">
      <c r="A171" s="25" t="s">
        <v>430</v>
      </c>
      <c r="B171" s="1" t="s">
        <v>364</v>
      </c>
      <c r="C171" s="1" t="s">
        <v>431</v>
      </c>
      <c r="D171" s="1" t="s">
        <v>56</v>
      </c>
      <c r="E171" s="26" t="s">
        <v>432</v>
      </c>
    </row>
    <row r="172" spans="1:5">
      <c r="A172" s="25" t="s">
        <v>433</v>
      </c>
      <c r="B172" s="1" t="s">
        <v>364</v>
      </c>
      <c r="C172" s="1" t="s">
        <v>407</v>
      </c>
      <c r="D172" s="1" t="s">
        <v>256</v>
      </c>
      <c r="E172" s="26" t="s">
        <v>434</v>
      </c>
    </row>
    <row r="173" spans="1:5">
      <c r="A173" s="25" t="s">
        <v>435</v>
      </c>
      <c r="B173" s="1" t="s">
        <v>364</v>
      </c>
      <c r="C173" s="1" t="s">
        <v>394</v>
      </c>
      <c r="D173" s="1" t="s">
        <v>155</v>
      </c>
      <c r="E173" s="26" t="s">
        <v>436</v>
      </c>
    </row>
    <row r="174" spans="1:5">
      <c r="A174" s="25" t="s">
        <v>437</v>
      </c>
      <c r="B174" s="1" t="s">
        <v>364</v>
      </c>
      <c r="C174" s="1" t="s">
        <v>400</v>
      </c>
      <c r="D174" s="1" t="s">
        <v>63</v>
      </c>
      <c r="E174" s="26" t="s">
        <v>438</v>
      </c>
    </row>
    <row r="175" spans="1:5">
      <c r="A175" s="25" t="s">
        <v>439</v>
      </c>
      <c r="B175" s="1" t="s">
        <v>364</v>
      </c>
      <c r="C175" s="1" t="s">
        <v>400</v>
      </c>
      <c r="D175" s="1" t="s">
        <v>63</v>
      </c>
      <c r="E175" s="26" t="s">
        <v>440</v>
      </c>
    </row>
    <row r="176" spans="1:5">
      <c r="A176" s="25" t="s">
        <v>441</v>
      </c>
      <c r="B176" s="1" t="s">
        <v>364</v>
      </c>
      <c r="C176" s="1" t="s">
        <v>407</v>
      </c>
      <c r="D176" s="1" t="s">
        <v>91</v>
      </c>
      <c r="E176" s="26" t="s">
        <v>442</v>
      </c>
    </row>
    <row r="177" spans="1:5">
      <c r="A177" s="25" t="s">
        <v>443</v>
      </c>
      <c r="B177" s="1" t="s">
        <v>364</v>
      </c>
      <c r="C177" s="1" t="s">
        <v>376</v>
      </c>
      <c r="D177" s="1" t="s">
        <v>155</v>
      </c>
      <c r="E177" s="26" t="s">
        <v>444</v>
      </c>
    </row>
    <row r="178" spans="1:5">
      <c r="A178" s="25" t="s">
        <v>445</v>
      </c>
      <c r="B178" s="1" t="s">
        <v>364</v>
      </c>
      <c r="C178" s="1" t="s">
        <v>400</v>
      </c>
      <c r="D178" s="1" t="s">
        <v>63</v>
      </c>
      <c r="E178" s="26" t="s">
        <v>446</v>
      </c>
    </row>
    <row r="179" spans="1:5">
      <c r="A179" s="25" t="s">
        <v>447</v>
      </c>
      <c r="B179" s="1" t="s">
        <v>364</v>
      </c>
      <c r="C179" s="1" t="s">
        <v>376</v>
      </c>
      <c r="D179" s="1" t="s">
        <v>155</v>
      </c>
      <c r="E179" s="26" t="s">
        <v>448</v>
      </c>
    </row>
    <row r="180" spans="1:5">
      <c r="A180" s="25" t="s">
        <v>449</v>
      </c>
      <c r="B180" s="1" t="s">
        <v>364</v>
      </c>
      <c r="C180" s="1" t="s">
        <v>394</v>
      </c>
      <c r="D180" s="1" t="s">
        <v>44</v>
      </c>
      <c r="E180" s="26" t="s">
        <v>450</v>
      </c>
    </row>
    <row r="181" spans="1:5">
      <c r="A181" s="25" t="s">
        <v>451</v>
      </c>
      <c r="B181" s="1" t="s">
        <v>364</v>
      </c>
      <c r="C181" s="1" t="s">
        <v>400</v>
      </c>
      <c r="D181" s="1" t="s">
        <v>91</v>
      </c>
      <c r="E181" s="26" t="s">
        <v>452</v>
      </c>
    </row>
    <row r="182" spans="1:5">
      <c r="A182" s="25" t="s">
        <v>453</v>
      </c>
      <c r="B182" s="1" t="s">
        <v>364</v>
      </c>
      <c r="C182" s="1" t="s">
        <v>407</v>
      </c>
      <c r="D182" s="1" t="s">
        <v>264</v>
      </c>
      <c r="E182" s="26" t="s">
        <v>454</v>
      </c>
    </row>
    <row r="183" spans="1:5">
      <c r="A183" s="25" t="s">
        <v>455</v>
      </c>
      <c r="B183" s="1" t="s">
        <v>364</v>
      </c>
      <c r="C183" s="1" t="s">
        <v>407</v>
      </c>
      <c r="D183" s="1" t="s">
        <v>264</v>
      </c>
      <c r="E183" s="26" t="s">
        <v>456</v>
      </c>
    </row>
    <row r="184" spans="1:5">
      <c r="A184" s="25" t="s">
        <v>457</v>
      </c>
      <c r="B184" s="1" t="s">
        <v>364</v>
      </c>
      <c r="C184" s="1" t="s">
        <v>407</v>
      </c>
      <c r="D184" s="1" t="s">
        <v>68</v>
      </c>
      <c r="E184" s="26" t="s">
        <v>458</v>
      </c>
    </row>
    <row r="185" spans="1:5">
      <c r="A185" s="25" t="s">
        <v>459</v>
      </c>
      <c r="B185" s="1" t="s">
        <v>364</v>
      </c>
      <c r="C185" s="1" t="s">
        <v>381</v>
      </c>
      <c r="D185" s="1" t="s">
        <v>155</v>
      </c>
      <c r="E185" s="26" t="s">
        <v>460</v>
      </c>
    </row>
    <row r="186" spans="1:5">
      <c r="A186" s="25" t="s">
        <v>461</v>
      </c>
      <c r="B186" s="1" t="s">
        <v>364</v>
      </c>
      <c r="C186" s="1" t="s">
        <v>407</v>
      </c>
      <c r="D186" s="1" t="s">
        <v>68</v>
      </c>
      <c r="E186" s="26" t="s">
        <v>462</v>
      </c>
    </row>
    <row r="187" spans="1:5">
      <c r="A187" s="25" t="s">
        <v>463</v>
      </c>
      <c r="B187" s="1" t="s">
        <v>364</v>
      </c>
      <c r="C187" s="1" t="s">
        <v>407</v>
      </c>
      <c r="D187" s="1" t="s">
        <v>68</v>
      </c>
      <c r="E187" s="26" t="s">
        <v>464</v>
      </c>
    </row>
    <row r="188" spans="1:5">
      <c r="A188" s="25" t="s">
        <v>465</v>
      </c>
      <c r="B188" s="1" t="s">
        <v>364</v>
      </c>
      <c r="C188" s="1" t="s">
        <v>407</v>
      </c>
      <c r="D188" s="1" t="s">
        <v>268</v>
      </c>
      <c r="E188" s="26" t="s">
        <v>466</v>
      </c>
    </row>
    <row r="189" spans="1:5">
      <c r="A189" s="25" t="s">
        <v>467</v>
      </c>
      <c r="B189" s="1" t="s">
        <v>364</v>
      </c>
      <c r="C189" s="1" t="s">
        <v>468</v>
      </c>
      <c r="D189" s="1" t="s">
        <v>62</v>
      </c>
      <c r="E189" s="26" t="s">
        <v>469</v>
      </c>
    </row>
    <row r="190" spans="1:5">
      <c r="A190" s="25" t="s">
        <v>470</v>
      </c>
      <c r="B190" s="1" t="s">
        <v>364</v>
      </c>
      <c r="C190" s="1" t="s">
        <v>400</v>
      </c>
      <c r="D190" s="1" t="s">
        <v>68</v>
      </c>
      <c r="E190" s="26" t="s">
        <v>471</v>
      </c>
    </row>
    <row r="191" spans="1:5">
      <c r="A191" s="25" t="s">
        <v>472</v>
      </c>
      <c r="B191" s="1" t="s">
        <v>364</v>
      </c>
      <c r="C191" s="1" t="s">
        <v>431</v>
      </c>
      <c r="D191" s="1" t="s">
        <v>79</v>
      </c>
      <c r="E191" s="26" t="s">
        <v>473</v>
      </c>
    </row>
    <row r="192" spans="1:5">
      <c r="A192" s="25" t="s">
        <v>474</v>
      </c>
      <c r="B192" s="1" t="s">
        <v>364</v>
      </c>
      <c r="C192" s="1" t="s">
        <v>400</v>
      </c>
      <c r="D192" s="1" t="s">
        <v>68</v>
      </c>
      <c r="E192" s="26" t="s">
        <v>475</v>
      </c>
    </row>
    <row r="193" spans="1:5">
      <c r="A193" s="25" t="s">
        <v>476</v>
      </c>
      <c r="B193" s="1" t="s">
        <v>364</v>
      </c>
      <c r="C193" s="1" t="s">
        <v>394</v>
      </c>
      <c r="D193" s="1" t="s">
        <v>165</v>
      </c>
      <c r="E193" s="26" t="s">
        <v>477</v>
      </c>
    </row>
    <row r="194" spans="1:5">
      <c r="A194" s="25" t="s">
        <v>478</v>
      </c>
      <c r="B194" s="1" t="s">
        <v>364</v>
      </c>
      <c r="C194" s="1" t="s">
        <v>394</v>
      </c>
      <c r="D194" s="1" t="s">
        <v>170</v>
      </c>
      <c r="E194" s="26" t="s">
        <v>479</v>
      </c>
    </row>
    <row r="195" spans="1:5">
      <c r="A195" s="25" t="s">
        <v>480</v>
      </c>
      <c r="B195" s="1" t="s">
        <v>364</v>
      </c>
      <c r="C195" s="1" t="s">
        <v>410</v>
      </c>
      <c r="D195" s="1" t="s">
        <v>68</v>
      </c>
      <c r="E195" s="26" t="s">
        <v>481</v>
      </c>
    </row>
    <row r="196" spans="1:5">
      <c r="A196" s="25" t="s">
        <v>482</v>
      </c>
      <c r="B196" s="1" t="s">
        <v>364</v>
      </c>
      <c r="C196" s="1" t="s">
        <v>407</v>
      </c>
      <c r="D196" s="1" t="s">
        <v>44</v>
      </c>
      <c r="E196" s="26" t="s">
        <v>483</v>
      </c>
    </row>
    <row r="197" spans="1:5">
      <c r="A197" s="25" t="s">
        <v>484</v>
      </c>
      <c r="B197" s="1" t="s">
        <v>364</v>
      </c>
      <c r="C197" s="1" t="s">
        <v>381</v>
      </c>
      <c r="D197" s="1" t="s">
        <v>43</v>
      </c>
      <c r="E197" s="26" t="s">
        <v>485</v>
      </c>
    </row>
    <row r="198" spans="1:5">
      <c r="A198" s="25" t="s">
        <v>486</v>
      </c>
      <c r="B198" s="1" t="s">
        <v>364</v>
      </c>
      <c r="C198" s="1" t="s">
        <v>376</v>
      </c>
      <c r="D198" s="1" t="s">
        <v>170</v>
      </c>
      <c r="E198" s="26" t="s">
        <v>487</v>
      </c>
    </row>
    <row r="199" spans="1:5">
      <c r="A199" s="25" t="s">
        <v>488</v>
      </c>
      <c r="B199" s="1" t="s">
        <v>364</v>
      </c>
      <c r="C199" s="1" t="s">
        <v>381</v>
      </c>
      <c r="D199" s="1" t="s">
        <v>165</v>
      </c>
      <c r="E199" s="26" t="s">
        <v>489</v>
      </c>
    </row>
    <row r="200" spans="1:5">
      <c r="A200" s="25" t="s">
        <v>490</v>
      </c>
      <c r="B200" s="1" t="s">
        <v>364</v>
      </c>
      <c r="C200" s="1" t="s">
        <v>407</v>
      </c>
      <c r="D200" s="1" t="s">
        <v>165</v>
      </c>
      <c r="E200" s="26" t="s">
        <v>491</v>
      </c>
    </row>
    <row r="201" spans="1:5">
      <c r="A201" s="25" t="s">
        <v>492</v>
      </c>
      <c r="B201" s="1" t="s">
        <v>364</v>
      </c>
      <c r="C201" s="1" t="s">
        <v>381</v>
      </c>
      <c r="D201" s="1" t="s">
        <v>233</v>
      </c>
      <c r="E201" s="26" t="s">
        <v>493</v>
      </c>
    </row>
    <row r="202" spans="1:5">
      <c r="A202" s="25" t="s">
        <v>494</v>
      </c>
      <c r="B202" s="1" t="s">
        <v>364</v>
      </c>
      <c r="C202" s="1" t="s">
        <v>407</v>
      </c>
      <c r="D202" s="1" t="s">
        <v>233</v>
      </c>
      <c r="E202" s="26" t="s">
        <v>495</v>
      </c>
    </row>
    <row r="203" spans="1:5">
      <c r="A203" s="25" t="s">
        <v>496</v>
      </c>
      <c r="B203" s="1" t="s">
        <v>364</v>
      </c>
      <c r="C203" s="1" t="s">
        <v>407</v>
      </c>
      <c r="D203" s="1" t="s">
        <v>207</v>
      </c>
      <c r="E203" s="26" t="s">
        <v>497</v>
      </c>
    </row>
    <row r="204" spans="1:5">
      <c r="A204" s="25" t="s">
        <v>498</v>
      </c>
      <c r="B204" s="1" t="s">
        <v>364</v>
      </c>
      <c r="C204" s="1" t="s">
        <v>386</v>
      </c>
      <c r="D204" s="1" t="s">
        <v>33</v>
      </c>
      <c r="E204" s="26" t="s">
        <v>499</v>
      </c>
    </row>
    <row r="205" spans="1:5">
      <c r="A205" s="25" t="s">
        <v>500</v>
      </c>
      <c r="B205" s="1" t="s">
        <v>364</v>
      </c>
      <c r="C205" s="1" t="s">
        <v>376</v>
      </c>
      <c r="D205" s="1" t="s">
        <v>197</v>
      </c>
      <c r="E205" s="26" t="s">
        <v>501</v>
      </c>
    </row>
    <row r="207" spans="1:5" ht="16">
      <c r="A207" s="22" t="s">
        <v>398</v>
      </c>
      <c r="B207" s="23" t="s">
        <v>502</v>
      </c>
    </row>
    <row r="208" spans="1:5" ht="14">
      <c r="A208" s="24" t="s">
        <v>365</v>
      </c>
      <c r="B208" s="24" t="s">
        <v>366</v>
      </c>
      <c r="C208" s="24" t="s">
        <v>367</v>
      </c>
      <c r="D208" s="24" t="s">
        <v>368</v>
      </c>
      <c r="E208" s="24" t="s">
        <v>369</v>
      </c>
    </row>
    <row r="209" spans="1:5">
      <c r="A209" s="25" t="s">
        <v>412</v>
      </c>
      <c r="B209" s="1" t="s">
        <v>503</v>
      </c>
      <c r="C209" s="1" t="s">
        <v>381</v>
      </c>
      <c r="D209" s="1" t="s">
        <v>56</v>
      </c>
      <c r="E209" s="26" t="s">
        <v>504</v>
      </c>
    </row>
    <row r="210" spans="1:5">
      <c r="A210" s="25" t="s">
        <v>406</v>
      </c>
      <c r="B210" s="1" t="s">
        <v>505</v>
      </c>
      <c r="C210" s="1" t="s">
        <v>407</v>
      </c>
      <c r="D210" s="1" t="s">
        <v>39</v>
      </c>
      <c r="E210" s="26" t="s">
        <v>506</v>
      </c>
    </row>
    <row r="211" spans="1:5">
      <c r="A211" s="25" t="s">
        <v>507</v>
      </c>
      <c r="B211" s="1" t="s">
        <v>503</v>
      </c>
      <c r="C211" s="1" t="s">
        <v>407</v>
      </c>
      <c r="D211" s="1" t="s">
        <v>68</v>
      </c>
      <c r="E211" s="26" t="s">
        <v>508</v>
      </c>
    </row>
    <row r="212" spans="1:5">
      <c r="A212" s="25" t="s">
        <v>476</v>
      </c>
      <c r="B212" s="1" t="s">
        <v>509</v>
      </c>
      <c r="C212" s="1" t="s">
        <v>394</v>
      </c>
      <c r="D212" s="1" t="s">
        <v>165</v>
      </c>
      <c r="E212" s="26" t="s">
        <v>510</v>
      </c>
    </row>
    <row r="213" spans="1:5">
      <c r="A213" s="25" t="s">
        <v>422</v>
      </c>
      <c r="B213" s="1" t="s">
        <v>511</v>
      </c>
      <c r="C213" s="1" t="s">
        <v>381</v>
      </c>
      <c r="D213" s="1" t="s">
        <v>55</v>
      </c>
      <c r="E213" s="26" t="s">
        <v>512</v>
      </c>
    </row>
    <row r="214" spans="1:5">
      <c r="A214" s="25" t="s">
        <v>441</v>
      </c>
      <c r="B214" s="1" t="s">
        <v>505</v>
      </c>
      <c r="C214" s="1" t="s">
        <v>407</v>
      </c>
      <c r="D214" s="1" t="s">
        <v>91</v>
      </c>
      <c r="E214" s="26" t="s">
        <v>513</v>
      </c>
    </row>
    <row r="215" spans="1:5">
      <c r="A215" s="25" t="s">
        <v>514</v>
      </c>
      <c r="B215" s="1" t="s">
        <v>505</v>
      </c>
      <c r="C215" s="1" t="s">
        <v>400</v>
      </c>
      <c r="D215" s="1" t="s">
        <v>63</v>
      </c>
      <c r="E215" s="26" t="s">
        <v>515</v>
      </c>
    </row>
    <row r="216" spans="1:5">
      <c r="A216" s="25" t="s">
        <v>424</v>
      </c>
      <c r="B216" s="1" t="s">
        <v>516</v>
      </c>
      <c r="C216" s="1" t="s">
        <v>400</v>
      </c>
      <c r="D216" s="1" t="s">
        <v>74</v>
      </c>
      <c r="E216" s="26" t="s">
        <v>517</v>
      </c>
    </row>
    <row r="217" spans="1:5">
      <c r="A217" s="25" t="s">
        <v>518</v>
      </c>
      <c r="B217" s="1" t="s">
        <v>505</v>
      </c>
      <c r="C217" s="1" t="s">
        <v>407</v>
      </c>
      <c r="D217" s="1" t="s">
        <v>79</v>
      </c>
      <c r="E217" s="26" t="s">
        <v>519</v>
      </c>
    </row>
    <row r="218" spans="1:5">
      <c r="A218" s="25" t="s">
        <v>520</v>
      </c>
      <c r="B218" s="1" t="s">
        <v>505</v>
      </c>
      <c r="C218" s="1" t="s">
        <v>381</v>
      </c>
      <c r="D218" s="1" t="s">
        <v>155</v>
      </c>
      <c r="E218" s="26" t="s">
        <v>521</v>
      </c>
    </row>
    <row r="219" spans="1:5">
      <c r="A219" s="25" t="s">
        <v>453</v>
      </c>
      <c r="B219" s="1" t="s">
        <v>505</v>
      </c>
      <c r="C219" s="1" t="s">
        <v>407</v>
      </c>
      <c r="D219" s="1" t="s">
        <v>264</v>
      </c>
      <c r="E219" s="26" t="s">
        <v>522</v>
      </c>
    </row>
    <row r="220" spans="1:5">
      <c r="A220" s="25" t="s">
        <v>445</v>
      </c>
      <c r="B220" s="1" t="s">
        <v>511</v>
      </c>
      <c r="C220" s="1" t="s">
        <v>400</v>
      </c>
      <c r="D220" s="1" t="s">
        <v>63</v>
      </c>
      <c r="E220" s="26" t="s">
        <v>523</v>
      </c>
    </row>
    <row r="221" spans="1:5">
      <c r="A221" s="25" t="s">
        <v>482</v>
      </c>
      <c r="B221" s="1" t="s">
        <v>524</v>
      </c>
      <c r="C221" s="1" t="s">
        <v>407</v>
      </c>
      <c r="D221" s="1" t="s">
        <v>44</v>
      </c>
      <c r="E221" s="26" t="s">
        <v>525</v>
      </c>
    </row>
    <row r="222" spans="1:5">
      <c r="A222" s="25" t="s">
        <v>459</v>
      </c>
      <c r="B222" s="1" t="s">
        <v>511</v>
      </c>
      <c r="C222" s="1" t="s">
        <v>381</v>
      </c>
      <c r="D222" s="1" t="s">
        <v>155</v>
      </c>
      <c r="E222" s="26" t="s">
        <v>526</v>
      </c>
    </row>
    <row r="223" spans="1:5">
      <c r="A223" s="25" t="s">
        <v>478</v>
      </c>
      <c r="B223" s="1" t="s">
        <v>505</v>
      </c>
      <c r="C223" s="1" t="s">
        <v>394</v>
      </c>
      <c r="D223" s="1" t="s">
        <v>170</v>
      </c>
      <c r="E223" s="26" t="s">
        <v>527</v>
      </c>
    </row>
    <row r="224" spans="1:5">
      <c r="A224" s="25" t="s">
        <v>474</v>
      </c>
      <c r="B224" s="1" t="s">
        <v>511</v>
      </c>
      <c r="C224" s="1" t="s">
        <v>400</v>
      </c>
      <c r="D224" s="1" t="s">
        <v>68</v>
      </c>
      <c r="E224" s="26" t="s">
        <v>528</v>
      </c>
    </row>
    <row r="225" spans="1:5">
      <c r="A225" s="25" t="s">
        <v>529</v>
      </c>
      <c r="B225" s="1" t="s">
        <v>505</v>
      </c>
      <c r="C225" s="1" t="s">
        <v>400</v>
      </c>
      <c r="D225" s="1" t="s">
        <v>45</v>
      </c>
      <c r="E225" s="26" t="s">
        <v>530</v>
      </c>
    </row>
    <row r="226" spans="1:5">
      <c r="A226" s="25" t="s">
        <v>480</v>
      </c>
      <c r="B226" s="1" t="s">
        <v>505</v>
      </c>
      <c r="C226" s="1" t="s">
        <v>410</v>
      </c>
      <c r="D226" s="1" t="s">
        <v>68</v>
      </c>
      <c r="E226" s="26" t="s">
        <v>531</v>
      </c>
    </row>
    <row r="227" spans="1:5">
      <c r="A227" s="25" t="s">
        <v>467</v>
      </c>
      <c r="B227" s="1" t="s">
        <v>511</v>
      </c>
      <c r="C227" s="1" t="s">
        <v>468</v>
      </c>
      <c r="D227" s="1" t="s">
        <v>62</v>
      </c>
      <c r="E227" s="26" t="s">
        <v>532</v>
      </c>
    </row>
    <row r="228" spans="1:5">
      <c r="A228" s="25" t="s">
        <v>533</v>
      </c>
      <c r="B228" s="1" t="s">
        <v>516</v>
      </c>
      <c r="C228" s="1" t="s">
        <v>407</v>
      </c>
      <c r="D228" s="1" t="s">
        <v>268</v>
      </c>
      <c r="E228" s="26" t="s">
        <v>534</v>
      </c>
    </row>
    <row r="229" spans="1:5">
      <c r="A229" s="25" t="s">
        <v>461</v>
      </c>
      <c r="B229" s="1" t="s">
        <v>516</v>
      </c>
      <c r="C229" s="1" t="s">
        <v>407</v>
      </c>
      <c r="D229" s="1" t="s">
        <v>68</v>
      </c>
      <c r="E229" s="26" t="s">
        <v>462</v>
      </c>
    </row>
    <row r="230" spans="1:5">
      <c r="A230" s="25" t="s">
        <v>535</v>
      </c>
      <c r="B230" s="1" t="s">
        <v>511</v>
      </c>
      <c r="C230" s="1" t="s">
        <v>431</v>
      </c>
      <c r="D230" s="1" t="s">
        <v>155</v>
      </c>
      <c r="E230" s="26" t="s">
        <v>536</v>
      </c>
    </row>
    <row r="231" spans="1:5">
      <c r="A231" s="25" t="s">
        <v>537</v>
      </c>
      <c r="B231" s="1" t="s">
        <v>511</v>
      </c>
      <c r="C231" s="1" t="s">
        <v>400</v>
      </c>
      <c r="D231" s="1" t="s">
        <v>45</v>
      </c>
      <c r="E231" s="26" t="s">
        <v>538</v>
      </c>
    </row>
    <row r="232" spans="1:5">
      <c r="A232" s="25" t="s">
        <v>539</v>
      </c>
      <c r="B232" s="1" t="s">
        <v>516</v>
      </c>
      <c r="C232" s="1" t="s">
        <v>376</v>
      </c>
      <c r="D232" s="1" t="s">
        <v>207</v>
      </c>
      <c r="E232" s="26" t="s">
        <v>540</v>
      </c>
    </row>
  </sheetData>
  <mergeCells count="26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  <mergeCell ref="A16:L16"/>
    <mergeCell ref="A20:L20"/>
    <mergeCell ref="A23:L23"/>
    <mergeCell ref="A28:L28"/>
    <mergeCell ref="A34:L34"/>
    <mergeCell ref="A37:L37"/>
    <mergeCell ref="A45:L45"/>
    <mergeCell ref="A57:L57"/>
    <mergeCell ref="A72:L72"/>
    <mergeCell ref="A96:L96"/>
    <mergeCell ref="A113:L113"/>
    <mergeCell ref="A119:L119"/>
    <mergeCell ref="A124:L1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7"/>
  <sheetViews>
    <sheetView zoomScale="118" zoomScaleNormal="118" workbookViewId="0">
      <selection sqref="A1:M2"/>
    </sheetView>
  </sheetViews>
  <sheetFormatPr baseColWidth="10" defaultColWidth="8.83203125" defaultRowHeight="13"/>
  <cols>
    <col min="1" max="1" width="26" style="1" customWidth="1"/>
    <col min="2" max="2" width="26.33203125" style="1" customWidth="1"/>
    <col min="3" max="3" width="15.5" style="1" customWidth="1"/>
    <col min="4" max="4" width="8.5" style="1" customWidth="1"/>
    <col min="5" max="5" width="22.6640625" style="1" customWidth="1"/>
    <col min="6" max="6" width="34.5" style="1" customWidth="1"/>
    <col min="7" max="9" width="5.5" style="2" customWidth="1"/>
    <col min="10" max="10" width="4.83203125" style="2" customWidth="1"/>
    <col min="11" max="11" width="11.5" style="1" customWidth="1"/>
    <col min="12" max="12" width="8.5" style="2" customWidth="1"/>
    <col min="13" max="13" width="8.83203125" style="1" customWidth="1"/>
    <col min="14" max="1025" width="9.1640625" style="2" customWidth="1"/>
  </cols>
  <sheetData>
    <row r="1" spans="1:13" s="3" customFormat="1" ht="29" customHeight="1">
      <c r="A1" s="29" t="s">
        <v>577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3" customFormat="1" ht="95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4" customFormat="1" ht="12.75" customHeight="1">
      <c r="A3" s="30" t="s">
        <v>0</v>
      </c>
      <c r="B3" s="31" t="s">
        <v>579</v>
      </c>
      <c r="C3" s="31" t="s">
        <v>1</v>
      </c>
      <c r="D3" s="32" t="s">
        <v>580</v>
      </c>
      <c r="E3" s="32" t="s">
        <v>2</v>
      </c>
      <c r="F3" s="32" t="s">
        <v>3</v>
      </c>
      <c r="G3" s="33" t="s">
        <v>4</v>
      </c>
      <c r="H3" s="33"/>
      <c r="I3" s="33"/>
      <c r="J3" s="33"/>
      <c r="K3" s="32" t="s">
        <v>5</v>
      </c>
      <c r="L3" s="32" t="s">
        <v>6</v>
      </c>
      <c r="M3" s="34" t="s">
        <v>7</v>
      </c>
    </row>
    <row r="4" spans="1:13" s="4" customFormat="1" ht="21" customHeight="1">
      <c r="A4" s="30"/>
      <c r="B4" s="31"/>
      <c r="C4" s="31"/>
      <c r="D4" s="31"/>
      <c r="E4" s="31"/>
      <c r="F4" s="31"/>
      <c r="G4" s="5">
        <v>1</v>
      </c>
      <c r="H4" s="5">
        <v>2</v>
      </c>
      <c r="I4" s="5">
        <v>3</v>
      </c>
      <c r="J4" s="5" t="s">
        <v>8</v>
      </c>
      <c r="K4" s="32"/>
      <c r="L4" s="32"/>
      <c r="M4" s="34"/>
    </row>
    <row r="5" spans="1:13" ht="16">
      <c r="A5" s="28" t="s">
        <v>46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3">
      <c r="A6" s="6" t="s">
        <v>541</v>
      </c>
      <c r="B6" s="6" t="s">
        <v>542</v>
      </c>
      <c r="C6" s="6" t="s">
        <v>219</v>
      </c>
      <c r="D6" s="6" t="s">
        <v>581</v>
      </c>
      <c r="E6" s="6" t="s">
        <v>13</v>
      </c>
      <c r="F6" s="6" t="s">
        <v>84</v>
      </c>
      <c r="G6" s="7" t="s">
        <v>39</v>
      </c>
      <c r="H6" s="7" t="s">
        <v>314</v>
      </c>
      <c r="I6" s="7" t="s">
        <v>543</v>
      </c>
      <c r="J6" s="8"/>
      <c r="K6" s="6" t="str">
        <f>"187,5"</f>
        <v>187,5</v>
      </c>
      <c r="L6" s="7" t="str">
        <f>"127,3125"</f>
        <v>127,3125</v>
      </c>
      <c r="M6" s="6"/>
    </row>
    <row r="8" spans="1:13" ht="16">
      <c r="A8" s="27" t="s">
        <v>51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3">
      <c r="A9" s="6" t="s">
        <v>544</v>
      </c>
      <c r="B9" s="6" t="s">
        <v>545</v>
      </c>
      <c r="C9" s="6" t="s">
        <v>546</v>
      </c>
      <c r="D9" s="6" t="s">
        <v>581</v>
      </c>
      <c r="E9" s="6" t="s">
        <v>13</v>
      </c>
      <c r="F9" s="6" t="s">
        <v>137</v>
      </c>
      <c r="G9" s="7" t="s">
        <v>68</v>
      </c>
      <c r="H9" s="7" t="s">
        <v>50</v>
      </c>
      <c r="I9" s="8" t="s">
        <v>55</v>
      </c>
      <c r="J9" s="8"/>
      <c r="K9" s="6" t="str">
        <f>"130,0"</f>
        <v>130,0</v>
      </c>
      <c r="L9" s="7" t="str">
        <f>"86,9050"</f>
        <v>86,9050</v>
      </c>
      <c r="M9" s="6" t="s">
        <v>18</v>
      </c>
    </row>
    <row r="11" spans="1:13" ht="16">
      <c r="E11" s="18" t="s">
        <v>94</v>
      </c>
    </row>
    <row r="12" spans="1:13" ht="16">
      <c r="E12" s="18" t="s">
        <v>95</v>
      </c>
    </row>
    <row r="13" spans="1:13" ht="16">
      <c r="E13" s="18" t="s">
        <v>96</v>
      </c>
    </row>
    <row r="14" spans="1:13" ht="16">
      <c r="E14" s="18" t="s">
        <v>97</v>
      </c>
    </row>
    <row r="15" spans="1:13" ht="16">
      <c r="E15" s="18" t="s">
        <v>97</v>
      </c>
    </row>
    <row r="16" spans="1:13" ht="16">
      <c r="E16" s="18" t="s">
        <v>98</v>
      </c>
    </row>
    <row r="17" spans="5:5" ht="16">
      <c r="E17" s="18"/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0"/>
  <sheetViews>
    <sheetView tabSelected="1" zoomScale="112" zoomScaleNormal="112" workbookViewId="0">
      <selection sqref="A1:M2"/>
    </sheetView>
  </sheetViews>
  <sheetFormatPr baseColWidth="10" defaultColWidth="8.83203125" defaultRowHeight="13"/>
  <cols>
    <col min="1" max="1" width="26" style="1" customWidth="1"/>
    <col min="2" max="2" width="29.6640625" style="1" customWidth="1"/>
    <col min="3" max="3" width="15.5" style="1" customWidth="1"/>
    <col min="4" max="4" width="8.5" style="1" customWidth="1"/>
    <col min="5" max="5" width="22.6640625" style="1" customWidth="1"/>
    <col min="6" max="6" width="34.5" style="1" customWidth="1"/>
    <col min="7" max="9" width="5.5" style="2" customWidth="1"/>
    <col min="10" max="10" width="4.83203125" style="2" customWidth="1"/>
    <col min="11" max="11" width="11.5" style="1" customWidth="1"/>
    <col min="12" max="12" width="8.5" style="2" customWidth="1"/>
    <col min="13" max="13" width="8.83203125" style="1" customWidth="1"/>
    <col min="14" max="1025" width="9.1640625" style="2" customWidth="1"/>
  </cols>
  <sheetData>
    <row r="1" spans="1:13" s="3" customFormat="1" ht="29" customHeight="1">
      <c r="A1" s="29" t="s">
        <v>578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3" customFormat="1" ht="96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4" customFormat="1" ht="12.75" customHeight="1">
      <c r="A3" s="30" t="s">
        <v>0</v>
      </c>
      <c r="B3" s="31" t="s">
        <v>579</v>
      </c>
      <c r="C3" s="31" t="s">
        <v>1</v>
      </c>
      <c r="D3" s="32" t="s">
        <v>580</v>
      </c>
      <c r="E3" s="32" t="s">
        <v>2</v>
      </c>
      <c r="F3" s="32" t="s">
        <v>3</v>
      </c>
      <c r="G3" s="33" t="s">
        <v>4</v>
      </c>
      <c r="H3" s="33"/>
      <c r="I3" s="33"/>
      <c r="J3" s="33"/>
      <c r="K3" s="32" t="s">
        <v>5</v>
      </c>
      <c r="L3" s="32" t="s">
        <v>6</v>
      </c>
      <c r="M3" s="34" t="s">
        <v>7</v>
      </c>
    </row>
    <row r="4" spans="1:13" s="4" customFormat="1" ht="21" customHeight="1">
      <c r="A4" s="30"/>
      <c r="B4" s="31"/>
      <c r="C4" s="31"/>
      <c r="D4" s="31"/>
      <c r="E4" s="31"/>
      <c r="F4" s="31"/>
      <c r="G4" s="5">
        <v>1</v>
      </c>
      <c r="H4" s="5">
        <v>2</v>
      </c>
      <c r="I4" s="5">
        <v>3</v>
      </c>
      <c r="J4" s="5" t="s">
        <v>8</v>
      </c>
      <c r="K4" s="32"/>
      <c r="L4" s="32"/>
      <c r="M4" s="34"/>
    </row>
    <row r="5" spans="1:13" ht="16">
      <c r="A5" s="28" t="s">
        <v>46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3">
      <c r="A6" s="9" t="s">
        <v>541</v>
      </c>
      <c r="B6" s="9" t="s">
        <v>542</v>
      </c>
      <c r="C6" s="9" t="s">
        <v>219</v>
      </c>
      <c r="D6" s="9" t="s">
        <v>581</v>
      </c>
      <c r="E6" s="9" t="s">
        <v>13</v>
      </c>
      <c r="F6" s="9" t="s">
        <v>84</v>
      </c>
      <c r="G6" s="10" t="s">
        <v>57</v>
      </c>
      <c r="H6" s="10" t="s">
        <v>210</v>
      </c>
      <c r="I6" s="10" t="s">
        <v>547</v>
      </c>
      <c r="J6" s="11"/>
      <c r="K6" s="9" t="str">
        <f>"172,5"</f>
        <v>172,5</v>
      </c>
      <c r="L6" s="10" t="str">
        <f>"117,1275"</f>
        <v>117,1275</v>
      </c>
      <c r="M6" s="9"/>
    </row>
    <row r="7" spans="1:13">
      <c r="A7" s="12" t="s">
        <v>548</v>
      </c>
      <c r="B7" s="12" t="s">
        <v>549</v>
      </c>
      <c r="C7" s="12" t="s">
        <v>550</v>
      </c>
      <c r="D7" s="12" t="s">
        <v>581</v>
      </c>
      <c r="E7" s="12" t="s">
        <v>107</v>
      </c>
      <c r="F7" s="12" t="s">
        <v>84</v>
      </c>
      <c r="G7" s="13" t="s">
        <v>56</v>
      </c>
      <c r="H7" s="13" t="s">
        <v>251</v>
      </c>
      <c r="I7" s="13" t="s">
        <v>57</v>
      </c>
      <c r="J7" s="14"/>
      <c r="K7" s="12" t="str">
        <f>"160,0"</f>
        <v>160,0</v>
      </c>
      <c r="L7" s="13" t="str">
        <f>"107,4240"</f>
        <v>107,4240</v>
      </c>
      <c r="M7" s="12"/>
    </row>
    <row r="9" spans="1:13" ht="16">
      <c r="A9" s="27" t="s">
        <v>51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3">
      <c r="A10" s="9" t="s">
        <v>551</v>
      </c>
      <c r="B10" s="9" t="s">
        <v>552</v>
      </c>
      <c r="C10" s="9" t="s">
        <v>553</v>
      </c>
      <c r="D10" s="9" t="s">
        <v>581</v>
      </c>
      <c r="E10" s="9" t="s">
        <v>107</v>
      </c>
      <c r="F10" s="9" t="s">
        <v>84</v>
      </c>
      <c r="G10" s="10" t="s">
        <v>56</v>
      </c>
      <c r="H10" s="10" t="s">
        <v>251</v>
      </c>
      <c r="I10" s="10" t="s">
        <v>57</v>
      </c>
      <c r="J10" s="11"/>
      <c r="K10" s="9" t="str">
        <f>"160,0"</f>
        <v>160,0</v>
      </c>
      <c r="L10" s="10" t="str">
        <f>"106,8000"</f>
        <v>106,8000</v>
      </c>
      <c r="M10" s="9"/>
    </row>
    <row r="11" spans="1:13">
      <c r="A11" s="12" t="s">
        <v>554</v>
      </c>
      <c r="B11" s="12" t="s">
        <v>545</v>
      </c>
      <c r="C11" s="12" t="s">
        <v>546</v>
      </c>
      <c r="D11" s="12" t="s">
        <v>581</v>
      </c>
      <c r="E11" s="12" t="s">
        <v>13</v>
      </c>
      <c r="F11" s="12" t="s">
        <v>137</v>
      </c>
      <c r="G11" s="13" t="s">
        <v>45</v>
      </c>
      <c r="H11" s="13" t="s">
        <v>68</v>
      </c>
      <c r="I11" s="14" t="s">
        <v>79</v>
      </c>
      <c r="J11" s="14"/>
      <c r="K11" s="12" t="str">
        <f>"120,0"</f>
        <v>120,0</v>
      </c>
      <c r="L11" s="13" t="str">
        <f>"80,2200"</f>
        <v>80,2200</v>
      </c>
      <c r="M11" s="12"/>
    </row>
    <row r="13" spans="1:13" ht="16">
      <c r="A13" s="27" t="s">
        <v>69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3">
      <c r="A14" s="9" t="s">
        <v>555</v>
      </c>
      <c r="B14" s="9" t="s">
        <v>556</v>
      </c>
      <c r="C14" s="9" t="s">
        <v>557</v>
      </c>
      <c r="D14" s="9" t="s">
        <v>581</v>
      </c>
      <c r="E14" s="9" t="s">
        <v>13</v>
      </c>
      <c r="F14" s="9" t="s">
        <v>84</v>
      </c>
      <c r="G14" s="10" t="s">
        <v>558</v>
      </c>
      <c r="H14" s="10" t="s">
        <v>85</v>
      </c>
      <c r="I14" s="11"/>
      <c r="J14" s="11"/>
      <c r="K14" s="9" t="str">
        <f>"200,0"</f>
        <v>200,0</v>
      </c>
      <c r="L14" s="10" t="str">
        <f>"118,1000"</f>
        <v>118,1000</v>
      </c>
      <c r="M14" s="9"/>
    </row>
    <row r="15" spans="1:13">
      <c r="A15" s="15" t="s">
        <v>559</v>
      </c>
      <c r="B15" s="15" t="s">
        <v>560</v>
      </c>
      <c r="C15" s="15" t="s">
        <v>561</v>
      </c>
      <c r="D15" s="15" t="s">
        <v>581</v>
      </c>
      <c r="E15" s="15" t="s">
        <v>13</v>
      </c>
      <c r="F15" s="15" t="s">
        <v>84</v>
      </c>
      <c r="G15" s="16" t="s">
        <v>314</v>
      </c>
      <c r="H15" s="16" t="s">
        <v>315</v>
      </c>
      <c r="I15" s="17" t="s">
        <v>562</v>
      </c>
      <c r="J15" s="17"/>
      <c r="K15" s="15" t="str">
        <f>"190,0"</f>
        <v>190,0</v>
      </c>
      <c r="L15" s="16" t="str">
        <f>"113,0880"</f>
        <v>113,0880</v>
      </c>
      <c r="M15" s="15"/>
    </row>
    <row r="16" spans="1:13">
      <c r="A16" s="15" t="s">
        <v>563</v>
      </c>
      <c r="B16" s="15" t="s">
        <v>564</v>
      </c>
      <c r="C16" s="15" t="s">
        <v>356</v>
      </c>
      <c r="D16" s="15" t="s">
        <v>581</v>
      </c>
      <c r="E16" s="15" t="s">
        <v>13</v>
      </c>
      <c r="F16" s="15" t="s">
        <v>84</v>
      </c>
      <c r="G16" s="16" t="s">
        <v>63</v>
      </c>
      <c r="H16" s="16" t="s">
        <v>250</v>
      </c>
      <c r="I16" s="16" t="s">
        <v>56</v>
      </c>
      <c r="J16" s="17"/>
      <c r="K16" s="15" t="str">
        <f>"150,0"</f>
        <v>150,0</v>
      </c>
      <c r="L16" s="16" t="str">
        <f>"88,2750"</f>
        <v>88,2750</v>
      </c>
      <c r="M16" s="15"/>
    </row>
    <row r="17" spans="1:13">
      <c r="A17" s="12" t="s">
        <v>565</v>
      </c>
      <c r="B17" s="12" t="s">
        <v>566</v>
      </c>
      <c r="C17" s="12" t="s">
        <v>356</v>
      </c>
      <c r="D17" s="12" t="s">
        <v>587</v>
      </c>
      <c r="E17" s="12" t="s">
        <v>13</v>
      </c>
      <c r="F17" s="12" t="s">
        <v>84</v>
      </c>
      <c r="G17" s="13" t="s">
        <v>63</v>
      </c>
      <c r="H17" s="13" t="s">
        <v>250</v>
      </c>
      <c r="I17" s="13" t="s">
        <v>56</v>
      </c>
      <c r="J17" s="14"/>
      <c r="K17" s="12" t="str">
        <f>"150,0"</f>
        <v>150,0</v>
      </c>
      <c r="L17" s="13" t="str">
        <f>"109,9907"</f>
        <v>109,9907</v>
      </c>
      <c r="M17" s="12"/>
    </row>
    <row r="19" spans="1:13" ht="16">
      <c r="A19" s="27" t="s">
        <v>80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3">
      <c r="A20" s="9" t="s">
        <v>567</v>
      </c>
      <c r="B20" s="9" t="s">
        <v>568</v>
      </c>
      <c r="C20" s="9" t="s">
        <v>569</v>
      </c>
      <c r="D20" s="9" t="s">
        <v>581</v>
      </c>
      <c r="E20" s="9" t="s">
        <v>13</v>
      </c>
      <c r="F20" s="9" t="s">
        <v>84</v>
      </c>
      <c r="G20" s="10" t="s">
        <v>39</v>
      </c>
      <c r="H20" s="10" t="s">
        <v>570</v>
      </c>
      <c r="I20" s="10" t="s">
        <v>314</v>
      </c>
      <c r="J20" s="11"/>
      <c r="K20" s="9" t="str">
        <f>"180,0"</f>
        <v>180,0</v>
      </c>
      <c r="L20" s="10" t="str">
        <f>"103,6440"</f>
        <v>103,6440</v>
      </c>
      <c r="M20" s="9"/>
    </row>
    <row r="21" spans="1:13">
      <c r="A21" s="15" t="s">
        <v>571</v>
      </c>
      <c r="B21" s="15" t="s">
        <v>572</v>
      </c>
      <c r="C21" s="15" t="s">
        <v>573</v>
      </c>
      <c r="D21" s="15" t="s">
        <v>581</v>
      </c>
      <c r="E21" s="15" t="s">
        <v>13</v>
      </c>
      <c r="F21" s="15" t="s">
        <v>84</v>
      </c>
      <c r="G21" s="16" t="s">
        <v>38</v>
      </c>
      <c r="H21" s="16" t="s">
        <v>39</v>
      </c>
      <c r="I21" s="16" t="s">
        <v>570</v>
      </c>
      <c r="J21" s="17"/>
      <c r="K21" s="15" t="str">
        <f>"175,0"</f>
        <v>175,0</v>
      </c>
      <c r="L21" s="16" t="str">
        <f>"102,9000"</f>
        <v>102,9000</v>
      </c>
      <c r="M21" s="15"/>
    </row>
    <row r="22" spans="1:13">
      <c r="A22" s="12" t="s">
        <v>567</v>
      </c>
      <c r="B22" s="12" t="s">
        <v>574</v>
      </c>
      <c r="C22" s="12" t="s">
        <v>569</v>
      </c>
      <c r="D22" s="12" t="s">
        <v>587</v>
      </c>
      <c r="E22" s="12" t="s">
        <v>13</v>
      </c>
      <c r="F22" s="12" t="s">
        <v>84</v>
      </c>
      <c r="G22" s="13" t="s">
        <v>39</v>
      </c>
      <c r="H22" s="13" t="s">
        <v>570</v>
      </c>
      <c r="I22" s="13" t="s">
        <v>314</v>
      </c>
      <c r="J22" s="14"/>
      <c r="K22" s="12" t="str">
        <f>"180,0"</f>
        <v>180,0</v>
      </c>
      <c r="L22" s="13" t="str">
        <f>"131,4206"</f>
        <v>131,4206</v>
      </c>
      <c r="M22" s="12"/>
    </row>
    <row r="24" spans="1:13" ht="16">
      <c r="E24" s="18" t="s">
        <v>94</v>
      </c>
    </row>
    <row r="25" spans="1:13" ht="16">
      <c r="E25" s="18" t="s">
        <v>95</v>
      </c>
    </row>
    <row r="26" spans="1:13" ht="16">
      <c r="E26" s="18" t="s">
        <v>96</v>
      </c>
    </row>
    <row r="27" spans="1:13" ht="16">
      <c r="E27" s="18" t="s">
        <v>97</v>
      </c>
    </row>
    <row r="28" spans="1:13" ht="16">
      <c r="E28" s="18" t="s">
        <v>97</v>
      </c>
    </row>
    <row r="29" spans="1:13" ht="16">
      <c r="E29" s="18" t="s">
        <v>98</v>
      </c>
    </row>
    <row r="30" spans="1:13" ht="16">
      <c r="E30" s="18"/>
    </row>
  </sheetData>
  <mergeCells count="15">
    <mergeCell ref="A5:L5"/>
    <mergeCell ref="A9:L9"/>
    <mergeCell ref="A13:L13"/>
    <mergeCell ref="A19:L19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196527777777778" right="0.47222222222222199" top="0.43333333333333302" bottom="0.47291666666666698" header="0.51180555555555496" footer="0.51180555555555496"/>
  <pageSetup firstPageNumber="0" fitToHeight="100" orientation="landscape" horizontalDpi="300" verticalDpi="300"/>
  <headerFooter>
    <oddFooter>&amp;R&amp;D&amp;T&amp;P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WPF AM Жим в 1-сл. эк.</vt:lpstr>
      <vt:lpstr>WPF AM Жим безэк.</vt:lpstr>
      <vt:lpstr>WPF PRO Жим в 1-сл. эк.</vt:lpstr>
      <vt:lpstr>WPF PRO Жим безэк.</vt:lpstr>
      <vt:lpstr>'WPF PRO Жим безэк.'!_FilterDatabase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dc:description/>
  <cp:lastModifiedBy>Екатерина Шевелева</cp:lastModifiedBy>
  <cp:revision>3</cp:revision>
  <cp:lastPrinted>2015-07-16T19:10:53Z</cp:lastPrinted>
  <dcterms:created xsi:type="dcterms:W3CDTF">2002-06-16T13:36:44Z</dcterms:created>
  <dcterms:modified xsi:type="dcterms:W3CDTF">2021-03-07T20:12:24Z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