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512B451F-0506-FB49-A398-B8647131A281}" xr6:coauthVersionLast="45" xr6:coauthVersionMax="45" xr10:uidLastSave="{00000000-0000-0000-0000-000000000000}"/>
  <bookViews>
    <workbookView xWindow="480" yWindow="460" windowWidth="28020" windowHeight="16140" firstSheet="8" activeTab="13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RPF Двоеборье без экип" sheetId="27" r:id="rId5"/>
    <sheet name="WRPF Жим лежа без экип ДК" sheetId="15" r:id="rId6"/>
    <sheet name="WRPF Жим лежа без экип" sheetId="14" r:id="rId7"/>
    <sheet name="WEPF Жим софт однопетельная ДК" sheetId="16" r:id="rId8"/>
    <sheet name="WEPF Жим софт однопетельная" sheetId="13" r:id="rId9"/>
    <sheet name="WEPF Жим софт многопетельная" sheetId="19" r:id="rId10"/>
    <sheet name="WRPF Жим СФО" sheetId="35" r:id="rId11"/>
    <sheet name="WRPF Тяга без экипировки ДК" sheetId="24" r:id="rId12"/>
    <sheet name="WRPF Тяга без экипировки" sheetId="23" r:id="rId13"/>
    <sheet name="WRPF Подъем на бицепс" sheetId="43" r:id="rId14"/>
  </sheets>
  <definedNames>
    <definedName name="_FilterDatabase" localSheetId="3" hidden="1">'WRPF ПЛ в бинтах'!$A$1:$S$3</definedName>
  </definedNames>
  <calcPr calcId="191029" refMode="R1C1" iterateDelta="1E-4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43" l="1"/>
  <c r="K31" i="43"/>
  <c r="L30" i="43"/>
  <c r="K30" i="43"/>
  <c r="L29" i="43"/>
  <c r="K29" i="43"/>
  <c r="L26" i="43"/>
  <c r="K26" i="43"/>
  <c r="L23" i="43"/>
  <c r="K23" i="43"/>
  <c r="L22" i="43"/>
  <c r="K22" i="43"/>
  <c r="L21" i="43"/>
  <c r="K21" i="43"/>
  <c r="L18" i="43"/>
  <c r="K18" i="43"/>
  <c r="L17" i="43"/>
  <c r="K17" i="43"/>
  <c r="L16" i="43"/>
  <c r="K16" i="43"/>
  <c r="L13" i="43"/>
  <c r="K13" i="43"/>
  <c r="L12" i="43"/>
  <c r="K12" i="43"/>
  <c r="L9" i="43"/>
  <c r="K9" i="43"/>
  <c r="L6" i="43"/>
  <c r="K6" i="43"/>
  <c r="L6" i="35" l="1"/>
  <c r="K6" i="35"/>
  <c r="Q6" i="27"/>
  <c r="P6" i="27"/>
  <c r="L22" i="24"/>
  <c r="L19" i="24"/>
  <c r="K19" i="24"/>
  <c r="L18" i="24"/>
  <c r="K18" i="24"/>
  <c r="L15" i="24"/>
  <c r="K15" i="24"/>
  <c r="L12" i="24"/>
  <c r="K12" i="24"/>
  <c r="L9" i="24"/>
  <c r="K9" i="24"/>
  <c r="L6" i="24"/>
  <c r="K6" i="24"/>
  <c r="L16" i="23"/>
  <c r="K16" i="23"/>
  <c r="L13" i="23"/>
  <c r="K13" i="23"/>
  <c r="L12" i="23"/>
  <c r="K12" i="23"/>
  <c r="L9" i="23"/>
  <c r="K9" i="23"/>
  <c r="L6" i="23"/>
  <c r="K6" i="23"/>
  <c r="L6" i="19"/>
  <c r="K6" i="19"/>
  <c r="L26" i="16"/>
  <c r="K26" i="16"/>
  <c r="L23" i="16"/>
  <c r="K23" i="16"/>
  <c r="L22" i="16"/>
  <c r="K22" i="16"/>
  <c r="L19" i="16"/>
  <c r="L18" i="16"/>
  <c r="K18" i="16"/>
  <c r="L17" i="16"/>
  <c r="K17" i="16"/>
  <c r="L16" i="16"/>
  <c r="K16" i="16"/>
  <c r="L13" i="16"/>
  <c r="K13" i="16"/>
  <c r="L10" i="16"/>
  <c r="K10" i="16"/>
  <c r="L9" i="16"/>
  <c r="K9" i="16"/>
  <c r="L6" i="16"/>
  <c r="K6" i="16"/>
  <c r="L51" i="15"/>
  <c r="K51" i="15"/>
  <c r="L48" i="15"/>
  <c r="K48" i="15"/>
  <c r="L47" i="15"/>
  <c r="K47" i="15"/>
  <c r="L44" i="15"/>
  <c r="K44" i="15"/>
  <c r="L43" i="15"/>
  <c r="K43" i="15"/>
  <c r="L42" i="15"/>
  <c r="K42" i="15"/>
  <c r="L41" i="15"/>
  <c r="K41" i="15"/>
  <c r="L40" i="15"/>
  <c r="K40" i="15"/>
  <c r="L39" i="15"/>
  <c r="K39" i="15"/>
  <c r="L36" i="15"/>
  <c r="K36" i="15"/>
  <c r="L35" i="15"/>
  <c r="K35" i="15"/>
  <c r="L34" i="15"/>
  <c r="K34" i="15"/>
  <c r="L33" i="15"/>
  <c r="K33" i="15"/>
  <c r="L30" i="15"/>
  <c r="K30" i="15"/>
  <c r="L29" i="15"/>
  <c r="K29" i="15"/>
  <c r="L26" i="15"/>
  <c r="K26" i="15"/>
  <c r="L23" i="15"/>
  <c r="K23" i="15"/>
  <c r="L20" i="15"/>
  <c r="K20" i="15"/>
  <c r="L19" i="15"/>
  <c r="K19" i="15"/>
  <c r="L16" i="15"/>
  <c r="K16" i="15"/>
  <c r="L15" i="15"/>
  <c r="K15" i="15"/>
  <c r="L12" i="15"/>
  <c r="L11" i="15"/>
  <c r="L10" i="15"/>
  <c r="K10" i="15"/>
  <c r="L7" i="15"/>
  <c r="L6" i="15"/>
  <c r="K6" i="15"/>
  <c r="L35" i="14"/>
  <c r="K35" i="14"/>
  <c r="L32" i="14"/>
  <c r="K32" i="14"/>
  <c r="L31" i="14"/>
  <c r="K31" i="14"/>
  <c r="L30" i="14"/>
  <c r="K30" i="14"/>
  <c r="L27" i="14"/>
  <c r="K27" i="14"/>
  <c r="L26" i="14"/>
  <c r="K26" i="14"/>
  <c r="L23" i="14"/>
  <c r="K23" i="14"/>
  <c r="L22" i="14"/>
  <c r="K22" i="14"/>
  <c r="L21" i="14"/>
  <c r="K21" i="14"/>
  <c r="L18" i="14"/>
  <c r="K18" i="14"/>
  <c r="L15" i="14"/>
  <c r="K15" i="14"/>
  <c r="L12" i="14"/>
  <c r="K12" i="14"/>
  <c r="L9" i="14"/>
  <c r="K9" i="14"/>
  <c r="L6" i="14"/>
  <c r="K6" i="14"/>
  <c r="L8" i="13"/>
  <c r="K8" i="13"/>
  <c r="L7" i="13"/>
  <c r="K7" i="13"/>
  <c r="L6" i="13"/>
  <c r="K6" i="13"/>
  <c r="T25" i="10"/>
  <c r="S25" i="10"/>
  <c r="T24" i="10"/>
  <c r="S24" i="10"/>
  <c r="T21" i="10"/>
  <c r="S21" i="10"/>
  <c r="T18" i="10"/>
  <c r="S18" i="10"/>
  <c r="T15" i="10"/>
  <c r="S15" i="10"/>
  <c r="T12" i="10"/>
  <c r="S12" i="10"/>
  <c r="T9" i="10"/>
  <c r="S9" i="10"/>
  <c r="T6" i="10"/>
  <c r="S6" i="10"/>
  <c r="T21" i="9"/>
  <c r="S21" i="9"/>
  <c r="T18" i="9"/>
  <c r="S18" i="9"/>
  <c r="T17" i="9"/>
  <c r="S17" i="9"/>
  <c r="T14" i="9"/>
  <c r="S14" i="9"/>
  <c r="T11" i="9"/>
  <c r="S11" i="9"/>
  <c r="T10" i="9"/>
  <c r="S10" i="9"/>
  <c r="T9" i="9"/>
  <c r="S9" i="9"/>
  <c r="T6" i="9"/>
  <c r="S6" i="9"/>
  <c r="T9" i="6"/>
  <c r="S9" i="6"/>
  <c r="T6" i="6"/>
  <c r="S6" i="6"/>
  <c r="T6" i="5"/>
  <c r="S6" i="5"/>
</calcChain>
</file>

<file path=xl/sharedStrings.xml><?xml version="1.0" encoding="utf-8"?>
<sst xmlns="http://schemas.openxmlformats.org/spreadsheetml/2006/main" count="1478" uniqueCount="474">
  <si>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</si>
  <si>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</si>
  <si>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</si>
  <si>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</si>
  <si>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</si>
  <si>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</si>
  <si>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</si>
  <si>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</si>
  <si>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</si>
  <si>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</si>
  <si>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</si>
  <si>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</si>
  <si>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Логвинова Надежда</t>
  </si>
  <si>
    <t>Открытая (27.07.1986)/34</t>
  </si>
  <si>
    <t>66,20</t>
  </si>
  <si>
    <t>150,0</t>
  </si>
  <si>
    <t>160,0</t>
  </si>
  <si>
    <t>170,0</t>
  </si>
  <si>
    <t>85,0</t>
  </si>
  <si>
    <t>90,0</t>
  </si>
  <si>
    <t>92,5</t>
  </si>
  <si>
    <t>140,0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</si>
  <si>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</si>
  <si>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</si>
  <si>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</si>
  <si>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</si>
  <si>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</si>
  <si>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1</t>
  </si>
  <si>
    <t/>
  </si>
  <si>
    <t>ВЕСОВАЯ КАТЕГОРИЯ   56</t>
  </si>
  <si>
    <t>Хроменкова Людмила</t>
  </si>
  <si>
    <t>Открытая (20.09.1961)/59</t>
  </si>
  <si>
    <t>55,60</t>
  </si>
  <si>
    <t xml:space="preserve">Лично </t>
  </si>
  <si>
    <t>105,0</t>
  </si>
  <si>
    <t>50,0</t>
  </si>
  <si>
    <t>55,0</t>
  </si>
  <si>
    <t>57,5</t>
  </si>
  <si>
    <t>132,5</t>
  </si>
  <si>
    <t>145,0</t>
  </si>
  <si>
    <t>152,5</t>
  </si>
  <si>
    <t xml:space="preserve">Хроменков А. </t>
  </si>
  <si>
    <t>ВЕСОВАЯ КАТЕГОРИЯ   82.5</t>
  </si>
  <si>
    <t>Дубовенко Алексей</t>
  </si>
  <si>
    <t>Юноши 17-19 (03.04.2001)/19</t>
  </si>
  <si>
    <t>78,60</t>
  </si>
  <si>
    <t>185,0</t>
  </si>
  <si>
    <t>195,0</t>
  </si>
  <si>
    <t>115,0</t>
  </si>
  <si>
    <t>120,0</t>
  </si>
  <si>
    <t>125,0</t>
  </si>
  <si>
    <t>210,0</t>
  </si>
  <si>
    <t>220,0</t>
  </si>
  <si>
    <t>230,0</t>
  </si>
  <si>
    <t xml:space="preserve">Куликов Ю. </t>
  </si>
  <si>
    <t xml:space="preserve">Мужчины </t>
  </si>
  <si>
    <t>82.5</t>
  </si>
  <si>
    <t>ВЕСОВАЯ КАТЕГОРИЯ   60</t>
  </si>
  <si>
    <t>Костина Евгения</t>
  </si>
  <si>
    <t>Открытая (30.04.1988)/32</t>
  </si>
  <si>
    <t>58,40</t>
  </si>
  <si>
    <t>95,0</t>
  </si>
  <si>
    <t>107,5</t>
  </si>
  <si>
    <t>70,0</t>
  </si>
  <si>
    <t>75,0</t>
  </si>
  <si>
    <t>77,5</t>
  </si>
  <si>
    <t>135,0</t>
  </si>
  <si>
    <t>ВЕСОВАЯ КАТЕГОРИЯ   100</t>
  </si>
  <si>
    <t>Галич Денис</t>
  </si>
  <si>
    <t>Открытая (31.10.1987)/33</t>
  </si>
  <si>
    <t>98,00</t>
  </si>
  <si>
    <t>200,0</t>
  </si>
  <si>
    <t>225,0</t>
  </si>
  <si>
    <t>100,0</t>
  </si>
  <si>
    <t>110,0</t>
  </si>
  <si>
    <t>235,0</t>
  </si>
  <si>
    <t>245,0</t>
  </si>
  <si>
    <t xml:space="preserve">Эреджепов Р. </t>
  </si>
  <si>
    <t>Шаповаленко Константин</t>
  </si>
  <si>
    <t>Открытая (10.08.1987)/33</t>
  </si>
  <si>
    <t>95,50</t>
  </si>
  <si>
    <t>172,5</t>
  </si>
  <si>
    <t>165,0</t>
  </si>
  <si>
    <t xml:space="preserve">Смирнов Б. </t>
  </si>
  <si>
    <t>Баранский Денис</t>
  </si>
  <si>
    <t>Мастера 40-49 (07.12.1979)/41</t>
  </si>
  <si>
    <t>96,60</t>
  </si>
  <si>
    <t>167,5</t>
  </si>
  <si>
    <t>175,0</t>
  </si>
  <si>
    <t xml:space="preserve">Бураков А. </t>
  </si>
  <si>
    <t>ВЕСОВАЯ КАТЕГОРИЯ   110</t>
  </si>
  <si>
    <t>Терновой Александр</t>
  </si>
  <si>
    <t>Открытая (08.07.1994)/26</t>
  </si>
  <si>
    <t>105,00</t>
  </si>
  <si>
    <t>182,5</t>
  </si>
  <si>
    <t>192,5</t>
  </si>
  <si>
    <t>240,0</t>
  </si>
  <si>
    <t>250,0</t>
  </si>
  <si>
    <t>260,0</t>
  </si>
  <si>
    <t xml:space="preserve">Похватько Р. </t>
  </si>
  <si>
    <t>ВЕСОВАЯ КАТЕГОРИЯ   125</t>
  </si>
  <si>
    <t>Тиранов Виталий</t>
  </si>
  <si>
    <t>Открытая (30.09.1986)/34</t>
  </si>
  <si>
    <t>120,40</t>
  </si>
  <si>
    <t>270,0</t>
  </si>
  <si>
    <t>Каликин Иван</t>
  </si>
  <si>
    <t>Открытая (23.11.1989)/31</t>
  </si>
  <si>
    <t>123,70</t>
  </si>
  <si>
    <t>180,0</t>
  </si>
  <si>
    <t>190,0</t>
  </si>
  <si>
    <t>ВЕСОВАЯ КАТЕГОРИЯ   140+</t>
  </si>
  <si>
    <t>Клюка Антон</t>
  </si>
  <si>
    <t>Открытая (30.10.1983)/37</t>
  </si>
  <si>
    <t>156,20</t>
  </si>
  <si>
    <t>320,0</t>
  </si>
  <si>
    <t>345,0</t>
  </si>
  <si>
    <t>360,0</t>
  </si>
  <si>
    <t>330,0</t>
  </si>
  <si>
    <t>350,0</t>
  </si>
  <si>
    <t>110</t>
  </si>
  <si>
    <t>125</t>
  </si>
  <si>
    <t>100</t>
  </si>
  <si>
    <t>2</t>
  </si>
  <si>
    <t>ВЕСОВАЯ КАТЕГОРИЯ   52</t>
  </si>
  <si>
    <t>Позынич Анастасия</t>
  </si>
  <si>
    <t>Открытая (19.02.1998)/23</t>
  </si>
  <si>
    <t>51,00</t>
  </si>
  <si>
    <t>45,0</t>
  </si>
  <si>
    <t>97,5</t>
  </si>
  <si>
    <t>Морозова Альвина</t>
  </si>
  <si>
    <t>Открытая (19.06.1991)/29</t>
  </si>
  <si>
    <t>55,10</t>
  </si>
  <si>
    <t>40,0</t>
  </si>
  <si>
    <t>117,5</t>
  </si>
  <si>
    <t>Мельник Анна</t>
  </si>
  <si>
    <t>Открытая (21.09.1991)/29</t>
  </si>
  <si>
    <t>59,60</t>
  </si>
  <si>
    <t>65,0</t>
  </si>
  <si>
    <t>72,5</t>
  </si>
  <si>
    <t>ВЕСОВАЯ КАТЕГОРИЯ   75</t>
  </si>
  <si>
    <t>Чернобай Светлана</t>
  </si>
  <si>
    <t>Открытая (08.12.1978)/42</t>
  </si>
  <si>
    <t>73,50</t>
  </si>
  <si>
    <t>130,0</t>
  </si>
  <si>
    <t>60,0</t>
  </si>
  <si>
    <t>ВЕСОВАЯ КАТЕГОРИЯ   90+</t>
  </si>
  <si>
    <t>Эмираджиева Динара</t>
  </si>
  <si>
    <t>Открытая (24.04.1991)/29</t>
  </si>
  <si>
    <t>111,50</t>
  </si>
  <si>
    <t xml:space="preserve">Остапенко Е. </t>
  </si>
  <si>
    <t>ВЕСОВАЯ КАТЕГОРИЯ   90</t>
  </si>
  <si>
    <t>Воронин Даниил</t>
  </si>
  <si>
    <t>Открытая (07.03.2002)/19</t>
  </si>
  <si>
    <t>90,00</t>
  </si>
  <si>
    <t>215,0</t>
  </si>
  <si>
    <t>252,5</t>
  </si>
  <si>
    <t>Гордиенко Николай</t>
  </si>
  <si>
    <t>Открытая (13.01.1992)/29</t>
  </si>
  <si>
    <t>93,30</t>
  </si>
  <si>
    <t>Салата Ярослав</t>
  </si>
  <si>
    <t>Открытая (10.12.1991)/29</t>
  </si>
  <si>
    <t>92,60</t>
  </si>
  <si>
    <t>155,0</t>
  </si>
  <si>
    <t>255,0</t>
  </si>
  <si>
    <t>90</t>
  </si>
  <si>
    <t>Ткаченко Дмитрий</t>
  </si>
  <si>
    <t>Открытая (09.04.1981)/39</t>
  </si>
  <si>
    <t>93,50</t>
  </si>
  <si>
    <t>227,5</t>
  </si>
  <si>
    <t>237,5</t>
  </si>
  <si>
    <t>Багач Сергей</t>
  </si>
  <si>
    <t>Мастера 40-49 (01.05.1973)/47</t>
  </si>
  <si>
    <t>97,35</t>
  </si>
  <si>
    <t>Леоненко Василий</t>
  </si>
  <si>
    <t>Мастера 50-59 (06.04.1967)/53</t>
  </si>
  <si>
    <t>93,15</t>
  </si>
  <si>
    <t xml:space="preserve">Результат </t>
  </si>
  <si>
    <t xml:space="preserve">Gloss </t>
  </si>
  <si>
    <t>Результат</t>
  </si>
  <si>
    <t>-</t>
  </si>
  <si>
    <t>Суховей Наталья</t>
  </si>
  <si>
    <t>Мастера 60-69 (25.11.1960)/60</t>
  </si>
  <si>
    <t>59,20</t>
  </si>
  <si>
    <t>52,5</t>
  </si>
  <si>
    <t xml:space="preserve">Антонова Ю. </t>
  </si>
  <si>
    <t>Антонова Юлия</t>
  </si>
  <si>
    <t>Открытая (01.02.1980)/41</t>
  </si>
  <si>
    <t>62,50</t>
  </si>
  <si>
    <t>Орещук Александра</t>
  </si>
  <si>
    <t>Открытая (14.08.1981)/39</t>
  </si>
  <si>
    <t>70,20</t>
  </si>
  <si>
    <t>47,5</t>
  </si>
  <si>
    <t xml:space="preserve">Павленко Д. </t>
  </si>
  <si>
    <t>Исаков Ахмед</t>
  </si>
  <si>
    <t>Открытая (25.05.1996)/24</t>
  </si>
  <si>
    <t>70,80</t>
  </si>
  <si>
    <t>Чжан Даниил</t>
  </si>
  <si>
    <t>Юноши 17-19 (08.12.2003)/17</t>
  </si>
  <si>
    <t>82,50</t>
  </si>
  <si>
    <t>Аникушин Роман</t>
  </si>
  <si>
    <t>Открытая (27.08.1986)/34</t>
  </si>
  <si>
    <t>87,40</t>
  </si>
  <si>
    <t>205,0</t>
  </si>
  <si>
    <t>Бабкин Богдан</t>
  </si>
  <si>
    <t>Открытая (08.02.1995)/26</t>
  </si>
  <si>
    <t>86,00</t>
  </si>
  <si>
    <t>Виноградский Артём</t>
  </si>
  <si>
    <t>Открытая (15.08.1986)/34</t>
  </si>
  <si>
    <t>87,10</t>
  </si>
  <si>
    <t>Кирияк Виктор</t>
  </si>
  <si>
    <t>Открытая (22.06.1996)/24</t>
  </si>
  <si>
    <t>99,00</t>
  </si>
  <si>
    <t>Грабовецкий Сергей</t>
  </si>
  <si>
    <t>Открытая (09.09.1989)/31</t>
  </si>
  <si>
    <t>97,50</t>
  </si>
  <si>
    <t>Пинчук Виталий</t>
  </si>
  <si>
    <t>Открытая (08.05.1989)/31</t>
  </si>
  <si>
    <t>Павленко Денис</t>
  </si>
  <si>
    <t>Открытая (11.03.1993)/28</t>
  </si>
  <si>
    <t>103,50</t>
  </si>
  <si>
    <t>232,5</t>
  </si>
  <si>
    <t>ВЕСОВАЯ КАТЕГОРИЯ   140</t>
  </si>
  <si>
    <t>Клочков Александр</t>
  </si>
  <si>
    <t>Мастера 60-69 (12.11.1958)/62</t>
  </si>
  <si>
    <t>127,70</t>
  </si>
  <si>
    <t xml:space="preserve">Луценко Н. </t>
  </si>
  <si>
    <t>149,4000</t>
  </si>
  <si>
    <t>139,6395</t>
  </si>
  <si>
    <t>132,9015</t>
  </si>
  <si>
    <t>3</t>
  </si>
  <si>
    <t>Федосова Яна</t>
  </si>
  <si>
    <t>Открытая (08.03.1987)/34</t>
  </si>
  <si>
    <t>50,40</t>
  </si>
  <si>
    <t>Дейнеко Светлана</t>
  </si>
  <si>
    <t>Открытая (25.05.1986)/34</t>
  </si>
  <si>
    <t>53,60</t>
  </si>
  <si>
    <t>Разумова Наталья</t>
  </si>
  <si>
    <t>Открытая (05.07.1976)/44</t>
  </si>
  <si>
    <t>55,70</t>
  </si>
  <si>
    <t>Мастера 40-49 (05.07.1976)/44</t>
  </si>
  <si>
    <t>Помозова Анна</t>
  </si>
  <si>
    <t>Юниорки (05.07.2000)/20</t>
  </si>
  <si>
    <t>60,00</t>
  </si>
  <si>
    <t xml:space="preserve">Лаго А. </t>
  </si>
  <si>
    <t>Аллахвердиева Айна</t>
  </si>
  <si>
    <t>Открытая (07.02.1993)/28</t>
  </si>
  <si>
    <t>56,80</t>
  </si>
  <si>
    <t xml:space="preserve">Лескова Е. </t>
  </si>
  <si>
    <t>Дулуб Ксения</t>
  </si>
  <si>
    <t>Девушки 17-19 (17.08.2002)/18</t>
  </si>
  <si>
    <t>62,10</t>
  </si>
  <si>
    <t>62,5</t>
  </si>
  <si>
    <t xml:space="preserve">Листопад И. </t>
  </si>
  <si>
    <t>Марук Оксана</t>
  </si>
  <si>
    <t>Открытая (06.02.1973)/48</t>
  </si>
  <si>
    <t>65,80</t>
  </si>
  <si>
    <t>Жмурко Татьяна</t>
  </si>
  <si>
    <t>Юниоры (25.05.1997)/23</t>
  </si>
  <si>
    <t>54,90</t>
  </si>
  <si>
    <t>Жовтовский Сергей</t>
  </si>
  <si>
    <t>Открытая (27.04.1985)/35</t>
  </si>
  <si>
    <t>67,40</t>
  </si>
  <si>
    <t>Солдаткин Никита</t>
  </si>
  <si>
    <t>Юноши 17-19 (31.08.2003)/17</t>
  </si>
  <si>
    <t>81,70</t>
  </si>
  <si>
    <t>Григорян Эдуард</t>
  </si>
  <si>
    <t>Открытая (12.05.1977)/43</t>
  </si>
  <si>
    <t>81,20</t>
  </si>
  <si>
    <t>Данив Дмитрий</t>
  </si>
  <si>
    <t>Открытая (03.10.1987)/33</t>
  </si>
  <si>
    <t>86,50</t>
  </si>
  <si>
    <t>142,5</t>
  </si>
  <si>
    <t>147,5</t>
  </si>
  <si>
    <t xml:space="preserve">Катаев Л. </t>
  </si>
  <si>
    <t>Хухрин Дмитрий</t>
  </si>
  <si>
    <t>Открытая (30.11.1988)/32</t>
  </si>
  <si>
    <t>87,80</t>
  </si>
  <si>
    <t xml:space="preserve">Быков.П </t>
  </si>
  <si>
    <t>Лещеок Дмитрий</t>
  </si>
  <si>
    <t>Открытая (12.11.1986)/34</t>
  </si>
  <si>
    <t>88,50</t>
  </si>
  <si>
    <t>137,5</t>
  </si>
  <si>
    <t>Бондаренко Сергей</t>
  </si>
  <si>
    <t>Мастера 50-59 (18.03.1961)/59</t>
  </si>
  <si>
    <t>85,90</t>
  </si>
  <si>
    <t>122,5</t>
  </si>
  <si>
    <t>Циснецкий Антон</t>
  </si>
  <si>
    <t>Открытая (06.05.1991)/29</t>
  </si>
  <si>
    <t>99,50</t>
  </si>
  <si>
    <t>Белаш Дмитрий</t>
  </si>
  <si>
    <t>Открытая (18.06.1990)/30</t>
  </si>
  <si>
    <t>98,60</t>
  </si>
  <si>
    <t>Ануфриев Дмитрий</t>
  </si>
  <si>
    <t>Открытая (02.01.1985)/36</t>
  </si>
  <si>
    <t>98,50</t>
  </si>
  <si>
    <t>Ковалев Денис</t>
  </si>
  <si>
    <t>Открытая (17.01.1984)/37</t>
  </si>
  <si>
    <t>99,70</t>
  </si>
  <si>
    <t>Каминский Евгений</t>
  </si>
  <si>
    <t>Открытая (05.11.1988)/32</t>
  </si>
  <si>
    <t>122,60</t>
  </si>
  <si>
    <t>Дука Михаил</t>
  </si>
  <si>
    <t>Открытая (28.08.1982)/38</t>
  </si>
  <si>
    <t>115,30</t>
  </si>
  <si>
    <t>Буянов Александр</t>
  </si>
  <si>
    <t>Открытая (18.05.1981)/39</t>
  </si>
  <si>
    <t>137,20</t>
  </si>
  <si>
    <t>177,5</t>
  </si>
  <si>
    <t>111,6060</t>
  </si>
  <si>
    <t>105,8570</t>
  </si>
  <si>
    <t>105,1905</t>
  </si>
  <si>
    <t>4</t>
  </si>
  <si>
    <t>5</t>
  </si>
  <si>
    <t>6</t>
  </si>
  <si>
    <t>Никишова Анна</t>
  </si>
  <si>
    <t>Открытая (26.12.1989)/31</t>
  </si>
  <si>
    <t>67,50</t>
  </si>
  <si>
    <t>102,5</t>
  </si>
  <si>
    <t>Алексеев Илья</t>
  </si>
  <si>
    <t>Открытая (30.11.1983)/37</t>
  </si>
  <si>
    <t>82,30</t>
  </si>
  <si>
    <t xml:space="preserve">Каминский Е. </t>
  </si>
  <si>
    <t>Завгородний Артем</t>
  </si>
  <si>
    <t>Открытая (19.08.1988)/32</t>
  </si>
  <si>
    <t>84,45</t>
  </si>
  <si>
    <t>93,55</t>
  </si>
  <si>
    <t>Ходукин Алексей</t>
  </si>
  <si>
    <t>Открытая (10.03.1983)/38</t>
  </si>
  <si>
    <t>99,20</t>
  </si>
  <si>
    <t>Саньков Леонид</t>
  </si>
  <si>
    <t>Мастера 50-59 (21.03.1970)/50</t>
  </si>
  <si>
    <t>91,25</t>
  </si>
  <si>
    <t>Едреников Максим</t>
  </si>
  <si>
    <t>Мастера 40-49 (25.10.1976)/44</t>
  </si>
  <si>
    <t>104,40</t>
  </si>
  <si>
    <t>212,5</t>
  </si>
  <si>
    <t>Шульга Олег</t>
  </si>
  <si>
    <t>Мастера 50-59 (31.03.1969)/51</t>
  </si>
  <si>
    <t>107,70</t>
  </si>
  <si>
    <t xml:space="preserve">Багач С. </t>
  </si>
  <si>
    <t>Белаш Сергей</t>
  </si>
  <si>
    <t>Открытая (22.05.1989)/31</t>
  </si>
  <si>
    <t>116,85</t>
  </si>
  <si>
    <t>Богатырёв Денис</t>
  </si>
  <si>
    <t>Открытая (23.03.1987)/33</t>
  </si>
  <si>
    <t>109,80</t>
  </si>
  <si>
    <t>370,0</t>
  </si>
  <si>
    <t>380,0</t>
  </si>
  <si>
    <t>Янчуков Роман</t>
  </si>
  <si>
    <t>Открытая (06.07.1993)/27</t>
  </si>
  <si>
    <t>88,80</t>
  </si>
  <si>
    <t>Гончаров Сергей</t>
  </si>
  <si>
    <t>Открытая (11.04.1986)/34</t>
  </si>
  <si>
    <t>89,20</t>
  </si>
  <si>
    <t>ВЕСОВАЯ КАТЕГОРИЯ   44</t>
  </si>
  <si>
    <t>Джафарова Афет</t>
  </si>
  <si>
    <t>42,75</t>
  </si>
  <si>
    <t>80,0</t>
  </si>
  <si>
    <t>Леушина Марина</t>
  </si>
  <si>
    <t>Открытая (05.02.1983)/38</t>
  </si>
  <si>
    <t>73,90</t>
  </si>
  <si>
    <t>Саттаров Асан</t>
  </si>
  <si>
    <t>Открытая (07.12.1986)/34</t>
  </si>
  <si>
    <t>73,30</t>
  </si>
  <si>
    <t>Емельянов Сергей</t>
  </si>
  <si>
    <t>Юниоры (03.11.1998)/22</t>
  </si>
  <si>
    <t>80,10</t>
  </si>
  <si>
    <t xml:space="preserve">Поддубный Д. </t>
  </si>
  <si>
    <t>Савинкин Валерий</t>
  </si>
  <si>
    <t>Открытая (18.12.1983)/37</t>
  </si>
  <si>
    <t>78,00</t>
  </si>
  <si>
    <t>93,20</t>
  </si>
  <si>
    <t>Сонин Игорь</t>
  </si>
  <si>
    <t>Открытая (23.01.1989)/32</t>
  </si>
  <si>
    <t>70,30</t>
  </si>
  <si>
    <t>Титова Наталья</t>
  </si>
  <si>
    <t>50,25</t>
  </si>
  <si>
    <t>17,5</t>
  </si>
  <si>
    <t>20,0</t>
  </si>
  <si>
    <t xml:space="preserve">Белянский Е. </t>
  </si>
  <si>
    <t>Тихомиров Николай</t>
  </si>
  <si>
    <t>Мастера 60+ (21.12.1956)/64</t>
  </si>
  <si>
    <t>68,20</t>
  </si>
  <si>
    <t>37,5</t>
  </si>
  <si>
    <t>42,5</t>
  </si>
  <si>
    <t>48,0</t>
  </si>
  <si>
    <t>Сухоруких Анатолий</t>
  </si>
  <si>
    <t>Открытая (25.08.1994)/26</t>
  </si>
  <si>
    <t>76,30</t>
  </si>
  <si>
    <t>67,5</t>
  </si>
  <si>
    <t>Канунников Кирилл</t>
  </si>
  <si>
    <t>Открытая (21.11.1997)/23</t>
  </si>
  <si>
    <t>79,00</t>
  </si>
  <si>
    <t xml:space="preserve">Пинчук А. </t>
  </si>
  <si>
    <t>Политаев Евгений</t>
  </si>
  <si>
    <t>Открытая (25.06.1983)/37</t>
  </si>
  <si>
    <t>80,00</t>
  </si>
  <si>
    <t>Кутуксиди Денис</t>
  </si>
  <si>
    <t>Открытая (30.01.1990)/31</t>
  </si>
  <si>
    <t>87,75</t>
  </si>
  <si>
    <t>Турчин Владимир</t>
  </si>
  <si>
    <t>Пинчук Алексей</t>
  </si>
  <si>
    <t>Открытая (14.04.1994)/26</t>
  </si>
  <si>
    <t>97,80</t>
  </si>
  <si>
    <t>Белянский Евгений</t>
  </si>
  <si>
    <t>Открытая (16.03.1988)/32</t>
  </si>
  <si>
    <t>101,50</t>
  </si>
  <si>
    <t>107,65</t>
  </si>
  <si>
    <t>Педосюк Сергей</t>
  </si>
  <si>
    <t>109,00</t>
  </si>
  <si>
    <t>46,5525</t>
  </si>
  <si>
    <t>45,8966</t>
  </si>
  <si>
    <t>45,4886</t>
  </si>
  <si>
    <t xml:space="preserve">Симферополь/Республика Крым </t>
  </si>
  <si>
    <t xml:space="preserve">Нижнегорский/Республика Крым </t>
  </si>
  <si>
    <t xml:space="preserve">Феодосия/Республика Крым </t>
  </si>
  <si>
    <t xml:space="preserve">Белогорск/Республика Крым </t>
  </si>
  <si>
    <t xml:space="preserve">Бахчисарай/Республика Крым </t>
  </si>
  <si>
    <t xml:space="preserve">Новофедоровка/Республика Крым </t>
  </si>
  <si>
    <t xml:space="preserve">Севастополь/Республика Крым </t>
  </si>
  <si>
    <t xml:space="preserve">Керчь/Республика Крым </t>
  </si>
  <si>
    <t xml:space="preserve">Ялта/Республика Крым </t>
  </si>
  <si>
    <t xml:space="preserve">Саки/Республика Крым </t>
  </si>
  <si>
    <t xml:space="preserve">Гурзуф/Республика Крым </t>
  </si>
  <si>
    <t>Москва</t>
  </si>
  <si>
    <t>Романчев Д.</t>
  </si>
  <si>
    <t>Симферополь/Республика Крым</t>
  </si>
  <si>
    <t>Джанкой/Республика Крым</t>
  </si>
  <si>
    <t>Саки/Республика Крым</t>
  </si>
  <si>
    <t>Евпатория/Республика Крым</t>
  </si>
  <si>
    <t>Керчь/Республика Крым</t>
  </si>
  <si>
    <t>Ялта/Республика Крым</t>
  </si>
  <si>
    <t>Юниорки 20-23 (05.03.1999)/22</t>
  </si>
  <si>
    <t>Мастера 40-49 (27.08.1976)/44</t>
  </si>
  <si>
    <t>Мастера 50-59 (18.07.1966)/54</t>
  </si>
  <si>
    <t>Катаев Л.</t>
  </si>
  <si>
    <t>Белаш Д.</t>
  </si>
  <si>
    <t>Янчукова Ю.</t>
  </si>
  <si>
    <t>Григорян Э .</t>
  </si>
  <si>
    <t xml:space="preserve">Сейтнебиев М. </t>
  </si>
  <si>
    <t>Григорян Э.</t>
  </si>
  <si>
    <t xml:space="preserve">Белаш Д. </t>
  </si>
  <si>
    <t xml:space="preserve">Волгоград/Волгоградская область </t>
  </si>
  <si>
    <t>пгт Гвардейское/Республика Крым</t>
  </si>
  <si>
    <t>Пономарёва В.</t>
  </si>
  <si>
    <t>Весовая категория</t>
  </si>
  <si>
    <t>Антонова Ю.</t>
  </si>
  <si>
    <t>Клюка А.</t>
  </si>
  <si>
    <t>Похватько Р.</t>
  </si>
  <si>
    <t>Эреджепов Т.</t>
  </si>
  <si>
    <t>Всероссийский мастерский турнир "Могущество Атлантов V"
WRPF любители Пауэрлифтинг без экипировки ДК
Симферополь/Республика Крым, 14 марта 2021 года</t>
  </si>
  <si>
    <t>Всероссийский мастерский турнир "Могущество Атлантов V"
WRPF любители Пауэрлифтинг без экипировки
Симферополь/Республика Крым, 14 марта 2021 года</t>
  </si>
  <si>
    <t>Всероссийский мастерский турнир "Могущество Атлантов V"
WRPF любители Пауэрлифтинг классический в бинтах ДК
Симферополь/Республика Крым, 14 марта 2021 года</t>
  </si>
  <si>
    <t>Всероссийский мастерский турнир "Могущество Атлантов V"
WRPF любители Пауэрлифтинг классический в бинтах
Симферополь/Республика Крым, 14 марта 2021 года</t>
  </si>
  <si>
    <t>Всероссийский мастерский турнир "Могущество Атлантов V"
WRPF любители Силовое двоеборье без экипировки
Симферополь/Республика Крым, 14 марта 2021 года</t>
  </si>
  <si>
    <t>Всероссийский мастерский турнир "Могущество Атлантов V"
WRPF любители Жим лежа без экипировки ДК
Симферополь/Республика Крым, 14 марта 2021 года</t>
  </si>
  <si>
    <t>Всероссийский мастерский турнир "Могущество Атлантов V"
WRPF любители Жим лежа без экипировки
Симферополь/Республика Крым, 14 марта 2021 года</t>
  </si>
  <si>
    <t>Всероссийский мастерский турнир "Могущество Атлантов V"
WEPF Жим лежа в однопетельной софт экипировке ДК
Симферополь/Республика Крым, 14 марта 2021 года</t>
  </si>
  <si>
    <t>Всероссийский мастерский турнир "Могущество Атлантов V"
WEPF Жим лежа в однопетельной софт экипировке
Симферополь/Республика Крым, 14 марта 2021 года</t>
  </si>
  <si>
    <t>Всероссийский мастерский турнир "Могущество Атлантов V"
WEPF Жим лежа в многопетельной софт экипировке
Симферополь/Республика Крым, 14 марта 2021 года</t>
  </si>
  <si>
    <t>Всероссийский мастерский турнир "Могущество Атлантов V"
WRPF Жим лежа СФО
Симферополь/Республика Крым, 14 марта 2021 года</t>
  </si>
  <si>
    <t>Всероссийский мастерский турнир "Могущество Атлантов V"
WRPF любители Становая тяга без экипировки ДК
Симферополь/Республика Крым, 14 марта 2021 года</t>
  </si>
  <si>
    <t>Всероссийский мастерский турнир "Могущество Атлантов V"
WRPF любители Становая тяга без экипировки
Симферополь/Республика Крым, 14 марта 2021 года</t>
  </si>
  <si>
    <t>Всероссийский мастерский турнир "Могущество Атлантов V"
WRPF Строгий подъем штанги на бицепс
Симферополь/Республика Крым, 14 марта 2021 года</t>
  </si>
  <si>
    <t>№</t>
  </si>
  <si>
    <t>Жим</t>
  </si>
  <si>
    <t xml:space="preserve">
Дата рождения/Возраст</t>
  </si>
  <si>
    <t>Возрастная группа</t>
  </si>
  <si>
    <t>O</t>
  </si>
  <si>
    <t>M1</t>
  </si>
  <si>
    <t>T2</t>
  </si>
  <si>
    <t>M3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</si>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</sst>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indent="1"/>
    </xf>
    <xf numFmtId="49" fontId="6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5" style="5" customWidth="1"/>
    <col min="22" max="16384" width="9.1640625" style="3"/>
  </cols>
  <sheetData>
    <row r="1" spans="1:21" s="2" customFormat="1" ht="29" customHeight="1">
      <c r="A1" s="33" t="s">
        <v>450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4"/>
      <c r="T4" s="44"/>
      <c r="U4" s="48"/>
    </row>
    <row r="5" spans="1:21" ht="16">
      <c r="A5" s="49" t="s">
        <v>123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8" t="s">
        <v>27</v>
      </c>
      <c r="B6" s="7" t="s">
        <v>124</v>
      </c>
      <c r="C6" s="7" t="s">
        <v>125</v>
      </c>
      <c r="D6" s="7" t="s">
        <v>126</v>
      </c>
      <c r="E6" s="7" t="s">
        <v>468</v>
      </c>
      <c r="F6" s="7" t="s">
        <v>420</v>
      </c>
      <c r="G6" s="14" t="s">
        <v>18</v>
      </c>
      <c r="H6" s="15" t="s">
        <v>19</v>
      </c>
      <c r="I6" s="14" t="s">
        <v>20</v>
      </c>
      <c r="J6" s="8"/>
      <c r="K6" s="14" t="s">
        <v>127</v>
      </c>
      <c r="L6" s="15" t="s">
        <v>35</v>
      </c>
      <c r="M6" s="14" t="s">
        <v>35</v>
      </c>
      <c r="N6" s="8"/>
      <c r="O6" s="14" t="s">
        <v>19</v>
      </c>
      <c r="P6" s="14" t="s">
        <v>128</v>
      </c>
      <c r="Q6" s="14" t="s">
        <v>73</v>
      </c>
      <c r="R6" s="8"/>
      <c r="S6" s="8" t="str">
        <f>"242,5"</f>
        <v>242,5</v>
      </c>
      <c r="T6" s="8" t="str">
        <f>"306,8595"</f>
        <v>306,8595</v>
      </c>
      <c r="U6" s="7" t="s">
        <v>446</v>
      </c>
    </row>
    <row r="7" spans="1:21">
      <c r="B7" s="5" t="s">
        <v>28</v>
      </c>
    </row>
    <row r="8" spans="1:21" ht="16">
      <c r="A8" s="46" t="s">
        <v>29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27</v>
      </c>
      <c r="B9" s="7" t="s">
        <v>129</v>
      </c>
      <c r="C9" s="7" t="s">
        <v>130</v>
      </c>
      <c r="D9" s="7" t="s">
        <v>131</v>
      </c>
      <c r="E9" s="7" t="s">
        <v>468</v>
      </c>
      <c r="F9" s="7" t="s">
        <v>420</v>
      </c>
      <c r="G9" s="14" t="s">
        <v>18</v>
      </c>
      <c r="H9" s="15" t="s">
        <v>19</v>
      </c>
      <c r="I9" s="14" t="s">
        <v>19</v>
      </c>
      <c r="J9" s="8"/>
      <c r="K9" s="14" t="s">
        <v>132</v>
      </c>
      <c r="L9" s="15" t="s">
        <v>127</v>
      </c>
      <c r="M9" s="14" t="s">
        <v>127</v>
      </c>
      <c r="N9" s="8"/>
      <c r="O9" s="14" t="s">
        <v>74</v>
      </c>
      <c r="P9" s="14" t="s">
        <v>133</v>
      </c>
      <c r="Q9" s="14" t="s">
        <v>49</v>
      </c>
      <c r="R9" s="8"/>
      <c r="S9" s="8" t="str">
        <f>"255,0"</f>
        <v>255,0</v>
      </c>
      <c r="T9" s="8" t="str">
        <f>"303,8580"</f>
        <v>303,8580</v>
      </c>
      <c r="U9" s="7" t="s">
        <v>446</v>
      </c>
    </row>
    <row r="10" spans="1:21">
      <c r="B10" s="5" t="s">
        <v>28</v>
      </c>
    </row>
    <row r="11" spans="1:21" ht="16">
      <c r="A11" s="46" t="s">
        <v>57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1:21">
      <c r="A12" s="8" t="s">
        <v>27</v>
      </c>
      <c r="B12" s="7" t="s">
        <v>134</v>
      </c>
      <c r="C12" s="7" t="s">
        <v>135</v>
      </c>
      <c r="D12" s="7" t="s">
        <v>136</v>
      </c>
      <c r="E12" s="7" t="s">
        <v>468</v>
      </c>
      <c r="F12" s="7" t="s">
        <v>413</v>
      </c>
      <c r="G12" s="14" t="s">
        <v>137</v>
      </c>
      <c r="H12" s="14" t="s">
        <v>138</v>
      </c>
      <c r="I12" s="14" t="s">
        <v>65</v>
      </c>
      <c r="J12" s="8"/>
      <c r="K12" s="14" t="s">
        <v>132</v>
      </c>
      <c r="L12" s="14" t="s">
        <v>127</v>
      </c>
      <c r="M12" s="14" t="s">
        <v>35</v>
      </c>
      <c r="N12" s="8"/>
      <c r="O12" s="14" t="s">
        <v>64</v>
      </c>
      <c r="P12" s="14" t="s">
        <v>18</v>
      </c>
      <c r="Q12" s="15" t="s">
        <v>19</v>
      </c>
      <c r="R12" s="8"/>
      <c r="S12" s="8" t="str">
        <f>"212,5"</f>
        <v>212,5</v>
      </c>
      <c r="T12" s="8" t="str">
        <f>"238,1488"</f>
        <v>238,1488</v>
      </c>
      <c r="U12" s="7" t="s">
        <v>447</v>
      </c>
    </row>
    <row r="13" spans="1:21">
      <c r="B13" s="5" t="s">
        <v>28</v>
      </c>
    </row>
    <row r="14" spans="1:21" ht="16">
      <c r="A14" s="46" t="s">
        <v>139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1:21">
      <c r="A15" s="8" t="s">
        <v>27</v>
      </c>
      <c r="B15" s="7" t="s">
        <v>140</v>
      </c>
      <c r="C15" s="7" t="s">
        <v>141</v>
      </c>
      <c r="D15" s="7" t="s">
        <v>142</v>
      </c>
      <c r="E15" s="7" t="s">
        <v>468</v>
      </c>
      <c r="F15" s="7" t="s">
        <v>413</v>
      </c>
      <c r="G15" s="8" t="s">
        <v>49</v>
      </c>
      <c r="H15" s="14" t="s">
        <v>49</v>
      </c>
      <c r="I15" s="14" t="s">
        <v>143</v>
      </c>
      <c r="J15" s="8"/>
      <c r="K15" s="14" t="s">
        <v>144</v>
      </c>
      <c r="L15" s="14" t="s">
        <v>137</v>
      </c>
      <c r="M15" s="14" t="s">
        <v>63</v>
      </c>
      <c r="N15" s="8"/>
      <c r="O15" s="14" t="s">
        <v>50</v>
      </c>
      <c r="P15" s="14" t="s">
        <v>66</v>
      </c>
      <c r="Q15" s="15" t="s">
        <v>39</v>
      </c>
      <c r="R15" s="8"/>
      <c r="S15" s="8" t="str">
        <f>"335,0"</f>
        <v>335,0</v>
      </c>
      <c r="T15" s="8" t="str">
        <f>"322,5715"</f>
        <v>322,5715</v>
      </c>
      <c r="U15" s="7" t="s">
        <v>435</v>
      </c>
    </row>
    <row r="16" spans="1:21">
      <c r="B16" s="5" t="s">
        <v>28</v>
      </c>
    </row>
    <row r="17" spans="1:21" ht="16">
      <c r="A17" s="46" t="s">
        <v>145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21">
      <c r="A18" s="8" t="s">
        <v>27</v>
      </c>
      <c r="B18" s="7" t="s">
        <v>146</v>
      </c>
      <c r="C18" s="7" t="s">
        <v>147</v>
      </c>
      <c r="D18" s="7" t="s">
        <v>148</v>
      </c>
      <c r="E18" s="7" t="s">
        <v>468</v>
      </c>
      <c r="F18" s="7" t="s">
        <v>416</v>
      </c>
      <c r="G18" s="14" t="s">
        <v>74</v>
      </c>
      <c r="H18" s="14" t="s">
        <v>49</v>
      </c>
      <c r="I18" s="14" t="s">
        <v>143</v>
      </c>
      <c r="J18" s="8"/>
      <c r="K18" s="14" t="s">
        <v>35</v>
      </c>
      <c r="L18" s="14" t="s">
        <v>37</v>
      </c>
      <c r="M18" s="14" t="s">
        <v>144</v>
      </c>
      <c r="N18" s="8"/>
      <c r="O18" s="14" t="s">
        <v>74</v>
      </c>
      <c r="P18" s="14" t="s">
        <v>49</v>
      </c>
      <c r="Q18" s="14" t="s">
        <v>143</v>
      </c>
      <c r="R18" s="8"/>
      <c r="S18" s="8" t="str">
        <f>"320,0"</f>
        <v>320,0</v>
      </c>
      <c r="T18" s="8" t="str">
        <f>"259,4560"</f>
        <v>259,4560</v>
      </c>
      <c r="U18" s="7" t="s">
        <v>149</v>
      </c>
    </row>
    <row r="19" spans="1:21">
      <c r="B19" s="5" t="s">
        <v>28</v>
      </c>
    </row>
    <row r="20" spans="1:21" ht="16">
      <c r="A20" s="46" t="s">
        <v>150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21">
      <c r="A21" s="8" t="s">
        <v>27</v>
      </c>
      <c r="B21" s="7" t="s">
        <v>151</v>
      </c>
      <c r="C21" s="7" t="s">
        <v>152</v>
      </c>
      <c r="D21" s="7" t="s">
        <v>153</v>
      </c>
      <c r="E21" s="7" t="s">
        <v>468</v>
      </c>
      <c r="F21" s="7" t="s">
        <v>413</v>
      </c>
      <c r="G21" s="14" t="s">
        <v>71</v>
      </c>
      <c r="H21" s="14" t="s">
        <v>154</v>
      </c>
      <c r="I21" s="15" t="s">
        <v>53</v>
      </c>
      <c r="J21" s="8"/>
      <c r="K21" s="14" t="s">
        <v>143</v>
      </c>
      <c r="L21" s="14" t="s">
        <v>21</v>
      </c>
      <c r="M21" s="15" t="s">
        <v>39</v>
      </c>
      <c r="N21" s="8"/>
      <c r="O21" s="14" t="s">
        <v>52</v>
      </c>
      <c r="P21" s="14" t="s">
        <v>96</v>
      </c>
      <c r="Q21" s="15" t="s">
        <v>155</v>
      </c>
      <c r="R21" s="8"/>
      <c r="S21" s="8" t="str">
        <f>"595,0"</f>
        <v>595,0</v>
      </c>
      <c r="T21" s="8" t="str">
        <f>"379,8480"</f>
        <v>379,8480</v>
      </c>
      <c r="U21" s="7" t="s">
        <v>448</v>
      </c>
    </row>
    <row r="22" spans="1:21">
      <c r="B22" s="5" t="s">
        <v>28</v>
      </c>
    </row>
    <row r="23" spans="1:21" ht="16">
      <c r="A23" s="46" t="s">
        <v>67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21">
      <c r="A24" s="17" t="s">
        <v>27</v>
      </c>
      <c r="B24" s="16" t="s">
        <v>156</v>
      </c>
      <c r="C24" s="16" t="s">
        <v>157</v>
      </c>
      <c r="D24" s="16" t="s">
        <v>158</v>
      </c>
      <c r="E24" s="16" t="s">
        <v>468</v>
      </c>
      <c r="F24" s="16" t="s">
        <v>413</v>
      </c>
      <c r="G24" s="22" t="s">
        <v>88</v>
      </c>
      <c r="H24" s="22" t="s">
        <v>46</v>
      </c>
      <c r="I24" s="23" t="s">
        <v>47</v>
      </c>
      <c r="J24" s="17"/>
      <c r="K24" s="22" t="s">
        <v>50</v>
      </c>
      <c r="L24" s="23" t="s">
        <v>143</v>
      </c>
      <c r="M24" s="17"/>
      <c r="N24" s="17"/>
      <c r="O24" s="22" t="s">
        <v>53</v>
      </c>
      <c r="P24" s="22" t="s">
        <v>76</v>
      </c>
      <c r="Q24" s="23" t="s">
        <v>97</v>
      </c>
      <c r="R24" s="17"/>
      <c r="S24" s="17" t="str">
        <f>"555,0"</f>
        <v>555,0</v>
      </c>
      <c r="T24" s="17" t="str">
        <f>"348,0960"</f>
        <v>348,0960</v>
      </c>
      <c r="U24" s="16" t="s">
        <v>77</v>
      </c>
    </row>
    <row r="25" spans="1:21">
      <c r="A25" s="21" t="s">
        <v>122</v>
      </c>
      <c r="B25" s="20" t="s">
        <v>159</v>
      </c>
      <c r="C25" s="20" t="s">
        <v>160</v>
      </c>
      <c r="D25" s="20" t="s">
        <v>161</v>
      </c>
      <c r="E25" s="20" t="s">
        <v>468</v>
      </c>
      <c r="F25" s="20" t="s">
        <v>426</v>
      </c>
      <c r="G25" s="26" t="s">
        <v>162</v>
      </c>
      <c r="H25" s="26" t="s">
        <v>16</v>
      </c>
      <c r="I25" s="26" t="s">
        <v>82</v>
      </c>
      <c r="J25" s="21"/>
      <c r="K25" s="26" t="s">
        <v>49</v>
      </c>
      <c r="L25" s="26" t="s">
        <v>50</v>
      </c>
      <c r="M25" s="26" t="s">
        <v>143</v>
      </c>
      <c r="N25" s="21"/>
      <c r="O25" s="26" t="s">
        <v>52</v>
      </c>
      <c r="P25" s="26" t="s">
        <v>53</v>
      </c>
      <c r="Q25" s="26" t="s">
        <v>96</v>
      </c>
      <c r="R25" s="21"/>
      <c r="S25" s="21" t="str">
        <f>"535,0"</f>
        <v>535,0</v>
      </c>
      <c r="T25" s="21" t="str">
        <f>"336,7825"</f>
        <v>336,7825</v>
      </c>
      <c r="U25" s="20" t="s">
        <v>77</v>
      </c>
    </row>
    <row r="26" spans="1:21">
      <c r="B26" s="5" t="s">
        <v>28</v>
      </c>
    </row>
  </sheetData>
  <mergeCells count="20"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22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9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7.5" style="5" bestFit="1" customWidth="1"/>
    <col min="22" max="16384" width="9.1640625" style="3"/>
  </cols>
  <sheetData>
    <row r="1" spans="1:21" s="2" customFormat="1" ht="29" customHeight="1">
      <c r="A1" s="33" t="s">
        <v>451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4"/>
      <c r="T4" s="44"/>
      <c r="U4" s="48"/>
    </row>
    <row r="5" spans="1:21" ht="16">
      <c r="A5" s="49" t="s">
        <v>57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8" t="s">
        <v>27</v>
      </c>
      <c r="B6" s="7" t="s">
        <v>58</v>
      </c>
      <c r="C6" s="7" t="s">
        <v>59</v>
      </c>
      <c r="D6" s="7" t="s">
        <v>60</v>
      </c>
      <c r="E6" s="7" t="s">
        <v>468</v>
      </c>
      <c r="F6" s="7" t="s">
        <v>413</v>
      </c>
      <c r="G6" s="14" t="s">
        <v>61</v>
      </c>
      <c r="H6" s="15" t="s">
        <v>34</v>
      </c>
      <c r="I6" s="15" t="s">
        <v>62</v>
      </c>
      <c r="J6" s="8"/>
      <c r="K6" s="14" t="s">
        <v>63</v>
      </c>
      <c r="L6" s="15" t="s">
        <v>64</v>
      </c>
      <c r="M6" s="14" t="s">
        <v>65</v>
      </c>
      <c r="N6" s="8"/>
      <c r="O6" s="14" t="s">
        <v>66</v>
      </c>
      <c r="P6" s="15" t="s">
        <v>39</v>
      </c>
      <c r="Q6" s="15" t="s">
        <v>15</v>
      </c>
      <c r="R6" s="8"/>
      <c r="S6" s="8" t="str">
        <f>"307,5"</f>
        <v>307,5</v>
      </c>
      <c r="T6" s="8" t="str">
        <f>"350,1195"</f>
        <v>350,1195</v>
      </c>
      <c r="U6" s="7" t="s">
        <v>83</v>
      </c>
    </row>
    <row r="7" spans="1:21">
      <c r="B7" s="5" t="s">
        <v>28</v>
      </c>
    </row>
    <row r="8" spans="1:21" ht="16">
      <c r="A8" s="46" t="s">
        <v>67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17" t="s">
        <v>27</v>
      </c>
      <c r="B9" s="16" t="s">
        <v>68</v>
      </c>
      <c r="C9" s="16" t="s">
        <v>69</v>
      </c>
      <c r="D9" s="16" t="s">
        <v>70</v>
      </c>
      <c r="E9" s="16" t="s">
        <v>468</v>
      </c>
      <c r="F9" s="16" t="s">
        <v>413</v>
      </c>
      <c r="G9" s="22" t="s">
        <v>71</v>
      </c>
      <c r="H9" s="22" t="s">
        <v>52</v>
      </c>
      <c r="I9" s="22" t="s">
        <v>72</v>
      </c>
      <c r="J9" s="17"/>
      <c r="K9" s="22" t="s">
        <v>73</v>
      </c>
      <c r="L9" s="22" t="s">
        <v>74</v>
      </c>
      <c r="M9" s="22" t="s">
        <v>50</v>
      </c>
      <c r="N9" s="17"/>
      <c r="O9" s="22" t="s">
        <v>72</v>
      </c>
      <c r="P9" s="22" t="s">
        <v>75</v>
      </c>
      <c r="Q9" s="23" t="s">
        <v>76</v>
      </c>
      <c r="R9" s="17"/>
      <c r="S9" s="17" t="str">
        <f>"585,0"</f>
        <v>585,0</v>
      </c>
      <c r="T9" s="17" t="str">
        <f>"358,9560"</f>
        <v>358,9560</v>
      </c>
      <c r="U9" s="16" t="s">
        <v>77</v>
      </c>
    </row>
    <row r="10" spans="1:21">
      <c r="A10" s="19" t="s">
        <v>122</v>
      </c>
      <c r="B10" s="18" t="s">
        <v>78</v>
      </c>
      <c r="C10" s="18" t="s">
        <v>79</v>
      </c>
      <c r="D10" s="18" t="s">
        <v>80</v>
      </c>
      <c r="E10" s="18" t="s">
        <v>468</v>
      </c>
      <c r="F10" s="18" t="s">
        <v>413</v>
      </c>
      <c r="G10" s="24" t="s">
        <v>16</v>
      </c>
      <c r="H10" s="25" t="s">
        <v>81</v>
      </c>
      <c r="I10" s="25" t="s">
        <v>81</v>
      </c>
      <c r="J10" s="19"/>
      <c r="K10" s="24" t="s">
        <v>50</v>
      </c>
      <c r="L10" s="25" t="s">
        <v>66</v>
      </c>
      <c r="M10" s="25" t="s">
        <v>66</v>
      </c>
      <c r="N10" s="19"/>
      <c r="O10" s="24" t="s">
        <v>82</v>
      </c>
      <c r="P10" s="25" t="s">
        <v>17</v>
      </c>
      <c r="Q10" s="19"/>
      <c r="R10" s="19"/>
      <c r="S10" s="19" t="str">
        <f>"450,0"</f>
        <v>450,0</v>
      </c>
      <c r="T10" s="19" t="str">
        <f>"279,2700"</f>
        <v>279,2700</v>
      </c>
      <c r="U10" s="18" t="s">
        <v>83</v>
      </c>
    </row>
    <row r="11" spans="1:21">
      <c r="A11" s="21" t="s">
        <v>27</v>
      </c>
      <c r="B11" s="20" t="s">
        <v>84</v>
      </c>
      <c r="C11" s="20" t="s">
        <v>85</v>
      </c>
      <c r="D11" s="20" t="s">
        <v>86</v>
      </c>
      <c r="E11" s="20" t="s">
        <v>469</v>
      </c>
      <c r="F11" s="20" t="s">
        <v>426</v>
      </c>
      <c r="G11" s="26" t="s">
        <v>16</v>
      </c>
      <c r="H11" s="27" t="s">
        <v>87</v>
      </c>
      <c r="I11" s="27" t="s">
        <v>88</v>
      </c>
      <c r="J11" s="21"/>
      <c r="K11" s="26" t="s">
        <v>21</v>
      </c>
      <c r="L11" s="26" t="s">
        <v>15</v>
      </c>
      <c r="M11" s="27" t="s">
        <v>16</v>
      </c>
      <c r="N11" s="21"/>
      <c r="O11" s="26" t="s">
        <v>21</v>
      </c>
      <c r="P11" s="26" t="s">
        <v>15</v>
      </c>
      <c r="Q11" s="27" t="s">
        <v>16</v>
      </c>
      <c r="R11" s="21"/>
      <c r="S11" s="21" t="str">
        <f>"460,0"</f>
        <v>460,0</v>
      </c>
      <c r="T11" s="21" t="str">
        <f>"285,4240"</f>
        <v>285,4240</v>
      </c>
      <c r="U11" s="20" t="s">
        <v>89</v>
      </c>
    </row>
    <row r="12" spans="1:21">
      <c r="B12" s="5" t="s">
        <v>28</v>
      </c>
    </row>
    <row r="13" spans="1:21" ht="16">
      <c r="A13" s="46" t="s">
        <v>90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1:21">
      <c r="A14" s="8" t="s">
        <v>27</v>
      </c>
      <c r="B14" s="7" t="s">
        <v>91</v>
      </c>
      <c r="C14" s="7" t="s">
        <v>92</v>
      </c>
      <c r="D14" s="7" t="s">
        <v>93</v>
      </c>
      <c r="E14" s="7" t="s">
        <v>468</v>
      </c>
      <c r="F14" s="7" t="s">
        <v>413</v>
      </c>
      <c r="G14" s="14" t="s">
        <v>71</v>
      </c>
      <c r="H14" s="14" t="s">
        <v>51</v>
      </c>
      <c r="I14" s="14" t="s">
        <v>72</v>
      </c>
      <c r="J14" s="8"/>
      <c r="K14" s="14" t="s">
        <v>81</v>
      </c>
      <c r="L14" s="14" t="s">
        <v>94</v>
      </c>
      <c r="M14" s="15" t="s">
        <v>95</v>
      </c>
      <c r="N14" s="8"/>
      <c r="O14" s="14" t="s">
        <v>96</v>
      </c>
      <c r="P14" s="14" t="s">
        <v>97</v>
      </c>
      <c r="Q14" s="14" t="s">
        <v>98</v>
      </c>
      <c r="R14" s="8"/>
      <c r="S14" s="8" t="str">
        <f>"667,5"</f>
        <v>667,5</v>
      </c>
      <c r="T14" s="8" t="str">
        <f>"398,8980"</f>
        <v>398,8980</v>
      </c>
      <c r="U14" s="7" t="s">
        <v>99</v>
      </c>
    </row>
    <row r="15" spans="1:21">
      <c r="B15" s="5" t="s">
        <v>28</v>
      </c>
    </row>
    <row r="16" spans="1:21" ht="16">
      <c r="A16" s="46" t="s">
        <v>100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21">
      <c r="A17" s="17" t="s">
        <v>27</v>
      </c>
      <c r="B17" s="16" t="s">
        <v>101</v>
      </c>
      <c r="C17" s="16" t="s">
        <v>102</v>
      </c>
      <c r="D17" s="16" t="s">
        <v>103</v>
      </c>
      <c r="E17" s="16" t="s">
        <v>468</v>
      </c>
      <c r="F17" s="16" t="s">
        <v>413</v>
      </c>
      <c r="G17" s="22" t="s">
        <v>52</v>
      </c>
      <c r="H17" s="22" t="s">
        <v>53</v>
      </c>
      <c r="I17" s="23" t="s">
        <v>96</v>
      </c>
      <c r="J17" s="17"/>
      <c r="K17" s="23" t="s">
        <v>16</v>
      </c>
      <c r="L17" s="22" t="s">
        <v>16</v>
      </c>
      <c r="M17" s="17"/>
      <c r="N17" s="17"/>
      <c r="O17" s="22" t="s">
        <v>97</v>
      </c>
      <c r="P17" s="22" t="s">
        <v>98</v>
      </c>
      <c r="Q17" s="23" t="s">
        <v>104</v>
      </c>
      <c r="R17" s="17"/>
      <c r="S17" s="17" t="str">
        <f>"650,0"</f>
        <v>650,0</v>
      </c>
      <c r="T17" s="17" t="str">
        <f>"373,4250"</f>
        <v>373,4250</v>
      </c>
      <c r="U17" s="16"/>
    </row>
    <row r="18" spans="1:21">
      <c r="A18" s="21" t="s">
        <v>122</v>
      </c>
      <c r="B18" s="20" t="s">
        <v>105</v>
      </c>
      <c r="C18" s="20" t="s">
        <v>106</v>
      </c>
      <c r="D18" s="20" t="s">
        <v>107</v>
      </c>
      <c r="E18" s="20" t="s">
        <v>468</v>
      </c>
      <c r="F18" s="20" t="s">
        <v>413</v>
      </c>
      <c r="G18" s="27" t="s">
        <v>17</v>
      </c>
      <c r="H18" s="26" t="s">
        <v>108</v>
      </c>
      <c r="I18" s="27" t="s">
        <v>109</v>
      </c>
      <c r="J18" s="21"/>
      <c r="K18" s="26" t="s">
        <v>16</v>
      </c>
      <c r="L18" s="26" t="s">
        <v>17</v>
      </c>
      <c r="M18" s="27" t="s">
        <v>88</v>
      </c>
      <c r="N18" s="21"/>
      <c r="O18" s="26" t="s">
        <v>108</v>
      </c>
      <c r="P18" s="26" t="s">
        <v>71</v>
      </c>
      <c r="Q18" s="27" t="s">
        <v>52</v>
      </c>
      <c r="R18" s="21"/>
      <c r="S18" s="21" t="str">
        <f>"550,0"</f>
        <v>550,0</v>
      </c>
      <c r="T18" s="21" t="str">
        <f>"314,1050"</f>
        <v>314,1050</v>
      </c>
      <c r="U18" s="20" t="s">
        <v>83</v>
      </c>
    </row>
    <row r="19" spans="1:21">
      <c r="B19" s="5" t="s">
        <v>28</v>
      </c>
    </row>
    <row r="20" spans="1:21" ht="16">
      <c r="A20" s="46" t="s">
        <v>110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</row>
    <row r="21" spans="1:21">
      <c r="A21" s="8" t="s">
        <v>27</v>
      </c>
      <c r="B21" s="7" t="s">
        <v>111</v>
      </c>
      <c r="C21" s="7" t="s">
        <v>112</v>
      </c>
      <c r="D21" s="7" t="s">
        <v>113</v>
      </c>
      <c r="E21" s="7" t="s">
        <v>468</v>
      </c>
      <c r="F21" s="7" t="s">
        <v>413</v>
      </c>
      <c r="G21" s="14" t="s">
        <v>114</v>
      </c>
      <c r="H21" s="14" t="s">
        <v>115</v>
      </c>
      <c r="I21" s="15" t="s">
        <v>116</v>
      </c>
      <c r="J21" s="8"/>
      <c r="K21" s="14" t="s">
        <v>17</v>
      </c>
      <c r="L21" s="14" t="s">
        <v>88</v>
      </c>
      <c r="M21" s="14" t="s">
        <v>108</v>
      </c>
      <c r="N21" s="8"/>
      <c r="O21" s="14" t="s">
        <v>117</v>
      </c>
      <c r="P21" s="14" t="s">
        <v>118</v>
      </c>
      <c r="Q21" s="15" t="s">
        <v>116</v>
      </c>
      <c r="R21" s="8"/>
      <c r="S21" s="8" t="str">
        <f>"875,0"</f>
        <v>875,0</v>
      </c>
      <c r="T21" s="8" t="str">
        <f>"481,3375"</f>
        <v>481,3375</v>
      </c>
      <c r="U21" s="7" t="s">
        <v>449</v>
      </c>
    </row>
    <row r="22" spans="1:21">
      <c r="B22" s="5" t="s">
        <v>28</v>
      </c>
    </row>
  </sheetData>
  <mergeCells count="18">
    <mergeCell ref="A8:R8"/>
    <mergeCell ref="A13:R13"/>
    <mergeCell ref="A16:R16"/>
    <mergeCell ref="A20:R20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3.33203125" style="5" bestFit="1" customWidth="1"/>
    <col min="22" max="16384" width="9.1640625" style="3"/>
  </cols>
  <sheetData>
    <row r="1" spans="1:21" s="2" customFormat="1" ht="29" customHeight="1">
      <c r="A1" s="33" t="s">
        <v>452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4"/>
      <c r="T4" s="44"/>
      <c r="U4" s="48"/>
    </row>
    <row r="5" spans="1:21" ht="16">
      <c r="A5" s="49" t="s">
        <v>29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8" t="s">
        <v>27</v>
      </c>
      <c r="B6" s="7" t="s">
        <v>30</v>
      </c>
      <c r="C6" s="7" t="s">
        <v>31</v>
      </c>
      <c r="D6" s="7" t="s">
        <v>32</v>
      </c>
      <c r="E6" s="7" t="s">
        <v>468</v>
      </c>
      <c r="F6" s="7" t="s">
        <v>413</v>
      </c>
      <c r="G6" s="15" t="s">
        <v>34</v>
      </c>
      <c r="H6" s="15" t="s">
        <v>34</v>
      </c>
      <c r="I6" s="14" t="s">
        <v>34</v>
      </c>
      <c r="J6" s="8"/>
      <c r="K6" s="14" t="s">
        <v>35</v>
      </c>
      <c r="L6" s="14" t="s">
        <v>36</v>
      </c>
      <c r="M6" s="14" t="s">
        <v>37</v>
      </c>
      <c r="N6" s="8"/>
      <c r="O6" s="14" t="s">
        <v>38</v>
      </c>
      <c r="P6" s="14" t="s">
        <v>39</v>
      </c>
      <c r="Q6" s="15" t="s">
        <v>40</v>
      </c>
      <c r="R6" s="8"/>
      <c r="S6" s="8" t="str">
        <f>"307,5"</f>
        <v>307,5</v>
      </c>
      <c r="T6" s="8" t="str">
        <f>"363,8340"</f>
        <v>363,8340</v>
      </c>
      <c r="U6" s="7" t="s">
        <v>41</v>
      </c>
    </row>
    <row r="7" spans="1:21">
      <c r="B7" s="5" t="s">
        <v>28</v>
      </c>
    </row>
    <row r="8" spans="1:21" ht="16">
      <c r="A8" s="46" t="s">
        <v>42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</row>
    <row r="9" spans="1:21">
      <c r="A9" s="8" t="s">
        <v>27</v>
      </c>
      <c r="B9" s="7" t="s">
        <v>43</v>
      </c>
      <c r="C9" s="7" t="s">
        <v>44</v>
      </c>
      <c r="D9" s="7" t="s">
        <v>45</v>
      </c>
      <c r="E9" s="7" t="s">
        <v>470</v>
      </c>
      <c r="F9" s="7" t="s">
        <v>413</v>
      </c>
      <c r="G9" s="14" t="s">
        <v>17</v>
      </c>
      <c r="H9" s="14" t="s">
        <v>46</v>
      </c>
      <c r="I9" s="14" t="s">
        <v>47</v>
      </c>
      <c r="J9" s="8"/>
      <c r="K9" s="14" t="s">
        <v>48</v>
      </c>
      <c r="L9" s="14" t="s">
        <v>49</v>
      </c>
      <c r="M9" s="15" t="s">
        <v>50</v>
      </c>
      <c r="N9" s="8"/>
      <c r="O9" s="14" t="s">
        <v>51</v>
      </c>
      <c r="P9" s="14" t="s">
        <v>52</v>
      </c>
      <c r="Q9" s="14" t="s">
        <v>53</v>
      </c>
      <c r="R9" s="8"/>
      <c r="S9" s="8" t="str">
        <f>"545,0"</f>
        <v>545,0</v>
      </c>
      <c r="T9" s="8" t="str">
        <f>"376,3225"</f>
        <v>376,3225</v>
      </c>
      <c r="U9" s="7" t="s">
        <v>54</v>
      </c>
    </row>
    <row r="10" spans="1:21">
      <c r="B10" s="5" t="s">
        <v>28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5">
    <pageSetUpPr fitToPage="1"/>
  </sheetPr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.164062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33" t="s">
        <v>453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6"/>
    </row>
    <row r="2" spans="1:21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</row>
    <row r="3" spans="1:21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8</v>
      </c>
      <c r="H3" s="45"/>
      <c r="I3" s="45"/>
      <c r="J3" s="45"/>
      <c r="K3" s="45" t="s">
        <v>9</v>
      </c>
      <c r="L3" s="45"/>
      <c r="M3" s="45"/>
      <c r="N3" s="45"/>
      <c r="O3" s="45" t="s">
        <v>10</v>
      </c>
      <c r="P3" s="45"/>
      <c r="Q3" s="45"/>
      <c r="R3" s="45"/>
      <c r="S3" s="45" t="s">
        <v>1</v>
      </c>
      <c r="T3" s="45" t="s">
        <v>3</v>
      </c>
      <c r="U3" s="47" t="s">
        <v>2</v>
      </c>
    </row>
    <row r="4" spans="1:21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4"/>
      <c r="T4" s="44"/>
      <c r="U4" s="48"/>
    </row>
    <row r="5" spans="1:21" ht="16">
      <c r="A5" s="49" t="s">
        <v>11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>
      <c r="A6" s="8" t="s">
        <v>27</v>
      </c>
      <c r="B6" s="7" t="s">
        <v>12</v>
      </c>
      <c r="C6" s="7" t="s">
        <v>13</v>
      </c>
      <c r="D6" s="7" t="s">
        <v>14</v>
      </c>
      <c r="E6" s="7" t="s">
        <v>468</v>
      </c>
      <c r="F6" s="7" t="s">
        <v>416</v>
      </c>
      <c r="G6" s="14" t="s">
        <v>15</v>
      </c>
      <c r="H6" s="14" t="s">
        <v>16</v>
      </c>
      <c r="I6" s="15" t="s">
        <v>17</v>
      </c>
      <c r="J6" s="8"/>
      <c r="K6" s="14" t="s">
        <v>18</v>
      </c>
      <c r="L6" s="14" t="s">
        <v>19</v>
      </c>
      <c r="M6" s="15" t="s">
        <v>20</v>
      </c>
      <c r="N6" s="8"/>
      <c r="O6" s="14" t="s">
        <v>21</v>
      </c>
      <c r="P6" s="14" t="s">
        <v>15</v>
      </c>
      <c r="Q6" s="14" t="s">
        <v>16</v>
      </c>
      <c r="R6" s="8"/>
      <c r="S6" s="8" t="str">
        <f>"410,0"</f>
        <v>410,0</v>
      </c>
      <c r="T6" s="8" t="str">
        <f>"424,3910"</f>
        <v>424,3910</v>
      </c>
      <c r="U6" s="7" t="s">
        <v>273</v>
      </c>
    </row>
    <row r="7" spans="1:21">
      <c r="B7" s="5" t="s">
        <v>28</v>
      </c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7"/>
  <sheetViews>
    <sheetView workbookViewId="0">
      <selection activeCell="E6" sqref="E6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0.6640625" style="5" bestFit="1" customWidth="1"/>
    <col min="8" max="10" width="4.5" style="6" customWidth="1"/>
    <col min="11" max="11" width="4.83203125" style="6" customWidth="1"/>
    <col min="12" max="14" width="5.5" style="6" customWidth="1"/>
    <col min="15" max="15" width="4.83203125" style="6" customWidth="1"/>
    <col min="16" max="16" width="7.83203125" style="6" bestFit="1" customWidth="1"/>
    <col min="17" max="17" width="8.5" style="6" bestFit="1" customWidth="1"/>
    <col min="18" max="18" width="19" style="5" customWidth="1"/>
    <col min="19" max="16384" width="9.1640625" style="3"/>
  </cols>
  <sheetData>
    <row r="1" spans="1:18" s="2" customFormat="1" ht="29" customHeight="1">
      <c r="A1" s="33" t="s">
        <v>454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6"/>
    </row>
    <row r="2" spans="1:18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</row>
    <row r="3" spans="1:18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4</v>
      </c>
      <c r="G3" s="45" t="s">
        <v>6</v>
      </c>
      <c r="H3" s="45" t="s">
        <v>9</v>
      </c>
      <c r="I3" s="45"/>
      <c r="J3" s="45"/>
      <c r="K3" s="45"/>
      <c r="L3" s="45" t="s">
        <v>10</v>
      </c>
      <c r="M3" s="45"/>
      <c r="N3" s="45"/>
      <c r="O3" s="45"/>
      <c r="P3" s="45" t="s">
        <v>1</v>
      </c>
      <c r="Q3" s="45" t="s">
        <v>3</v>
      </c>
      <c r="R3" s="47" t="s">
        <v>2</v>
      </c>
    </row>
    <row r="4" spans="1:18" s="1" customFormat="1" ht="21" customHeight="1" thickBot="1">
      <c r="A4" s="42"/>
      <c r="B4" s="52"/>
      <c r="C4" s="44"/>
      <c r="D4" s="44"/>
      <c r="E4" s="44"/>
      <c r="F4" s="44"/>
      <c r="G4" s="44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44"/>
      <c r="Q4" s="44"/>
      <c r="R4" s="48"/>
    </row>
    <row r="5" spans="1:18" ht="16">
      <c r="A5" s="49" t="s">
        <v>57</v>
      </c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8">
      <c r="A6" s="8" t="s">
        <v>27</v>
      </c>
      <c r="B6" s="7" t="s">
        <v>180</v>
      </c>
      <c r="C6" s="7" t="s">
        <v>181</v>
      </c>
      <c r="D6" s="7" t="s">
        <v>182</v>
      </c>
      <c r="E6" s="7" t="s">
        <v>471</v>
      </c>
      <c r="F6" s="7" t="s">
        <v>33</v>
      </c>
      <c r="G6" s="7" t="s">
        <v>420</v>
      </c>
      <c r="H6" s="14" t="s">
        <v>127</v>
      </c>
      <c r="I6" s="14" t="s">
        <v>35</v>
      </c>
      <c r="J6" s="15" t="s">
        <v>183</v>
      </c>
      <c r="K6" s="8"/>
      <c r="L6" s="14" t="s">
        <v>73</v>
      </c>
      <c r="M6" s="14" t="s">
        <v>62</v>
      </c>
      <c r="N6" s="14" t="s">
        <v>48</v>
      </c>
      <c r="O6" s="8"/>
      <c r="P6" s="8" t="str">
        <f>"165,0"</f>
        <v>165,0</v>
      </c>
      <c r="Q6" s="8" t="str">
        <f>"256,5268"</f>
        <v>256,5268</v>
      </c>
      <c r="R6" s="7" t="s">
        <v>184</v>
      </c>
    </row>
    <row r="7" spans="1:18">
      <c r="B7" s="5" t="s">
        <v>28</v>
      </c>
    </row>
  </sheetData>
  <mergeCells count="14"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1"/>
  <sheetViews>
    <sheetView topLeftCell="A21" workbookViewId="0">
      <selection activeCell="E51" sqref="E5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4.1640625" style="5" bestFit="1" customWidth="1"/>
    <col min="14" max="16384" width="9.1640625" style="3"/>
  </cols>
  <sheetData>
    <row r="1" spans="1:13" s="2" customFormat="1" ht="29" customHeight="1">
      <c r="A1" s="33" t="s">
        <v>455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53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54"/>
      <c r="L4" s="44"/>
      <c r="M4" s="48"/>
    </row>
    <row r="5" spans="1:13" ht="16">
      <c r="A5" s="49" t="s">
        <v>123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17" t="s">
        <v>27</v>
      </c>
      <c r="B6" s="16" t="s">
        <v>124</v>
      </c>
      <c r="C6" s="16" t="s">
        <v>125</v>
      </c>
      <c r="D6" s="16" t="s">
        <v>126</v>
      </c>
      <c r="E6" s="16" t="s">
        <v>468</v>
      </c>
      <c r="F6" s="16" t="s">
        <v>420</v>
      </c>
      <c r="G6" s="22" t="s">
        <v>127</v>
      </c>
      <c r="H6" s="23" t="s">
        <v>35</v>
      </c>
      <c r="I6" s="22" t="s">
        <v>35</v>
      </c>
      <c r="J6" s="17"/>
      <c r="K6" s="30" t="str">
        <f>"50,0"</f>
        <v>50,0</v>
      </c>
      <c r="L6" s="17" t="str">
        <f>"63,2700"</f>
        <v>63,2700</v>
      </c>
      <c r="M6" s="16" t="s">
        <v>184</v>
      </c>
    </row>
    <row r="7" spans="1:13">
      <c r="A7" s="21" t="s">
        <v>179</v>
      </c>
      <c r="B7" s="20" t="s">
        <v>230</v>
      </c>
      <c r="C7" s="20" t="s">
        <v>231</v>
      </c>
      <c r="D7" s="20" t="s">
        <v>232</v>
      </c>
      <c r="E7" s="20" t="s">
        <v>468</v>
      </c>
      <c r="F7" s="20" t="s">
        <v>421</v>
      </c>
      <c r="G7" s="27" t="s">
        <v>35</v>
      </c>
      <c r="H7" s="27" t="s">
        <v>35</v>
      </c>
      <c r="I7" s="27" t="s">
        <v>35</v>
      </c>
      <c r="J7" s="21"/>
      <c r="K7" s="31">
        <v>0</v>
      </c>
      <c r="L7" s="21" t="str">
        <f>"0,0000"</f>
        <v>0,0000</v>
      </c>
      <c r="M7" s="20" t="s">
        <v>436</v>
      </c>
    </row>
    <row r="8" spans="1:13">
      <c r="B8" s="5" t="s">
        <v>28</v>
      </c>
    </row>
    <row r="9" spans="1:13" ht="16">
      <c r="A9" s="46" t="s">
        <v>29</v>
      </c>
      <c r="B9" s="46"/>
      <c r="C9" s="46"/>
      <c r="D9" s="46"/>
      <c r="E9" s="46"/>
      <c r="F9" s="46"/>
      <c r="G9" s="46"/>
      <c r="H9" s="46"/>
      <c r="I9" s="46"/>
      <c r="J9" s="46"/>
    </row>
    <row r="10" spans="1:13">
      <c r="A10" s="17" t="s">
        <v>27</v>
      </c>
      <c r="B10" s="16" t="s">
        <v>233</v>
      </c>
      <c r="C10" s="16" t="s">
        <v>234</v>
      </c>
      <c r="D10" s="16" t="s">
        <v>235</v>
      </c>
      <c r="E10" s="16" t="s">
        <v>468</v>
      </c>
      <c r="F10" s="16" t="s">
        <v>421</v>
      </c>
      <c r="G10" s="22" t="s">
        <v>35</v>
      </c>
      <c r="H10" s="23" t="s">
        <v>183</v>
      </c>
      <c r="I10" s="22" t="s">
        <v>36</v>
      </c>
      <c r="J10" s="17"/>
      <c r="K10" s="30" t="str">
        <f>"55,0"</f>
        <v>55,0</v>
      </c>
      <c r="L10" s="17" t="str">
        <f>"66,9680"</f>
        <v>66,9680</v>
      </c>
      <c r="M10" s="16" t="s">
        <v>436</v>
      </c>
    </row>
    <row r="11" spans="1:13">
      <c r="A11" s="19" t="s">
        <v>179</v>
      </c>
      <c r="B11" s="18" t="s">
        <v>236</v>
      </c>
      <c r="C11" s="18" t="s">
        <v>237</v>
      </c>
      <c r="D11" s="18" t="s">
        <v>238</v>
      </c>
      <c r="E11" s="18" t="s">
        <v>468</v>
      </c>
      <c r="F11" s="18" t="s">
        <v>413</v>
      </c>
      <c r="G11" s="25" t="s">
        <v>63</v>
      </c>
      <c r="H11" s="25" t="s">
        <v>138</v>
      </c>
      <c r="I11" s="25" t="s">
        <v>138</v>
      </c>
      <c r="J11" s="19"/>
      <c r="K11" s="32">
        <v>0</v>
      </c>
      <c r="L11" s="19" t="str">
        <f>"0,0000"</f>
        <v>0,0000</v>
      </c>
      <c r="M11" s="18" t="s">
        <v>192</v>
      </c>
    </row>
    <row r="12" spans="1:13">
      <c r="A12" s="21" t="s">
        <v>179</v>
      </c>
      <c r="B12" s="20" t="s">
        <v>236</v>
      </c>
      <c r="C12" s="20" t="s">
        <v>239</v>
      </c>
      <c r="D12" s="20" t="s">
        <v>238</v>
      </c>
      <c r="E12" s="20" t="s">
        <v>469</v>
      </c>
      <c r="F12" s="20" t="s">
        <v>413</v>
      </c>
      <c r="G12" s="27" t="s">
        <v>63</v>
      </c>
      <c r="H12" s="27" t="s">
        <v>138</v>
      </c>
      <c r="I12" s="27" t="s">
        <v>138</v>
      </c>
      <c r="J12" s="21"/>
      <c r="K12" s="31">
        <v>0</v>
      </c>
      <c r="L12" s="21" t="str">
        <f>"0,0000"</f>
        <v>0,0000</v>
      </c>
      <c r="M12" s="20" t="s">
        <v>192</v>
      </c>
    </row>
    <row r="13" spans="1:13">
      <c r="B13" s="5" t="s">
        <v>28</v>
      </c>
    </row>
    <row r="14" spans="1:13" ht="16">
      <c r="A14" s="46" t="s">
        <v>57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17" t="s">
        <v>27</v>
      </c>
      <c r="B15" s="16" t="s">
        <v>240</v>
      </c>
      <c r="C15" s="16" t="s">
        <v>241</v>
      </c>
      <c r="D15" s="16" t="s">
        <v>242</v>
      </c>
      <c r="E15" s="16" t="s">
        <v>472</v>
      </c>
      <c r="F15" s="16" t="s">
        <v>426</v>
      </c>
      <c r="G15" s="23" t="s">
        <v>137</v>
      </c>
      <c r="H15" s="23" t="s">
        <v>137</v>
      </c>
      <c r="I15" s="22" t="s">
        <v>137</v>
      </c>
      <c r="J15" s="17"/>
      <c r="K15" s="30" t="str">
        <f>"65,0"</f>
        <v>65,0</v>
      </c>
      <c r="L15" s="17" t="str">
        <f>"72,4685"</f>
        <v>72,4685</v>
      </c>
      <c r="M15" s="16" t="s">
        <v>243</v>
      </c>
    </row>
    <row r="16" spans="1:13">
      <c r="A16" s="21" t="s">
        <v>27</v>
      </c>
      <c r="B16" s="20" t="s">
        <v>244</v>
      </c>
      <c r="C16" s="20" t="s">
        <v>245</v>
      </c>
      <c r="D16" s="20" t="s">
        <v>246</v>
      </c>
      <c r="E16" s="20" t="s">
        <v>468</v>
      </c>
      <c r="F16" s="20" t="s">
        <v>421</v>
      </c>
      <c r="G16" s="26" t="s">
        <v>144</v>
      </c>
      <c r="H16" s="27" t="s">
        <v>137</v>
      </c>
      <c r="I16" s="27" t="s">
        <v>137</v>
      </c>
      <c r="J16" s="21"/>
      <c r="K16" s="31" t="str">
        <f>"60,0"</f>
        <v>60,0</v>
      </c>
      <c r="L16" s="21" t="str">
        <f>"69,8160"</f>
        <v>69,8160</v>
      </c>
      <c r="M16" s="20" t="s">
        <v>247</v>
      </c>
    </row>
    <row r="17" spans="1:13">
      <c r="B17" s="5" t="s">
        <v>28</v>
      </c>
    </row>
    <row r="18" spans="1:13" ht="16">
      <c r="A18" s="46" t="s">
        <v>11</v>
      </c>
      <c r="B18" s="46"/>
      <c r="C18" s="46"/>
      <c r="D18" s="46"/>
      <c r="E18" s="46"/>
      <c r="F18" s="46"/>
      <c r="G18" s="46"/>
      <c r="H18" s="46"/>
      <c r="I18" s="46"/>
      <c r="J18" s="46"/>
    </row>
    <row r="19" spans="1:13">
      <c r="A19" s="17" t="s">
        <v>27</v>
      </c>
      <c r="B19" s="16" t="s">
        <v>248</v>
      </c>
      <c r="C19" s="16" t="s">
        <v>249</v>
      </c>
      <c r="D19" s="16" t="s">
        <v>250</v>
      </c>
      <c r="E19" s="16" t="s">
        <v>470</v>
      </c>
      <c r="F19" s="16" t="s">
        <v>413</v>
      </c>
      <c r="G19" s="22" t="s">
        <v>37</v>
      </c>
      <c r="H19" s="22" t="s">
        <v>144</v>
      </c>
      <c r="I19" s="22" t="s">
        <v>251</v>
      </c>
      <c r="J19" s="17"/>
      <c r="K19" s="30" t="str">
        <f>"62,5"</f>
        <v>62,5</v>
      </c>
      <c r="L19" s="17" t="str">
        <f>"67,8625"</f>
        <v>67,8625</v>
      </c>
      <c r="M19" s="16" t="s">
        <v>252</v>
      </c>
    </row>
    <row r="20" spans="1:13">
      <c r="A20" s="21" t="s">
        <v>27</v>
      </c>
      <c r="B20" s="20" t="s">
        <v>253</v>
      </c>
      <c r="C20" s="20" t="s">
        <v>254</v>
      </c>
      <c r="D20" s="20" t="s">
        <v>255</v>
      </c>
      <c r="E20" s="20" t="s">
        <v>468</v>
      </c>
      <c r="F20" s="20" t="s">
        <v>413</v>
      </c>
      <c r="G20" s="26" t="s">
        <v>138</v>
      </c>
      <c r="H20" s="26" t="s">
        <v>64</v>
      </c>
      <c r="I20" s="27" t="s">
        <v>65</v>
      </c>
      <c r="J20" s="21"/>
      <c r="K20" s="31" t="str">
        <f>"75,0"</f>
        <v>75,0</v>
      </c>
      <c r="L20" s="21" t="str">
        <f>"77,9775"</f>
        <v>77,9775</v>
      </c>
      <c r="M20" s="20"/>
    </row>
    <row r="21" spans="1:13">
      <c r="B21" s="5" t="s">
        <v>28</v>
      </c>
    </row>
    <row r="22" spans="1:13" ht="16">
      <c r="A22" s="46" t="s">
        <v>29</v>
      </c>
      <c r="B22" s="46"/>
      <c r="C22" s="46"/>
      <c r="D22" s="46"/>
      <c r="E22" s="46"/>
      <c r="F22" s="46"/>
      <c r="G22" s="46"/>
      <c r="H22" s="46"/>
      <c r="I22" s="46"/>
      <c r="J22" s="46"/>
    </row>
    <row r="23" spans="1:13">
      <c r="A23" s="8" t="s">
        <v>27</v>
      </c>
      <c r="B23" s="7" t="s">
        <v>256</v>
      </c>
      <c r="C23" s="7" t="s">
        <v>257</v>
      </c>
      <c r="D23" s="7" t="s">
        <v>258</v>
      </c>
      <c r="E23" s="7" t="s">
        <v>472</v>
      </c>
      <c r="F23" s="7" t="s">
        <v>442</v>
      </c>
      <c r="G23" s="14" t="s">
        <v>37</v>
      </c>
      <c r="H23" s="15" t="s">
        <v>251</v>
      </c>
      <c r="I23" s="14" t="s">
        <v>251</v>
      </c>
      <c r="J23" s="8"/>
      <c r="K23" s="28" t="str">
        <f>"62,5"</f>
        <v>62,5</v>
      </c>
      <c r="L23" s="8" t="str">
        <f>"58,0188"</f>
        <v>58,0188</v>
      </c>
      <c r="M23" s="7"/>
    </row>
    <row r="24" spans="1:13">
      <c r="B24" s="5" t="s">
        <v>28</v>
      </c>
    </row>
    <row r="25" spans="1:13" ht="16">
      <c r="A25" s="46" t="s">
        <v>11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3">
      <c r="A26" s="8" t="s">
        <v>27</v>
      </c>
      <c r="B26" s="7" t="s">
        <v>259</v>
      </c>
      <c r="C26" s="7" t="s">
        <v>260</v>
      </c>
      <c r="D26" s="7" t="s">
        <v>261</v>
      </c>
      <c r="E26" s="7" t="s">
        <v>468</v>
      </c>
      <c r="F26" s="7" t="s">
        <v>414</v>
      </c>
      <c r="G26" s="14" t="s">
        <v>73</v>
      </c>
      <c r="H26" s="14" t="s">
        <v>34</v>
      </c>
      <c r="I26" s="15" t="s">
        <v>74</v>
      </c>
      <c r="J26" s="8"/>
      <c r="K26" s="28" t="str">
        <f>"105,0"</f>
        <v>105,0</v>
      </c>
      <c r="L26" s="8" t="str">
        <f>"81,0495"</f>
        <v>81,0495</v>
      </c>
      <c r="M26" s="7"/>
    </row>
    <row r="27" spans="1:13">
      <c r="B27" s="5" t="s">
        <v>28</v>
      </c>
    </row>
    <row r="28" spans="1:13" ht="16">
      <c r="A28" s="46" t="s">
        <v>42</v>
      </c>
      <c r="B28" s="46"/>
      <c r="C28" s="46"/>
      <c r="D28" s="46"/>
      <c r="E28" s="46"/>
      <c r="F28" s="46"/>
      <c r="G28" s="46"/>
      <c r="H28" s="46"/>
      <c r="I28" s="46"/>
      <c r="J28" s="46"/>
    </row>
    <row r="29" spans="1:13">
      <c r="A29" s="17" t="s">
        <v>27</v>
      </c>
      <c r="B29" s="16" t="s">
        <v>262</v>
      </c>
      <c r="C29" s="16" t="s">
        <v>263</v>
      </c>
      <c r="D29" s="16" t="s">
        <v>264</v>
      </c>
      <c r="E29" s="16" t="s">
        <v>470</v>
      </c>
      <c r="F29" s="16" t="s">
        <v>413</v>
      </c>
      <c r="G29" s="22" t="s">
        <v>21</v>
      </c>
      <c r="H29" s="22" t="s">
        <v>39</v>
      </c>
      <c r="I29" s="23" t="s">
        <v>15</v>
      </c>
      <c r="J29" s="17"/>
      <c r="K29" s="30" t="str">
        <f>"145,0"</f>
        <v>145,0</v>
      </c>
      <c r="L29" s="17" t="str">
        <f>"97,7155"</f>
        <v>97,7155</v>
      </c>
      <c r="M29" s="16" t="s">
        <v>192</v>
      </c>
    </row>
    <row r="30" spans="1:13">
      <c r="A30" s="21" t="s">
        <v>27</v>
      </c>
      <c r="B30" s="20" t="s">
        <v>265</v>
      </c>
      <c r="C30" s="20" t="s">
        <v>266</v>
      </c>
      <c r="D30" s="20" t="s">
        <v>267</v>
      </c>
      <c r="E30" s="20" t="s">
        <v>468</v>
      </c>
      <c r="F30" s="20" t="s">
        <v>413</v>
      </c>
      <c r="G30" s="26" t="s">
        <v>162</v>
      </c>
      <c r="H30" s="26" t="s">
        <v>82</v>
      </c>
      <c r="I30" s="27" t="s">
        <v>17</v>
      </c>
      <c r="J30" s="21"/>
      <c r="K30" s="31" t="str">
        <f>"165,0"</f>
        <v>165,0</v>
      </c>
      <c r="L30" s="21" t="str">
        <f>"111,6060"</f>
        <v>111,6060</v>
      </c>
      <c r="M30" s="20"/>
    </row>
    <row r="31" spans="1:13">
      <c r="B31" s="5" t="s">
        <v>28</v>
      </c>
    </row>
    <row r="32" spans="1:13" ht="16">
      <c r="A32" s="46" t="s">
        <v>150</v>
      </c>
      <c r="B32" s="46"/>
      <c r="C32" s="46"/>
      <c r="D32" s="46"/>
      <c r="E32" s="46"/>
      <c r="F32" s="46"/>
      <c r="G32" s="46"/>
      <c r="H32" s="46"/>
      <c r="I32" s="46"/>
      <c r="J32" s="46"/>
    </row>
    <row r="33" spans="1:13">
      <c r="A33" s="17" t="s">
        <v>27</v>
      </c>
      <c r="B33" s="16" t="s">
        <v>268</v>
      </c>
      <c r="C33" s="16" t="s">
        <v>269</v>
      </c>
      <c r="D33" s="16" t="s">
        <v>270</v>
      </c>
      <c r="E33" s="16" t="s">
        <v>468</v>
      </c>
      <c r="F33" s="16" t="s">
        <v>413</v>
      </c>
      <c r="G33" s="22" t="s">
        <v>271</v>
      </c>
      <c r="H33" s="22" t="s">
        <v>39</v>
      </c>
      <c r="I33" s="23" t="s">
        <v>272</v>
      </c>
      <c r="J33" s="17"/>
      <c r="K33" s="30" t="str">
        <f>"145,0"</f>
        <v>145,0</v>
      </c>
      <c r="L33" s="17" t="str">
        <f>"94,5255"</f>
        <v>94,5255</v>
      </c>
      <c r="M33" s="16" t="s">
        <v>273</v>
      </c>
    </row>
    <row r="34" spans="1:13">
      <c r="A34" s="19" t="s">
        <v>122</v>
      </c>
      <c r="B34" s="18" t="s">
        <v>274</v>
      </c>
      <c r="C34" s="18" t="s">
        <v>275</v>
      </c>
      <c r="D34" s="18" t="s">
        <v>276</v>
      </c>
      <c r="E34" s="18" t="s">
        <v>468</v>
      </c>
      <c r="F34" s="18" t="s">
        <v>413</v>
      </c>
      <c r="G34" s="24" t="s">
        <v>39</v>
      </c>
      <c r="H34" s="25" t="s">
        <v>15</v>
      </c>
      <c r="I34" s="25" t="s">
        <v>15</v>
      </c>
      <c r="J34" s="19"/>
      <c r="K34" s="32" t="str">
        <f>"145,0"</f>
        <v>145,0</v>
      </c>
      <c r="L34" s="19" t="str">
        <f>"93,7715"</f>
        <v>93,7715</v>
      </c>
      <c r="M34" s="18" t="s">
        <v>277</v>
      </c>
    </row>
    <row r="35" spans="1:13">
      <c r="A35" s="19" t="s">
        <v>229</v>
      </c>
      <c r="B35" s="18" t="s">
        <v>278</v>
      </c>
      <c r="C35" s="18" t="s">
        <v>279</v>
      </c>
      <c r="D35" s="18" t="s">
        <v>280</v>
      </c>
      <c r="E35" s="18" t="s">
        <v>468</v>
      </c>
      <c r="F35" s="18" t="s">
        <v>421</v>
      </c>
      <c r="G35" s="24" t="s">
        <v>143</v>
      </c>
      <c r="H35" s="25" t="s">
        <v>66</v>
      </c>
      <c r="I35" s="24" t="s">
        <v>281</v>
      </c>
      <c r="J35" s="19"/>
      <c r="K35" s="32" t="str">
        <f>"137,5"</f>
        <v>137,5</v>
      </c>
      <c r="L35" s="19" t="str">
        <f>"88,5500"</f>
        <v>88,5500</v>
      </c>
      <c r="M35" s="18" t="s">
        <v>436</v>
      </c>
    </row>
    <row r="36" spans="1:13">
      <c r="A36" s="21" t="s">
        <v>27</v>
      </c>
      <c r="B36" s="20" t="s">
        <v>282</v>
      </c>
      <c r="C36" s="20" t="s">
        <v>283</v>
      </c>
      <c r="D36" s="20" t="s">
        <v>284</v>
      </c>
      <c r="E36" s="20" t="s">
        <v>473</v>
      </c>
      <c r="F36" s="20" t="s">
        <v>421</v>
      </c>
      <c r="G36" s="26" t="s">
        <v>74</v>
      </c>
      <c r="H36" s="26" t="s">
        <v>49</v>
      </c>
      <c r="I36" s="27" t="s">
        <v>285</v>
      </c>
      <c r="J36" s="21"/>
      <c r="K36" s="31" t="str">
        <f>"120,0"</f>
        <v>120,0</v>
      </c>
      <c r="L36" s="21" t="str">
        <f>"106,0290"</f>
        <v>106,0290</v>
      </c>
      <c r="M36" s="20" t="s">
        <v>436</v>
      </c>
    </row>
    <row r="37" spans="1:13">
      <c r="B37" s="5" t="s">
        <v>28</v>
      </c>
    </row>
    <row r="38" spans="1:13" ht="16">
      <c r="A38" s="46" t="s">
        <v>67</v>
      </c>
      <c r="B38" s="46"/>
      <c r="C38" s="46"/>
      <c r="D38" s="46"/>
      <c r="E38" s="46"/>
      <c r="F38" s="46"/>
      <c r="G38" s="46"/>
      <c r="H38" s="46"/>
      <c r="I38" s="46"/>
      <c r="J38" s="46"/>
    </row>
    <row r="39" spans="1:13">
      <c r="A39" s="17" t="s">
        <v>27</v>
      </c>
      <c r="B39" s="16" t="s">
        <v>286</v>
      </c>
      <c r="C39" s="16" t="s">
        <v>287</v>
      </c>
      <c r="D39" s="16" t="s">
        <v>288</v>
      </c>
      <c r="E39" s="16" t="s">
        <v>468</v>
      </c>
      <c r="F39" s="16" t="s">
        <v>413</v>
      </c>
      <c r="G39" s="22" t="s">
        <v>82</v>
      </c>
      <c r="H39" s="22" t="s">
        <v>17</v>
      </c>
      <c r="I39" s="22" t="s">
        <v>81</v>
      </c>
      <c r="J39" s="17"/>
      <c r="K39" s="30" t="str">
        <f>"172,5"</f>
        <v>172,5</v>
      </c>
      <c r="L39" s="17" t="str">
        <f>"105,1905"</f>
        <v>105,1905</v>
      </c>
      <c r="M39" s="16" t="s">
        <v>99</v>
      </c>
    </row>
    <row r="40" spans="1:13">
      <c r="A40" s="19" t="s">
        <v>122</v>
      </c>
      <c r="B40" s="18" t="s">
        <v>289</v>
      </c>
      <c r="C40" s="18" t="s">
        <v>290</v>
      </c>
      <c r="D40" s="18" t="s">
        <v>291</v>
      </c>
      <c r="E40" s="18" t="s">
        <v>468</v>
      </c>
      <c r="F40" s="18" t="s">
        <v>421</v>
      </c>
      <c r="G40" s="24" t="s">
        <v>17</v>
      </c>
      <c r="H40" s="25" t="s">
        <v>108</v>
      </c>
      <c r="I40" s="25" t="s">
        <v>108</v>
      </c>
      <c r="J40" s="19"/>
      <c r="K40" s="32" t="str">
        <f>"170,0"</f>
        <v>170,0</v>
      </c>
      <c r="L40" s="19" t="str">
        <f>"104,0570"</f>
        <v>104,0570</v>
      </c>
      <c r="M40" s="18" t="s">
        <v>444</v>
      </c>
    </row>
    <row r="41" spans="1:13">
      <c r="A41" s="19" t="s">
        <v>229</v>
      </c>
      <c r="B41" s="18" t="s">
        <v>292</v>
      </c>
      <c r="C41" s="18" t="s">
        <v>293</v>
      </c>
      <c r="D41" s="18" t="s">
        <v>294</v>
      </c>
      <c r="E41" s="18" t="s">
        <v>468</v>
      </c>
      <c r="F41" s="18" t="s">
        <v>413</v>
      </c>
      <c r="G41" s="24" t="s">
        <v>82</v>
      </c>
      <c r="H41" s="25" t="s">
        <v>17</v>
      </c>
      <c r="I41" s="25" t="s">
        <v>17</v>
      </c>
      <c r="J41" s="19"/>
      <c r="K41" s="32" t="str">
        <f>"165,0"</f>
        <v>165,0</v>
      </c>
      <c r="L41" s="19" t="str">
        <f>"101,0295"</f>
        <v>101,0295</v>
      </c>
      <c r="M41" s="18"/>
    </row>
    <row r="42" spans="1:13">
      <c r="A42" s="19" t="s">
        <v>311</v>
      </c>
      <c r="B42" s="18" t="s">
        <v>165</v>
      </c>
      <c r="C42" s="18" t="s">
        <v>166</v>
      </c>
      <c r="D42" s="18" t="s">
        <v>167</v>
      </c>
      <c r="E42" s="18" t="s">
        <v>468</v>
      </c>
      <c r="F42" s="18" t="s">
        <v>413</v>
      </c>
      <c r="G42" s="24" t="s">
        <v>15</v>
      </c>
      <c r="H42" s="24" t="s">
        <v>16</v>
      </c>
      <c r="I42" s="25" t="s">
        <v>82</v>
      </c>
      <c r="J42" s="19"/>
      <c r="K42" s="32" t="str">
        <f>"160,0"</f>
        <v>160,0</v>
      </c>
      <c r="L42" s="19" t="str">
        <f>"100,2560"</f>
        <v>100,2560</v>
      </c>
      <c r="M42" s="18"/>
    </row>
    <row r="43" spans="1:13">
      <c r="A43" s="19" t="s">
        <v>312</v>
      </c>
      <c r="B43" s="18" t="s">
        <v>295</v>
      </c>
      <c r="C43" s="18" t="s">
        <v>296</v>
      </c>
      <c r="D43" s="18" t="s">
        <v>297</v>
      </c>
      <c r="E43" s="18" t="s">
        <v>468</v>
      </c>
      <c r="F43" s="18" t="s">
        <v>424</v>
      </c>
      <c r="G43" s="24" t="s">
        <v>162</v>
      </c>
      <c r="H43" s="25" t="s">
        <v>16</v>
      </c>
      <c r="I43" s="25" t="s">
        <v>16</v>
      </c>
      <c r="J43" s="19"/>
      <c r="K43" s="32" t="str">
        <f>"155,0"</f>
        <v>155,0</v>
      </c>
      <c r="L43" s="19" t="str">
        <f>"94,4415"</f>
        <v>94,4415</v>
      </c>
      <c r="M43" s="18" t="s">
        <v>425</v>
      </c>
    </row>
    <row r="44" spans="1:13">
      <c r="A44" s="21" t="s">
        <v>313</v>
      </c>
      <c r="B44" s="20" t="s">
        <v>212</v>
      </c>
      <c r="C44" s="20" t="s">
        <v>213</v>
      </c>
      <c r="D44" s="20" t="s">
        <v>214</v>
      </c>
      <c r="E44" s="20" t="s">
        <v>468</v>
      </c>
      <c r="F44" s="20" t="s">
        <v>413</v>
      </c>
      <c r="G44" s="26" t="s">
        <v>21</v>
      </c>
      <c r="H44" s="26" t="s">
        <v>39</v>
      </c>
      <c r="I44" s="27" t="s">
        <v>15</v>
      </c>
      <c r="J44" s="21"/>
      <c r="K44" s="31" t="str">
        <f>"145,0"</f>
        <v>145,0</v>
      </c>
      <c r="L44" s="21" t="str">
        <f>"89,1750"</f>
        <v>89,1750</v>
      </c>
      <c r="M44" s="20"/>
    </row>
    <row r="45" spans="1:13">
      <c r="B45" s="5" t="s">
        <v>28</v>
      </c>
    </row>
    <row r="46" spans="1:13" ht="16">
      <c r="A46" s="46" t="s">
        <v>100</v>
      </c>
      <c r="B46" s="46"/>
      <c r="C46" s="46"/>
      <c r="D46" s="46"/>
      <c r="E46" s="46"/>
      <c r="F46" s="46"/>
      <c r="G46" s="46"/>
      <c r="H46" s="46"/>
      <c r="I46" s="46"/>
      <c r="J46" s="46"/>
    </row>
    <row r="47" spans="1:13">
      <c r="A47" s="17" t="s">
        <v>27</v>
      </c>
      <c r="B47" s="16" t="s">
        <v>298</v>
      </c>
      <c r="C47" s="16" t="s">
        <v>299</v>
      </c>
      <c r="D47" s="16" t="s">
        <v>300</v>
      </c>
      <c r="E47" s="16" t="s">
        <v>468</v>
      </c>
      <c r="F47" s="16" t="s">
        <v>421</v>
      </c>
      <c r="G47" s="22" t="s">
        <v>46</v>
      </c>
      <c r="H47" s="23" t="s">
        <v>47</v>
      </c>
      <c r="I47" s="23" t="s">
        <v>47</v>
      </c>
      <c r="J47" s="17"/>
      <c r="K47" s="30" t="str">
        <f>"185,0"</f>
        <v>185,0</v>
      </c>
      <c r="L47" s="17" t="str">
        <f>"105,8570"</f>
        <v>105,8570</v>
      </c>
      <c r="M47" s="16"/>
    </row>
    <row r="48" spans="1:13">
      <c r="A48" s="21" t="s">
        <v>122</v>
      </c>
      <c r="B48" s="20" t="s">
        <v>301</v>
      </c>
      <c r="C48" s="20" t="s">
        <v>302</v>
      </c>
      <c r="D48" s="20" t="s">
        <v>303</v>
      </c>
      <c r="E48" s="20" t="s">
        <v>468</v>
      </c>
      <c r="F48" s="20" t="s">
        <v>413</v>
      </c>
      <c r="G48" s="26" t="s">
        <v>39</v>
      </c>
      <c r="H48" s="27" t="s">
        <v>40</v>
      </c>
      <c r="I48" s="27" t="s">
        <v>40</v>
      </c>
      <c r="J48" s="21"/>
      <c r="K48" s="31" t="str">
        <f>"145,0"</f>
        <v>145,0</v>
      </c>
      <c r="L48" s="21" t="str">
        <f>"84,1870"</f>
        <v>84,1870</v>
      </c>
      <c r="M48" s="20"/>
    </row>
    <row r="49" spans="1:13">
      <c r="B49" s="5" t="s">
        <v>28</v>
      </c>
    </row>
    <row r="50" spans="1:13" ht="16">
      <c r="A50" s="46" t="s">
        <v>221</v>
      </c>
      <c r="B50" s="46"/>
      <c r="C50" s="46"/>
      <c r="D50" s="46"/>
      <c r="E50" s="46"/>
      <c r="F50" s="46"/>
      <c r="G50" s="46"/>
      <c r="H50" s="46"/>
      <c r="I50" s="46"/>
      <c r="J50" s="46"/>
    </row>
    <row r="51" spans="1:13">
      <c r="A51" s="8" t="s">
        <v>27</v>
      </c>
      <c r="B51" s="7" t="s">
        <v>304</v>
      </c>
      <c r="C51" s="7" t="s">
        <v>305</v>
      </c>
      <c r="D51" s="7" t="s">
        <v>306</v>
      </c>
      <c r="E51" s="7" t="s">
        <v>468</v>
      </c>
      <c r="F51" s="7" t="s">
        <v>443</v>
      </c>
      <c r="G51" s="15" t="s">
        <v>307</v>
      </c>
      <c r="H51" s="14" t="s">
        <v>307</v>
      </c>
      <c r="I51" s="14" t="s">
        <v>94</v>
      </c>
      <c r="J51" s="8"/>
      <c r="K51" s="28" t="str">
        <f>"182,5"</f>
        <v>182,5</v>
      </c>
      <c r="L51" s="8" t="str">
        <f>"102,2913"</f>
        <v>102,2913</v>
      </c>
      <c r="M51" s="7"/>
    </row>
    <row r="52" spans="1:13">
      <c r="B52" s="5" t="s">
        <v>28</v>
      </c>
    </row>
    <row r="53" spans="1:13">
      <c r="B53" s="5" t="s">
        <v>28</v>
      </c>
    </row>
    <row r="54" spans="1:13">
      <c r="B54" s="5" t="s">
        <v>28</v>
      </c>
    </row>
    <row r="55" spans="1:13" ht="18">
      <c r="B55" s="9" t="s">
        <v>22</v>
      </c>
      <c r="C55" s="9"/>
      <c r="F55" s="3"/>
    </row>
    <row r="56" spans="1:13" ht="16">
      <c r="B56" s="10" t="s">
        <v>55</v>
      </c>
      <c r="C56" s="10"/>
      <c r="F56" s="3"/>
    </row>
    <row r="57" spans="1:13" ht="14">
      <c r="B57" s="11"/>
      <c r="C57" s="12" t="s">
        <v>23</v>
      </c>
      <c r="F57" s="3"/>
    </row>
    <row r="58" spans="1:13" ht="14">
      <c r="B58" s="13" t="s">
        <v>24</v>
      </c>
      <c r="C58" s="13" t="s">
        <v>25</v>
      </c>
      <c r="D58" s="13" t="s">
        <v>445</v>
      </c>
      <c r="E58" s="13" t="s">
        <v>176</v>
      </c>
      <c r="F58" s="13" t="s">
        <v>26</v>
      </c>
    </row>
    <row r="59" spans="1:13">
      <c r="B59" s="5" t="s">
        <v>265</v>
      </c>
      <c r="C59" s="5" t="s">
        <v>23</v>
      </c>
      <c r="D59" s="6" t="s">
        <v>56</v>
      </c>
      <c r="E59" s="6" t="s">
        <v>82</v>
      </c>
      <c r="F59" s="6" t="s">
        <v>308</v>
      </c>
    </row>
    <row r="60" spans="1:13">
      <c r="B60" s="5" t="s">
        <v>298</v>
      </c>
      <c r="C60" s="5" t="s">
        <v>23</v>
      </c>
      <c r="D60" s="6" t="s">
        <v>120</v>
      </c>
      <c r="E60" s="6" t="s">
        <v>46</v>
      </c>
      <c r="F60" s="6" t="s">
        <v>309</v>
      </c>
    </row>
    <row r="61" spans="1:13">
      <c r="B61" s="5" t="s">
        <v>286</v>
      </c>
      <c r="C61" s="5" t="s">
        <v>23</v>
      </c>
      <c r="D61" s="6" t="s">
        <v>121</v>
      </c>
      <c r="E61" s="6" t="s">
        <v>81</v>
      </c>
      <c r="F61" s="6" t="s">
        <v>310</v>
      </c>
    </row>
  </sheetData>
  <mergeCells count="22">
    <mergeCell ref="A32:J32"/>
    <mergeCell ref="A38:J38"/>
    <mergeCell ref="A46:J46"/>
    <mergeCell ref="A50:J50"/>
    <mergeCell ref="B3:B4"/>
    <mergeCell ref="A9:J9"/>
    <mergeCell ref="A14:J14"/>
    <mergeCell ref="A18:J18"/>
    <mergeCell ref="A22:J22"/>
    <mergeCell ref="A25:J25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3" t="s">
        <v>456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45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4"/>
      <c r="L4" s="44"/>
      <c r="M4" s="48"/>
    </row>
    <row r="5" spans="1:13" ht="16">
      <c r="A5" s="49" t="s">
        <v>57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8" t="s">
        <v>27</v>
      </c>
      <c r="B6" s="7" t="s">
        <v>180</v>
      </c>
      <c r="C6" s="7" t="s">
        <v>181</v>
      </c>
      <c r="D6" s="7" t="s">
        <v>182</v>
      </c>
      <c r="E6" s="7" t="s">
        <v>471</v>
      </c>
      <c r="F6" s="7" t="s">
        <v>420</v>
      </c>
      <c r="G6" s="14" t="s">
        <v>127</v>
      </c>
      <c r="H6" s="14" t="s">
        <v>35</v>
      </c>
      <c r="I6" s="15" t="s">
        <v>183</v>
      </c>
      <c r="J6" s="8"/>
      <c r="K6" s="8" t="str">
        <f>"50,0"</f>
        <v>50,0</v>
      </c>
      <c r="L6" s="8" t="str">
        <f>"77,7354"</f>
        <v>77,7354</v>
      </c>
      <c r="M6" s="7" t="s">
        <v>184</v>
      </c>
    </row>
    <row r="7" spans="1:13">
      <c r="B7" s="5" t="s">
        <v>28</v>
      </c>
    </row>
    <row r="8" spans="1:13" ht="16">
      <c r="A8" s="46" t="s">
        <v>11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27</v>
      </c>
      <c r="B9" s="7" t="s">
        <v>185</v>
      </c>
      <c r="C9" s="7" t="s">
        <v>186</v>
      </c>
      <c r="D9" s="7" t="s">
        <v>187</v>
      </c>
      <c r="E9" s="7" t="s">
        <v>468</v>
      </c>
      <c r="F9" s="7" t="s">
        <v>430</v>
      </c>
      <c r="G9" s="14" t="s">
        <v>19</v>
      </c>
      <c r="H9" s="14" t="s">
        <v>61</v>
      </c>
      <c r="I9" s="15" t="s">
        <v>73</v>
      </c>
      <c r="J9" s="8"/>
      <c r="K9" s="8" t="str">
        <f>"95,0"</f>
        <v>95,0</v>
      </c>
      <c r="L9" s="8" t="str">
        <f>"102,6475"</f>
        <v>102,6475</v>
      </c>
      <c r="M9" s="7"/>
    </row>
    <row r="10" spans="1:13">
      <c r="B10" s="5" t="s">
        <v>28</v>
      </c>
    </row>
    <row r="11" spans="1:13" ht="16">
      <c r="A11" s="46" t="s">
        <v>139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27</v>
      </c>
      <c r="B12" s="7" t="s">
        <v>188</v>
      </c>
      <c r="C12" s="7" t="s">
        <v>189</v>
      </c>
      <c r="D12" s="7" t="s">
        <v>190</v>
      </c>
      <c r="E12" s="7" t="s">
        <v>468</v>
      </c>
      <c r="F12" s="7" t="s">
        <v>413</v>
      </c>
      <c r="G12" s="14" t="s">
        <v>191</v>
      </c>
      <c r="H12" s="14" t="s">
        <v>35</v>
      </c>
      <c r="I12" s="14" t="s">
        <v>183</v>
      </c>
      <c r="J12" s="8"/>
      <c r="K12" s="8" t="str">
        <f>"52,5"</f>
        <v>52,5</v>
      </c>
      <c r="L12" s="8" t="str">
        <f>"52,1273"</f>
        <v>52,1273</v>
      </c>
      <c r="M12" s="7" t="s">
        <v>192</v>
      </c>
    </row>
    <row r="13" spans="1:13">
      <c r="B13" s="5" t="s">
        <v>28</v>
      </c>
    </row>
    <row r="14" spans="1:13" ht="16">
      <c r="A14" s="46" t="s">
        <v>139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8" t="s">
        <v>27</v>
      </c>
      <c r="B15" s="7" t="s">
        <v>193</v>
      </c>
      <c r="C15" s="7" t="s">
        <v>194</v>
      </c>
      <c r="D15" s="7" t="s">
        <v>195</v>
      </c>
      <c r="E15" s="7" t="s">
        <v>468</v>
      </c>
      <c r="F15" s="7" t="s">
        <v>416</v>
      </c>
      <c r="G15" s="15" t="s">
        <v>38</v>
      </c>
      <c r="H15" s="15" t="s">
        <v>38</v>
      </c>
      <c r="I15" s="14" t="s">
        <v>38</v>
      </c>
      <c r="J15" s="8"/>
      <c r="K15" s="8" t="str">
        <f>"132,5"</f>
        <v>132,5</v>
      </c>
      <c r="L15" s="8" t="str">
        <f>"98,4475"</f>
        <v>98,4475</v>
      </c>
      <c r="M15" s="7"/>
    </row>
    <row r="16" spans="1:13">
      <c r="B16" s="5" t="s">
        <v>28</v>
      </c>
    </row>
    <row r="17" spans="1:13" ht="16">
      <c r="A17" s="46" t="s">
        <v>42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3">
      <c r="A18" s="8" t="s">
        <v>27</v>
      </c>
      <c r="B18" s="7" t="s">
        <v>196</v>
      </c>
      <c r="C18" s="7" t="s">
        <v>197</v>
      </c>
      <c r="D18" s="7" t="s">
        <v>198</v>
      </c>
      <c r="E18" s="7" t="s">
        <v>470</v>
      </c>
      <c r="F18" s="7" t="s">
        <v>413</v>
      </c>
      <c r="G18" s="15" t="s">
        <v>20</v>
      </c>
      <c r="H18" s="14" t="s">
        <v>20</v>
      </c>
      <c r="I18" s="15" t="s">
        <v>128</v>
      </c>
      <c r="J18" s="8"/>
      <c r="K18" s="8" t="str">
        <f>"92,5"</f>
        <v>92,5</v>
      </c>
      <c r="L18" s="8" t="str">
        <f>"61,9658"</f>
        <v>61,9658</v>
      </c>
      <c r="M18" s="7" t="s">
        <v>192</v>
      </c>
    </row>
    <row r="19" spans="1:13">
      <c r="B19" s="5" t="s">
        <v>28</v>
      </c>
    </row>
    <row r="20" spans="1:13" ht="16">
      <c r="A20" s="46" t="s">
        <v>150</v>
      </c>
      <c r="B20" s="46"/>
      <c r="C20" s="46"/>
      <c r="D20" s="46"/>
      <c r="E20" s="46"/>
      <c r="F20" s="46"/>
      <c r="G20" s="46"/>
      <c r="H20" s="46"/>
      <c r="I20" s="46"/>
      <c r="J20" s="46"/>
    </row>
    <row r="21" spans="1:13">
      <c r="A21" s="17" t="s">
        <v>27</v>
      </c>
      <c r="B21" s="16" t="s">
        <v>199</v>
      </c>
      <c r="C21" s="16" t="s">
        <v>200</v>
      </c>
      <c r="D21" s="16" t="s">
        <v>201</v>
      </c>
      <c r="E21" s="16" t="s">
        <v>468</v>
      </c>
      <c r="F21" s="16" t="s">
        <v>417</v>
      </c>
      <c r="G21" s="22" t="s">
        <v>202</v>
      </c>
      <c r="H21" s="23" t="s">
        <v>154</v>
      </c>
      <c r="I21" s="23" t="s">
        <v>154</v>
      </c>
      <c r="J21" s="17"/>
      <c r="K21" s="17" t="str">
        <f>"205,0"</f>
        <v>205,0</v>
      </c>
      <c r="L21" s="17" t="str">
        <f>"132,9015"</f>
        <v>132,9015</v>
      </c>
      <c r="M21" s="16"/>
    </row>
    <row r="22" spans="1:13">
      <c r="A22" s="19" t="s">
        <v>122</v>
      </c>
      <c r="B22" s="18" t="s">
        <v>203</v>
      </c>
      <c r="C22" s="18" t="s">
        <v>204</v>
      </c>
      <c r="D22" s="18" t="s">
        <v>205</v>
      </c>
      <c r="E22" s="18" t="s">
        <v>468</v>
      </c>
      <c r="F22" s="18" t="s">
        <v>431</v>
      </c>
      <c r="G22" s="25" t="s">
        <v>108</v>
      </c>
      <c r="H22" s="24" t="s">
        <v>108</v>
      </c>
      <c r="I22" s="24" t="s">
        <v>46</v>
      </c>
      <c r="J22" s="19"/>
      <c r="K22" s="19" t="str">
        <f>"185,0"</f>
        <v>185,0</v>
      </c>
      <c r="L22" s="19" t="str">
        <f>"120,9900"</f>
        <v>120,9900</v>
      </c>
      <c r="M22" s="18"/>
    </row>
    <row r="23" spans="1:13">
      <c r="A23" s="21" t="s">
        <v>229</v>
      </c>
      <c r="B23" s="20" t="s">
        <v>206</v>
      </c>
      <c r="C23" s="20" t="s">
        <v>207</v>
      </c>
      <c r="D23" s="20" t="s">
        <v>208</v>
      </c>
      <c r="E23" s="20" t="s">
        <v>468</v>
      </c>
      <c r="F23" s="20" t="s">
        <v>413</v>
      </c>
      <c r="G23" s="26" t="s">
        <v>82</v>
      </c>
      <c r="H23" s="26" t="s">
        <v>17</v>
      </c>
      <c r="I23" s="27" t="s">
        <v>88</v>
      </c>
      <c r="J23" s="21"/>
      <c r="K23" s="21" t="str">
        <f>"170,0"</f>
        <v>170,0</v>
      </c>
      <c r="L23" s="21" t="str">
        <f>"110,4150"</f>
        <v>110,4150</v>
      </c>
      <c r="M23" s="20"/>
    </row>
    <row r="24" spans="1:13">
      <c r="B24" s="5" t="s">
        <v>28</v>
      </c>
    </row>
    <row r="25" spans="1:13" ht="16">
      <c r="A25" s="46" t="s">
        <v>67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3">
      <c r="A26" s="17" t="s">
        <v>27</v>
      </c>
      <c r="B26" s="16" t="s">
        <v>209</v>
      </c>
      <c r="C26" s="16" t="s">
        <v>210</v>
      </c>
      <c r="D26" s="16" t="s">
        <v>211</v>
      </c>
      <c r="E26" s="16" t="s">
        <v>468</v>
      </c>
      <c r="F26" s="16" t="s">
        <v>413</v>
      </c>
      <c r="G26" s="22" t="s">
        <v>46</v>
      </c>
      <c r="H26" s="22" t="s">
        <v>95</v>
      </c>
      <c r="I26" s="22" t="s">
        <v>71</v>
      </c>
      <c r="J26" s="17"/>
      <c r="K26" s="17" t="str">
        <f>"200,0"</f>
        <v>200,0</v>
      </c>
      <c r="L26" s="17" t="str">
        <f>"122,2200"</f>
        <v>122,2200</v>
      </c>
      <c r="M26" s="16" t="s">
        <v>77</v>
      </c>
    </row>
    <row r="27" spans="1:13">
      <c r="A27" s="21" t="s">
        <v>122</v>
      </c>
      <c r="B27" s="20" t="s">
        <v>212</v>
      </c>
      <c r="C27" s="20" t="s">
        <v>213</v>
      </c>
      <c r="D27" s="20" t="s">
        <v>214</v>
      </c>
      <c r="E27" s="20" t="s">
        <v>468</v>
      </c>
      <c r="F27" s="20" t="s">
        <v>413</v>
      </c>
      <c r="G27" s="26" t="s">
        <v>21</v>
      </c>
      <c r="H27" s="26" t="s">
        <v>39</v>
      </c>
      <c r="I27" s="27" t="s">
        <v>15</v>
      </c>
      <c r="J27" s="21"/>
      <c r="K27" s="21" t="str">
        <f>"145,0"</f>
        <v>145,0</v>
      </c>
      <c r="L27" s="21" t="str">
        <f>"89,1750"</f>
        <v>89,1750</v>
      </c>
      <c r="M27" s="20"/>
    </row>
    <row r="28" spans="1:13">
      <c r="B28" s="5" t="s">
        <v>28</v>
      </c>
    </row>
    <row r="29" spans="1:13" ht="16">
      <c r="A29" s="46" t="s">
        <v>90</v>
      </c>
      <c r="B29" s="46"/>
      <c r="C29" s="46"/>
      <c r="D29" s="46"/>
      <c r="E29" s="46"/>
      <c r="F29" s="46"/>
      <c r="G29" s="46"/>
      <c r="H29" s="46"/>
      <c r="I29" s="46"/>
      <c r="J29" s="46"/>
    </row>
    <row r="30" spans="1:13">
      <c r="A30" s="17" t="s">
        <v>27</v>
      </c>
      <c r="B30" s="16" t="s">
        <v>215</v>
      </c>
      <c r="C30" s="16" t="s">
        <v>216</v>
      </c>
      <c r="D30" s="16" t="s">
        <v>93</v>
      </c>
      <c r="E30" s="16" t="s">
        <v>468</v>
      </c>
      <c r="F30" s="16" t="s">
        <v>413</v>
      </c>
      <c r="G30" s="22" t="s">
        <v>96</v>
      </c>
      <c r="H30" s="22" t="s">
        <v>97</v>
      </c>
      <c r="I30" s="23" t="s">
        <v>163</v>
      </c>
      <c r="J30" s="17"/>
      <c r="K30" s="17" t="str">
        <f>"250,0"</f>
        <v>250,0</v>
      </c>
      <c r="L30" s="17" t="str">
        <f>"149,4000"</f>
        <v>149,4000</v>
      </c>
      <c r="M30" s="16" t="s">
        <v>99</v>
      </c>
    </row>
    <row r="31" spans="1:13">
      <c r="A31" s="19" t="s">
        <v>122</v>
      </c>
      <c r="B31" s="18" t="s">
        <v>217</v>
      </c>
      <c r="C31" s="18" t="s">
        <v>218</v>
      </c>
      <c r="D31" s="18" t="s">
        <v>219</v>
      </c>
      <c r="E31" s="18" t="s">
        <v>468</v>
      </c>
      <c r="F31" s="18" t="s">
        <v>413</v>
      </c>
      <c r="G31" s="24" t="s">
        <v>72</v>
      </c>
      <c r="H31" s="25" t="s">
        <v>220</v>
      </c>
      <c r="I31" s="24" t="s">
        <v>220</v>
      </c>
      <c r="J31" s="19"/>
      <c r="K31" s="19" t="str">
        <f>"232,5"</f>
        <v>232,5</v>
      </c>
      <c r="L31" s="19" t="str">
        <f>"139,6395"</f>
        <v>139,6395</v>
      </c>
      <c r="M31" s="18"/>
    </row>
    <row r="32" spans="1:13">
      <c r="A32" s="21" t="s">
        <v>229</v>
      </c>
      <c r="B32" s="20" t="s">
        <v>91</v>
      </c>
      <c r="C32" s="20" t="s">
        <v>92</v>
      </c>
      <c r="D32" s="20" t="s">
        <v>93</v>
      </c>
      <c r="E32" s="20" t="s">
        <v>468</v>
      </c>
      <c r="F32" s="20" t="s">
        <v>413</v>
      </c>
      <c r="G32" s="26" t="s">
        <v>81</v>
      </c>
      <c r="H32" s="26" t="s">
        <v>94</v>
      </c>
      <c r="I32" s="27" t="s">
        <v>95</v>
      </c>
      <c r="J32" s="21"/>
      <c r="K32" s="21" t="str">
        <f>"182,5"</f>
        <v>182,5</v>
      </c>
      <c r="L32" s="21" t="str">
        <f>"109,0620"</f>
        <v>109,0620</v>
      </c>
      <c r="M32" s="20" t="s">
        <v>99</v>
      </c>
    </row>
    <row r="33" spans="1:13">
      <c r="B33" s="5" t="s">
        <v>28</v>
      </c>
    </row>
    <row r="34" spans="1:13" ht="16">
      <c r="A34" s="46" t="s">
        <v>221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3">
      <c r="A35" s="8" t="s">
        <v>27</v>
      </c>
      <c r="B35" s="7" t="s">
        <v>222</v>
      </c>
      <c r="C35" s="7" t="s">
        <v>223</v>
      </c>
      <c r="D35" s="7" t="s">
        <v>224</v>
      </c>
      <c r="E35" s="7" t="s">
        <v>471</v>
      </c>
      <c r="F35" s="7" t="s">
        <v>423</v>
      </c>
      <c r="G35" s="14" t="s">
        <v>66</v>
      </c>
      <c r="H35" s="14" t="s">
        <v>21</v>
      </c>
      <c r="I35" s="15" t="s">
        <v>15</v>
      </c>
      <c r="J35" s="8"/>
      <c r="K35" s="8" t="str">
        <f>"140,0"</f>
        <v>140,0</v>
      </c>
      <c r="L35" s="8" t="str">
        <f>"114,4080"</f>
        <v>114,4080</v>
      </c>
      <c r="M35" s="7" t="s">
        <v>225</v>
      </c>
    </row>
    <row r="36" spans="1:13">
      <c r="B36" s="5" t="s">
        <v>28</v>
      </c>
    </row>
    <row r="37" spans="1:13">
      <c r="B37" s="5" t="s">
        <v>28</v>
      </c>
    </row>
    <row r="38" spans="1:13">
      <c r="B38" s="5" t="s">
        <v>28</v>
      </c>
    </row>
    <row r="39" spans="1:13" ht="18">
      <c r="B39" s="9" t="s">
        <v>22</v>
      </c>
      <c r="C39" s="9"/>
      <c r="F39" s="3"/>
    </row>
    <row r="40" spans="1:13" ht="16">
      <c r="B40" s="10" t="s">
        <v>55</v>
      </c>
      <c r="C40" s="10"/>
      <c r="F40" s="3"/>
    </row>
    <row r="41" spans="1:13" ht="14">
      <c r="B41" s="11"/>
      <c r="C41" s="12" t="s">
        <v>23</v>
      </c>
      <c r="F41" s="3"/>
    </row>
    <row r="42" spans="1:13" ht="14">
      <c r="B42" s="13" t="s">
        <v>24</v>
      </c>
      <c r="C42" s="13" t="s">
        <v>25</v>
      </c>
      <c r="D42" s="13" t="s">
        <v>445</v>
      </c>
      <c r="E42" s="13" t="s">
        <v>176</v>
      </c>
      <c r="F42" s="13" t="s">
        <v>26</v>
      </c>
    </row>
    <row r="43" spans="1:13">
      <c r="B43" s="5" t="s">
        <v>215</v>
      </c>
      <c r="C43" s="5" t="s">
        <v>23</v>
      </c>
      <c r="D43" s="6" t="s">
        <v>119</v>
      </c>
      <c r="E43" s="6" t="s">
        <v>97</v>
      </c>
      <c r="F43" s="6" t="s">
        <v>226</v>
      </c>
    </row>
    <row r="44" spans="1:13">
      <c r="B44" s="5" t="s">
        <v>217</v>
      </c>
      <c r="C44" s="5" t="s">
        <v>23</v>
      </c>
      <c r="D44" s="6" t="s">
        <v>119</v>
      </c>
      <c r="E44" s="6" t="s">
        <v>220</v>
      </c>
      <c r="F44" s="6" t="s">
        <v>227</v>
      </c>
    </row>
    <row r="45" spans="1:13">
      <c r="B45" s="5" t="s">
        <v>199</v>
      </c>
      <c r="C45" s="5" t="s">
        <v>23</v>
      </c>
      <c r="D45" s="6" t="s">
        <v>164</v>
      </c>
      <c r="E45" s="6" t="s">
        <v>202</v>
      </c>
      <c r="F45" s="6" t="s">
        <v>228</v>
      </c>
    </row>
  </sheetData>
  <mergeCells count="20">
    <mergeCell ref="A29:J29"/>
    <mergeCell ref="A34:J34"/>
    <mergeCell ref="B3:B4"/>
    <mergeCell ref="A8:J8"/>
    <mergeCell ref="A11:J11"/>
    <mergeCell ref="A14:J14"/>
    <mergeCell ref="A17:J17"/>
    <mergeCell ref="A20:J20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0" style="5" bestFit="1" customWidth="1"/>
    <col min="14" max="16384" width="9.1640625" style="3"/>
  </cols>
  <sheetData>
    <row r="1" spans="1:13" s="2" customFormat="1" ht="29" customHeight="1">
      <c r="A1" s="33" t="s">
        <v>457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53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54"/>
      <c r="L4" s="44"/>
      <c r="M4" s="48"/>
    </row>
    <row r="5" spans="1:13" ht="16">
      <c r="A5" s="49" t="s">
        <v>11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8" t="s">
        <v>27</v>
      </c>
      <c r="B6" s="7" t="s">
        <v>314</v>
      </c>
      <c r="C6" s="7" t="s">
        <v>315</v>
      </c>
      <c r="D6" s="7" t="s">
        <v>316</v>
      </c>
      <c r="E6" s="7" t="s">
        <v>468</v>
      </c>
      <c r="F6" s="7" t="s">
        <v>413</v>
      </c>
      <c r="G6" s="14" t="s">
        <v>61</v>
      </c>
      <c r="H6" s="15" t="s">
        <v>317</v>
      </c>
      <c r="I6" s="15" t="s">
        <v>317</v>
      </c>
      <c r="J6" s="8"/>
      <c r="K6" s="28" t="str">
        <f>"95,0"</f>
        <v>95,0</v>
      </c>
      <c r="L6" s="8" t="str">
        <f>"85,4953"</f>
        <v>85,4953</v>
      </c>
      <c r="M6" s="7" t="s">
        <v>83</v>
      </c>
    </row>
    <row r="7" spans="1:13">
      <c r="B7" s="5" t="s">
        <v>28</v>
      </c>
    </row>
    <row r="8" spans="1:13" ht="16">
      <c r="A8" s="46" t="s">
        <v>42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17" t="s">
        <v>27</v>
      </c>
      <c r="B9" s="16" t="s">
        <v>265</v>
      </c>
      <c r="C9" s="16" t="s">
        <v>266</v>
      </c>
      <c r="D9" s="16" t="s">
        <v>267</v>
      </c>
      <c r="E9" s="16" t="s">
        <v>468</v>
      </c>
      <c r="F9" s="16" t="s">
        <v>413</v>
      </c>
      <c r="G9" s="22" t="s">
        <v>53</v>
      </c>
      <c r="H9" s="23" t="s">
        <v>96</v>
      </c>
      <c r="I9" s="22" t="s">
        <v>96</v>
      </c>
      <c r="J9" s="17"/>
      <c r="K9" s="30" t="str">
        <f>"240,0"</f>
        <v>240,0</v>
      </c>
      <c r="L9" s="17" t="str">
        <f>"156,3120"</f>
        <v>156,3120</v>
      </c>
      <c r="M9" s="16"/>
    </row>
    <row r="10" spans="1:13">
      <c r="A10" s="21" t="s">
        <v>122</v>
      </c>
      <c r="B10" s="20" t="s">
        <v>318</v>
      </c>
      <c r="C10" s="20" t="s">
        <v>319</v>
      </c>
      <c r="D10" s="20" t="s">
        <v>320</v>
      </c>
      <c r="E10" s="20" t="s">
        <v>468</v>
      </c>
      <c r="F10" s="20" t="s">
        <v>421</v>
      </c>
      <c r="G10" s="26" t="s">
        <v>51</v>
      </c>
      <c r="H10" s="27" t="s">
        <v>52</v>
      </c>
      <c r="I10" s="27" t="s">
        <v>220</v>
      </c>
      <c r="J10" s="21"/>
      <c r="K10" s="31" t="str">
        <f>"210,0"</f>
        <v>210,0</v>
      </c>
      <c r="L10" s="21" t="str">
        <f>"135,5760"</f>
        <v>135,5760</v>
      </c>
      <c r="M10" s="20" t="s">
        <v>321</v>
      </c>
    </row>
    <row r="11" spans="1:13">
      <c r="B11" s="5" t="s">
        <v>28</v>
      </c>
    </row>
    <row r="12" spans="1:13" ht="16">
      <c r="A12" s="46" t="s">
        <v>150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3">
      <c r="A13" s="8" t="s">
        <v>27</v>
      </c>
      <c r="B13" s="7" t="s">
        <v>322</v>
      </c>
      <c r="C13" s="7" t="s">
        <v>323</v>
      </c>
      <c r="D13" s="7" t="s">
        <v>324</v>
      </c>
      <c r="E13" s="7" t="s">
        <v>468</v>
      </c>
      <c r="F13" s="7" t="s">
        <v>413</v>
      </c>
      <c r="G13" s="14" t="s">
        <v>71</v>
      </c>
      <c r="H13" s="15" t="s">
        <v>52</v>
      </c>
      <c r="I13" s="15" t="s">
        <v>52</v>
      </c>
      <c r="J13" s="8"/>
      <c r="K13" s="28" t="str">
        <f>"200,0"</f>
        <v>200,0</v>
      </c>
      <c r="L13" s="8" t="str">
        <f>"127,0350"</f>
        <v>127,0350</v>
      </c>
      <c r="M13" s="7" t="s">
        <v>438</v>
      </c>
    </row>
    <row r="14" spans="1:13">
      <c r="B14" s="5" t="s">
        <v>28</v>
      </c>
    </row>
    <row r="15" spans="1:13" ht="16">
      <c r="A15" s="46" t="s">
        <v>67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>
      <c r="A16" s="17" t="s">
        <v>27</v>
      </c>
      <c r="B16" s="16" t="s">
        <v>165</v>
      </c>
      <c r="C16" s="16" t="s">
        <v>166</v>
      </c>
      <c r="D16" s="16" t="s">
        <v>325</v>
      </c>
      <c r="E16" s="16" t="s">
        <v>468</v>
      </c>
      <c r="F16" s="16" t="s">
        <v>413</v>
      </c>
      <c r="G16" s="22" t="s">
        <v>154</v>
      </c>
      <c r="H16" s="22" t="s">
        <v>168</v>
      </c>
      <c r="I16" s="22" t="s">
        <v>169</v>
      </c>
      <c r="J16" s="17"/>
      <c r="K16" s="30" t="str">
        <f>"237,5"</f>
        <v>237,5</v>
      </c>
      <c r="L16" s="17" t="str">
        <f>"142,3753"</f>
        <v>142,3753</v>
      </c>
      <c r="M16" s="16"/>
    </row>
    <row r="17" spans="1:13">
      <c r="A17" s="19" t="s">
        <v>122</v>
      </c>
      <c r="B17" s="18" t="s">
        <v>326</v>
      </c>
      <c r="C17" s="18" t="s">
        <v>327</v>
      </c>
      <c r="D17" s="18" t="s">
        <v>328</v>
      </c>
      <c r="E17" s="18" t="s">
        <v>468</v>
      </c>
      <c r="F17" s="18" t="s">
        <v>422</v>
      </c>
      <c r="G17" s="25" t="s">
        <v>109</v>
      </c>
      <c r="H17" s="24" t="s">
        <v>71</v>
      </c>
      <c r="I17" s="24" t="s">
        <v>51</v>
      </c>
      <c r="J17" s="19"/>
      <c r="K17" s="32" t="str">
        <f>"210,0"</f>
        <v>210,0</v>
      </c>
      <c r="L17" s="19" t="str">
        <f>"122,4930"</f>
        <v>122,4930</v>
      </c>
      <c r="M17" s="18" t="s">
        <v>439</v>
      </c>
    </row>
    <row r="18" spans="1:13">
      <c r="A18" s="19" t="s">
        <v>27</v>
      </c>
      <c r="B18" s="18" t="s">
        <v>329</v>
      </c>
      <c r="C18" s="18" t="s">
        <v>330</v>
      </c>
      <c r="D18" s="18" t="s">
        <v>331</v>
      </c>
      <c r="E18" s="18" t="s">
        <v>473</v>
      </c>
      <c r="F18" s="18" t="s">
        <v>413</v>
      </c>
      <c r="G18" s="24" t="s">
        <v>71</v>
      </c>
      <c r="H18" s="24" t="s">
        <v>52</v>
      </c>
      <c r="I18" s="24" t="s">
        <v>72</v>
      </c>
      <c r="J18" s="19"/>
      <c r="K18" s="32" t="str">
        <f>"225,0"</f>
        <v>225,0</v>
      </c>
      <c r="L18" s="19" t="str">
        <f>"154,4060"</f>
        <v>154,4060</v>
      </c>
      <c r="M18" s="18" t="s">
        <v>440</v>
      </c>
    </row>
    <row r="19" spans="1:13">
      <c r="A19" s="21" t="s">
        <v>179</v>
      </c>
      <c r="B19" s="20" t="s">
        <v>173</v>
      </c>
      <c r="C19" s="20" t="s">
        <v>174</v>
      </c>
      <c r="D19" s="20" t="s">
        <v>175</v>
      </c>
      <c r="E19" s="20" t="s">
        <v>473</v>
      </c>
      <c r="F19" s="20" t="s">
        <v>413</v>
      </c>
      <c r="G19" s="27" t="s">
        <v>71</v>
      </c>
      <c r="H19" s="27" t="s">
        <v>154</v>
      </c>
      <c r="I19" s="27" t="s">
        <v>154</v>
      </c>
      <c r="J19" s="21"/>
      <c r="K19" s="31">
        <v>0</v>
      </c>
      <c r="L19" s="21" t="str">
        <f>"0,0000"</f>
        <v>0,0000</v>
      </c>
      <c r="M19" s="20" t="s">
        <v>99</v>
      </c>
    </row>
    <row r="20" spans="1:13">
      <c r="B20" s="5" t="s">
        <v>28</v>
      </c>
    </row>
    <row r="21" spans="1:13" ht="16">
      <c r="A21" s="46" t="s">
        <v>90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>
      <c r="A22" s="17" t="s">
        <v>27</v>
      </c>
      <c r="B22" s="16" t="s">
        <v>332</v>
      </c>
      <c r="C22" s="16" t="s">
        <v>333</v>
      </c>
      <c r="D22" s="16" t="s">
        <v>334</v>
      </c>
      <c r="E22" s="16" t="s">
        <v>469</v>
      </c>
      <c r="F22" s="16" t="s">
        <v>413</v>
      </c>
      <c r="G22" s="22" t="s">
        <v>71</v>
      </c>
      <c r="H22" s="22" t="s">
        <v>335</v>
      </c>
      <c r="I22" s="23" t="s">
        <v>168</v>
      </c>
      <c r="J22" s="17"/>
      <c r="K22" s="30" t="str">
        <f>"212,5"</f>
        <v>212,5</v>
      </c>
      <c r="L22" s="17" t="str">
        <f>"126,7323"</f>
        <v>126,7323</v>
      </c>
      <c r="M22" s="16"/>
    </row>
    <row r="23" spans="1:13">
      <c r="A23" s="21" t="s">
        <v>27</v>
      </c>
      <c r="B23" s="20" t="s">
        <v>336</v>
      </c>
      <c r="C23" s="20" t="s">
        <v>337</v>
      </c>
      <c r="D23" s="20" t="s">
        <v>338</v>
      </c>
      <c r="E23" s="20" t="s">
        <v>473</v>
      </c>
      <c r="F23" s="20" t="s">
        <v>419</v>
      </c>
      <c r="G23" s="27" t="s">
        <v>51</v>
      </c>
      <c r="H23" s="26" t="s">
        <v>51</v>
      </c>
      <c r="I23" s="27" t="s">
        <v>52</v>
      </c>
      <c r="J23" s="21"/>
      <c r="K23" s="31" t="str">
        <f>"210,0"</f>
        <v>210,0</v>
      </c>
      <c r="L23" s="21" t="str">
        <f>"136,3204"</f>
        <v>136,3204</v>
      </c>
      <c r="M23" s="20" t="s">
        <v>339</v>
      </c>
    </row>
    <row r="24" spans="1:13">
      <c r="B24" s="5" t="s">
        <v>28</v>
      </c>
    </row>
    <row r="25" spans="1:13" ht="16">
      <c r="A25" s="46" t="s">
        <v>100</v>
      </c>
      <c r="B25" s="46"/>
      <c r="C25" s="46"/>
      <c r="D25" s="46"/>
      <c r="E25" s="46"/>
      <c r="F25" s="46"/>
      <c r="G25" s="46"/>
      <c r="H25" s="46"/>
      <c r="I25" s="46"/>
      <c r="J25" s="46"/>
    </row>
    <row r="26" spans="1:13">
      <c r="A26" s="8" t="s">
        <v>27</v>
      </c>
      <c r="B26" s="7" t="s">
        <v>340</v>
      </c>
      <c r="C26" s="7" t="s">
        <v>341</v>
      </c>
      <c r="D26" s="7" t="s">
        <v>342</v>
      </c>
      <c r="E26" s="7" t="s">
        <v>468</v>
      </c>
      <c r="F26" s="7" t="s">
        <v>421</v>
      </c>
      <c r="G26" s="14" t="s">
        <v>17</v>
      </c>
      <c r="H26" s="14" t="s">
        <v>109</v>
      </c>
      <c r="I26" s="14" t="s">
        <v>71</v>
      </c>
      <c r="J26" s="8"/>
      <c r="K26" s="28" t="str">
        <f>"200,0"</f>
        <v>200,0</v>
      </c>
      <c r="L26" s="8" t="str">
        <f>"110,8400"</f>
        <v>110,8400</v>
      </c>
      <c r="M26" s="7" t="s">
        <v>441</v>
      </c>
    </row>
    <row r="27" spans="1:13">
      <c r="B27" s="5" t="s">
        <v>28</v>
      </c>
    </row>
  </sheetData>
  <mergeCells count="17">
    <mergeCell ref="A25:J25"/>
    <mergeCell ref="A5:J5"/>
    <mergeCell ref="A8:J8"/>
    <mergeCell ref="A12:J12"/>
    <mergeCell ref="A15:J15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3" t="s">
        <v>458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45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4"/>
      <c r="L4" s="44"/>
      <c r="M4" s="48"/>
    </row>
    <row r="5" spans="1:13" ht="16">
      <c r="A5" s="49" t="s">
        <v>67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17" t="s">
        <v>27</v>
      </c>
      <c r="B6" s="16" t="s">
        <v>165</v>
      </c>
      <c r="C6" s="16" t="s">
        <v>166</v>
      </c>
      <c r="D6" s="16" t="s">
        <v>167</v>
      </c>
      <c r="E6" s="16" t="s">
        <v>468</v>
      </c>
      <c r="F6" s="16" t="s">
        <v>413</v>
      </c>
      <c r="G6" s="22" t="s">
        <v>154</v>
      </c>
      <c r="H6" s="22" t="s">
        <v>168</v>
      </c>
      <c r="I6" s="22" t="s">
        <v>169</v>
      </c>
      <c r="J6" s="17"/>
      <c r="K6" s="17" t="str">
        <f>"237,5"</f>
        <v>237,5</v>
      </c>
      <c r="L6" s="17" t="str">
        <f>"142,4169"</f>
        <v>142,4169</v>
      </c>
      <c r="M6" s="16"/>
    </row>
    <row r="7" spans="1:13">
      <c r="A7" s="19" t="s">
        <v>27</v>
      </c>
      <c r="B7" s="18" t="s">
        <v>170</v>
      </c>
      <c r="C7" s="18" t="s">
        <v>171</v>
      </c>
      <c r="D7" s="18" t="s">
        <v>172</v>
      </c>
      <c r="E7" s="18" t="s">
        <v>469</v>
      </c>
      <c r="F7" s="18" t="s">
        <v>419</v>
      </c>
      <c r="G7" s="24" t="s">
        <v>51</v>
      </c>
      <c r="H7" s="24" t="s">
        <v>154</v>
      </c>
      <c r="I7" s="24" t="s">
        <v>52</v>
      </c>
      <c r="J7" s="19"/>
      <c r="K7" s="19" t="str">
        <f>"220,0"</f>
        <v>220,0</v>
      </c>
      <c r="L7" s="19" t="str">
        <f>"139,9973"</f>
        <v>139,9973</v>
      </c>
      <c r="M7" s="18"/>
    </row>
    <row r="8" spans="1:13">
      <c r="A8" s="21" t="s">
        <v>179</v>
      </c>
      <c r="B8" s="20" t="s">
        <v>173</v>
      </c>
      <c r="C8" s="20" t="s">
        <v>174</v>
      </c>
      <c r="D8" s="20" t="s">
        <v>175</v>
      </c>
      <c r="E8" s="20" t="s">
        <v>473</v>
      </c>
      <c r="F8" s="20" t="s">
        <v>413</v>
      </c>
      <c r="G8" s="27" t="s">
        <v>71</v>
      </c>
      <c r="H8" s="27" t="s">
        <v>154</v>
      </c>
      <c r="I8" s="27" t="s">
        <v>154</v>
      </c>
      <c r="J8" s="21"/>
      <c r="K8" s="21" t="str">
        <f>"0.00"</f>
        <v>0.00</v>
      </c>
      <c r="L8" s="21" t="str">
        <f>"0,0000"</f>
        <v>0,0000</v>
      </c>
      <c r="M8" s="20" t="s">
        <v>99</v>
      </c>
    </row>
    <row r="9" spans="1:13">
      <c r="B9" s="5" t="s">
        <v>28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3" t="s">
        <v>459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45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4"/>
      <c r="L4" s="44"/>
      <c r="M4" s="48"/>
    </row>
    <row r="5" spans="1:13" ht="16">
      <c r="A5" s="49" t="s">
        <v>90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8" t="s">
        <v>27</v>
      </c>
      <c r="B6" s="7" t="s">
        <v>343</v>
      </c>
      <c r="C6" s="7" t="s">
        <v>344</v>
      </c>
      <c r="D6" s="7" t="s">
        <v>345</v>
      </c>
      <c r="E6" s="7" t="s">
        <v>468</v>
      </c>
      <c r="F6" s="7" t="s">
        <v>417</v>
      </c>
      <c r="G6" s="14" t="s">
        <v>118</v>
      </c>
      <c r="H6" s="15" t="s">
        <v>346</v>
      </c>
      <c r="I6" s="15" t="s">
        <v>347</v>
      </c>
      <c r="J6" s="8"/>
      <c r="K6" s="8" t="str">
        <f>"350,0"</f>
        <v>350,0</v>
      </c>
      <c r="L6" s="8" t="str">
        <f>"196,9625"</f>
        <v>196,9625</v>
      </c>
      <c r="M6" s="7"/>
    </row>
    <row r="7" spans="1:13">
      <c r="B7" s="5" t="s">
        <v>28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7.5" style="5" bestFit="1" customWidth="1"/>
    <col min="7" max="8" width="4.5" style="6" customWidth="1"/>
    <col min="9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3" t="s">
        <v>460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9</v>
      </c>
      <c r="H3" s="45"/>
      <c r="I3" s="45"/>
      <c r="J3" s="45"/>
      <c r="K3" s="45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4"/>
      <c r="L4" s="44"/>
      <c r="M4" s="48"/>
    </row>
    <row r="5" spans="1:13" ht="16">
      <c r="A5" s="46" t="s">
        <v>139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8" t="s">
        <v>27</v>
      </c>
      <c r="B6" s="7" t="s">
        <v>372</v>
      </c>
      <c r="C6" s="7" t="s">
        <v>373</v>
      </c>
      <c r="D6" s="7" t="s">
        <v>374</v>
      </c>
      <c r="E6" s="7" t="s">
        <v>468</v>
      </c>
      <c r="F6" s="7" t="s">
        <v>413</v>
      </c>
      <c r="G6" s="14" t="s">
        <v>19</v>
      </c>
      <c r="H6" s="14" t="s">
        <v>61</v>
      </c>
      <c r="I6" s="15" t="s">
        <v>73</v>
      </c>
      <c r="J6" s="8"/>
      <c r="K6" s="8" t="str">
        <f>"95,0"</f>
        <v>95,0</v>
      </c>
      <c r="L6" s="8" t="str">
        <f>"68,7515"</f>
        <v>68,7515</v>
      </c>
      <c r="M6" s="7" t="s">
        <v>99</v>
      </c>
    </row>
    <row r="7" spans="1:13">
      <c r="B7" s="5" t="s">
        <v>28</v>
      </c>
    </row>
  </sheetData>
  <mergeCells count="12">
    <mergeCell ref="A5:J5"/>
    <mergeCell ref="B3:B4"/>
    <mergeCell ref="K3:K4"/>
    <mergeCell ref="L3:L4"/>
    <mergeCell ref="M3:M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customWidth="1"/>
    <col min="7" max="9" width="5.5" style="6" customWidth="1"/>
    <col min="10" max="10" width="4.83203125" style="6" customWidth="1"/>
    <col min="11" max="11" width="10.5" style="29" bestFit="1" customWidth="1"/>
    <col min="12" max="12" width="8.5" style="6" bestFit="1" customWidth="1"/>
    <col min="13" max="13" width="22.5" style="5" customWidth="1"/>
    <col min="14" max="16384" width="9.1640625" style="3"/>
  </cols>
  <sheetData>
    <row r="1" spans="1:13" s="2" customFormat="1" ht="29" customHeight="1">
      <c r="A1" s="33" t="s">
        <v>461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10</v>
      </c>
      <c r="H3" s="45"/>
      <c r="I3" s="45"/>
      <c r="J3" s="45"/>
      <c r="K3" s="53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54"/>
      <c r="L4" s="44"/>
      <c r="M4" s="48"/>
    </row>
    <row r="5" spans="1:13" ht="16">
      <c r="A5" s="49" t="s">
        <v>354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8" t="s">
        <v>27</v>
      </c>
      <c r="B6" s="7" t="s">
        <v>355</v>
      </c>
      <c r="C6" s="7" t="s">
        <v>92</v>
      </c>
      <c r="D6" s="7" t="s">
        <v>356</v>
      </c>
      <c r="E6" s="7" t="s">
        <v>468</v>
      </c>
      <c r="F6" s="7" t="s">
        <v>421</v>
      </c>
      <c r="G6" s="14" t="s">
        <v>63</v>
      </c>
      <c r="H6" s="14" t="s">
        <v>64</v>
      </c>
      <c r="I6" s="14" t="s">
        <v>357</v>
      </c>
      <c r="J6" s="8"/>
      <c r="K6" s="28" t="str">
        <f>"80,0"</f>
        <v>80,0</v>
      </c>
      <c r="L6" s="8" t="str">
        <f>"119,4880"</f>
        <v>119,4880</v>
      </c>
      <c r="M6" s="7" t="s">
        <v>436</v>
      </c>
    </row>
    <row r="7" spans="1:13">
      <c r="B7" s="5" t="s">
        <v>28</v>
      </c>
    </row>
    <row r="8" spans="1:13" ht="16">
      <c r="A8" s="46" t="s">
        <v>139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27</v>
      </c>
      <c r="B9" s="7" t="s">
        <v>358</v>
      </c>
      <c r="C9" s="7" t="s">
        <v>359</v>
      </c>
      <c r="D9" s="7" t="s">
        <v>360</v>
      </c>
      <c r="E9" s="7" t="s">
        <v>468</v>
      </c>
      <c r="F9" s="7" t="s">
        <v>413</v>
      </c>
      <c r="G9" s="14" t="s">
        <v>38</v>
      </c>
      <c r="H9" s="14" t="s">
        <v>21</v>
      </c>
      <c r="I9" s="15" t="s">
        <v>272</v>
      </c>
      <c r="J9" s="8"/>
      <c r="K9" s="28" t="str">
        <f>"140,0"</f>
        <v>140,0</v>
      </c>
      <c r="L9" s="8" t="str">
        <f>"134,3440"</f>
        <v>134,3440</v>
      </c>
      <c r="M9" s="7" t="s">
        <v>435</v>
      </c>
    </row>
    <row r="10" spans="1:13">
      <c r="B10" s="5" t="s">
        <v>28</v>
      </c>
    </row>
    <row r="11" spans="1:13" ht="16">
      <c r="A11" s="46" t="s">
        <v>11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8" t="s">
        <v>27</v>
      </c>
      <c r="B12" s="7" t="s">
        <v>259</v>
      </c>
      <c r="C12" s="7" t="s">
        <v>260</v>
      </c>
      <c r="D12" s="7" t="s">
        <v>261</v>
      </c>
      <c r="E12" s="7" t="s">
        <v>468</v>
      </c>
      <c r="F12" s="7" t="s">
        <v>414</v>
      </c>
      <c r="G12" s="14" t="s">
        <v>162</v>
      </c>
      <c r="H12" s="14" t="s">
        <v>82</v>
      </c>
      <c r="I12" s="14" t="s">
        <v>17</v>
      </c>
      <c r="J12" s="8"/>
      <c r="K12" s="28" t="str">
        <f>"170,0"</f>
        <v>170,0</v>
      </c>
      <c r="L12" s="8" t="str">
        <f>"131,2230"</f>
        <v>131,2230</v>
      </c>
      <c r="M12" s="7"/>
    </row>
    <row r="13" spans="1:13">
      <c r="B13" s="5" t="s">
        <v>28</v>
      </c>
    </row>
    <row r="14" spans="1:13" ht="16">
      <c r="A14" s="46" t="s">
        <v>139</v>
      </c>
      <c r="B14" s="46"/>
      <c r="C14" s="46"/>
      <c r="D14" s="46"/>
      <c r="E14" s="46"/>
      <c r="F14" s="46"/>
      <c r="G14" s="46"/>
      <c r="H14" s="46"/>
      <c r="I14" s="46"/>
      <c r="J14" s="46"/>
    </row>
    <row r="15" spans="1:13">
      <c r="A15" s="8" t="s">
        <v>27</v>
      </c>
      <c r="B15" s="7" t="s">
        <v>361</v>
      </c>
      <c r="C15" s="7" t="s">
        <v>362</v>
      </c>
      <c r="D15" s="7" t="s">
        <v>363</v>
      </c>
      <c r="E15" s="7" t="s">
        <v>468</v>
      </c>
      <c r="F15" s="7" t="s">
        <v>429</v>
      </c>
      <c r="G15" s="14" t="s">
        <v>202</v>
      </c>
      <c r="H15" s="14" t="s">
        <v>52</v>
      </c>
      <c r="I15" s="14" t="s">
        <v>72</v>
      </c>
      <c r="J15" s="8"/>
      <c r="K15" s="28" t="str">
        <f>"225,0"</f>
        <v>225,0</v>
      </c>
      <c r="L15" s="8" t="str">
        <f>"162,9450"</f>
        <v>162,9450</v>
      </c>
      <c r="M15" s="7"/>
    </row>
    <row r="16" spans="1:13">
      <c r="B16" s="5" t="s">
        <v>28</v>
      </c>
    </row>
    <row r="17" spans="1:13" ht="16">
      <c r="A17" s="46" t="s">
        <v>42</v>
      </c>
      <c r="B17" s="46"/>
      <c r="C17" s="46"/>
      <c r="D17" s="46"/>
      <c r="E17" s="46"/>
      <c r="F17" s="46"/>
      <c r="G17" s="46"/>
      <c r="H17" s="46"/>
      <c r="I17" s="46"/>
      <c r="J17" s="46"/>
    </row>
    <row r="18" spans="1:13">
      <c r="A18" s="17" t="s">
        <v>27</v>
      </c>
      <c r="B18" s="16" t="s">
        <v>364</v>
      </c>
      <c r="C18" s="16" t="s">
        <v>365</v>
      </c>
      <c r="D18" s="16" t="s">
        <v>366</v>
      </c>
      <c r="E18" s="16" t="s">
        <v>472</v>
      </c>
      <c r="F18" s="16" t="s">
        <v>413</v>
      </c>
      <c r="G18" s="22" t="s">
        <v>17</v>
      </c>
      <c r="H18" s="22" t="s">
        <v>108</v>
      </c>
      <c r="I18" s="22" t="s">
        <v>109</v>
      </c>
      <c r="J18" s="17"/>
      <c r="K18" s="30" t="str">
        <f>"190,0"</f>
        <v>190,0</v>
      </c>
      <c r="L18" s="17" t="str">
        <f>"129,6180"</f>
        <v>129,6180</v>
      </c>
      <c r="M18" s="16" t="s">
        <v>367</v>
      </c>
    </row>
    <row r="19" spans="1:13">
      <c r="A19" s="21" t="s">
        <v>27</v>
      </c>
      <c r="B19" s="20" t="s">
        <v>368</v>
      </c>
      <c r="C19" s="20" t="s">
        <v>369</v>
      </c>
      <c r="D19" s="20" t="s">
        <v>370</v>
      </c>
      <c r="E19" s="20" t="s">
        <v>468</v>
      </c>
      <c r="F19" s="20" t="s">
        <v>415</v>
      </c>
      <c r="G19" s="26" t="s">
        <v>97</v>
      </c>
      <c r="H19" s="26" t="s">
        <v>98</v>
      </c>
      <c r="I19" s="26" t="s">
        <v>104</v>
      </c>
      <c r="J19" s="21"/>
      <c r="K19" s="31" t="str">
        <f>"270,0"</f>
        <v>270,0</v>
      </c>
      <c r="L19" s="21" t="str">
        <f>"187,3530"</f>
        <v>187,3530</v>
      </c>
      <c r="M19" s="20"/>
    </row>
    <row r="20" spans="1:13">
      <c r="B20" s="5" t="s">
        <v>28</v>
      </c>
    </row>
    <row r="21" spans="1:13" ht="16">
      <c r="A21" s="46" t="s">
        <v>67</v>
      </c>
      <c r="B21" s="46"/>
      <c r="C21" s="46"/>
      <c r="D21" s="46"/>
      <c r="E21" s="46"/>
      <c r="F21" s="46"/>
      <c r="G21" s="46"/>
      <c r="H21" s="46"/>
      <c r="I21" s="46"/>
      <c r="J21" s="46"/>
    </row>
    <row r="22" spans="1:13">
      <c r="A22" s="8" t="s">
        <v>179</v>
      </c>
      <c r="B22" s="7" t="s">
        <v>173</v>
      </c>
      <c r="C22" s="7" t="s">
        <v>174</v>
      </c>
      <c r="D22" s="7" t="s">
        <v>371</v>
      </c>
      <c r="E22" s="7" t="s">
        <v>473</v>
      </c>
      <c r="F22" s="7" t="s">
        <v>413</v>
      </c>
      <c r="G22" s="15" t="s">
        <v>52</v>
      </c>
      <c r="H22" s="15" t="s">
        <v>52</v>
      </c>
      <c r="I22" s="15" t="s">
        <v>52</v>
      </c>
      <c r="J22" s="8"/>
      <c r="K22" s="28">
        <v>0</v>
      </c>
      <c r="L22" s="8" t="str">
        <f>"0,0000"</f>
        <v>0,0000</v>
      </c>
      <c r="M22" s="7" t="s">
        <v>99</v>
      </c>
    </row>
    <row r="23" spans="1:13">
      <c r="B23" s="5" t="s">
        <v>28</v>
      </c>
    </row>
  </sheetData>
  <mergeCells count="17">
    <mergeCell ref="A21:J21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9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3" t="s">
        <v>462</v>
      </c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2" customFormat="1" ht="62" customHeight="1" thickBot="1">
      <c r="A2" s="37"/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s="1" customFormat="1" ht="12.75" customHeight="1">
      <c r="A3" s="41" t="s">
        <v>464</v>
      </c>
      <c r="B3" s="51" t="s">
        <v>0</v>
      </c>
      <c r="C3" s="43" t="s">
        <v>466</v>
      </c>
      <c r="D3" s="43" t="s">
        <v>7</v>
      </c>
      <c r="E3" s="45" t="s">
        <v>467</v>
      </c>
      <c r="F3" s="45" t="s">
        <v>6</v>
      </c>
      <c r="G3" s="45" t="s">
        <v>10</v>
      </c>
      <c r="H3" s="45"/>
      <c r="I3" s="45"/>
      <c r="J3" s="45"/>
      <c r="K3" s="45" t="s">
        <v>178</v>
      </c>
      <c r="L3" s="45" t="s">
        <v>3</v>
      </c>
      <c r="M3" s="47" t="s">
        <v>2</v>
      </c>
    </row>
    <row r="4" spans="1:13" s="1" customFormat="1" ht="21" customHeight="1" thickBot="1">
      <c r="A4" s="42"/>
      <c r="B4" s="52"/>
      <c r="C4" s="44"/>
      <c r="D4" s="44"/>
      <c r="E4" s="44"/>
      <c r="F4" s="44"/>
      <c r="G4" s="4">
        <v>1</v>
      </c>
      <c r="H4" s="4">
        <v>2</v>
      </c>
      <c r="I4" s="4">
        <v>3</v>
      </c>
      <c r="J4" s="4" t="s">
        <v>5</v>
      </c>
      <c r="K4" s="44"/>
      <c r="L4" s="44"/>
      <c r="M4" s="48"/>
    </row>
    <row r="5" spans="1:13" ht="16">
      <c r="A5" s="49" t="s">
        <v>139</v>
      </c>
      <c r="B5" s="49"/>
      <c r="C5" s="50"/>
      <c r="D5" s="50"/>
      <c r="E5" s="50"/>
      <c r="F5" s="50"/>
      <c r="G5" s="50"/>
      <c r="H5" s="50"/>
      <c r="I5" s="50"/>
      <c r="J5" s="50"/>
    </row>
    <row r="6" spans="1:13">
      <c r="A6" s="8" t="s">
        <v>27</v>
      </c>
      <c r="B6" s="7" t="s">
        <v>188</v>
      </c>
      <c r="C6" s="7" t="s">
        <v>189</v>
      </c>
      <c r="D6" s="7" t="s">
        <v>190</v>
      </c>
      <c r="E6" s="7" t="s">
        <v>468</v>
      </c>
      <c r="F6" s="7" t="s">
        <v>413</v>
      </c>
      <c r="G6" s="14" t="s">
        <v>19</v>
      </c>
      <c r="H6" s="14" t="s">
        <v>61</v>
      </c>
      <c r="I6" s="14" t="s">
        <v>73</v>
      </c>
      <c r="J6" s="8"/>
      <c r="K6" s="8" t="str">
        <f>"100,0"</f>
        <v>100,0</v>
      </c>
      <c r="L6" s="8" t="str">
        <f>"99,2900"</f>
        <v>99,2900</v>
      </c>
      <c r="M6" s="7" t="s">
        <v>192</v>
      </c>
    </row>
    <row r="7" spans="1:13">
      <c r="B7" s="5" t="s">
        <v>28</v>
      </c>
    </row>
    <row r="8" spans="1:13" ht="16">
      <c r="A8" s="46" t="s">
        <v>42</v>
      </c>
      <c r="B8" s="46"/>
      <c r="C8" s="46"/>
      <c r="D8" s="46"/>
      <c r="E8" s="46"/>
      <c r="F8" s="46"/>
      <c r="G8" s="46"/>
      <c r="H8" s="46"/>
      <c r="I8" s="46"/>
      <c r="J8" s="46"/>
    </row>
    <row r="9" spans="1:13">
      <c r="A9" s="8" t="s">
        <v>27</v>
      </c>
      <c r="B9" s="7" t="s">
        <v>196</v>
      </c>
      <c r="C9" s="7" t="s">
        <v>197</v>
      </c>
      <c r="D9" s="7" t="s">
        <v>198</v>
      </c>
      <c r="E9" s="7" t="s">
        <v>470</v>
      </c>
      <c r="F9" s="7" t="s">
        <v>413</v>
      </c>
      <c r="G9" s="14" t="s">
        <v>17</v>
      </c>
      <c r="H9" s="14" t="s">
        <v>88</v>
      </c>
      <c r="I9" s="8"/>
      <c r="J9" s="8"/>
      <c r="K9" s="8" t="str">
        <f>"175,0"</f>
        <v>175,0</v>
      </c>
      <c r="L9" s="8" t="str">
        <f>"117,2325"</f>
        <v>117,2325</v>
      </c>
      <c r="M9" s="7" t="s">
        <v>192</v>
      </c>
    </row>
    <row r="10" spans="1:13">
      <c r="B10" s="5" t="s">
        <v>28</v>
      </c>
    </row>
    <row r="11" spans="1:13" ht="16">
      <c r="A11" s="46" t="s">
        <v>150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3">
      <c r="A12" s="17" t="s">
        <v>27</v>
      </c>
      <c r="B12" s="16" t="s">
        <v>348</v>
      </c>
      <c r="C12" s="16" t="s">
        <v>349</v>
      </c>
      <c r="D12" s="16" t="s">
        <v>350</v>
      </c>
      <c r="E12" s="16" t="s">
        <v>468</v>
      </c>
      <c r="F12" s="16" t="s">
        <v>413</v>
      </c>
      <c r="G12" s="22" t="s">
        <v>52</v>
      </c>
      <c r="H12" s="22" t="s">
        <v>53</v>
      </c>
      <c r="I12" s="23" t="s">
        <v>220</v>
      </c>
      <c r="J12" s="17"/>
      <c r="K12" s="17" t="str">
        <f>"230,0"</f>
        <v>230,0</v>
      </c>
      <c r="L12" s="17" t="str">
        <f>"147,8440"</f>
        <v>147,8440</v>
      </c>
      <c r="M12" s="16" t="s">
        <v>437</v>
      </c>
    </row>
    <row r="13" spans="1:13">
      <c r="A13" s="21" t="s">
        <v>122</v>
      </c>
      <c r="B13" s="20" t="s">
        <v>351</v>
      </c>
      <c r="C13" s="20" t="s">
        <v>352</v>
      </c>
      <c r="D13" s="20" t="s">
        <v>353</v>
      </c>
      <c r="E13" s="20" t="s">
        <v>468</v>
      </c>
      <c r="F13" s="20" t="s">
        <v>418</v>
      </c>
      <c r="G13" s="26" t="s">
        <v>47</v>
      </c>
      <c r="H13" s="26" t="s">
        <v>202</v>
      </c>
      <c r="I13" s="27" t="s">
        <v>154</v>
      </c>
      <c r="J13" s="21"/>
      <c r="K13" s="21" t="str">
        <f>"205,0"</f>
        <v>205,0</v>
      </c>
      <c r="L13" s="21" t="str">
        <f>"131,4665"</f>
        <v>131,4665</v>
      </c>
      <c r="M13" s="20"/>
    </row>
    <row r="14" spans="1:13">
      <c r="B14" s="5" t="s">
        <v>28</v>
      </c>
    </row>
    <row r="15" spans="1:13" ht="16">
      <c r="A15" s="46" t="s">
        <v>67</v>
      </c>
      <c r="B15" s="46"/>
      <c r="C15" s="46"/>
      <c r="D15" s="46"/>
      <c r="E15" s="46"/>
      <c r="F15" s="46"/>
      <c r="G15" s="46"/>
      <c r="H15" s="46"/>
      <c r="I15" s="46"/>
      <c r="J15" s="46"/>
    </row>
    <row r="16" spans="1:13">
      <c r="A16" s="8" t="s">
        <v>27</v>
      </c>
      <c r="B16" s="7" t="s">
        <v>68</v>
      </c>
      <c r="C16" s="7" t="s">
        <v>69</v>
      </c>
      <c r="D16" s="7" t="s">
        <v>70</v>
      </c>
      <c r="E16" s="7" t="s">
        <v>468</v>
      </c>
      <c r="F16" s="7" t="s">
        <v>413</v>
      </c>
      <c r="G16" s="14" t="s">
        <v>72</v>
      </c>
      <c r="H16" s="14" t="s">
        <v>75</v>
      </c>
      <c r="I16" s="15" t="s">
        <v>76</v>
      </c>
      <c r="J16" s="8"/>
      <c r="K16" s="8" t="str">
        <f>"235,0"</f>
        <v>235,0</v>
      </c>
      <c r="L16" s="8" t="str">
        <f>"144,1960"</f>
        <v>144,1960</v>
      </c>
      <c r="M16" s="7" t="s">
        <v>77</v>
      </c>
    </row>
    <row r="17" spans="2:2">
      <c r="B17" s="5" t="s">
        <v>28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4EAFA-DD8B-C146-89DD-EF77E5A0A6AD}">
  <dimension ref="A1:M41"/>
  <sheetViews>
    <sheetView tabSelected="1" workbookViewId="0">
      <selection sqref="A1:M2"/>
    </sheetView>
  </sheetViews>
  <sheetFormatPr baseColWidth="10" defaultColWidth="9.1640625" defaultRowHeight="13"/>
  <cols>
    <col min="1" max="1" width="7.5" style="75" bestFit="1" customWidth="1"/>
    <col min="2" max="2" width="19" style="75" bestFit="1" customWidth="1"/>
    <col min="3" max="3" width="29" style="75" bestFit="1" customWidth="1"/>
    <col min="4" max="4" width="21.5" style="75" bestFit="1" customWidth="1"/>
    <col min="5" max="5" width="10.5" style="75" bestFit="1" customWidth="1"/>
    <col min="6" max="6" width="29.83203125" style="75" bestFit="1" customWidth="1"/>
    <col min="7" max="9" width="4.5" style="74" customWidth="1"/>
    <col min="10" max="10" width="4.83203125" style="74" customWidth="1"/>
    <col min="11" max="11" width="10.5" style="74" bestFit="1" customWidth="1"/>
    <col min="12" max="12" width="7.5" style="74" bestFit="1" customWidth="1"/>
    <col min="13" max="13" width="20.1640625" style="75" customWidth="1"/>
    <col min="14" max="16384" width="9.1640625" style="76"/>
  </cols>
  <sheetData>
    <row r="1" spans="1:13" s="59" customFormat="1" ht="29" customHeight="1">
      <c r="A1" s="55" t="s">
        <v>463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59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3" s="69" customFormat="1" ht="12.75" customHeight="1">
      <c r="A3" s="64" t="s">
        <v>464</v>
      </c>
      <c r="B3" s="65" t="s">
        <v>0</v>
      </c>
      <c r="C3" s="66" t="s">
        <v>466</v>
      </c>
      <c r="D3" s="66" t="s">
        <v>7</v>
      </c>
      <c r="E3" s="67" t="s">
        <v>467</v>
      </c>
      <c r="F3" s="67" t="s">
        <v>6</v>
      </c>
      <c r="G3" s="67" t="s">
        <v>465</v>
      </c>
      <c r="H3" s="67"/>
      <c r="I3" s="67"/>
      <c r="J3" s="67"/>
      <c r="K3" s="67" t="s">
        <v>178</v>
      </c>
      <c r="L3" s="67" t="s">
        <v>3</v>
      </c>
      <c r="M3" s="68" t="s">
        <v>2</v>
      </c>
    </row>
    <row r="4" spans="1:13" s="69" customFormat="1" ht="21" customHeight="1" thickBot="1">
      <c r="A4" s="70"/>
      <c r="B4" s="52"/>
      <c r="C4" s="71"/>
      <c r="D4" s="71"/>
      <c r="E4" s="71"/>
      <c r="F4" s="71"/>
      <c r="G4" s="72">
        <v>1</v>
      </c>
      <c r="H4" s="72">
        <v>2</v>
      </c>
      <c r="I4" s="72">
        <v>3</v>
      </c>
      <c r="J4" s="72" t="s">
        <v>5</v>
      </c>
      <c r="K4" s="71"/>
      <c r="L4" s="71"/>
      <c r="M4" s="73"/>
    </row>
    <row r="5" spans="1:13" ht="16">
      <c r="A5" s="50" t="s">
        <v>123</v>
      </c>
      <c r="B5" s="50"/>
      <c r="C5" s="50"/>
      <c r="D5" s="50"/>
      <c r="E5" s="50"/>
      <c r="F5" s="50"/>
      <c r="G5" s="50"/>
      <c r="H5" s="50"/>
      <c r="I5" s="50"/>
      <c r="J5" s="50"/>
    </row>
    <row r="6" spans="1:13">
      <c r="A6" s="77" t="s">
        <v>27</v>
      </c>
      <c r="B6" s="78" t="s">
        <v>375</v>
      </c>
      <c r="C6" s="78" t="s">
        <v>432</v>
      </c>
      <c r="D6" s="78" t="s">
        <v>376</v>
      </c>
      <c r="E6" s="78" t="s">
        <v>472</v>
      </c>
      <c r="F6" s="78" t="s">
        <v>413</v>
      </c>
      <c r="G6" s="14" t="s">
        <v>377</v>
      </c>
      <c r="H6" s="14" t="s">
        <v>378</v>
      </c>
      <c r="I6" s="77"/>
      <c r="J6" s="77"/>
      <c r="K6" s="77" t="str">
        <f ca="1">"20,0"</f>
        <v>20,0</v>
      </c>
      <c r="L6" s="77" t="str">
        <f ca="1">"22,7580"</f>
        <v>22,7580</v>
      </c>
      <c r="M6" s="78" t="s">
        <v>379</v>
      </c>
    </row>
    <row r="7" spans="1:13">
      <c r="B7" s="75" t="s">
        <v>28</v>
      </c>
    </row>
    <row r="8" spans="1:13" ht="16">
      <c r="A8" s="79" t="s">
        <v>11</v>
      </c>
      <c r="B8" s="79"/>
      <c r="C8" s="79"/>
      <c r="D8" s="79"/>
      <c r="E8" s="79"/>
      <c r="F8" s="79"/>
      <c r="G8" s="79"/>
      <c r="H8" s="79"/>
      <c r="I8" s="79"/>
      <c r="J8" s="79"/>
    </row>
    <row r="9" spans="1:13">
      <c r="A9" s="77" t="s">
        <v>27</v>
      </c>
      <c r="B9" s="78" t="s">
        <v>259</v>
      </c>
      <c r="C9" s="78" t="s">
        <v>260</v>
      </c>
      <c r="D9" s="78" t="s">
        <v>261</v>
      </c>
      <c r="E9" s="78" t="s">
        <v>468</v>
      </c>
      <c r="F9" s="78" t="s">
        <v>414</v>
      </c>
      <c r="G9" s="14" t="s">
        <v>183</v>
      </c>
      <c r="H9" s="14" t="s">
        <v>36</v>
      </c>
      <c r="I9" s="77"/>
      <c r="J9" s="77"/>
      <c r="K9" s="77" t="str">
        <f ca="1">"55,0"</f>
        <v>55,0</v>
      </c>
      <c r="L9" s="77" t="str">
        <f ca="1">"41,2143"</f>
        <v>41,2143</v>
      </c>
      <c r="M9" s="78"/>
    </row>
    <row r="10" spans="1:13">
      <c r="B10" s="75" t="s">
        <v>28</v>
      </c>
    </row>
    <row r="11" spans="1:13" ht="16">
      <c r="A11" s="79" t="s">
        <v>139</v>
      </c>
      <c r="B11" s="79"/>
      <c r="C11" s="79"/>
      <c r="D11" s="79"/>
      <c r="E11" s="79"/>
      <c r="F11" s="79"/>
      <c r="G11" s="79"/>
      <c r="H11" s="79"/>
      <c r="I11" s="79"/>
      <c r="J11" s="79"/>
    </row>
    <row r="12" spans="1:13">
      <c r="A12" s="80" t="s">
        <v>27</v>
      </c>
      <c r="B12" s="81" t="s">
        <v>193</v>
      </c>
      <c r="C12" s="81" t="s">
        <v>194</v>
      </c>
      <c r="D12" s="81" t="s">
        <v>195</v>
      </c>
      <c r="E12" s="81" t="s">
        <v>468</v>
      </c>
      <c r="F12" s="81" t="s">
        <v>416</v>
      </c>
      <c r="G12" s="22" t="s">
        <v>144</v>
      </c>
      <c r="H12" s="22" t="s">
        <v>251</v>
      </c>
      <c r="I12" s="82" t="s">
        <v>137</v>
      </c>
      <c r="J12" s="80"/>
      <c r="K12" s="80" t="str">
        <f ca="1">"62,5"</f>
        <v>62,5</v>
      </c>
      <c r="L12" s="80" t="str">
        <f ca="1">"44,9812"</f>
        <v>44,9812</v>
      </c>
      <c r="M12" s="81"/>
    </row>
    <row r="13" spans="1:13">
      <c r="A13" s="83" t="s">
        <v>27</v>
      </c>
      <c r="B13" s="84" t="s">
        <v>380</v>
      </c>
      <c r="C13" s="84" t="s">
        <v>381</v>
      </c>
      <c r="D13" s="84" t="s">
        <v>382</v>
      </c>
      <c r="E13" s="84" t="s">
        <v>471</v>
      </c>
      <c r="F13" s="84" t="s">
        <v>426</v>
      </c>
      <c r="G13" s="26" t="s">
        <v>383</v>
      </c>
      <c r="H13" s="26" t="s">
        <v>384</v>
      </c>
      <c r="I13" s="26" t="s">
        <v>385</v>
      </c>
      <c r="J13" s="83"/>
      <c r="K13" s="83" t="str">
        <f ca="1">"48,0"</f>
        <v>48,0</v>
      </c>
      <c r="L13" s="83" t="str">
        <f ca="1">"51,6397"</f>
        <v>51,6397</v>
      </c>
      <c r="M13" s="84"/>
    </row>
    <row r="14" spans="1:13">
      <c r="B14" s="75" t="s">
        <v>28</v>
      </c>
    </row>
    <row r="15" spans="1:13" ht="16">
      <c r="A15" s="79" t="s">
        <v>42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3">
      <c r="A16" s="80" t="s">
        <v>27</v>
      </c>
      <c r="B16" s="81" t="s">
        <v>386</v>
      </c>
      <c r="C16" s="81" t="s">
        <v>387</v>
      </c>
      <c r="D16" s="81" t="s">
        <v>388</v>
      </c>
      <c r="E16" s="81" t="s">
        <v>468</v>
      </c>
      <c r="F16" s="81" t="s">
        <v>427</v>
      </c>
      <c r="G16" s="22" t="s">
        <v>137</v>
      </c>
      <c r="H16" s="22" t="s">
        <v>389</v>
      </c>
      <c r="I16" s="82" t="s">
        <v>63</v>
      </c>
      <c r="J16" s="80"/>
      <c r="K16" s="80" t="str">
        <f ca="1">"67,5"</f>
        <v>67,5</v>
      </c>
      <c r="L16" s="80" t="str">
        <f ca="1">"45,8966"</f>
        <v>45,8966</v>
      </c>
      <c r="M16" s="81"/>
    </row>
    <row r="17" spans="1:13">
      <c r="A17" s="85" t="s">
        <v>122</v>
      </c>
      <c r="B17" s="86" t="s">
        <v>390</v>
      </c>
      <c r="C17" s="86" t="s">
        <v>391</v>
      </c>
      <c r="D17" s="86" t="s">
        <v>392</v>
      </c>
      <c r="E17" s="86" t="s">
        <v>468</v>
      </c>
      <c r="F17" s="86" t="s">
        <v>428</v>
      </c>
      <c r="G17" s="24" t="s">
        <v>251</v>
      </c>
      <c r="H17" s="87" t="s">
        <v>137</v>
      </c>
      <c r="I17" s="85"/>
      <c r="J17" s="85"/>
      <c r="K17" s="85" t="str">
        <f ca="1">"62,5"</f>
        <v>62,5</v>
      </c>
      <c r="L17" s="85" t="str">
        <f ca="1">"41,4688"</f>
        <v>41,4688</v>
      </c>
      <c r="M17" s="86" t="s">
        <v>393</v>
      </c>
    </row>
    <row r="18" spans="1:13">
      <c r="A18" s="83" t="s">
        <v>229</v>
      </c>
      <c r="B18" s="84" t="s">
        <v>394</v>
      </c>
      <c r="C18" s="84" t="s">
        <v>395</v>
      </c>
      <c r="D18" s="84" t="s">
        <v>396</v>
      </c>
      <c r="E18" s="84" t="s">
        <v>468</v>
      </c>
      <c r="F18" s="84" t="s">
        <v>426</v>
      </c>
      <c r="G18" s="26" t="s">
        <v>36</v>
      </c>
      <c r="H18" s="26" t="s">
        <v>37</v>
      </c>
      <c r="I18" s="88" t="s">
        <v>144</v>
      </c>
      <c r="J18" s="83"/>
      <c r="K18" s="83" t="str">
        <f ca="1">"57,5"</f>
        <v>57,5</v>
      </c>
      <c r="L18" s="83" t="str">
        <f ca="1">"37,8235"</f>
        <v>37,8235</v>
      </c>
      <c r="M18" s="84"/>
    </row>
    <row r="19" spans="1:13">
      <c r="B19" s="75" t="s">
        <v>28</v>
      </c>
    </row>
    <row r="20" spans="1:13" ht="16">
      <c r="A20" s="79" t="s">
        <v>150</v>
      </c>
      <c r="B20" s="79"/>
      <c r="C20" s="79"/>
      <c r="D20" s="79"/>
      <c r="E20" s="79"/>
      <c r="F20" s="79"/>
      <c r="G20" s="79"/>
      <c r="H20" s="79"/>
      <c r="I20" s="79"/>
      <c r="J20" s="79"/>
    </row>
    <row r="21" spans="1:13">
      <c r="A21" s="80" t="s">
        <v>27</v>
      </c>
      <c r="B21" s="81" t="s">
        <v>397</v>
      </c>
      <c r="C21" s="81" t="s">
        <v>398</v>
      </c>
      <c r="D21" s="81" t="s">
        <v>399</v>
      </c>
      <c r="E21" s="81" t="s">
        <v>468</v>
      </c>
      <c r="F21" s="81" t="s">
        <v>417</v>
      </c>
      <c r="G21" s="22" t="s">
        <v>64</v>
      </c>
      <c r="H21" s="82" t="s">
        <v>357</v>
      </c>
      <c r="I21" s="82" t="s">
        <v>357</v>
      </c>
      <c r="J21" s="80"/>
      <c r="K21" s="80" t="str">
        <f ca="1">"75,0"</f>
        <v>75,0</v>
      </c>
      <c r="L21" s="80" t="str">
        <f ca="1">"46,5525"</f>
        <v>46,5525</v>
      </c>
      <c r="M21" s="81"/>
    </row>
    <row r="22" spans="1:13">
      <c r="A22" s="85" t="s">
        <v>122</v>
      </c>
      <c r="B22" s="86" t="s">
        <v>351</v>
      </c>
      <c r="C22" s="86" t="s">
        <v>352</v>
      </c>
      <c r="D22" s="86" t="s">
        <v>353</v>
      </c>
      <c r="E22" s="86" t="s">
        <v>468</v>
      </c>
      <c r="F22" s="86" t="s">
        <v>418</v>
      </c>
      <c r="G22" s="24" t="s">
        <v>137</v>
      </c>
      <c r="H22" s="24" t="s">
        <v>137</v>
      </c>
      <c r="I22" s="24" t="s">
        <v>389</v>
      </c>
      <c r="J22" s="85"/>
      <c r="K22" s="85" t="str">
        <f ca="1">"67,5"</f>
        <v>67,5</v>
      </c>
      <c r="L22" s="85" t="str">
        <f ca="1">"41,5057"</f>
        <v>41,5057</v>
      </c>
      <c r="M22" s="86"/>
    </row>
    <row r="23" spans="1:13">
      <c r="A23" s="83" t="s">
        <v>27</v>
      </c>
      <c r="B23" s="84" t="s">
        <v>400</v>
      </c>
      <c r="C23" s="84" t="s">
        <v>433</v>
      </c>
      <c r="D23" s="84" t="s">
        <v>205</v>
      </c>
      <c r="E23" s="84" t="s">
        <v>469</v>
      </c>
      <c r="F23" s="84" t="s">
        <v>418</v>
      </c>
      <c r="G23" s="26" t="s">
        <v>144</v>
      </c>
      <c r="H23" s="88" t="s">
        <v>137</v>
      </c>
      <c r="I23" s="88" t="s">
        <v>137</v>
      </c>
      <c r="J23" s="83"/>
      <c r="K23" s="83" t="str">
        <f ca="1">"60,0"</f>
        <v>60,0</v>
      </c>
      <c r="L23" s="83" t="str">
        <f ca="1">"39,3065"</f>
        <v>39,3065</v>
      </c>
      <c r="M23" s="84"/>
    </row>
    <row r="24" spans="1:13">
      <c r="B24" s="75" t="s">
        <v>28</v>
      </c>
    </row>
    <row r="25" spans="1:13" ht="16">
      <c r="A25" s="79" t="s">
        <v>67</v>
      </c>
      <c r="B25" s="79"/>
      <c r="C25" s="79"/>
      <c r="D25" s="79"/>
      <c r="E25" s="79"/>
      <c r="F25" s="79"/>
      <c r="G25" s="79"/>
      <c r="H25" s="79"/>
      <c r="I25" s="79"/>
      <c r="J25" s="79"/>
    </row>
    <row r="26" spans="1:13">
      <c r="A26" s="77" t="s">
        <v>27</v>
      </c>
      <c r="B26" s="78" t="s">
        <v>401</v>
      </c>
      <c r="C26" s="78" t="s">
        <v>402</v>
      </c>
      <c r="D26" s="78" t="s">
        <v>403</v>
      </c>
      <c r="E26" s="78" t="s">
        <v>468</v>
      </c>
      <c r="F26" s="78" t="s">
        <v>428</v>
      </c>
      <c r="G26" s="14" t="s">
        <v>64</v>
      </c>
      <c r="H26" s="14" t="s">
        <v>65</v>
      </c>
      <c r="I26" s="89" t="s">
        <v>357</v>
      </c>
      <c r="J26" s="77"/>
      <c r="K26" s="77" t="str">
        <f ca="1">"77,5"</f>
        <v>77,5</v>
      </c>
      <c r="L26" s="77" t="str">
        <f ca="1">"45,4886"</f>
        <v>45,4886</v>
      </c>
      <c r="M26" s="78"/>
    </row>
    <row r="27" spans="1:13">
      <c r="B27" s="75" t="s">
        <v>28</v>
      </c>
    </row>
    <row r="28" spans="1:13" ht="16">
      <c r="A28" s="79" t="s">
        <v>90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3">
      <c r="A29" s="80" t="s">
        <v>27</v>
      </c>
      <c r="B29" s="81" t="s">
        <v>404</v>
      </c>
      <c r="C29" s="81" t="s">
        <v>405</v>
      </c>
      <c r="D29" s="81" t="s">
        <v>406</v>
      </c>
      <c r="E29" s="81" t="s">
        <v>468</v>
      </c>
      <c r="F29" s="81" t="s">
        <v>413</v>
      </c>
      <c r="G29" s="22" t="s">
        <v>64</v>
      </c>
      <c r="H29" s="22" t="s">
        <v>65</v>
      </c>
      <c r="I29" s="82" t="s">
        <v>357</v>
      </c>
      <c r="J29" s="80"/>
      <c r="K29" s="80" t="str">
        <f ca="1">"77,5"</f>
        <v>77,5</v>
      </c>
      <c r="L29" s="80" t="str">
        <f ca="1">"44,7795"</f>
        <v>44,7795</v>
      </c>
      <c r="M29" s="81"/>
    </row>
    <row r="30" spans="1:13">
      <c r="A30" s="85" t="s">
        <v>27</v>
      </c>
      <c r="B30" s="86" t="s">
        <v>336</v>
      </c>
      <c r="C30" s="86" t="s">
        <v>337</v>
      </c>
      <c r="D30" s="86" t="s">
        <v>407</v>
      </c>
      <c r="E30" s="86" t="s">
        <v>473</v>
      </c>
      <c r="F30" s="86" t="s">
        <v>419</v>
      </c>
      <c r="G30" s="24" t="s">
        <v>389</v>
      </c>
      <c r="H30" s="24" t="s">
        <v>63</v>
      </c>
      <c r="I30" s="87" t="s">
        <v>138</v>
      </c>
      <c r="J30" s="85"/>
      <c r="K30" s="85" t="str">
        <f ca="1">"70,0"</f>
        <v>70,0</v>
      </c>
      <c r="L30" s="85" t="str">
        <f ca="1">"45,4461"</f>
        <v>45,4461</v>
      </c>
      <c r="M30" s="86" t="s">
        <v>339</v>
      </c>
    </row>
    <row r="31" spans="1:13">
      <c r="A31" s="83" t="s">
        <v>122</v>
      </c>
      <c r="B31" s="84" t="s">
        <v>408</v>
      </c>
      <c r="C31" s="84" t="s">
        <v>434</v>
      </c>
      <c r="D31" s="84" t="s">
        <v>409</v>
      </c>
      <c r="E31" s="84" t="s">
        <v>473</v>
      </c>
      <c r="F31" s="84" t="s">
        <v>419</v>
      </c>
      <c r="G31" s="26" t="s">
        <v>36</v>
      </c>
      <c r="H31" s="26" t="s">
        <v>251</v>
      </c>
      <c r="I31" s="83"/>
      <c r="J31" s="83"/>
      <c r="K31" s="83" t="str">
        <f ca="1">"62,5"</f>
        <v>62,5</v>
      </c>
      <c r="L31" s="83" t="str">
        <f ca="1">"42,4372"</f>
        <v>42,4372</v>
      </c>
      <c r="M31" s="84" t="s">
        <v>339</v>
      </c>
    </row>
    <row r="32" spans="1:13">
      <c r="B32" s="75" t="s">
        <v>28</v>
      </c>
    </row>
    <row r="33" spans="2:6">
      <c r="B33" s="75" t="s">
        <v>28</v>
      </c>
    </row>
    <row r="34" spans="2:6">
      <c r="B34" s="75" t="s">
        <v>28</v>
      </c>
    </row>
    <row r="35" spans="2:6" ht="18">
      <c r="B35" s="90" t="s">
        <v>22</v>
      </c>
      <c r="C35" s="90"/>
      <c r="F35" s="76"/>
    </row>
    <row r="36" spans="2:6" ht="16">
      <c r="B36" s="91" t="s">
        <v>55</v>
      </c>
      <c r="C36" s="91"/>
      <c r="F36" s="76"/>
    </row>
    <row r="37" spans="2:6" ht="14">
      <c r="B37" s="92"/>
      <c r="C37" s="93" t="s">
        <v>23</v>
      </c>
      <c r="F37" s="76"/>
    </row>
    <row r="38" spans="2:6" ht="14">
      <c r="B38" s="94" t="s">
        <v>24</v>
      </c>
      <c r="C38" s="94" t="s">
        <v>25</v>
      </c>
      <c r="D38" s="94" t="s">
        <v>445</v>
      </c>
      <c r="E38" s="94" t="s">
        <v>176</v>
      </c>
      <c r="F38" s="94" t="s">
        <v>177</v>
      </c>
    </row>
    <row r="39" spans="2:6">
      <c r="B39" s="75" t="s">
        <v>397</v>
      </c>
      <c r="C39" s="75" t="s">
        <v>23</v>
      </c>
      <c r="D39" s="74" t="s">
        <v>164</v>
      </c>
      <c r="E39" s="74" t="s">
        <v>64</v>
      </c>
      <c r="F39" s="74" t="s">
        <v>410</v>
      </c>
    </row>
    <row r="40" spans="2:6">
      <c r="B40" s="75" t="s">
        <v>386</v>
      </c>
      <c r="C40" s="75" t="s">
        <v>23</v>
      </c>
      <c r="D40" s="74" t="s">
        <v>56</v>
      </c>
      <c r="E40" s="74" t="s">
        <v>389</v>
      </c>
      <c r="F40" s="74" t="s">
        <v>411</v>
      </c>
    </row>
    <row r="41" spans="2:6">
      <c r="B41" s="75" t="s">
        <v>401</v>
      </c>
      <c r="C41" s="75" t="s">
        <v>23</v>
      </c>
      <c r="D41" s="74" t="s">
        <v>121</v>
      </c>
      <c r="E41" s="74" t="s">
        <v>65</v>
      </c>
      <c r="F41" s="74" t="s">
        <v>412</v>
      </c>
    </row>
  </sheetData>
  <mergeCells count="18">
    <mergeCell ref="A25:J25"/>
    <mergeCell ref="A28:J28"/>
    <mergeCell ref="M3:M4"/>
    <mergeCell ref="A5:J5"/>
    <mergeCell ref="A8:J8"/>
    <mergeCell ref="A11:J11"/>
    <mergeCell ref="A15:J15"/>
    <mergeCell ref="A20:J20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2021-03-19T15:03:55Z</dcterms:modified>
</cp:coreProperties>
</file>