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1/Март/"/>
    </mc:Choice>
  </mc:AlternateContent>
  <xr:revisionPtr revIDLastSave="0" documentId="13_ncr:1_{0B422A79-B9BF-3249-B179-F6D3B9F53C54}" xr6:coauthVersionLast="45" xr6:coauthVersionMax="45" xr10:uidLastSave="{00000000-0000-0000-0000-000000000000}"/>
  <bookViews>
    <workbookView xWindow="480" yWindow="460" windowWidth="28320" windowHeight="16060" firstSheet="19" activeTab="24" xr2:uid="{00000000-000D-0000-FFFF-FFFF00000000}"/>
  </bookViews>
  <sheets>
    <sheet name="IPL ПЛ без экипировки ДК" sheetId="7" r:id="rId1"/>
    <sheet name="IPL ПЛ без экипировки" sheetId="6" r:id="rId2"/>
    <sheet name="IPL ПЛ в бинтах ДК" sheetId="9" r:id="rId3"/>
    <sheet name="IPL ПЛ в бинтах" sheetId="8" r:id="rId4"/>
    <sheet name="IPL Двоеборье без экип ДК" sheetId="22" r:id="rId5"/>
    <sheet name="IPL Двоеборье без экип" sheetId="21" r:id="rId6"/>
    <sheet name="IPL Присед без экипировки ДК" sheetId="20" r:id="rId7"/>
    <sheet name="IPL Присед без экипировки" sheetId="19" r:id="rId8"/>
    <sheet name="IPL Жим без экипировки ДК" sheetId="11" r:id="rId9"/>
    <sheet name="IPL Жим без экипировки" sheetId="10" r:id="rId10"/>
    <sheet name="IPL Жим однослой ДК" sheetId="13" r:id="rId11"/>
    <sheet name="IPL Жим однослой" sheetId="12" r:id="rId12"/>
    <sheet name="СПР Жим софт однопетельная ДК" sheetId="35" r:id="rId13"/>
    <sheet name="СПР Жим софт однопетельная" sheetId="34" r:id="rId14"/>
    <sheet name="СПР Жим софт многопетельная ДК" sheetId="37" r:id="rId15"/>
    <sheet name="СПР Жим софт многопетельная" sheetId="36" r:id="rId16"/>
    <sheet name="СПР Жим СФО" sheetId="53" r:id="rId17"/>
    <sheet name="IPL Тяга без экипировки ДК" sheetId="15" r:id="rId18"/>
    <sheet name="IPL Тяга без экипировки" sheetId="14" r:id="rId19"/>
    <sheet name="IPL Тяга многослой ДК" sheetId="17" r:id="rId20"/>
    <sheet name="IPL Тяга многослой" sheetId="16" r:id="rId21"/>
    <sheet name="СПР Пауэрспорт ДК" sheetId="33" r:id="rId22"/>
    <sheet name="СПР Пауэрспорт" sheetId="32" r:id="rId23"/>
    <sheet name="СПР Жим стоя" sheetId="28" r:id="rId24"/>
    <sheet name="СПР Подъем на бицепс ДК" sheetId="31" r:id="rId25"/>
    <sheet name="СПР Подъем на бицепс" sheetId="30" r:id="rId26"/>
  </sheets>
  <calcPr calcId="191029" refMode="R1C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4" i="11" l="1"/>
  <c r="L12" i="28"/>
  <c r="K12" i="28"/>
  <c r="L9" i="28"/>
  <c r="L12" i="53" l="1"/>
  <c r="K12" i="53"/>
  <c r="L9" i="53"/>
  <c r="K9" i="53"/>
  <c r="L6" i="53"/>
  <c r="K6" i="53"/>
  <c r="L12" i="37"/>
  <c r="K12" i="37"/>
  <c r="L9" i="37"/>
  <c r="L6" i="37"/>
  <c r="K6" i="37"/>
  <c r="L9" i="36"/>
  <c r="K9" i="36"/>
  <c r="L6" i="36"/>
  <c r="K6" i="36"/>
  <c r="L33" i="35"/>
  <c r="K33" i="35"/>
  <c r="L30" i="35"/>
  <c r="K30" i="35"/>
  <c r="L29" i="35"/>
  <c r="K29" i="35"/>
  <c r="L26" i="35"/>
  <c r="K26" i="35"/>
  <c r="L23" i="35"/>
  <c r="K23" i="35"/>
  <c r="L22" i="35"/>
  <c r="K22" i="35"/>
  <c r="L19" i="35"/>
  <c r="K19" i="35"/>
  <c r="L16" i="35"/>
  <c r="K16" i="35"/>
  <c r="L13" i="35"/>
  <c r="K13" i="35"/>
  <c r="L10" i="35"/>
  <c r="K10" i="35"/>
  <c r="L7" i="35"/>
  <c r="K7" i="35"/>
  <c r="L6" i="35"/>
  <c r="K6" i="35"/>
  <c r="L15" i="34"/>
  <c r="K15" i="34"/>
  <c r="L12" i="34"/>
  <c r="K12" i="34"/>
  <c r="L9" i="34"/>
  <c r="K9" i="34"/>
  <c r="L6" i="34"/>
  <c r="K6" i="34"/>
  <c r="P37" i="33"/>
  <c r="O37" i="33"/>
  <c r="P36" i="33"/>
  <c r="O36" i="33"/>
  <c r="P33" i="33"/>
  <c r="O33" i="33"/>
  <c r="P30" i="33"/>
  <c r="O30" i="33"/>
  <c r="P27" i="33"/>
  <c r="O27" i="33"/>
  <c r="P24" i="33"/>
  <c r="O24" i="33"/>
  <c r="P21" i="33"/>
  <c r="O21" i="33"/>
  <c r="P20" i="33"/>
  <c r="O20" i="33"/>
  <c r="P17" i="33"/>
  <c r="O17" i="33"/>
  <c r="P14" i="33"/>
  <c r="O14" i="33"/>
  <c r="P13" i="33"/>
  <c r="O13" i="33"/>
  <c r="P10" i="33"/>
  <c r="O10" i="33"/>
  <c r="P9" i="33"/>
  <c r="O9" i="33"/>
  <c r="P8" i="33"/>
  <c r="O8" i="33"/>
  <c r="P7" i="33"/>
  <c r="O7" i="33"/>
  <c r="P6" i="33"/>
  <c r="O6" i="33"/>
  <c r="P6" i="32"/>
  <c r="O6" i="32"/>
  <c r="L30" i="31"/>
  <c r="K30" i="31"/>
  <c r="L29" i="31"/>
  <c r="K29" i="31"/>
  <c r="L26" i="31"/>
  <c r="K26" i="31"/>
  <c r="L23" i="31"/>
  <c r="K23" i="31"/>
  <c r="L22" i="31"/>
  <c r="K22" i="31"/>
  <c r="L21" i="31"/>
  <c r="K21" i="31"/>
  <c r="L20" i="31"/>
  <c r="K20" i="31"/>
  <c r="L19" i="31"/>
  <c r="K19" i="31"/>
  <c r="L16" i="31"/>
  <c r="K16" i="31"/>
  <c r="L15" i="31"/>
  <c r="K15" i="31"/>
  <c r="L14" i="31"/>
  <c r="K14" i="31"/>
  <c r="L11" i="31"/>
  <c r="K11" i="31"/>
  <c r="L10" i="31"/>
  <c r="K10" i="31"/>
  <c r="L9" i="31"/>
  <c r="K9" i="31"/>
  <c r="L6" i="31"/>
  <c r="K6" i="31"/>
  <c r="L13" i="30"/>
  <c r="K13" i="30"/>
  <c r="L10" i="30"/>
  <c r="K10" i="30"/>
  <c r="L7" i="30"/>
  <c r="K7" i="30"/>
  <c r="L6" i="30"/>
  <c r="K6" i="30"/>
  <c r="L6" i="28"/>
  <c r="K6" i="28"/>
  <c r="P6" i="22"/>
  <c r="O6" i="22"/>
  <c r="P14" i="21"/>
  <c r="O14" i="21"/>
  <c r="P11" i="21"/>
  <c r="O11" i="21"/>
  <c r="P8" i="21"/>
  <c r="O8" i="21"/>
  <c r="P7" i="21"/>
  <c r="O7" i="21"/>
  <c r="P6" i="21"/>
  <c r="O6" i="21"/>
  <c r="L9" i="20"/>
  <c r="K9" i="20"/>
  <c r="L6" i="20"/>
  <c r="K6" i="20"/>
  <c r="L6" i="19"/>
  <c r="K6" i="19"/>
  <c r="L6" i="17"/>
  <c r="K6" i="17"/>
  <c r="L6" i="16"/>
  <c r="K6" i="16"/>
  <c r="L35" i="15"/>
  <c r="K35" i="15"/>
  <c r="L32" i="15"/>
  <c r="K32" i="15"/>
  <c r="L31" i="15"/>
  <c r="K31" i="15"/>
  <c r="L28" i="15"/>
  <c r="K28" i="15"/>
  <c r="L27" i="15"/>
  <c r="K27" i="15"/>
  <c r="L24" i="15"/>
  <c r="K24" i="15"/>
  <c r="L23" i="15"/>
  <c r="K23" i="15"/>
  <c r="L22" i="15"/>
  <c r="K22" i="15"/>
  <c r="L21" i="15"/>
  <c r="K21" i="15"/>
  <c r="L18" i="15"/>
  <c r="K18" i="15"/>
  <c r="L15" i="15"/>
  <c r="K15" i="15"/>
  <c r="L12" i="15"/>
  <c r="K12" i="15"/>
  <c r="L9" i="15"/>
  <c r="K9" i="15"/>
  <c r="L6" i="15"/>
  <c r="K6" i="15"/>
  <c r="L14" i="14"/>
  <c r="K14" i="14"/>
  <c r="L13" i="14"/>
  <c r="K13" i="14"/>
  <c r="L10" i="14"/>
  <c r="K10" i="14"/>
  <c r="L9" i="14"/>
  <c r="K9" i="14"/>
  <c r="L6" i="14"/>
  <c r="K6" i="14"/>
  <c r="L6" i="13"/>
  <c r="K6" i="13"/>
  <c r="L6" i="12"/>
  <c r="K6" i="12"/>
  <c r="L60" i="11"/>
  <c r="K60" i="11"/>
  <c r="L57" i="11"/>
  <c r="K57" i="11"/>
  <c r="L56" i="11"/>
  <c r="K56" i="11"/>
  <c r="L55" i="11"/>
  <c r="K55" i="11"/>
  <c r="L52" i="11"/>
  <c r="K52" i="11"/>
  <c r="L49" i="11"/>
  <c r="K49" i="11"/>
  <c r="L48" i="11"/>
  <c r="K48" i="11"/>
  <c r="L45" i="11"/>
  <c r="K45" i="11"/>
  <c r="L44" i="11"/>
  <c r="L43" i="11"/>
  <c r="K43" i="11"/>
  <c r="L42" i="11"/>
  <c r="K42" i="11"/>
  <c r="L41" i="11"/>
  <c r="K41" i="11"/>
  <c r="L38" i="11"/>
  <c r="K38" i="11"/>
  <c r="L37" i="11"/>
  <c r="K37" i="11"/>
  <c r="L36" i="11"/>
  <c r="K36" i="11"/>
  <c r="L35" i="11"/>
  <c r="K35" i="11"/>
  <c r="L34" i="11"/>
  <c r="K34" i="11"/>
  <c r="L33" i="11"/>
  <c r="K33" i="11"/>
  <c r="L32" i="11"/>
  <c r="K32" i="11"/>
  <c r="L31" i="11"/>
  <c r="K31" i="11"/>
  <c r="L28" i="11"/>
  <c r="K28" i="11"/>
  <c r="L27" i="11"/>
  <c r="K27" i="11"/>
  <c r="L26" i="11"/>
  <c r="K26" i="11"/>
  <c r="L23" i="11"/>
  <c r="K23" i="11"/>
  <c r="L22" i="11"/>
  <c r="L21" i="11"/>
  <c r="K21" i="11"/>
  <c r="L20" i="11"/>
  <c r="K20" i="11"/>
  <c r="L17" i="11"/>
  <c r="K17" i="11"/>
  <c r="L11" i="11"/>
  <c r="K11" i="11"/>
  <c r="L8" i="11"/>
  <c r="K8" i="11"/>
  <c r="L7" i="11"/>
  <c r="K7" i="11"/>
  <c r="L6" i="11"/>
  <c r="K6" i="11"/>
  <c r="L56" i="10"/>
  <c r="K56" i="10"/>
  <c r="L53" i="10"/>
  <c r="K53" i="10"/>
  <c r="L52" i="10"/>
  <c r="K52" i="10"/>
  <c r="L51" i="10"/>
  <c r="K51" i="10"/>
  <c r="L50" i="10"/>
  <c r="K50" i="10"/>
  <c r="L49" i="10"/>
  <c r="K49" i="10"/>
  <c r="L46" i="10"/>
  <c r="K46" i="10"/>
  <c r="L45" i="10"/>
  <c r="K45" i="10"/>
  <c r="L44" i="10"/>
  <c r="K44" i="10"/>
  <c r="L41" i="10"/>
  <c r="K41" i="10"/>
  <c r="L40" i="10"/>
  <c r="K40" i="10"/>
  <c r="L39" i="10"/>
  <c r="K39" i="10"/>
  <c r="L38" i="10"/>
  <c r="K38" i="10"/>
  <c r="L37" i="10"/>
  <c r="K37" i="10"/>
  <c r="L36" i="10"/>
  <c r="K36" i="10"/>
  <c r="L35" i="10"/>
  <c r="K35" i="10"/>
  <c r="L34" i="10"/>
  <c r="K34" i="10"/>
  <c r="L33" i="10"/>
  <c r="K33" i="10"/>
  <c r="L30" i="10"/>
  <c r="K30" i="10"/>
  <c r="L27" i="10"/>
  <c r="K27" i="10"/>
  <c r="L26" i="10"/>
  <c r="K26" i="10"/>
  <c r="L25" i="10"/>
  <c r="K25" i="10"/>
  <c r="L22" i="10"/>
  <c r="K22" i="10"/>
  <c r="L21" i="10"/>
  <c r="K21" i="10"/>
  <c r="L18" i="10"/>
  <c r="K18" i="10"/>
  <c r="L15" i="10"/>
  <c r="K15" i="10"/>
  <c r="L12" i="10"/>
  <c r="K12" i="10"/>
  <c r="L9" i="10"/>
  <c r="K9" i="10"/>
  <c r="L6" i="10"/>
  <c r="K6" i="10"/>
  <c r="T16" i="9"/>
  <c r="S16" i="9"/>
  <c r="T13" i="9"/>
  <c r="S13" i="9"/>
  <c r="T12" i="9"/>
  <c r="S12" i="9"/>
  <c r="T9" i="9"/>
  <c r="S9" i="9"/>
  <c r="T6" i="9"/>
  <c r="T13" i="8"/>
  <c r="S13" i="8"/>
  <c r="T10" i="8"/>
  <c r="S10" i="8"/>
  <c r="T7" i="8"/>
  <c r="S7" i="8"/>
  <c r="T6" i="8"/>
  <c r="S6" i="8"/>
  <c r="T41" i="7"/>
  <c r="S41" i="7"/>
  <c r="T38" i="7"/>
  <c r="S38" i="7"/>
  <c r="T37" i="7"/>
  <c r="S37" i="7"/>
  <c r="T36" i="7"/>
  <c r="S36" i="7"/>
  <c r="T35" i="7"/>
  <c r="S35" i="7"/>
  <c r="T34" i="7"/>
  <c r="S34" i="7"/>
  <c r="T31" i="7"/>
  <c r="S31" i="7"/>
  <c r="T30" i="7"/>
  <c r="S30" i="7"/>
  <c r="T29" i="7"/>
  <c r="S29" i="7"/>
  <c r="T26" i="7"/>
  <c r="S26" i="7"/>
  <c r="T25" i="7"/>
  <c r="S25" i="7"/>
  <c r="T22" i="7"/>
  <c r="S22" i="7"/>
  <c r="T21" i="7"/>
  <c r="S21" i="7"/>
  <c r="T18" i="7"/>
  <c r="S18" i="7"/>
  <c r="T15" i="7"/>
  <c r="S15" i="7"/>
  <c r="T14" i="7"/>
  <c r="S14" i="7"/>
  <c r="T11" i="7"/>
  <c r="S11" i="7"/>
  <c r="T8" i="7"/>
  <c r="S8" i="7"/>
  <c r="T7" i="7"/>
  <c r="S7" i="7"/>
  <c r="T6" i="7"/>
  <c r="S6" i="7"/>
  <c r="T25" i="6"/>
  <c r="S25" i="6"/>
  <c r="T22" i="6"/>
  <c r="S22" i="6"/>
  <c r="T21" i="6"/>
  <c r="S21" i="6"/>
  <c r="T20" i="6"/>
  <c r="S20" i="6"/>
  <c r="T17" i="6"/>
  <c r="S17" i="6"/>
  <c r="T16" i="6"/>
  <c r="S16" i="6"/>
  <c r="T15" i="6"/>
  <c r="S15" i="6"/>
  <c r="T12" i="6"/>
  <c r="S12" i="6"/>
  <c r="T9" i="6"/>
  <c r="S9" i="6"/>
  <c r="T6" i="6"/>
  <c r="S6" i="6"/>
</calcChain>
</file>

<file path=xl/sharedStrings.xml><?xml version="1.0" encoding="utf-8"?>
<sst xmlns="http://schemas.openxmlformats.org/spreadsheetml/2006/main" count="2938" uniqueCount="802">
  <si>
    <t>ФИО</t>
  </si>
  <si>
    <t>Сумма</t>
  </si>
  <si>
    <t>Тренер</t>
  </si>
  <si>
    <t>Очки</t>
  </si>
  <si>
    <t>Рек</t>
  </si>
  <si>
    <t>Собственный 
вес</t>
  </si>
  <si>
    <t>Город/Страна</t>
  </si>
  <si>
    <t xml:space="preserve">Абсолютный зачёт </t>
  </si>
  <si>
    <t/>
  </si>
  <si>
    <t>Приседание</t>
  </si>
  <si>
    <t>Жим лёжа</t>
  </si>
  <si>
    <t>Становая тяга</t>
  </si>
  <si>
    <t>ВЕСОВАЯ КАТЕГОРИЯ   67.5</t>
  </si>
  <si>
    <t>Печенкин Александр</t>
  </si>
  <si>
    <t>Юноши 15-19 (01.04.2004)/16</t>
  </si>
  <si>
    <t>63,40</t>
  </si>
  <si>
    <t>90,0</t>
  </si>
  <si>
    <t>100,0</t>
  </si>
  <si>
    <t>107,5</t>
  </si>
  <si>
    <t>60,0</t>
  </si>
  <si>
    <t>62,5</t>
  </si>
  <si>
    <t>67,5</t>
  </si>
  <si>
    <t>105,0</t>
  </si>
  <si>
    <t>115,0</t>
  </si>
  <si>
    <t>122,5</t>
  </si>
  <si>
    <t>ВЕСОВАЯ КАТЕГОРИЯ   75</t>
  </si>
  <si>
    <t>Лукьянов Дмитрий</t>
  </si>
  <si>
    <t>Открытая (25.03.1991)/29</t>
  </si>
  <si>
    <t>73,50</t>
  </si>
  <si>
    <t>130,0</t>
  </si>
  <si>
    <t>145,0</t>
  </si>
  <si>
    <t>157,5</t>
  </si>
  <si>
    <t>110,0</t>
  </si>
  <si>
    <t>117,5</t>
  </si>
  <si>
    <t>150,0</t>
  </si>
  <si>
    <t>170,0</t>
  </si>
  <si>
    <t>180,0</t>
  </si>
  <si>
    <t>ВЕСОВАЯ КАТЕГОРИЯ   82.5</t>
  </si>
  <si>
    <t>Чичкин Сергей</t>
  </si>
  <si>
    <t>Открытая (15.07.1992)/28</t>
  </si>
  <si>
    <t>81,10</t>
  </si>
  <si>
    <t>205,0</t>
  </si>
  <si>
    <t>212,5</t>
  </si>
  <si>
    <t>155,0</t>
  </si>
  <si>
    <t>225,0</t>
  </si>
  <si>
    <t>242,5</t>
  </si>
  <si>
    <t>250,0</t>
  </si>
  <si>
    <t>ВЕСОВАЯ КАТЕГОРИЯ   90</t>
  </si>
  <si>
    <t>Зарин Александр</t>
  </si>
  <si>
    <t>Открытая (27.06.1994)/26</t>
  </si>
  <si>
    <t>86,60</t>
  </si>
  <si>
    <t>215,0</t>
  </si>
  <si>
    <t>235,0</t>
  </si>
  <si>
    <t>142,5</t>
  </si>
  <si>
    <t>147,5</t>
  </si>
  <si>
    <t>255,0</t>
  </si>
  <si>
    <t>265,0</t>
  </si>
  <si>
    <t xml:space="preserve">Бакунц Г. </t>
  </si>
  <si>
    <t>Тибейкин Дмитрий</t>
  </si>
  <si>
    <t>Открытая (08.07.1984)/36</t>
  </si>
  <si>
    <t>88,20</t>
  </si>
  <si>
    <t>200,0</t>
  </si>
  <si>
    <t>210,0</t>
  </si>
  <si>
    <t>220,0</t>
  </si>
  <si>
    <t>160,0</t>
  </si>
  <si>
    <t>165,0</t>
  </si>
  <si>
    <t>240,0</t>
  </si>
  <si>
    <t>252,5</t>
  </si>
  <si>
    <t>Исаев Андрей</t>
  </si>
  <si>
    <t>84,00</t>
  </si>
  <si>
    <t>125,0</t>
  </si>
  <si>
    <t>95,0</t>
  </si>
  <si>
    <t>135,0</t>
  </si>
  <si>
    <t>ВЕСОВАЯ КАТЕГОРИЯ   110</t>
  </si>
  <si>
    <t>Цыганков Станислав</t>
  </si>
  <si>
    <t>Открытая (28.10.1985)/35</t>
  </si>
  <si>
    <t>107,20</t>
  </si>
  <si>
    <t>230,0</t>
  </si>
  <si>
    <t xml:space="preserve">Гаржа Л. </t>
  </si>
  <si>
    <t>Миннеханов Нияз</t>
  </si>
  <si>
    <t>109,70</t>
  </si>
  <si>
    <t>Мерзликин Владислав</t>
  </si>
  <si>
    <t>102,00</t>
  </si>
  <si>
    <t>175,0</t>
  </si>
  <si>
    <t>ВЕСОВАЯ КАТЕГОРИЯ   140</t>
  </si>
  <si>
    <t>Рамазанов Рамиль</t>
  </si>
  <si>
    <t>Открытая (15.03.1985)/36</t>
  </si>
  <si>
    <t>138,90</t>
  </si>
  <si>
    <t>300,0</t>
  </si>
  <si>
    <t>312,5</t>
  </si>
  <si>
    <t>325,0</t>
  </si>
  <si>
    <t>190,0</t>
  </si>
  <si>
    <t>207,5</t>
  </si>
  <si>
    <t>345,0</t>
  </si>
  <si>
    <t xml:space="preserve">Мужчины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</si>
  <si>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</si>
  <si>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</si>
  <si>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</si>
  <si>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</si>
  <si>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Wilks </t>
  </si>
  <si>
    <t>67.5</t>
  </si>
  <si>
    <t xml:space="preserve">Открытая </t>
  </si>
  <si>
    <t>140</t>
  </si>
  <si>
    <t>825,0</t>
  </si>
  <si>
    <t>461,5875</t>
  </si>
  <si>
    <t>90</t>
  </si>
  <si>
    <t>647,5</t>
  </si>
  <si>
    <t>421,8462</t>
  </si>
  <si>
    <t>82.5</t>
  </si>
  <si>
    <t>612,5</t>
  </si>
  <si>
    <t>414,6013</t>
  </si>
  <si>
    <t>1</t>
  </si>
  <si>
    <t>2</t>
  </si>
  <si>
    <t>ВЕСОВАЯ КАТЕГОРИЯ   56</t>
  </si>
  <si>
    <t>Гомозкова Анастасия</t>
  </si>
  <si>
    <t>55,60</t>
  </si>
  <si>
    <t>75,0</t>
  </si>
  <si>
    <t>80,0</t>
  </si>
  <si>
    <t>85,0</t>
  </si>
  <si>
    <t>45,0</t>
  </si>
  <si>
    <t>47,5</t>
  </si>
  <si>
    <t>50,0</t>
  </si>
  <si>
    <t>Найденова Евгения</t>
  </si>
  <si>
    <t>Открытая (07.12.1985)/35</t>
  </si>
  <si>
    <t>55,00</t>
  </si>
  <si>
    <t>87,5</t>
  </si>
  <si>
    <t>92,5</t>
  </si>
  <si>
    <t>97,5</t>
  </si>
  <si>
    <t>42,5</t>
  </si>
  <si>
    <t>Колодченко Анна</t>
  </si>
  <si>
    <t>Открытая (22.05.1989)/31</t>
  </si>
  <si>
    <t>54,90</t>
  </si>
  <si>
    <t>55,0</t>
  </si>
  <si>
    <t>65,0</t>
  </si>
  <si>
    <t>35,0</t>
  </si>
  <si>
    <t>40,0</t>
  </si>
  <si>
    <t>70,0</t>
  </si>
  <si>
    <t>ВЕСОВАЯ КАТЕГОРИЯ   60</t>
  </si>
  <si>
    <t>Сычева Елена</t>
  </si>
  <si>
    <t>Открытая (22.07.1985)/35</t>
  </si>
  <si>
    <t>60,00</t>
  </si>
  <si>
    <t>72,5</t>
  </si>
  <si>
    <t>Сташевская Валентина</t>
  </si>
  <si>
    <t>Открытая (27.12.1985)/35</t>
  </si>
  <si>
    <t>73,60</t>
  </si>
  <si>
    <t>140,0</t>
  </si>
  <si>
    <t>Потапова Татьяна</t>
  </si>
  <si>
    <t>73,40</t>
  </si>
  <si>
    <t>Мхитарян Ваграм</t>
  </si>
  <si>
    <t>Открытая (31.03.1992)/28</t>
  </si>
  <si>
    <t>66,30</t>
  </si>
  <si>
    <t>Алексеев Максим</t>
  </si>
  <si>
    <t>Юноши 15-19 (18.03.2003)/18</t>
  </si>
  <si>
    <t>Калачян Геворг</t>
  </si>
  <si>
    <t>Открытая (08.09.1993)/27</t>
  </si>
  <si>
    <t>74,30</t>
  </si>
  <si>
    <t>185,0</t>
  </si>
  <si>
    <t>Фаткуллин Рамиль</t>
  </si>
  <si>
    <t>Открытая (17.01.1997)/24</t>
  </si>
  <si>
    <t>81,50</t>
  </si>
  <si>
    <t>Климанов Ярослав</t>
  </si>
  <si>
    <t>Открытая (04.03.1991)/30</t>
  </si>
  <si>
    <t>82,10</t>
  </si>
  <si>
    <t>Самсонов Валентин</t>
  </si>
  <si>
    <t>Открытая (25.11.1990)/30</t>
  </si>
  <si>
    <t>87,60</t>
  </si>
  <si>
    <t>227,5</t>
  </si>
  <si>
    <t>Дадаходжаев Искандер</t>
  </si>
  <si>
    <t>Открытая (17.04.1992)/28</t>
  </si>
  <si>
    <t>88,60</t>
  </si>
  <si>
    <t>195,0</t>
  </si>
  <si>
    <t>152,5</t>
  </si>
  <si>
    <t>Развозжаев Антон</t>
  </si>
  <si>
    <t>Открытая (14.08.1991)/29</t>
  </si>
  <si>
    <t>88,00</t>
  </si>
  <si>
    <t>ВЕСОВАЯ КАТЕГОРИЯ   100</t>
  </si>
  <si>
    <t>Тресков Виктор</t>
  </si>
  <si>
    <t>Открытая (06.01.1971)/50</t>
  </si>
  <si>
    <t>98,60</t>
  </si>
  <si>
    <t>120,0</t>
  </si>
  <si>
    <t>Шилин Александр</t>
  </si>
  <si>
    <t>Открытая (23.08.1988)/32</t>
  </si>
  <si>
    <t>92,10</t>
  </si>
  <si>
    <t>202,5</t>
  </si>
  <si>
    <t>Ключников Леонид</t>
  </si>
  <si>
    <t>Открытая (11.08.1985)/35</t>
  </si>
  <si>
    <t>98,80</t>
  </si>
  <si>
    <t>187,5</t>
  </si>
  <si>
    <t>Добрынин Александр</t>
  </si>
  <si>
    <t>ВЕСОВАЯ КАТЕГОРИЯ   140+</t>
  </si>
  <si>
    <t>Грязнов Николай</t>
  </si>
  <si>
    <t>Открытая (23.09.1983)/37</t>
  </si>
  <si>
    <t>150,20</t>
  </si>
  <si>
    <t>270,0</t>
  </si>
  <si>
    <t>172,5</t>
  </si>
  <si>
    <t>260,0</t>
  </si>
  <si>
    <t>282,5</t>
  </si>
  <si>
    <t xml:space="preserve">Женщины </t>
  </si>
  <si>
    <t>56</t>
  </si>
  <si>
    <t>60</t>
  </si>
  <si>
    <t>337,5</t>
  </si>
  <si>
    <t>376,2787</t>
  </si>
  <si>
    <t>75</t>
  </si>
  <si>
    <t>331,9245</t>
  </si>
  <si>
    <t>286,3920</t>
  </si>
  <si>
    <t>595,0</t>
  </si>
  <si>
    <t>401,5655</t>
  </si>
  <si>
    <t>140+</t>
  </si>
  <si>
    <t>702,5</t>
  </si>
  <si>
    <t>388,6230</t>
  </si>
  <si>
    <t>575,0</t>
  </si>
  <si>
    <t>386,3425</t>
  </si>
  <si>
    <t>100</t>
  </si>
  <si>
    <t>-</t>
  </si>
  <si>
    <t>3</t>
  </si>
  <si>
    <t>Фочкин Александр</t>
  </si>
  <si>
    <t>Открытая (07.11.1989)/31</t>
  </si>
  <si>
    <t>97,60</t>
  </si>
  <si>
    <t>257,5</t>
  </si>
  <si>
    <t>137,5</t>
  </si>
  <si>
    <t>Емельянов Александр</t>
  </si>
  <si>
    <t>Открытая (21.08.1981)/39</t>
  </si>
  <si>
    <t>100,00</t>
  </si>
  <si>
    <t>232,5</t>
  </si>
  <si>
    <t>Тарасов Дмитрий</t>
  </si>
  <si>
    <t>Открытая (21.12.1981)/39</t>
  </si>
  <si>
    <t>109,50</t>
  </si>
  <si>
    <t>290,0</t>
  </si>
  <si>
    <t>280,0</t>
  </si>
  <si>
    <t>320,0</t>
  </si>
  <si>
    <t>Пайвин Алексей</t>
  </si>
  <si>
    <t>Открытая (15.06.1994)/26</t>
  </si>
  <si>
    <t>133,40</t>
  </si>
  <si>
    <t>Алтунин Николай</t>
  </si>
  <si>
    <t>73,30</t>
  </si>
  <si>
    <t>Гусев Андрей</t>
  </si>
  <si>
    <t>99,30</t>
  </si>
  <si>
    <t>Чистяков Николай</t>
  </si>
  <si>
    <t>Открытая (31.10.1984)/36</t>
  </si>
  <si>
    <t>109,10</t>
  </si>
  <si>
    <t>247,5</t>
  </si>
  <si>
    <t>Майоров Никита</t>
  </si>
  <si>
    <t>Открытая (18.05.1992)/28</t>
  </si>
  <si>
    <t>ВЕСОВАЯ КАТЕГОРИЯ   125</t>
  </si>
  <si>
    <t>Красиков Игорь</t>
  </si>
  <si>
    <t>121,90</t>
  </si>
  <si>
    <t>125</t>
  </si>
  <si>
    <t>ВЕСОВАЯ КАТЕГОРИЯ   52</t>
  </si>
  <si>
    <t>Речная Екатерина</t>
  </si>
  <si>
    <t>Открытая (09.10.1982)/38</t>
  </si>
  <si>
    <t>51,70</t>
  </si>
  <si>
    <t>52,5</t>
  </si>
  <si>
    <t>Филина Екатерина</t>
  </si>
  <si>
    <t>Открытая (31.03.1988)/32</t>
  </si>
  <si>
    <t>55,70</t>
  </si>
  <si>
    <t>Замятина Наталья</t>
  </si>
  <si>
    <t>Открытая (14.04.1980)/40</t>
  </si>
  <si>
    <t>65,60</t>
  </si>
  <si>
    <t>Захарова Екатерина</t>
  </si>
  <si>
    <t>Янковский Никита</t>
  </si>
  <si>
    <t>Юноши 15-19 (10.04.2007)/13</t>
  </si>
  <si>
    <t>42,60</t>
  </si>
  <si>
    <t>Улеев Радмир</t>
  </si>
  <si>
    <t>Открытая (03.06.1996)/24</t>
  </si>
  <si>
    <t>71,50</t>
  </si>
  <si>
    <t>Титов Алексей</t>
  </si>
  <si>
    <t>Открытая (28.01.1983)/38</t>
  </si>
  <si>
    <t>127,5</t>
  </si>
  <si>
    <t>132,5</t>
  </si>
  <si>
    <t>Плотников Владимир</t>
  </si>
  <si>
    <t>Открытая (24.06.1981)/39</t>
  </si>
  <si>
    <t>Грищенко Андрей</t>
  </si>
  <si>
    <t>Открытая (19.06.1996)/24</t>
  </si>
  <si>
    <t>81,40</t>
  </si>
  <si>
    <t>Ковалев Анатолий</t>
  </si>
  <si>
    <t>Мастера 80+ (11.08.1936)/84</t>
  </si>
  <si>
    <t>82,40</t>
  </si>
  <si>
    <t>Шмелев Вячеслав</t>
  </si>
  <si>
    <t>87,30</t>
  </si>
  <si>
    <t>Попов Сергей</t>
  </si>
  <si>
    <t>Открытая (15.08.1995)/25</t>
  </si>
  <si>
    <t>99,10</t>
  </si>
  <si>
    <t>Гулиев Элвин</t>
  </si>
  <si>
    <t>Открытая (28.05.1992)/28</t>
  </si>
  <si>
    <t>99,90</t>
  </si>
  <si>
    <t>Нефедов Михаил</t>
  </si>
  <si>
    <t>Открытая (07.05.1972)/48</t>
  </si>
  <si>
    <t>177,5</t>
  </si>
  <si>
    <t>182,5</t>
  </si>
  <si>
    <t>Никифоров Дмитрий</t>
  </si>
  <si>
    <t>Открытая (25.08.1989)/31</t>
  </si>
  <si>
    <t>Абрамов Владислав</t>
  </si>
  <si>
    <t>Открытая (06.11.1993)/27</t>
  </si>
  <si>
    <t>167,5</t>
  </si>
  <si>
    <t>Максимов Алексей</t>
  </si>
  <si>
    <t>Открытая (12.06.1990)/30</t>
  </si>
  <si>
    <t>93,70</t>
  </si>
  <si>
    <t>Захаров Виктор</t>
  </si>
  <si>
    <t>97,70</t>
  </si>
  <si>
    <t>Михин Михаил</t>
  </si>
  <si>
    <t>95,90</t>
  </si>
  <si>
    <t>Коротков Влад</t>
  </si>
  <si>
    <t>Открытая (30.03.1987)/33</t>
  </si>
  <si>
    <t>104,00</t>
  </si>
  <si>
    <t>Агеев Дмитрий</t>
  </si>
  <si>
    <t>Открытая (30.01.1989)/32</t>
  </si>
  <si>
    <t>110,00</t>
  </si>
  <si>
    <t>Горшунов Сергей</t>
  </si>
  <si>
    <t>108,80</t>
  </si>
  <si>
    <t>Кулагин Андрей</t>
  </si>
  <si>
    <t>Открытая (17.09.1978)/42</t>
  </si>
  <si>
    <t>116,60</t>
  </si>
  <si>
    <t>237,5</t>
  </si>
  <si>
    <t>Хомяков Виталий</t>
  </si>
  <si>
    <t>Открытая (19.05.1996)/24</t>
  </si>
  <si>
    <t>118,60</t>
  </si>
  <si>
    <t>Пераль Владимир</t>
  </si>
  <si>
    <t>Открытая (08.03.1991)/30</t>
  </si>
  <si>
    <t>114,00</t>
  </si>
  <si>
    <t>Федосеев Дмитрий</t>
  </si>
  <si>
    <t>117,00</t>
  </si>
  <si>
    <t>Мишин Артур</t>
  </si>
  <si>
    <t>Открытая (29.06.1990)/30</t>
  </si>
  <si>
    <t>128,70</t>
  </si>
  <si>
    <t>192,5</t>
  </si>
  <si>
    <t xml:space="preserve">Результат </t>
  </si>
  <si>
    <t>83,3600</t>
  </si>
  <si>
    <t>62,0340</t>
  </si>
  <si>
    <t>52</t>
  </si>
  <si>
    <t>59,4795</t>
  </si>
  <si>
    <t>142,0110</t>
  </si>
  <si>
    <t>138,9600</t>
  </si>
  <si>
    <t>129,3700</t>
  </si>
  <si>
    <t>Результат</t>
  </si>
  <si>
    <t>4</t>
  </si>
  <si>
    <t>5</t>
  </si>
  <si>
    <t>6</t>
  </si>
  <si>
    <t>Кожуховская Ирина</t>
  </si>
  <si>
    <t>Открытая (05.07.1986)/34</t>
  </si>
  <si>
    <t>51,40</t>
  </si>
  <si>
    <t>Панина Людмила</t>
  </si>
  <si>
    <t>Открытая (24.06.1987)/33</t>
  </si>
  <si>
    <t>50,40</t>
  </si>
  <si>
    <t>57,5</t>
  </si>
  <si>
    <t xml:space="preserve">Шмыров М. </t>
  </si>
  <si>
    <t>Ильясова Альфия</t>
  </si>
  <si>
    <t>Открытая (24.05.1989)/31</t>
  </si>
  <si>
    <t>52,00</t>
  </si>
  <si>
    <t>Королькова Анна</t>
  </si>
  <si>
    <t>Девушки 15-19 (02.06.2005)/15</t>
  </si>
  <si>
    <t>55,50</t>
  </si>
  <si>
    <t>66,10</t>
  </si>
  <si>
    <t>Асейдулин Ильсеяр</t>
  </si>
  <si>
    <t>53,90</t>
  </si>
  <si>
    <t xml:space="preserve">Атаев В. </t>
  </si>
  <si>
    <t>Головин Иван</t>
  </si>
  <si>
    <t>Юноши 15-19 (28.12.2003)/17</t>
  </si>
  <si>
    <t>67,30</t>
  </si>
  <si>
    <t>112,5</t>
  </si>
  <si>
    <t>Садыков Дамир</t>
  </si>
  <si>
    <t>Юноши 15-19 (13.11.2004)/16</t>
  </si>
  <si>
    <t>65,20</t>
  </si>
  <si>
    <t>Кузнецов Андрей</t>
  </si>
  <si>
    <t>Юноши 15-19 (13.10.2001)/19</t>
  </si>
  <si>
    <t>66,50</t>
  </si>
  <si>
    <t>Пронин Алексей</t>
  </si>
  <si>
    <t>Открытая (04.01.1990)/31</t>
  </si>
  <si>
    <t>65,90</t>
  </si>
  <si>
    <t>Шушаркин Евгений</t>
  </si>
  <si>
    <t>Открытая (03.08.1990)/30</t>
  </si>
  <si>
    <t>72,90</t>
  </si>
  <si>
    <t>Подгорнов Олег</t>
  </si>
  <si>
    <t>Открытая (02.12.1987)/33</t>
  </si>
  <si>
    <t>74,00</t>
  </si>
  <si>
    <t>Веткин Павел</t>
  </si>
  <si>
    <t>Открытая (16.04.1989)/31</t>
  </si>
  <si>
    <t>71,60</t>
  </si>
  <si>
    <t>Грибанов Герман</t>
  </si>
  <si>
    <t>77,70</t>
  </si>
  <si>
    <t>Алексеев Александр</t>
  </si>
  <si>
    <t>79,80</t>
  </si>
  <si>
    <t>Осипов Алексей</t>
  </si>
  <si>
    <t>Открытая (21.07.1993)/27</t>
  </si>
  <si>
    <t>80,00</t>
  </si>
  <si>
    <t>Сидоров Андрей</t>
  </si>
  <si>
    <t>Открытая (29.07.1986)/34</t>
  </si>
  <si>
    <t>81,00</t>
  </si>
  <si>
    <t>Ярыгин Виктор</t>
  </si>
  <si>
    <t>Открытая (23.11.1981)/39</t>
  </si>
  <si>
    <t>79,50</t>
  </si>
  <si>
    <t>Шатров Виталий</t>
  </si>
  <si>
    <t>Открытая (02.06.1993)/27</t>
  </si>
  <si>
    <t>Табаков Олег</t>
  </si>
  <si>
    <t>Открытая (02.04.1991)/29</t>
  </si>
  <si>
    <t>77,00</t>
  </si>
  <si>
    <t>Понкратенко Дмитрий</t>
  </si>
  <si>
    <t>Юноши 15-19 (16.09.2003)/17</t>
  </si>
  <si>
    <t>83,50</t>
  </si>
  <si>
    <t>Лобанов Леонид</t>
  </si>
  <si>
    <t>Открытая (19.08.1989)/31</t>
  </si>
  <si>
    <t>87,00</t>
  </si>
  <si>
    <t>Лученинов Сергей</t>
  </si>
  <si>
    <t>Открытая (10.02.1992)/29</t>
  </si>
  <si>
    <t>84,40</t>
  </si>
  <si>
    <t>Малюков Максим</t>
  </si>
  <si>
    <t>Открытая (22.07.1988)/32</t>
  </si>
  <si>
    <t>89,30</t>
  </si>
  <si>
    <t>Аксенов Денис</t>
  </si>
  <si>
    <t>86,50</t>
  </si>
  <si>
    <t>Зарипов Рафаиль</t>
  </si>
  <si>
    <t>Юноши 15-19 (16.04.2001)/19</t>
  </si>
  <si>
    <t>99,70</t>
  </si>
  <si>
    <t>Григорьев Дмитрий</t>
  </si>
  <si>
    <t>Открытая (20.12.1988)/32</t>
  </si>
  <si>
    <t>96,50</t>
  </si>
  <si>
    <t>Семенов Павел</t>
  </si>
  <si>
    <t>Открытая (25.05.1989)/31</t>
  </si>
  <si>
    <t>106,40</t>
  </si>
  <si>
    <t>Открытая (06.06.1978)/42</t>
  </si>
  <si>
    <t>Богданов Алексей</t>
  </si>
  <si>
    <t>Открытая (25.07.1981)/39</t>
  </si>
  <si>
    <t>120,60</t>
  </si>
  <si>
    <t>162,5</t>
  </si>
  <si>
    <t>Алиев Данила</t>
  </si>
  <si>
    <t>Открытая (27.03.1991)/29</t>
  </si>
  <si>
    <t>131,70</t>
  </si>
  <si>
    <t>78,6125</t>
  </si>
  <si>
    <t>70,2295</t>
  </si>
  <si>
    <t>59,2135</t>
  </si>
  <si>
    <t>113,7325</t>
  </si>
  <si>
    <t>110,0385</t>
  </si>
  <si>
    <t>109,9150</t>
  </si>
  <si>
    <t>Яковлев Максим</t>
  </si>
  <si>
    <t>Открытая (17.06.1982)/38</t>
  </si>
  <si>
    <t>92,00</t>
  </si>
  <si>
    <t>Бакунц Гагик</t>
  </si>
  <si>
    <t>Открытая (22.03.1990)/30</t>
  </si>
  <si>
    <t>108,90</t>
  </si>
  <si>
    <t>197,5</t>
  </si>
  <si>
    <t>Кистанов Владимир</t>
  </si>
  <si>
    <t>Открытая (15.04.1991)/29</t>
  </si>
  <si>
    <t>84,80</t>
  </si>
  <si>
    <t>285,0</t>
  </si>
  <si>
    <t>Елютин Андрей</t>
  </si>
  <si>
    <t>Открытая (13.02.1986)/35</t>
  </si>
  <si>
    <t>107,10</t>
  </si>
  <si>
    <t>Новлянский Виктор</t>
  </si>
  <si>
    <t>105,40</t>
  </si>
  <si>
    <t>Затылкин Денис</t>
  </si>
  <si>
    <t>123,30</t>
  </si>
  <si>
    <t>310,0</t>
  </si>
  <si>
    <t>335,0</t>
  </si>
  <si>
    <t>Кучма Алексей</t>
  </si>
  <si>
    <t>Открытая (04.01.1979)/42</t>
  </si>
  <si>
    <t>122,80</t>
  </si>
  <si>
    <t>Егорова Ольга</t>
  </si>
  <si>
    <t>58,70</t>
  </si>
  <si>
    <t>Кнутова Татьяна</t>
  </si>
  <si>
    <t>Открытая (16.06.1972)/48</t>
  </si>
  <si>
    <t>67,40</t>
  </si>
  <si>
    <t xml:space="preserve">Трухтанов Павел </t>
  </si>
  <si>
    <t>Величко Татьяна</t>
  </si>
  <si>
    <t>Открытая (16.11.1984)/36</t>
  </si>
  <si>
    <t>79,60</t>
  </si>
  <si>
    <t>ВЕСОВАЯ КАТЕГОРИЯ   90+</t>
  </si>
  <si>
    <t>Чиркова Елена</t>
  </si>
  <si>
    <t>Открытая (16.05.1989)/31</t>
  </si>
  <si>
    <t>Позняк Алексей</t>
  </si>
  <si>
    <t>Открытая (12.03.1997)/24</t>
  </si>
  <si>
    <t>Кудрявцев Сергей</t>
  </si>
  <si>
    <t>Открытая (24.07.1977)/43</t>
  </si>
  <si>
    <t>Шустров Валерий</t>
  </si>
  <si>
    <t>Открытая (03.03.1994)/27</t>
  </si>
  <si>
    <t>74,80</t>
  </si>
  <si>
    <t>217,5</t>
  </si>
  <si>
    <t>Никитин Дмитрий</t>
  </si>
  <si>
    <t>Открытая (02.08.1996)/24</t>
  </si>
  <si>
    <t>79,30</t>
  </si>
  <si>
    <t>Еремин Александр</t>
  </si>
  <si>
    <t>Юноши 15-19 (17.11.2002)/18</t>
  </si>
  <si>
    <t>85,20</t>
  </si>
  <si>
    <t xml:space="preserve">Греднев М. </t>
  </si>
  <si>
    <t>Гридин Роман</t>
  </si>
  <si>
    <t>86,10</t>
  </si>
  <si>
    <t>Савельев Виталий</t>
  </si>
  <si>
    <t>Юноши 15-19 (18.09.2003)/17</t>
  </si>
  <si>
    <t>97,30</t>
  </si>
  <si>
    <t>168,7250</t>
  </si>
  <si>
    <t>162,4725</t>
  </si>
  <si>
    <t>145,0770</t>
  </si>
  <si>
    <t>Конопацкий Владимир</t>
  </si>
  <si>
    <t>307,5</t>
  </si>
  <si>
    <t>Открытая (06.08.1973)/47</t>
  </si>
  <si>
    <t>Клещева Ирина</t>
  </si>
  <si>
    <t>Федоров Александр</t>
  </si>
  <si>
    <t>Открытая (03.06.1992)/28</t>
  </si>
  <si>
    <t>Гафаров Азат</t>
  </si>
  <si>
    <t>Юноши 15-19 (01.06.2004)/16</t>
  </si>
  <si>
    <t>80,80</t>
  </si>
  <si>
    <t xml:space="preserve">Ильясов М. </t>
  </si>
  <si>
    <t>Мельников Павел</t>
  </si>
  <si>
    <t>Открытая (24.01.1991)/30</t>
  </si>
  <si>
    <t>80,30</t>
  </si>
  <si>
    <t>Губанов Александр</t>
  </si>
  <si>
    <t>Мельников Владимир</t>
  </si>
  <si>
    <t>Открытая (03.10.1985)/35</t>
  </si>
  <si>
    <t>89,00</t>
  </si>
  <si>
    <t>Гриднев Илья</t>
  </si>
  <si>
    <t>Открытая (19.07.1972)/48</t>
  </si>
  <si>
    <t>96,10</t>
  </si>
  <si>
    <t>82,5</t>
  </si>
  <si>
    <t>20,0</t>
  </si>
  <si>
    <t>Челноков Юрий</t>
  </si>
  <si>
    <t>99,20</t>
  </si>
  <si>
    <t xml:space="preserve">Gloss </t>
  </si>
  <si>
    <t>37,5</t>
  </si>
  <si>
    <t>25,0</t>
  </si>
  <si>
    <t>30,0</t>
  </si>
  <si>
    <t>32,5</t>
  </si>
  <si>
    <t>Жим стоя</t>
  </si>
  <si>
    <t>Борисов Дмитрий</t>
  </si>
  <si>
    <t>99,50</t>
  </si>
  <si>
    <t>Малахов Сергей</t>
  </si>
  <si>
    <t>Открытая (20.08.1991)/29</t>
  </si>
  <si>
    <t>77,90</t>
  </si>
  <si>
    <t>Солдатов Максим</t>
  </si>
  <si>
    <t>Открытая (27.09.1982)/38</t>
  </si>
  <si>
    <t>87,50</t>
  </si>
  <si>
    <t>78,5</t>
  </si>
  <si>
    <t>Егинян Жан</t>
  </si>
  <si>
    <t>Открытая (15.06.1993)/27</t>
  </si>
  <si>
    <t>58,90</t>
  </si>
  <si>
    <t>Расеев Никита</t>
  </si>
  <si>
    <t>64,40</t>
  </si>
  <si>
    <t>Эргашев Илхом</t>
  </si>
  <si>
    <t>Открытая (16.12.1996)/24</t>
  </si>
  <si>
    <t>65,70</t>
  </si>
  <si>
    <t>Черняев Дмитрий</t>
  </si>
  <si>
    <t>Открытая (14.05.1985)/35</t>
  </si>
  <si>
    <t>64,90</t>
  </si>
  <si>
    <t>Лаврентьев Антон</t>
  </si>
  <si>
    <t>73,10</t>
  </si>
  <si>
    <t>Кадеров Валерий</t>
  </si>
  <si>
    <t>Открытая (22.03.1988)/32</t>
  </si>
  <si>
    <t>68,00</t>
  </si>
  <si>
    <t>Поздняков Вячеслав</t>
  </si>
  <si>
    <t>Открытая (28.09.1971)/49</t>
  </si>
  <si>
    <t>Зубков Иван</t>
  </si>
  <si>
    <t>Открытая (28.09.1988)/32</t>
  </si>
  <si>
    <t>Сугаков Виктор</t>
  </si>
  <si>
    <t>Открытая (29.07.1989)/31</t>
  </si>
  <si>
    <t>Невзоров Андрей</t>
  </si>
  <si>
    <t>97,50</t>
  </si>
  <si>
    <t>46,4875</t>
  </si>
  <si>
    <t>45,9600</t>
  </si>
  <si>
    <t>45,3814</t>
  </si>
  <si>
    <t>Сучкова Светлана</t>
  </si>
  <si>
    <t>39,20</t>
  </si>
  <si>
    <t>15,0</t>
  </si>
  <si>
    <t>17,5</t>
  </si>
  <si>
    <t>12,5</t>
  </si>
  <si>
    <t>Спиченкова Юлия</t>
  </si>
  <si>
    <t>Открытая (11.01.1991)/30</t>
  </si>
  <si>
    <t>45,30</t>
  </si>
  <si>
    <t>27,5</t>
  </si>
  <si>
    <t>Сидоренко Екатерина</t>
  </si>
  <si>
    <t>Открытая (02.04.1990)/30</t>
  </si>
  <si>
    <t>46,30</t>
  </si>
  <si>
    <t>Хохлова Наталья</t>
  </si>
  <si>
    <t>Открытая (14.05.1982)/38</t>
  </si>
  <si>
    <t>48,00</t>
  </si>
  <si>
    <t>22,5</t>
  </si>
  <si>
    <t>Тростничкова Ольга</t>
  </si>
  <si>
    <t>Открытая (16.01.1989)/32</t>
  </si>
  <si>
    <t>48,80</t>
  </si>
  <si>
    <t>Норкина Елена</t>
  </si>
  <si>
    <t>Открытая (28.05.1981)/39</t>
  </si>
  <si>
    <t>Горожанина Ольга</t>
  </si>
  <si>
    <t>Открытая (05.11.1983)/37</t>
  </si>
  <si>
    <t>53,40</t>
  </si>
  <si>
    <t>Юдакова Наталья</t>
  </si>
  <si>
    <t>ВЕСОВАЯ КАТЕГОРИЯ   75+</t>
  </si>
  <si>
    <t>Чернева Марина</t>
  </si>
  <si>
    <t>Открытая (27.09.1970)/50</t>
  </si>
  <si>
    <t>84,60</t>
  </si>
  <si>
    <t>Алмосов Илья</t>
  </si>
  <si>
    <t>Открытая (07.12.1982)/38</t>
  </si>
  <si>
    <t>59,50</t>
  </si>
  <si>
    <t>Тресцов Виктор</t>
  </si>
  <si>
    <t>Открытая (03.12.1995)/25</t>
  </si>
  <si>
    <t>Муллагалиев Ильдар</t>
  </si>
  <si>
    <t>Открытая (25.05.1992)/28</t>
  </si>
  <si>
    <t>81,80</t>
  </si>
  <si>
    <t>Летвяков Андрей</t>
  </si>
  <si>
    <t>Открытая (26.06.1986)/34</t>
  </si>
  <si>
    <t>89,10</t>
  </si>
  <si>
    <t>Гришин Михаил</t>
  </si>
  <si>
    <t>88,70</t>
  </si>
  <si>
    <t>73,8900</t>
  </si>
  <si>
    <t>75+</t>
  </si>
  <si>
    <t>69,7185</t>
  </si>
  <si>
    <t>66,6380</t>
  </si>
  <si>
    <t>Мелконян Тигран</t>
  </si>
  <si>
    <t>66,90</t>
  </si>
  <si>
    <t>305,0</t>
  </si>
  <si>
    <t>Алькова Диана</t>
  </si>
  <si>
    <t>54,70</t>
  </si>
  <si>
    <t>Открытая (25.08.2001)/19</t>
  </si>
  <si>
    <t>Колпакова Елена</t>
  </si>
  <si>
    <t>Открытая (16.06.1978)/42</t>
  </si>
  <si>
    <t>59,30</t>
  </si>
  <si>
    <t>102,5</t>
  </si>
  <si>
    <t>Красильников Виталий</t>
  </si>
  <si>
    <t>Открытая (08.05.1981)/39</t>
  </si>
  <si>
    <t>Мастюков Алексей</t>
  </si>
  <si>
    <t>Открытая (07.05.1991)/29</t>
  </si>
  <si>
    <t>80,60</t>
  </si>
  <si>
    <t>Марьев Дмитрий</t>
  </si>
  <si>
    <t>Открытая (17.11.1987)/33</t>
  </si>
  <si>
    <t>89,60</t>
  </si>
  <si>
    <t>Ширданин Александр</t>
  </si>
  <si>
    <t>Открытая (05.09.1981)/39</t>
  </si>
  <si>
    <t>97,20</t>
  </si>
  <si>
    <t>Усачев Илья</t>
  </si>
  <si>
    <t>Открытая (26.01.1986)/35</t>
  </si>
  <si>
    <t>108,70</t>
  </si>
  <si>
    <t>Пискарев Александр</t>
  </si>
  <si>
    <t>Открытая (02.09.1985)/35</t>
  </si>
  <si>
    <t>107,60</t>
  </si>
  <si>
    <t>340,0</t>
  </si>
  <si>
    <t xml:space="preserve">Луговой А. </t>
  </si>
  <si>
    <t>Чадаев Александр</t>
  </si>
  <si>
    <t>Открытая (18.11.1989)/31</t>
  </si>
  <si>
    <t>Порватов Андрей</t>
  </si>
  <si>
    <t>115,30</t>
  </si>
  <si>
    <t>Кублицкий Александр</t>
  </si>
  <si>
    <t>Открытая (18.09.1981)/39</t>
  </si>
  <si>
    <t>105,90</t>
  </si>
  <si>
    <t>Тяга</t>
  </si>
  <si>
    <t>Воровкин Максим</t>
  </si>
  <si>
    <t>Мастера 40-49 (31.03.1980)/40</t>
  </si>
  <si>
    <t>67,50</t>
  </si>
  <si>
    <t>Попов Антон</t>
  </si>
  <si>
    <t>Открытая (11.01.1989)/32</t>
  </si>
  <si>
    <t>74,50</t>
  </si>
  <si>
    <t>Сурков Алексей</t>
  </si>
  <si>
    <t>Мастера 40-49 (15.08.1978)/42</t>
  </si>
  <si>
    <t>148,10</t>
  </si>
  <si>
    <t xml:space="preserve">Губанов А. </t>
  </si>
  <si>
    <t>Губанов А.</t>
  </si>
  <si>
    <t>Юноши 13-19 (23.05.2005)/15</t>
  </si>
  <si>
    <t>Юноши 13-19 (18.09.2003)/17</t>
  </si>
  <si>
    <t xml:space="preserve">Трухтанов П. </t>
  </si>
  <si>
    <t xml:space="preserve">Гришин М. </t>
  </si>
  <si>
    <t>Халилов Г.</t>
  </si>
  <si>
    <t>Юниоры 20-23 (26.06.2000)/20</t>
  </si>
  <si>
    <t>Девушки 13-19 (25.08.2001)/19</t>
  </si>
  <si>
    <t>Юниоры 20-23 (29.09.1999)/21</t>
  </si>
  <si>
    <t xml:space="preserve">Поздняков В. </t>
  </si>
  <si>
    <t>Замятин И.</t>
  </si>
  <si>
    <t>Луцук В.</t>
  </si>
  <si>
    <t>Беловал Е.</t>
  </si>
  <si>
    <t>Образцов С.</t>
  </si>
  <si>
    <t>Весовая категория</t>
  </si>
  <si>
    <t xml:space="preserve">Луцук В. </t>
  </si>
  <si>
    <t>Мастера 40-49 (17.09.1978)/42</t>
  </si>
  <si>
    <t xml:space="preserve">Черняев Д. </t>
  </si>
  <si>
    <t>Девушки 13-19 (11.11.2010)/10</t>
  </si>
  <si>
    <t>Мастера 40-49 (09.12.1978)/42</t>
  </si>
  <si>
    <t>Мастера 50-59 (27.09.1970)/50</t>
  </si>
  <si>
    <t>Мастера 50-59 (05.02.1969)/52</t>
  </si>
  <si>
    <t>Трухтанов П.</t>
  </si>
  <si>
    <t>Греднев М.</t>
  </si>
  <si>
    <t>Юниоры 20-23 (29.01.2000)/21</t>
  </si>
  <si>
    <t>Мастера 40-49 (28.09.1971)/49</t>
  </si>
  <si>
    <t>Мастера 40-49 (26.09.1979)/41</t>
  </si>
  <si>
    <t xml:space="preserve">Тресков В. </t>
  </si>
  <si>
    <t>Мастера 50-59 (10.01.1968)/53</t>
  </si>
  <si>
    <t>Мастера 40-49 (04.05.1977)/43</t>
  </si>
  <si>
    <t>Мастера 70-74 (06.02.1951)/70</t>
  </si>
  <si>
    <t xml:space="preserve">Мельников В. </t>
  </si>
  <si>
    <t xml:space="preserve">Замятин И. </t>
  </si>
  <si>
    <t>Мастера 45-49 (14.08.1972)/48</t>
  </si>
  <si>
    <t>Мастера 45-49 (06.08.1973)/47</t>
  </si>
  <si>
    <t xml:space="preserve">Аверьянов В. </t>
  </si>
  <si>
    <t>Мастера 40-44 (24.07.1977)/43</t>
  </si>
  <si>
    <t>Мастера 40-44 (29.08.1977)/43</t>
  </si>
  <si>
    <t>Мастера 40-44 (31.01.1981)/40</t>
  </si>
  <si>
    <t>Аверьянов В.</t>
  </si>
  <si>
    <t>Кубок Евразии
СПР Жим лежа СФО
Самара/Самарская область, 19-21 марта 2021 года</t>
  </si>
  <si>
    <t>Кубок Евразии
СПР Жим лежа в многопетельной софт экипировке ДК
Самара/Самарская область, 19-21 марта 2021 года</t>
  </si>
  <si>
    <t>Кубок Евразии
СПР Жим лежа в многопетельной софт экипировке
Самара/Самарская область, 19-21 марта 2021 года</t>
  </si>
  <si>
    <t>Кубок Евразии
СПР Жим лежа в однопетельной софт экипировке ДК
Самара/Самарская область, 19-21 марта 2021 года</t>
  </si>
  <si>
    <t>Кубок Евразии
СПР Жим лежа в однопетельной софт экипировке
Самара/Самарская область, 19-21 марта 2021 года</t>
  </si>
  <si>
    <t>Кубок Евразии
СПР Пауэрспорт ДК
Самара/Самарская область, 19-21 марта 2021 года</t>
  </si>
  <si>
    <t>Кубок Евразии
СПР Пауэрспорт
Самара/Самарская область, 19-21 марта 2021 года</t>
  </si>
  <si>
    <t>Кубок Евразии
СПР Строгий подъем штанги на бицепс ДК
Самара/Самарская область, 19-21 марта 2021 года</t>
  </si>
  <si>
    <t>Кубок Евразии
СПР Строгий подъем штанги на бицепс
Самара/Самарская область, 19-21 марта 2021 года</t>
  </si>
  <si>
    <t>Кубок Евразии
СПР Жим штанги стоя
Самара/Самарская область, 19-21 марта 2021 года</t>
  </si>
  <si>
    <t>Кубок Евразии
IPL Силовое двоеборье без экипировки ДК
Самара/Самарская область, 19-21 марта 2021 года</t>
  </si>
  <si>
    <t>Кубок Евразии
IPL Силовое двоеборье без экипировки
Самара/Самарская область, 19-21 марта 2021 года</t>
  </si>
  <si>
    <t>Кубок Евразии
IPL Присед без экипировки ДК
Самара/Самарская область, 19-21 марта 2021 года</t>
  </si>
  <si>
    <t>Кубок Евразии
IPL Присед без экипировки
Самара/Самарская область, 19-21 марта 2021 года</t>
  </si>
  <si>
    <t>Кубок Евразии
IPL Становая тяга в многослойной экипировке ДК
Самара/Самарская область, 19-21 марта 2021 года</t>
  </si>
  <si>
    <t>Кубок Евразии
IPL Становая тяга в многослойной экипировке
Самара/Самарская область, 19-21 марта 2021 года</t>
  </si>
  <si>
    <t>Кубок Евразии
IPL Становая тяга без экипировки ДК
Самара/Самарская область, 19-21 марта 2021 года</t>
  </si>
  <si>
    <t>Мастера 45-49 (14.03.1975)/46</t>
  </si>
  <si>
    <t>Юниоры 20-23 (05.02.2001)/20</t>
  </si>
  <si>
    <t>Мастера 45-49 (28.01.1972)/49</t>
  </si>
  <si>
    <t>Кубок Евразии
IPL Становая тяга без экипировки
Самара/Самарская область, 19-21 марта 2021 года</t>
  </si>
  <si>
    <t>Мастера 55-59 (01.11.1965)/55</t>
  </si>
  <si>
    <t>Юниоры 20-23 (11.11.1999)/21</t>
  </si>
  <si>
    <t>Кубок Евразии
IPL Жим лежа в однослойной экипировке ДК
Самара/Самарская область, 19-21 марта 2021 года</t>
  </si>
  <si>
    <t>Кубок Евразии
IPL Жим лежа в однослойной экипировке
Самара/Самарская область, 19-21 марта 2021 года</t>
  </si>
  <si>
    <t>Кубок Евразии
IPL Жим лежа без экипировки ДК
Самара/Самарская область, 19-21 марта 2021 года</t>
  </si>
  <si>
    <t>Юниоры 20-23 (28.08.1999)/21</t>
  </si>
  <si>
    <t>Юниоры 20-23 (06.08.1997)/23</t>
  </si>
  <si>
    <t>Юниоры 20-23 (12.10.1997)/23</t>
  </si>
  <si>
    <t>Мастера 45-49 (12.09.1974)/46</t>
  </si>
  <si>
    <t>Мастера 40-44 (06.06.1978)/42</t>
  </si>
  <si>
    <t>Кубок Евразии
IPL Жим лежа без экипировки
Самара/Самарская область, 19-21 марта 2021 года</t>
  </si>
  <si>
    <t>Мастера 45-49 (01.08.1975)/45</t>
  </si>
  <si>
    <t>Мастера 40-44 (13.01.1980)/41</t>
  </si>
  <si>
    <t>Мастера 40-44 (09.10.1976)/44</t>
  </si>
  <si>
    <t>Мастера 45-49 (07.05.1972)/48</t>
  </si>
  <si>
    <t>Мастера 50-54 (21.07.1969)/51</t>
  </si>
  <si>
    <t>Мастера 40-44 (26.05.1976)/44</t>
  </si>
  <si>
    <t>Мастера 40-44 (17.09.1978)/42</t>
  </si>
  <si>
    <t>Кубок Евразии
IPL Пауэрлифтинг в бинтах ДК
Самара/Самарская область, 19-21 марта 2021 года</t>
  </si>
  <si>
    <t>Кубок Евразии
IPL Пауэрлифтинг в бинтах
Самара/Самарская область, 19-21 марта 2021 года</t>
  </si>
  <si>
    <t>Кубок Евразии
IPL Пауэрлифтинг без экипировки ДК
Самара/Самарская область, 19-21 марта 2021 года</t>
  </si>
  <si>
    <t>Юниорки 20-23 (09.03.1998)/23</t>
  </si>
  <si>
    <t>Мастера 45-49 (22.06.1974)/46</t>
  </si>
  <si>
    <t>Мастера 40-44 (24.06.1977)/43</t>
  </si>
  <si>
    <t>Мастера 50-54 (06.01.1971)/50</t>
  </si>
  <si>
    <t>Кубок Евразии
IPL Пауэрлифтинг без экипировки
Самара/Самарская область, 19-21 марта 2021 года</t>
  </si>
  <si>
    <t>Мастера 50-54 (30.03.1970)/50</t>
  </si>
  <si>
    <t>Мастера 40-44 (12.10.1979)/41</t>
  </si>
  <si>
    <t>Мастера 50-54 (09.04.1970)/50</t>
  </si>
  <si>
    <t>Ширданин А.</t>
  </si>
  <si>
    <t>Поздняков В.</t>
  </si>
  <si>
    <t>Егорова О.</t>
  </si>
  <si>
    <t>Климанов Я.</t>
  </si>
  <si>
    <t xml:space="preserve">Климанов Я. </t>
  </si>
  <si>
    <t xml:space="preserve">Егорова О. </t>
  </si>
  <si>
    <t>Балашов В.</t>
  </si>
  <si>
    <t>Лукьянов А.</t>
  </si>
  <si>
    <t>Гусев А.</t>
  </si>
  <si>
    <t>Брославский В.</t>
  </si>
  <si>
    <t>Конопатский В.</t>
  </si>
  <si>
    <t>Иванов С.</t>
  </si>
  <si>
    <t>Улеев Р.</t>
  </si>
  <si>
    <t>Арусланов Ш.</t>
  </si>
  <si>
    <t>Гришин М.</t>
  </si>
  <si>
    <t xml:space="preserve">Балашов В., Шарафисламов А. </t>
  </si>
  <si>
    <t>Шатров В.</t>
  </si>
  <si>
    <t>Жим</t>
  </si>
  <si>
    <t xml:space="preserve">
Дата рождения/Возраст</t>
  </si>
  <si>
    <t>Возрастная группа</t>
  </si>
  <si>
    <t>J</t>
  </si>
  <si>
    <t>O</t>
  </si>
  <si>
    <t>M2</t>
  </si>
  <si>
    <t>T</t>
  </si>
  <si>
    <t>M1</t>
  </si>
  <si>
    <t>M3</t>
  </si>
  <si>
    <t>M7</t>
  </si>
  <si>
    <t>M9</t>
  </si>
  <si>
    <t>M4</t>
  </si>
  <si>
    <t xml:space="preserve">Самара </t>
  </si>
  <si>
    <t xml:space="preserve">Новокуйбышевск  </t>
  </si>
  <si>
    <t xml:space="preserve"> Кинель-Черкассы</t>
  </si>
  <si>
    <t xml:space="preserve"> Новокуйбышевск  </t>
  </si>
  <si>
    <t xml:space="preserve">Похвистнево </t>
  </si>
  <si>
    <t xml:space="preserve"> Самара </t>
  </si>
  <si>
    <t xml:space="preserve">Чапаевск </t>
  </si>
  <si>
    <t xml:space="preserve">Тольятти </t>
  </si>
  <si>
    <t xml:space="preserve">Новокуйбышевск   </t>
  </si>
  <si>
    <t>Казань</t>
  </si>
  <si>
    <t xml:space="preserve">Кузнецк </t>
  </si>
  <si>
    <t xml:space="preserve"> Кинель-Черкассы </t>
  </si>
  <si>
    <t xml:space="preserve">Туймазы </t>
  </si>
  <si>
    <t xml:space="preserve">Самара  </t>
  </si>
  <si>
    <t xml:space="preserve">Ульяновск </t>
  </si>
  <si>
    <t xml:space="preserve">Суходол </t>
  </si>
  <si>
    <t xml:space="preserve">Сызрань </t>
  </si>
  <si>
    <t xml:space="preserve"> Оренбург</t>
  </si>
  <si>
    <t xml:space="preserve">Москва </t>
  </si>
  <si>
    <t xml:space="preserve">Тверь </t>
  </si>
  <si>
    <t>Димитровград</t>
  </si>
  <si>
    <t xml:space="preserve">Узловая </t>
  </si>
  <si>
    <t xml:space="preserve">Казань </t>
  </si>
  <si>
    <t xml:space="preserve"> Ульяновск</t>
  </si>
  <si>
    <t xml:space="preserve"> Бугуруслан</t>
  </si>
  <si>
    <t xml:space="preserve"> Новокуйбышевск </t>
  </si>
  <si>
    <t xml:space="preserve">Новокуйбышевск </t>
  </si>
  <si>
    <t xml:space="preserve"> Отрадный</t>
  </si>
  <si>
    <t xml:space="preserve">Отрадный </t>
  </si>
  <si>
    <t xml:space="preserve">Димитровград </t>
  </si>
  <si>
    <t xml:space="preserve"> Новокуйбышевск</t>
  </si>
  <si>
    <t xml:space="preserve">Уфа </t>
  </si>
  <si>
    <t xml:space="preserve">Мурманск </t>
  </si>
  <si>
    <t>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</si>
</sst>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4"/>
      <name val="Arial Cyr"/>
      <charset val="204"/>
    </font>
    <font>
      <i/>
      <sz val="12"/>
      <name val="Arial Cyr"/>
      <charset val="204"/>
    </font>
    <font>
      <i/>
      <sz val="11"/>
      <name val="Arial Cyr"/>
      <charset val="204"/>
    </font>
    <font>
      <b/>
      <strike/>
      <sz val="10"/>
      <color theme="5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D7E4B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0" fillId="0" borderId="15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49" fontId="0" fillId="0" borderId="16" xfId="0" applyNumberFormat="1" applyFont="1" applyFill="1" applyBorder="1" applyAlignment="1">
      <alignment horizontal="center" vertic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17" xfId="0" applyNumberFormat="1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/>
    </xf>
    <xf numFmtId="49" fontId="0" fillId="0" borderId="8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left" vertical="center" indent="1"/>
    </xf>
    <xf numFmtId="49" fontId="6" fillId="0" borderId="0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/>
    </xf>
    <xf numFmtId="49" fontId="1" fillId="2" borderId="17" xfId="0" applyNumberFormat="1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164" fontId="1" fillId="0" borderId="15" xfId="0" applyNumberFormat="1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8" xfId="0" applyNumberFormat="1" applyFont="1" applyFill="1" applyBorder="1" applyAlignment="1">
      <alignment horizontal="center" vertical="center"/>
    </xf>
    <xf numFmtId="164" fontId="1" fillId="0" borderId="17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 indent="1"/>
    </xf>
    <xf numFmtId="49" fontId="6" fillId="0" borderId="0" xfId="0" applyNumberFormat="1" applyFont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0" fillId="0" borderId="18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1" fillId="2" borderId="19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U58"/>
  <sheetViews>
    <sheetView topLeftCell="A18" workbookViewId="0">
      <selection activeCell="A39" activeCellId="8" sqref="A5:XFD5 A9:XFD10 A12:XFD13 A16:XFD17 A19:XFD20 A23:XFD24 A27:XFD28 A32:XFD33 A39:XFD40"/>
    </sheetView>
  </sheetViews>
  <sheetFormatPr baseColWidth="10" defaultColWidth="9.1640625" defaultRowHeight="13"/>
  <cols>
    <col min="1" max="1" width="7.5" style="5" bestFit="1" customWidth="1"/>
    <col min="2" max="2" width="22.16406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19.3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8.1640625" style="5" bestFit="1" customWidth="1"/>
    <col min="22" max="16384" width="9.1640625" style="3"/>
  </cols>
  <sheetData>
    <row r="1" spans="1:21" s="2" customFormat="1" ht="29" customHeight="1">
      <c r="A1" s="52" t="s">
        <v>730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</row>
    <row r="2" spans="1:21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9"/>
    </row>
    <row r="3" spans="1:21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9</v>
      </c>
      <c r="H3" s="46"/>
      <c r="I3" s="46"/>
      <c r="J3" s="46"/>
      <c r="K3" s="46" t="s">
        <v>10</v>
      </c>
      <c r="L3" s="46"/>
      <c r="M3" s="46"/>
      <c r="N3" s="46"/>
      <c r="O3" s="46" t="s">
        <v>11</v>
      </c>
      <c r="P3" s="46"/>
      <c r="Q3" s="46"/>
      <c r="R3" s="46"/>
      <c r="S3" s="46" t="s">
        <v>1</v>
      </c>
      <c r="T3" s="46" t="s">
        <v>3</v>
      </c>
      <c r="U3" s="48" t="s">
        <v>2</v>
      </c>
    </row>
    <row r="4" spans="1:21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7"/>
      <c r="T4" s="47"/>
      <c r="U4" s="49"/>
    </row>
    <row r="5" spans="1:21" ht="16">
      <c r="A5" s="68" t="s">
        <v>113</v>
      </c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</row>
    <row r="6" spans="1:21">
      <c r="A6" s="11" t="s">
        <v>111</v>
      </c>
      <c r="B6" s="10" t="s">
        <v>114</v>
      </c>
      <c r="C6" s="10" t="s">
        <v>731</v>
      </c>
      <c r="D6" s="10" t="s">
        <v>115</v>
      </c>
      <c r="E6" s="10" t="s">
        <v>759</v>
      </c>
      <c r="F6" s="10" t="s">
        <v>768</v>
      </c>
      <c r="G6" s="22" t="s">
        <v>116</v>
      </c>
      <c r="H6" s="22" t="s">
        <v>117</v>
      </c>
      <c r="I6" s="22" t="s">
        <v>118</v>
      </c>
      <c r="J6" s="11"/>
      <c r="K6" s="22" t="s">
        <v>119</v>
      </c>
      <c r="L6" s="22" t="s">
        <v>120</v>
      </c>
      <c r="M6" s="27" t="s">
        <v>121</v>
      </c>
      <c r="N6" s="11"/>
      <c r="O6" s="22" t="s">
        <v>16</v>
      </c>
      <c r="P6" s="22" t="s">
        <v>17</v>
      </c>
      <c r="Q6" s="22" t="s">
        <v>32</v>
      </c>
      <c r="R6" s="11"/>
      <c r="S6" s="11" t="str">
        <f>"242,5"</f>
        <v>242,5</v>
      </c>
      <c r="T6" s="11" t="str">
        <f>"286,9260"</f>
        <v>286,9260</v>
      </c>
      <c r="U6" s="10" t="s">
        <v>740</v>
      </c>
    </row>
    <row r="7" spans="1:21">
      <c r="A7" s="13" t="s">
        <v>111</v>
      </c>
      <c r="B7" s="12" t="s">
        <v>122</v>
      </c>
      <c r="C7" s="12" t="s">
        <v>123</v>
      </c>
      <c r="D7" s="12" t="s">
        <v>124</v>
      </c>
      <c r="E7" s="12" t="s">
        <v>760</v>
      </c>
      <c r="F7" s="12" t="s">
        <v>768</v>
      </c>
      <c r="G7" s="23" t="s">
        <v>125</v>
      </c>
      <c r="H7" s="23" t="s">
        <v>126</v>
      </c>
      <c r="I7" s="23" t="s">
        <v>127</v>
      </c>
      <c r="J7" s="13"/>
      <c r="K7" s="23" t="s">
        <v>128</v>
      </c>
      <c r="L7" s="24" t="s">
        <v>119</v>
      </c>
      <c r="M7" s="24" t="s">
        <v>119</v>
      </c>
      <c r="N7" s="13"/>
      <c r="O7" s="23" t="s">
        <v>16</v>
      </c>
      <c r="P7" s="23" t="s">
        <v>71</v>
      </c>
      <c r="Q7" s="23" t="s">
        <v>17</v>
      </c>
      <c r="R7" s="13"/>
      <c r="S7" s="13" t="str">
        <f>"240,0"</f>
        <v>240,0</v>
      </c>
      <c r="T7" s="13" t="str">
        <f>"286,3920"</f>
        <v>286,3920</v>
      </c>
      <c r="U7" s="12" t="s">
        <v>688</v>
      </c>
    </row>
    <row r="8" spans="1:21">
      <c r="A8" s="15" t="s">
        <v>112</v>
      </c>
      <c r="B8" s="14" t="s">
        <v>129</v>
      </c>
      <c r="C8" s="14" t="s">
        <v>130</v>
      </c>
      <c r="D8" s="14" t="s">
        <v>131</v>
      </c>
      <c r="E8" s="14" t="s">
        <v>760</v>
      </c>
      <c r="F8" s="14" t="s">
        <v>769</v>
      </c>
      <c r="G8" s="26" t="s">
        <v>132</v>
      </c>
      <c r="H8" s="26" t="s">
        <v>19</v>
      </c>
      <c r="I8" s="25" t="s">
        <v>133</v>
      </c>
      <c r="J8" s="15"/>
      <c r="K8" s="25" t="s">
        <v>134</v>
      </c>
      <c r="L8" s="26" t="s">
        <v>134</v>
      </c>
      <c r="M8" s="25" t="s">
        <v>135</v>
      </c>
      <c r="N8" s="15"/>
      <c r="O8" s="26" t="s">
        <v>19</v>
      </c>
      <c r="P8" s="26" t="s">
        <v>136</v>
      </c>
      <c r="Q8" s="25" t="s">
        <v>116</v>
      </c>
      <c r="R8" s="15"/>
      <c r="S8" s="15" t="str">
        <f>"165,0"</f>
        <v>165,0</v>
      </c>
      <c r="T8" s="15" t="str">
        <f>"197,1750"</f>
        <v>197,1750</v>
      </c>
      <c r="U8" s="14" t="s">
        <v>741</v>
      </c>
    </row>
    <row r="9" spans="1:21">
      <c r="B9" s="5" t="s">
        <v>8</v>
      </c>
    </row>
    <row r="10" spans="1:21" ht="16">
      <c r="A10" s="69" t="s">
        <v>137</v>
      </c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</row>
    <row r="11" spans="1:21">
      <c r="A11" s="9" t="s">
        <v>111</v>
      </c>
      <c r="B11" s="8" t="s">
        <v>138</v>
      </c>
      <c r="C11" s="8" t="s">
        <v>139</v>
      </c>
      <c r="D11" s="8" t="s">
        <v>140</v>
      </c>
      <c r="E11" s="8" t="s">
        <v>760</v>
      </c>
      <c r="F11" s="8" t="s">
        <v>768</v>
      </c>
      <c r="G11" s="20" t="s">
        <v>32</v>
      </c>
      <c r="H11" s="21" t="s">
        <v>23</v>
      </c>
      <c r="I11" s="20" t="s">
        <v>33</v>
      </c>
      <c r="J11" s="9"/>
      <c r="K11" s="21" t="s">
        <v>136</v>
      </c>
      <c r="L11" s="20" t="s">
        <v>136</v>
      </c>
      <c r="M11" s="21" t="s">
        <v>141</v>
      </c>
      <c r="N11" s="9"/>
      <c r="O11" s="20" t="s">
        <v>30</v>
      </c>
      <c r="P11" s="20" t="s">
        <v>34</v>
      </c>
      <c r="Q11" s="21" t="s">
        <v>43</v>
      </c>
      <c r="R11" s="9"/>
      <c r="S11" s="9" t="str">
        <f>"337,5"</f>
        <v>337,5</v>
      </c>
      <c r="T11" s="9" t="str">
        <f>"376,2787"</f>
        <v>376,2787</v>
      </c>
      <c r="U11" s="8" t="s">
        <v>78</v>
      </c>
    </row>
    <row r="12" spans="1:21">
      <c r="B12" s="5" t="s">
        <v>8</v>
      </c>
    </row>
    <row r="13" spans="1:21" ht="16">
      <c r="A13" s="69" t="s">
        <v>25</v>
      </c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</row>
    <row r="14" spans="1:21">
      <c r="A14" s="11" t="s">
        <v>111</v>
      </c>
      <c r="B14" s="10" t="s">
        <v>142</v>
      </c>
      <c r="C14" s="10" t="s">
        <v>143</v>
      </c>
      <c r="D14" s="10" t="s">
        <v>144</v>
      </c>
      <c r="E14" s="10" t="s">
        <v>760</v>
      </c>
      <c r="F14" s="10" t="s">
        <v>768</v>
      </c>
      <c r="G14" s="22" t="s">
        <v>32</v>
      </c>
      <c r="H14" s="22" t="s">
        <v>23</v>
      </c>
      <c r="I14" s="22" t="s">
        <v>70</v>
      </c>
      <c r="J14" s="11"/>
      <c r="K14" s="22" t="s">
        <v>132</v>
      </c>
      <c r="L14" s="22" t="s">
        <v>19</v>
      </c>
      <c r="M14" s="22" t="s">
        <v>133</v>
      </c>
      <c r="N14" s="11"/>
      <c r="O14" s="22" t="s">
        <v>145</v>
      </c>
      <c r="P14" s="22" t="s">
        <v>34</v>
      </c>
      <c r="Q14" s="22" t="s">
        <v>43</v>
      </c>
      <c r="R14" s="11"/>
      <c r="S14" s="11" t="str">
        <f>"345,0"</f>
        <v>345,0</v>
      </c>
      <c r="T14" s="11" t="str">
        <f>"331,9245"</f>
        <v>331,9245</v>
      </c>
      <c r="U14" s="10" t="s">
        <v>742</v>
      </c>
    </row>
    <row r="15" spans="1:21">
      <c r="A15" s="15" t="s">
        <v>111</v>
      </c>
      <c r="B15" s="14" t="s">
        <v>146</v>
      </c>
      <c r="C15" s="14" t="s">
        <v>732</v>
      </c>
      <c r="D15" s="14" t="s">
        <v>147</v>
      </c>
      <c r="E15" s="14" t="s">
        <v>761</v>
      </c>
      <c r="F15" s="14" t="s">
        <v>770</v>
      </c>
      <c r="G15" s="26" t="s">
        <v>117</v>
      </c>
      <c r="H15" s="26" t="s">
        <v>118</v>
      </c>
      <c r="I15" s="26" t="s">
        <v>16</v>
      </c>
      <c r="J15" s="15"/>
      <c r="K15" s="26" t="s">
        <v>135</v>
      </c>
      <c r="L15" s="26" t="s">
        <v>128</v>
      </c>
      <c r="M15" s="26" t="s">
        <v>119</v>
      </c>
      <c r="N15" s="15"/>
      <c r="O15" s="26" t="s">
        <v>16</v>
      </c>
      <c r="P15" s="26" t="s">
        <v>71</v>
      </c>
      <c r="Q15" s="25" t="s">
        <v>22</v>
      </c>
      <c r="R15" s="15"/>
      <c r="S15" s="15" t="str">
        <f>"230,0"</f>
        <v>230,0</v>
      </c>
      <c r="T15" s="15" t="str">
        <f>"238,9646"</f>
        <v>238,9646</v>
      </c>
      <c r="U15" s="14"/>
    </row>
    <row r="16" spans="1:21">
      <c r="B16" s="5" t="s">
        <v>8</v>
      </c>
    </row>
    <row r="17" spans="1:21" ht="16">
      <c r="A17" s="69" t="s">
        <v>12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</row>
    <row r="18" spans="1:21">
      <c r="A18" s="9" t="s">
        <v>111</v>
      </c>
      <c r="B18" s="8" t="s">
        <v>148</v>
      </c>
      <c r="C18" s="8" t="s">
        <v>149</v>
      </c>
      <c r="D18" s="8" t="s">
        <v>150</v>
      </c>
      <c r="E18" s="8" t="s">
        <v>760</v>
      </c>
      <c r="F18" s="8" t="s">
        <v>768</v>
      </c>
      <c r="G18" s="20" t="s">
        <v>30</v>
      </c>
      <c r="H18" s="20" t="s">
        <v>34</v>
      </c>
      <c r="I18" s="9"/>
      <c r="J18" s="9"/>
      <c r="K18" s="20" t="s">
        <v>32</v>
      </c>
      <c r="L18" s="20" t="s">
        <v>23</v>
      </c>
      <c r="M18" s="21" t="s">
        <v>33</v>
      </c>
      <c r="N18" s="9"/>
      <c r="O18" s="20" t="s">
        <v>34</v>
      </c>
      <c r="P18" s="20" t="s">
        <v>64</v>
      </c>
      <c r="Q18" s="21" t="s">
        <v>65</v>
      </c>
      <c r="R18" s="9"/>
      <c r="S18" s="9" t="str">
        <f>"425,0"</f>
        <v>425,0</v>
      </c>
      <c r="T18" s="9" t="str">
        <f>"332,4775"</f>
        <v>332,4775</v>
      </c>
      <c r="U18" s="8" t="s">
        <v>742</v>
      </c>
    </row>
    <row r="19" spans="1:21">
      <c r="B19" s="5" t="s">
        <v>8</v>
      </c>
    </row>
    <row r="20" spans="1:21" ht="16">
      <c r="A20" s="69" t="s">
        <v>25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</row>
    <row r="21" spans="1:21">
      <c r="A21" s="11" t="s">
        <v>111</v>
      </c>
      <c r="B21" s="10" t="s">
        <v>151</v>
      </c>
      <c r="C21" s="10" t="s">
        <v>152</v>
      </c>
      <c r="D21" s="10" t="s">
        <v>144</v>
      </c>
      <c r="E21" s="10" t="s">
        <v>762</v>
      </c>
      <c r="F21" s="10" t="s">
        <v>771</v>
      </c>
      <c r="G21" s="22" t="s">
        <v>29</v>
      </c>
      <c r="H21" s="22" t="s">
        <v>30</v>
      </c>
      <c r="I21" s="27" t="s">
        <v>43</v>
      </c>
      <c r="J21" s="11"/>
      <c r="K21" s="22" t="s">
        <v>118</v>
      </c>
      <c r="L21" s="22" t="s">
        <v>16</v>
      </c>
      <c r="M21" s="22" t="s">
        <v>71</v>
      </c>
      <c r="N21" s="11"/>
      <c r="O21" s="27" t="s">
        <v>64</v>
      </c>
      <c r="P21" s="27" t="s">
        <v>35</v>
      </c>
      <c r="Q21" s="22" t="s">
        <v>35</v>
      </c>
      <c r="R21" s="11"/>
      <c r="S21" s="11" t="str">
        <f>"410,0"</f>
        <v>410,0</v>
      </c>
      <c r="T21" s="11" t="str">
        <f>"296,0610"</f>
        <v>296,0610</v>
      </c>
      <c r="U21" s="10" t="s">
        <v>744</v>
      </c>
    </row>
    <row r="22" spans="1:21">
      <c r="A22" s="15" t="s">
        <v>213</v>
      </c>
      <c r="B22" s="14" t="s">
        <v>153</v>
      </c>
      <c r="C22" s="14" t="s">
        <v>154</v>
      </c>
      <c r="D22" s="14" t="s">
        <v>155</v>
      </c>
      <c r="E22" s="14" t="s">
        <v>760</v>
      </c>
      <c r="F22" s="14" t="s">
        <v>768</v>
      </c>
      <c r="G22" s="26" t="s">
        <v>35</v>
      </c>
      <c r="H22" s="26" t="s">
        <v>36</v>
      </c>
      <c r="I22" s="26" t="s">
        <v>156</v>
      </c>
      <c r="J22" s="15"/>
      <c r="K22" s="26" t="s">
        <v>71</v>
      </c>
      <c r="L22" s="25" t="s">
        <v>17</v>
      </c>
      <c r="M22" s="25" t="s">
        <v>17</v>
      </c>
      <c r="N22" s="15"/>
      <c r="O22" s="25" t="s">
        <v>156</v>
      </c>
      <c r="P22" s="25" t="s">
        <v>156</v>
      </c>
      <c r="Q22" s="25" t="s">
        <v>156</v>
      </c>
      <c r="R22" s="15"/>
      <c r="S22" s="15" t="str">
        <f>"0.00"</f>
        <v>0.00</v>
      </c>
      <c r="T22" s="15" t="str">
        <f>"0,0000"</f>
        <v>0,0000</v>
      </c>
      <c r="U22" s="14" t="s">
        <v>743</v>
      </c>
    </row>
    <row r="23" spans="1:21">
      <c r="B23" s="5" t="s">
        <v>8</v>
      </c>
    </row>
    <row r="24" spans="1:21" ht="16">
      <c r="A24" s="69" t="s">
        <v>37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</row>
    <row r="25" spans="1:21">
      <c r="A25" s="11" t="s">
        <v>111</v>
      </c>
      <c r="B25" s="10" t="s">
        <v>157</v>
      </c>
      <c r="C25" s="10" t="s">
        <v>158</v>
      </c>
      <c r="D25" s="10" t="s">
        <v>159</v>
      </c>
      <c r="E25" s="10" t="s">
        <v>760</v>
      </c>
      <c r="F25" s="10" t="s">
        <v>772</v>
      </c>
      <c r="G25" s="22" t="s">
        <v>91</v>
      </c>
      <c r="H25" s="22" t="s">
        <v>61</v>
      </c>
      <c r="I25" s="22" t="s">
        <v>62</v>
      </c>
      <c r="J25" s="11"/>
      <c r="K25" s="22" t="s">
        <v>29</v>
      </c>
      <c r="L25" s="22" t="s">
        <v>72</v>
      </c>
      <c r="M25" s="27" t="s">
        <v>145</v>
      </c>
      <c r="N25" s="11"/>
      <c r="O25" s="22" t="s">
        <v>66</v>
      </c>
      <c r="P25" s="22" t="s">
        <v>46</v>
      </c>
      <c r="Q25" s="27" t="s">
        <v>55</v>
      </c>
      <c r="R25" s="11"/>
      <c r="S25" s="11" t="str">
        <f>"595,0"</f>
        <v>595,0</v>
      </c>
      <c r="T25" s="11" t="str">
        <f>"401,5655"</f>
        <v>401,5655</v>
      </c>
      <c r="U25" s="10" t="s">
        <v>664</v>
      </c>
    </row>
    <row r="26" spans="1:21">
      <c r="A26" s="15" t="s">
        <v>112</v>
      </c>
      <c r="B26" s="14" t="s">
        <v>160</v>
      </c>
      <c r="C26" s="14" t="s">
        <v>161</v>
      </c>
      <c r="D26" s="14" t="s">
        <v>162</v>
      </c>
      <c r="E26" s="14" t="s">
        <v>760</v>
      </c>
      <c r="F26" s="14" t="s">
        <v>768</v>
      </c>
      <c r="G26" s="26" t="s">
        <v>91</v>
      </c>
      <c r="H26" s="26" t="s">
        <v>61</v>
      </c>
      <c r="I26" s="26" t="s">
        <v>41</v>
      </c>
      <c r="J26" s="15"/>
      <c r="K26" s="25" t="s">
        <v>145</v>
      </c>
      <c r="L26" s="25" t="s">
        <v>145</v>
      </c>
      <c r="M26" s="26" t="s">
        <v>145</v>
      </c>
      <c r="N26" s="15"/>
      <c r="O26" s="26" t="s">
        <v>62</v>
      </c>
      <c r="P26" s="26" t="s">
        <v>63</v>
      </c>
      <c r="Q26" s="26" t="s">
        <v>77</v>
      </c>
      <c r="R26" s="15"/>
      <c r="S26" s="15" t="str">
        <f>"575,0"</f>
        <v>575,0</v>
      </c>
      <c r="T26" s="15" t="str">
        <f>"386,3425"</f>
        <v>386,3425</v>
      </c>
      <c r="U26" s="14"/>
    </row>
    <row r="27" spans="1:21">
      <c r="B27" s="5" t="s">
        <v>8</v>
      </c>
    </row>
    <row r="28" spans="1:21" ht="16">
      <c r="A28" s="69" t="s">
        <v>47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</row>
    <row r="29" spans="1:21">
      <c r="A29" s="11" t="s">
        <v>111</v>
      </c>
      <c r="B29" s="10" t="s">
        <v>163</v>
      </c>
      <c r="C29" s="10" t="s">
        <v>164</v>
      </c>
      <c r="D29" s="10" t="s">
        <v>165</v>
      </c>
      <c r="E29" s="10" t="s">
        <v>760</v>
      </c>
      <c r="F29" s="10" t="s">
        <v>768</v>
      </c>
      <c r="G29" s="22" t="s">
        <v>36</v>
      </c>
      <c r="H29" s="22" t="s">
        <v>91</v>
      </c>
      <c r="I29" s="22" t="s">
        <v>61</v>
      </c>
      <c r="J29" s="11"/>
      <c r="K29" s="22" t="s">
        <v>30</v>
      </c>
      <c r="L29" s="27" t="s">
        <v>34</v>
      </c>
      <c r="M29" s="27" t="s">
        <v>34</v>
      </c>
      <c r="N29" s="11"/>
      <c r="O29" s="22" t="s">
        <v>62</v>
      </c>
      <c r="P29" s="22" t="s">
        <v>63</v>
      </c>
      <c r="Q29" s="22" t="s">
        <v>166</v>
      </c>
      <c r="R29" s="11"/>
      <c r="S29" s="11" t="str">
        <f>"572,5"</f>
        <v>572,5</v>
      </c>
      <c r="T29" s="11" t="str">
        <f>"370,6937"</f>
        <v>370,6937</v>
      </c>
      <c r="U29" s="10"/>
    </row>
    <row r="30" spans="1:21">
      <c r="A30" s="13" t="s">
        <v>112</v>
      </c>
      <c r="B30" s="12" t="s">
        <v>167</v>
      </c>
      <c r="C30" s="12" t="s">
        <v>168</v>
      </c>
      <c r="D30" s="12" t="s">
        <v>169</v>
      </c>
      <c r="E30" s="12" t="s">
        <v>760</v>
      </c>
      <c r="F30" s="12" t="s">
        <v>768</v>
      </c>
      <c r="G30" s="24" t="s">
        <v>36</v>
      </c>
      <c r="H30" s="23" t="s">
        <v>36</v>
      </c>
      <c r="I30" s="23" t="s">
        <v>170</v>
      </c>
      <c r="J30" s="13"/>
      <c r="K30" s="24" t="s">
        <v>30</v>
      </c>
      <c r="L30" s="23" t="s">
        <v>30</v>
      </c>
      <c r="M30" s="23" t="s">
        <v>171</v>
      </c>
      <c r="N30" s="13"/>
      <c r="O30" s="23" t="s">
        <v>61</v>
      </c>
      <c r="P30" s="23" t="s">
        <v>51</v>
      </c>
      <c r="Q30" s="24" t="s">
        <v>44</v>
      </c>
      <c r="R30" s="13"/>
      <c r="S30" s="13" t="str">
        <f>"562,5"</f>
        <v>562,5</v>
      </c>
      <c r="T30" s="13" t="str">
        <f>"362,0250"</f>
        <v>362,0250</v>
      </c>
      <c r="U30" s="12" t="s">
        <v>743</v>
      </c>
    </row>
    <row r="31" spans="1:21">
      <c r="A31" s="15" t="s">
        <v>214</v>
      </c>
      <c r="B31" s="14" t="s">
        <v>172</v>
      </c>
      <c r="C31" s="14" t="s">
        <v>173</v>
      </c>
      <c r="D31" s="14" t="s">
        <v>174</v>
      </c>
      <c r="E31" s="14" t="s">
        <v>760</v>
      </c>
      <c r="F31" s="14" t="s">
        <v>768</v>
      </c>
      <c r="G31" s="26" t="s">
        <v>29</v>
      </c>
      <c r="H31" s="25" t="s">
        <v>145</v>
      </c>
      <c r="I31" s="25" t="s">
        <v>145</v>
      </c>
      <c r="J31" s="15"/>
      <c r="K31" s="26" t="s">
        <v>17</v>
      </c>
      <c r="L31" s="26" t="s">
        <v>22</v>
      </c>
      <c r="M31" s="25" t="s">
        <v>18</v>
      </c>
      <c r="N31" s="15"/>
      <c r="O31" s="26" t="s">
        <v>145</v>
      </c>
      <c r="P31" s="26" t="s">
        <v>34</v>
      </c>
      <c r="Q31" s="26" t="s">
        <v>43</v>
      </c>
      <c r="R31" s="15"/>
      <c r="S31" s="15" t="str">
        <f>"390,0"</f>
        <v>390,0</v>
      </c>
      <c r="T31" s="15" t="str">
        <f>"251,9010"</f>
        <v>251,9010</v>
      </c>
      <c r="U31" s="14" t="s">
        <v>742</v>
      </c>
    </row>
    <row r="32" spans="1:21">
      <c r="B32" s="5" t="s">
        <v>8</v>
      </c>
    </row>
    <row r="33" spans="1:21" ht="16">
      <c r="A33" s="69" t="s">
        <v>175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</row>
    <row r="34" spans="1:21">
      <c r="A34" s="11" t="s">
        <v>111</v>
      </c>
      <c r="B34" s="10" t="s">
        <v>176</v>
      </c>
      <c r="C34" s="10" t="s">
        <v>177</v>
      </c>
      <c r="D34" s="10" t="s">
        <v>178</v>
      </c>
      <c r="E34" s="10" t="s">
        <v>760</v>
      </c>
      <c r="F34" s="10" t="s">
        <v>773</v>
      </c>
      <c r="G34" s="22" t="s">
        <v>91</v>
      </c>
      <c r="H34" s="27" t="s">
        <v>62</v>
      </c>
      <c r="I34" s="27" t="s">
        <v>51</v>
      </c>
      <c r="J34" s="11"/>
      <c r="K34" s="22" t="s">
        <v>17</v>
      </c>
      <c r="L34" s="22" t="s">
        <v>179</v>
      </c>
      <c r="M34" s="22" t="s">
        <v>29</v>
      </c>
      <c r="N34" s="11"/>
      <c r="O34" s="22" t="s">
        <v>61</v>
      </c>
      <c r="P34" s="22" t="s">
        <v>63</v>
      </c>
      <c r="Q34" s="27" t="s">
        <v>66</v>
      </c>
      <c r="R34" s="11"/>
      <c r="S34" s="11" t="str">
        <f>"540,0"</f>
        <v>540,0</v>
      </c>
      <c r="T34" s="11" t="str">
        <f>"330,5340"</f>
        <v>330,5340</v>
      </c>
      <c r="U34" s="10"/>
    </row>
    <row r="35" spans="1:21">
      <c r="A35" s="13" t="s">
        <v>112</v>
      </c>
      <c r="B35" s="12" t="s">
        <v>180</v>
      </c>
      <c r="C35" s="12" t="s">
        <v>181</v>
      </c>
      <c r="D35" s="12" t="s">
        <v>182</v>
      </c>
      <c r="E35" s="12" t="s">
        <v>760</v>
      </c>
      <c r="F35" s="12" t="s">
        <v>768</v>
      </c>
      <c r="G35" s="23" t="s">
        <v>64</v>
      </c>
      <c r="H35" s="23" t="s">
        <v>83</v>
      </c>
      <c r="I35" s="23" t="s">
        <v>156</v>
      </c>
      <c r="J35" s="13"/>
      <c r="K35" s="23" t="s">
        <v>23</v>
      </c>
      <c r="L35" s="23" t="s">
        <v>24</v>
      </c>
      <c r="M35" s="23" t="s">
        <v>29</v>
      </c>
      <c r="N35" s="13"/>
      <c r="O35" s="23" t="s">
        <v>36</v>
      </c>
      <c r="P35" s="23" t="s">
        <v>170</v>
      </c>
      <c r="Q35" s="24" t="s">
        <v>183</v>
      </c>
      <c r="R35" s="13"/>
      <c r="S35" s="13" t="str">
        <f>"510,0"</f>
        <v>510,0</v>
      </c>
      <c r="T35" s="13" t="str">
        <f>"321,8610"</f>
        <v>321,8610</v>
      </c>
      <c r="U35" s="12" t="s">
        <v>745</v>
      </c>
    </row>
    <row r="36" spans="1:21">
      <c r="A36" s="13" t="s">
        <v>214</v>
      </c>
      <c r="B36" s="12" t="s">
        <v>184</v>
      </c>
      <c r="C36" s="12" t="s">
        <v>185</v>
      </c>
      <c r="D36" s="12" t="s">
        <v>186</v>
      </c>
      <c r="E36" s="12" t="s">
        <v>760</v>
      </c>
      <c r="F36" s="12" t="s">
        <v>768</v>
      </c>
      <c r="G36" s="23" t="s">
        <v>35</v>
      </c>
      <c r="H36" s="23" t="s">
        <v>36</v>
      </c>
      <c r="I36" s="24" t="s">
        <v>187</v>
      </c>
      <c r="J36" s="13"/>
      <c r="K36" s="23" t="s">
        <v>72</v>
      </c>
      <c r="L36" s="24" t="s">
        <v>53</v>
      </c>
      <c r="M36" s="24" t="s">
        <v>53</v>
      </c>
      <c r="N36" s="13"/>
      <c r="O36" s="23" t="s">
        <v>36</v>
      </c>
      <c r="P36" s="23" t="s">
        <v>91</v>
      </c>
      <c r="Q36" s="24" t="s">
        <v>61</v>
      </c>
      <c r="R36" s="13"/>
      <c r="S36" s="13" t="str">
        <f>"505,0"</f>
        <v>505,0</v>
      </c>
      <c r="T36" s="13" t="str">
        <f>"308,8580"</f>
        <v>308,8580</v>
      </c>
      <c r="U36" s="12" t="s">
        <v>688</v>
      </c>
    </row>
    <row r="37" spans="1:21">
      <c r="A37" s="13" t="s">
        <v>111</v>
      </c>
      <c r="B37" s="12" t="s">
        <v>188</v>
      </c>
      <c r="C37" s="12" t="s">
        <v>733</v>
      </c>
      <c r="D37" s="12" t="s">
        <v>178</v>
      </c>
      <c r="E37" s="12" t="s">
        <v>763</v>
      </c>
      <c r="F37" s="12" t="s">
        <v>774</v>
      </c>
      <c r="G37" s="23" t="s">
        <v>170</v>
      </c>
      <c r="H37" s="24" t="s">
        <v>61</v>
      </c>
      <c r="I37" s="23" t="s">
        <v>41</v>
      </c>
      <c r="J37" s="13"/>
      <c r="K37" s="23" t="s">
        <v>72</v>
      </c>
      <c r="L37" s="23" t="s">
        <v>145</v>
      </c>
      <c r="M37" s="24" t="s">
        <v>30</v>
      </c>
      <c r="N37" s="13"/>
      <c r="O37" s="24" t="s">
        <v>63</v>
      </c>
      <c r="P37" s="23" t="s">
        <v>77</v>
      </c>
      <c r="Q37" s="23" t="s">
        <v>52</v>
      </c>
      <c r="R37" s="13"/>
      <c r="S37" s="13" t="str">
        <f>"580,0"</f>
        <v>580,0</v>
      </c>
      <c r="T37" s="13" t="str">
        <f>"364,9585"</f>
        <v>364,9585</v>
      </c>
      <c r="U37" s="12"/>
    </row>
    <row r="38" spans="1:21">
      <c r="A38" s="15" t="s">
        <v>111</v>
      </c>
      <c r="B38" s="14" t="s">
        <v>176</v>
      </c>
      <c r="C38" s="14" t="s">
        <v>734</v>
      </c>
      <c r="D38" s="14" t="s">
        <v>178</v>
      </c>
      <c r="E38" s="14" t="s">
        <v>764</v>
      </c>
      <c r="F38" s="14" t="s">
        <v>773</v>
      </c>
      <c r="G38" s="26" t="s">
        <v>91</v>
      </c>
      <c r="H38" s="25" t="s">
        <v>62</v>
      </c>
      <c r="I38" s="25" t="s">
        <v>51</v>
      </c>
      <c r="J38" s="15"/>
      <c r="K38" s="26" t="s">
        <v>17</v>
      </c>
      <c r="L38" s="26" t="s">
        <v>179</v>
      </c>
      <c r="M38" s="26" t="s">
        <v>29</v>
      </c>
      <c r="N38" s="15"/>
      <c r="O38" s="26" t="s">
        <v>61</v>
      </c>
      <c r="P38" s="26" t="s">
        <v>63</v>
      </c>
      <c r="Q38" s="25" t="s">
        <v>66</v>
      </c>
      <c r="R38" s="15"/>
      <c r="S38" s="15" t="str">
        <f>"540,0"</f>
        <v>540,0</v>
      </c>
      <c r="T38" s="15" t="str">
        <f>"380,1141"</f>
        <v>380,1141</v>
      </c>
      <c r="U38" s="14"/>
    </row>
    <row r="39" spans="1:21">
      <c r="B39" s="5" t="s">
        <v>8</v>
      </c>
    </row>
    <row r="40" spans="1:21" ht="16">
      <c r="A40" s="69" t="s">
        <v>189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</row>
    <row r="41" spans="1:21">
      <c r="A41" s="9" t="s">
        <v>111</v>
      </c>
      <c r="B41" s="8" t="s">
        <v>190</v>
      </c>
      <c r="C41" s="8" t="s">
        <v>191</v>
      </c>
      <c r="D41" s="8" t="s">
        <v>192</v>
      </c>
      <c r="E41" s="8" t="s">
        <v>760</v>
      </c>
      <c r="F41" s="8" t="s">
        <v>775</v>
      </c>
      <c r="G41" s="20" t="s">
        <v>66</v>
      </c>
      <c r="H41" s="20" t="s">
        <v>55</v>
      </c>
      <c r="I41" s="20" t="s">
        <v>193</v>
      </c>
      <c r="J41" s="9"/>
      <c r="K41" s="20" t="s">
        <v>65</v>
      </c>
      <c r="L41" s="20" t="s">
        <v>194</v>
      </c>
      <c r="M41" s="21" t="s">
        <v>36</v>
      </c>
      <c r="N41" s="9"/>
      <c r="O41" s="20" t="s">
        <v>195</v>
      </c>
      <c r="P41" s="21" t="s">
        <v>196</v>
      </c>
      <c r="Q41" s="21" t="s">
        <v>196</v>
      </c>
      <c r="R41" s="9"/>
      <c r="S41" s="9" t="str">
        <f>"702,5"</f>
        <v>702,5</v>
      </c>
      <c r="T41" s="9" t="str">
        <f>"388,6230"</f>
        <v>388,6230</v>
      </c>
      <c r="U41" s="8"/>
    </row>
    <row r="42" spans="1:21">
      <c r="B42" s="5" t="s">
        <v>8</v>
      </c>
    </row>
    <row r="43" spans="1:21">
      <c r="B43" s="5" t="s">
        <v>8</v>
      </c>
    </row>
    <row r="44" spans="1:21">
      <c r="B44" s="5" t="s">
        <v>8</v>
      </c>
    </row>
    <row r="45" spans="1:21" ht="18">
      <c r="B45" s="7" t="s">
        <v>7</v>
      </c>
      <c r="C45" s="7"/>
      <c r="F45" s="3"/>
    </row>
    <row r="46" spans="1:21" ht="16">
      <c r="B46" s="16" t="s">
        <v>197</v>
      </c>
      <c r="C46" s="16"/>
      <c r="F46" s="3"/>
    </row>
    <row r="47" spans="1:21" ht="14">
      <c r="B47" s="17"/>
      <c r="C47" s="18" t="s">
        <v>101</v>
      </c>
      <c r="F47" s="3"/>
    </row>
    <row r="48" spans="1:21" ht="14">
      <c r="B48" s="19" t="s">
        <v>95</v>
      </c>
      <c r="C48" s="19" t="s">
        <v>96</v>
      </c>
      <c r="D48" s="19" t="s">
        <v>663</v>
      </c>
      <c r="E48" s="19" t="s">
        <v>98</v>
      </c>
      <c r="F48" s="19" t="s">
        <v>99</v>
      </c>
    </row>
    <row r="49" spans="2:6">
      <c r="B49" s="5" t="s">
        <v>138</v>
      </c>
      <c r="C49" s="5" t="s">
        <v>101</v>
      </c>
      <c r="D49" s="6" t="s">
        <v>199</v>
      </c>
      <c r="E49" s="6" t="s">
        <v>200</v>
      </c>
      <c r="F49" s="6" t="s">
        <v>201</v>
      </c>
    </row>
    <row r="50" spans="2:6">
      <c r="B50" s="5" t="s">
        <v>142</v>
      </c>
      <c r="C50" s="5" t="s">
        <v>101</v>
      </c>
      <c r="D50" s="6" t="s">
        <v>202</v>
      </c>
      <c r="E50" s="6" t="s">
        <v>93</v>
      </c>
      <c r="F50" s="6" t="s">
        <v>203</v>
      </c>
    </row>
    <row r="51" spans="2:6">
      <c r="B51" s="5" t="s">
        <v>122</v>
      </c>
      <c r="C51" s="5" t="s">
        <v>101</v>
      </c>
      <c r="D51" s="6" t="s">
        <v>198</v>
      </c>
      <c r="E51" s="6" t="s">
        <v>66</v>
      </c>
      <c r="F51" s="6" t="s">
        <v>204</v>
      </c>
    </row>
    <row r="53" spans="2:6" ht="16">
      <c r="B53" s="16" t="s">
        <v>94</v>
      </c>
      <c r="C53" s="16"/>
    </row>
    <row r="54" spans="2:6" ht="14">
      <c r="B54" s="17"/>
      <c r="C54" s="18" t="s">
        <v>101</v>
      </c>
    </row>
    <row r="55" spans="2:6" ht="14">
      <c r="B55" s="19" t="s">
        <v>95</v>
      </c>
      <c r="C55" s="19" t="s">
        <v>96</v>
      </c>
      <c r="D55" s="19" t="s">
        <v>663</v>
      </c>
      <c r="E55" s="19" t="s">
        <v>98</v>
      </c>
      <c r="F55" s="19" t="s">
        <v>99</v>
      </c>
    </row>
    <row r="56" spans="2:6">
      <c r="B56" s="5" t="s">
        <v>157</v>
      </c>
      <c r="C56" s="5" t="s">
        <v>101</v>
      </c>
      <c r="D56" s="6" t="s">
        <v>108</v>
      </c>
      <c r="E56" s="6" t="s">
        <v>205</v>
      </c>
      <c r="F56" s="6" t="s">
        <v>206</v>
      </c>
    </row>
    <row r="57" spans="2:6">
      <c r="B57" s="5" t="s">
        <v>190</v>
      </c>
      <c r="C57" s="5" t="s">
        <v>101</v>
      </c>
      <c r="D57" s="6" t="s">
        <v>207</v>
      </c>
      <c r="E57" s="6" t="s">
        <v>208</v>
      </c>
      <c r="F57" s="6" t="s">
        <v>209</v>
      </c>
    </row>
    <row r="58" spans="2:6">
      <c r="B58" s="5" t="s">
        <v>160</v>
      </c>
      <c r="C58" s="5" t="s">
        <v>101</v>
      </c>
      <c r="D58" s="6" t="s">
        <v>108</v>
      </c>
      <c r="E58" s="6" t="s">
        <v>210</v>
      </c>
      <c r="F58" s="6" t="s">
        <v>211</v>
      </c>
    </row>
  </sheetData>
  <mergeCells count="22">
    <mergeCell ref="A33:R33"/>
    <mergeCell ref="A40:R40"/>
    <mergeCell ref="B3:B4"/>
    <mergeCell ref="A10:R10"/>
    <mergeCell ref="A13:R13"/>
    <mergeCell ref="A17:R17"/>
    <mergeCell ref="A20:R20"/>
    <mergeCell ref="A24:R24"/>
    <mergeCell ref="A28:R28"/>
    <mergeCell ref="A5:R5"/>
    <mergeCell ref="S3:S4"/>
    <mergeCell ref="T3:T4"/>
    <mergeCell ref="U3:U4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M74"/>
  <sheetViews>
    <sheetView workbookViewId="0">
      <selection activeCell="E57" sqref="E57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6.3320312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6.1640625" style="5" bestFit="1" customWidth="1"/>
    <col min="14" max="16384" width="9.1640625" style="3"/>
  </cols>
  <sheetData>
    <row r="1" spans="1:13" s="2" customFormat="1" ht="29" customHeight="1">
      <c r="A1" s="52" t="s">
        <v>720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10</v>
      </c>
      <c r="H3" s="46"/>
      <c r="I3" s="46"/>
      <c r="J3" s="46"/>
      <c r="K3" s="46" t="s">
        <v>333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247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111</v>
      </c>
      <c r="B6" s="8" t="s">
        <v>248</v>
      </c>
      <c r="C6" s="8" t="s">
        <v>249</v>
      </c>
      <c r="D6" s="8" t="s">
        <v>250</v>
      </c>
      <c r="E6" s="8" t="s">
        <v>760</v>
      </c>
      <c r="F6" s="8" t="s">
        <v>775</v>
      </c>
      <c r="G6" s="20" t="s">
        <v>120</v>
      </c>
      <c r="H6" s="21" t="s">
        <v>121</v>
      </c>
      <c r="I6" s="21" t="s">
        <v>251</v>
      </c>
      <c r="J6" s="9"/>
      <c r="K6" s="9" t="str">
        <f>"47,5"</f>
        <v>47,5</v>
      </c>
      <c r="L6" s="9" t="str">
        <f>"59,4795"</f>
        <v>59,4795</v>
      </c>
      <c r="M6" s="8"/>
    </row>
    <row r="7" spans="1:13">
      <c r="B7" s="5" t="s">
        <v>8</v>
      </c>
    </row>
    <row r="8" spans="1:13" ht="16">
      <c r="A8" s="63" t="s">
        <v>113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9" t="s">
        <v>111</v>
      </c>
      <c r="B9" s="8" t="s">
        <v>252</v>
      </c>
      <c r="C9" s="8" t="s">
        <v>253</v>
      </c>
      <c r="D9" s="8" t="s">
        <v>254</v>
      </c>
      <c r="E9" s="8" t="s">
        <v>760</v>
      </c>
      <c r="F9" s="8" t="s">
        <v>775</v>
      </c>
      <c r="G9" s="20" t="s">
        <v>119</v>
      </c>
      <c r="H9" s="20" t="s">
        <v>121</v>
      </c>
      <c r="I9" s="20" t="s">
        <v>251</v>
      </c>
      <c r="J9" s="9"/>
      <c r="K9" s="9" t="str">
        <f>"52,5"</f>
        <v>52,5</v>
      </c>
      <c r="L9" s="9" t="str">
        <f>"62,0340"</f>
        <v>62,0340</v>
      </c>
      <c r="M9" s="8" t="s">
        <v>746</v>
      </c>
    </row>
    <row r="10" spans="1:13">
      <c r="B10" s="5" t="s">
        <v>8</v>
      </c>
    </row>
    <row r="11" spans="1:13" ht="16">
      <c r="A11" s="63" t="s">
        <v>12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3">
      <c r="A12" s="9" t="s">
        <v>111</v>
      </c>
      <c r="B12" s="8" t="s">
        <v>255</v>
      </c>
      <c r="C12" s="8" t="s">
        <v>256</v>
      </c>
      <c r="D12" s="8" t="s">
        <v>257</v>
      </c>
      <c r="E12" s="8" t="s">
        <v>760</v>
      </c>
      <c r="F12" s="8" t="s">
        <v>768</v>
      </c>
      <c r="G12" s="20" t="s">
        <v>136</v>
      </c>
      <c r="H12" s="20" t="s">
        <v>116</v>
      </c>
      <c r="I12" s="20" t="s">
        <v>117</v>
      </c>
      <c r="J12" s="9"/>
      <c r="K12" s="9" t="str">
        <f>"80,0"</f>
        <v>80,0</v>
      </c>
      <c r="L12" s="9" t="str">
        <f>"83,3600"</f>
        <v>83,3600</v>
      </c>
      <c r="M12" s="8" t="s">
        <v>659</v>
      </c>
    </row>
    <row r="13" spans="1:13">
      <c r="B13" s="5" t="s">
        <v>8</v>
      </c>
    </row>
    <row r="14" spans="1:13" ht="16">
      <c r="A14" s="63" t="s">
        <v>25</v>
      </c>
      <c r="B14" s="63"/>
      <c r="C14" s="63"/>
      <c r="D14" s="63"/>
      <c r="E14" s="63"/>
      <c r="F14" s="63"/>
      <c r="G14" s="63"/>
      <c r="H14" s="63"/>
      <c r="I14" s="63"/>
      <c r="J14" s="63"/>
    </row>
    <row r="15" spans="1:13">
      <c r="A15" s="9" t="s">
        <v>111</v>
      </c>
      <c r="B15" s="8" t="s">
        <v>258</v>
      </c>
      <c r="C15" s="8" t="s">
        <v>721</v>
      </c>
      <c r="D15" s="8" t="s">
        <v>147</v>
      </c>
      <c r="E15" s="8" t="s">
        <v>761</v>
      </c>
      <c r="F15" s="8" t="s">
        <v>768</v>
      </c>
      <c r="G15" s="20" t="s">
        <v>19</v>
      </c>
      <c r="H15" s="20" t="s">
        <v>133</v>
      </c>
      <c r="I15" s="20" t="s">
        <v>21</v>
      </c>
      <c r="J15" s="9"/>
      <c r="K15" s="9" t="str">
        <f>"67,5"</f>
        <v>67,5</v>
      </c>
      <c r="L15" s="9" t="str">
        <f>"68,9599"</f>
        <v>68,9599</v>
      </c>
      <c r="M15" s="8"/>
    </row>
    <row r="16" spans="1:13">
      <c r="B16" s="5" t="s">
        <v>8</v>
      </c>
    </row>
    <row r="17" spans="1:13" ht="16">
      <c r="A17" s="63" t="s">
        <v>247</v>
      </c>
      <c r="B17" s="63"/>
      <c r="C17" s="63"/>
      <c r="D17" s="63"/>
      <c r="E17" s="63"/>
      <c r="F17" s="63"/>
      <c r="G17" s="63"/>
      <c r="H17" s="63"/>
      <c r="I17" s="63"/>
      <c r="J17" s="63"/>
    </row>
    <row r="18" spans="1:13">
      <c r="A18" s="9" t="s">
        <v>111</v>
      </c>
      <c r="B18" s="8" t="s">
        <v>259</v>
      </c>
      <c r="C18" s="8" t="s">
        <v>260</v>
      </c>
      <c r="D18" s="8" t="s">
        <v>261</v>
      </c>
      <c r="E18" s="8" t="s">
        <v>762</v>
      </c>
      <c r="F18" s="8" t="s">
        <v>768</v>
      </c>
      <c r="G18" s="20" t="s">
        <v>135</v>
      </c>
      <c r="H18" s="20" t="s">
        <v>128</v>
      </c>
      <c r="I18" s="21" t="s">
        <v>119</v>
      </c>
      <c r="J18" s="9"/>
      <c r="K18" s="9" t="str">
        <f>"42,5"</f>
        <v>42,5</v>
      </c>
      <c r="L18" s="9" t="str">
        <f>"52,3770"</f>
        <v>52,3770</v>
      </c>
      <c r="M18" s="8" t="s">
        <v>747</v>
      </c>
    </row>
    <row r="19" spans="1:13">
      <c r="B19" s="5" t="s">
        <v>8</v>
      </c>
    </row>
    <row r="20" spans="1:13" ht="16">
      <c r="A20" s="63" t="s">
        <v>25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3">
      <c r="A21" s="11" t="s">
        <v>111</v>
      </c>
      <c r="B21" s="10" t="s">
        <v>262</v>
      </c>
      <c r="C21" s="10" t="s">
        <v>263</v>
      </c>
      <c r="D21" s="10" t="s">
        <v>264</v>
      </c>
      <c r="E21" s="10" t="s">
        <v>760</v>
      </c>
      <c r="F21" s="10" t="s">
        <v>775</v>
      </c>
      <c r="G21" s="22" t="s">
        <v>72</v>
      </c>
      <c r="H21" s="22" t="s">
        <v>53</v>
      </c>
      <c r="I21" s="27" t="s">
        <v>54</v>
      </c>
      <c r="J21" s="11"/>
      <c r="K21" s="11" t="str">
        <f>"142,5"</f>
        <v>142,5</v>
      </c>
      <c r="L21" s="11" t="str">
        <f>"105,0938"</f>
        <v>105,0938</v>
      </c>
      <c r="M21" s="10"/>
    </row>
    <row r="22" spans="1:13">
      <c r="A22" s="15" t="s">
        <v>112</v>
      </c>
      <c r="B22" s="14" t="s">
        <v>265</v>
      </c>
      <c r="C22" s="14" t="s">
        <v>266</v>
      </c>
      <c r="D22" s="14" t="s">
        <v>155</v>
      </c>
      <c r="E22" s="14" t="s">
        <v>760</v>
      </c>
      <c r="F22" s="14" t="s">
        <v>768</v>
      </c>
      <c r="G22" s="26" t="s">
        <v>267</v>
      </c>
      <c r="H22" s="26" t="s">
        <v>29</v>
      </c>
      <c r="I22" s="26" t="s">
        <v>268</v>
      </c>
      <c r="J22" s="15"/>
      <c r="K22" s="15" t="str">
        <f>"132,5"</f>
        <v>132,5</v>
      </c>
      <c r="L22" s="15" t="str">
        <f>"95,0422"</f>
        <v>95,0422</v>
      </c>
      <c r="M22" s="14"/>
    </row>
    <row r="23" spans="1:13">
      <c r="B23" s="5" t="s">
        <v>8</v>
      </c>
    </row>
    <row r="24" spans="1:13" ht="16">
      <c r="A24" s="63" t="s">
        <v>37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3">
      <c r="A25" s="11" t="s">
        <v>111</v>
      </c>
      <c r="B25" s="10" t="s">
        <v>269</v>
      </c>
      <c r="C25" s="10" t="s">
        <v>270</v>
      </c>
      <c r="D25" s="10" t="s">
        <v>40</v>
      </c>
      <c r="E25" s="10" t="s">
        <v>760</v>
      </c>
      <c r="F25" s="10" t="s">
        <v>768</v>
      </c>
      <c r="G25" s="22" t="s">
        <v>43</v>
      </c>
      <c r="H25" s="11"/>
      <c r="I25" s="11"/>
      <c r="J25" s="11"/>
      <c r="K25" s="11" t="str">
        <f>"155,0"</f>
        <v>155,0</v>
      </c>
      <c r="L25" s="11" t="str">
        <f>"104,9195"</f>
        <v>104,9195</v>
      </c>
      <c r="M25" s="10"/>
    </row>
    <row r="26" spans="1:13">
      <c r="A26" s="13" t="s">
        <v>213</v>
      </c>
      <c r="B26" s="12" t="s">
        <v>271</v>
      </c>
      <c r="C26" s="12" t="s">
        <v>272</v>
      </c>
      <c r="D26" s="12" t="s">
        <v>273</v>
      </c>
      <c r="E26" s="12" t="s">
        <v>760</v>
      </c>
      <c r="F26" s="12" t="s">
        <v>775</v>
      </c>
      <c r="G26" s="24" t="s">
        <v>145</v>
      </c>
      <c r="H26" s="24" t="s">
        <v>30</v>
      </c>
      <c r="I26" s="24" t="s">
        <v>30</v>
      </c>
      <c r="J26" s="13"/>
      <c r="K26" s="13" t="str">
        <f>"0.00"</f>
        <v>0.00</v>
      </c>
      <c r="L26" s="13" t="str">
        <f>"0,0000"</f>
        <v>0,0000</v>
      </c>
      <c r="M26" s="12" t="s">
        <v>748</v>
      </c>
    </row>
    <row r="27" spans="1:13">
      <c r="A27" s="15" t="s">
        <v>111</v>
      </c>
      <c r="B27" s="14" t="s">
        <v>274</v>
      </c>
      <c r="C27" s="14" t="s">
        <v>275</v>
      </c>
      <c r="D27" s="14" t="s">
        <v>276</v>
      </c>
      <c r="E27" s="14" t="s">
        <v>766</v>
      </c>
      <c r="F27" s="14" t="s">
        <v>768</v>
      </c>
      <c r="G27" s="25" t="s">
        <v>125</v>
      </c>
      <c r="H27" s="25" t="s">
        <v>126</v>
      </c>
      <c r="I27" s="26" t="s">
        <v>126</v>
      </c>
      <c r="J27" s="15"/>
      <c r="K27" s="15" t="str">
        <f>"92,5"</f>
        <v>92,5</v>
      </c>
      <c r="L27" s="15" t="str">
        <f>"127,7447"</f>
        <v>127,7447</v>
      </c>
      <c r="M27" s="14"/>
    </row>
    <row r="28" spans="1:13">
      <c r="B28" s="5" t="s">
        <v>8</v>
      </c>
    </row>
    <row r="29" spans="1:13" ht="16">
      <c r="A29" s="63" t="s">
        <v>47</v>
      </c>
      <c r="B29" s="63"/>
      <c r="C29" s="63"/>
      <c r="D29" s="63"/>
      <c r="E29" s="63"/>
      <c r="F29" s="63"/>
      <c r="G29" s="63"/>
      <c r="H29" s="63"/>
      <c r="I29" s="63"/>
      <c r="J29" s="63"/>
    </row>
    <row r="30" spans="1:13">
      <c r="A30" s="9" t="s">
        <v>111</v>
      </c>
      <c r="B30" s="8" t="s">
        <v>277</v>
      </c>
      <c r="C30" s="8" t="s">
        <v>722</v>
      </c>
      <c r="D30" s="8" t="s">
        <v>278</v>
      </c>
      <c r="E30" s="8" t="s">
        <v>763</v>
      </c>
      <c r="F30" s="8" t="s">
        <v>768</v>
      </c>
      <c r="G30" s="20" t="s">
        <v>171</v>
      </c>
      <c r="H30" s="20" t="s">
        <v>64</v>
      </c>
      <c r="I30" s="9"/>
      <c r="J30" s="9"/>
      <c r="K30" s="9" t="str">
        <f>"160,0"</f>
        <v>160,0</v>
      </c>
      <c r="L30" s="9" t="str">
        <f>"104,3110"</f>
        <v>104,3110</v>
      </c>
      <c r="M30" s="8"/>
    </row>
    <row r="31" spans="1:13">
      <c r="B31" s="5" t="s">
        <v>8</v>
      </c>
    </row>
    <row r="32" spans="1:13" ht="16">
      <c r="A32" s="63" t="s">
        <v>175</v>
      </c>
      <c r="B32" s="63"/>
      <c r="C32" s="63"/>
      <c r="D32" s="63"/>
      <c r="E32" s="63"/>
      <c r="F32" s="63"/>
      <c r="G32" s="63"/>
      <c r="H32" s="63"/>
      <c r="I32" s="63"/>
      <c r="J32" s="63"/>
    </row>
    <row r="33" spans="1:13">
      <c r="A33" s="11" t="s">
        <v>111</v>
      </c>
      <c r="B33" s="10" t="s">
        <v>279</v>
      </c>
      <c r="C33" s="10" t="s">
        <v>280</v>
      </c>
      <c r="D33" s="10" t="s">
        <v>281</v>
      </c>
      <c r="E33" s="10" t="s">
        <v>760</v>
      </c>
      <c r="F33" s="10" t="s">
        <v>768</v>
      </c>
      <c r="G33" s="22" t="s">
        <v>63</v>
      </c>
      <c r="H33" s="22" t="s">
        <v>166</v>
      </c>
      <c r="I33" s="22" t="s">
        <v>223</v>
      </c>
      <c r="J33" s="11"/>
      <c r="K33" s="11" t="str">
        <f>"232,5"</f>
        <v>232,5</v>
      </c>
      <c r="L33" s="11" t="str">
        <f>"142,0110"</f>
        <v>142,0110</v>
      </c>
      <c r="M33" s="10"/>
    </row>
    <row r="34" spans="1:13">
      <c r="A34" s="13" t="s">
        <v>112</v>
      </c>
      <c r="B34" s="12" t="s">
        <v>282</v>
      </c>
      <c r="C34" s="12" t="s">
        <v>283</v>
      </c>
      <c r="D34" s="12" t="s">
        <v>284</v>
      </c>
      <c r="E34" s="12" t="s">
        <v>760</v>
      </c>
      <c r="F34" s="12" t="s">
        <v>785</v>
      </c>
      <c r="G34" s="23" t="s">
        <v>61</v>
      </c>
      <c r="H34" s="23" t="s">
        <v>42</v>
      </c>
      <c r="I34" s="24" t="s">
        <v>63</v>
      </c>
      <c r="J34" s="13"/>
      <c r="K34" s="13" t="str">
        <f>"212,5"</f>
        <v>212,5</v>
      </c>
      <c r="L34" s="13" t="str">
        <f>"129,3700"</f>
        <v>129,3700</v>
      </c>
      <c r="M34" s="12"/>
    </row>
    <row r="35" spans="1:13">
      <c r="A35" s="13" t="s">
        <v>214</v>
      </c>
      <c r="B35" s="12" t="s">
        <v>285</v>
      </c>
      <c r="C35" s="12" t="s">
        <v>286</v>
      </c>
      <c r="D35" s="12" t="s">
        <v>281</v>
      </c>
      <c r="E35" s="12" t="s">
        <v>760</v>
      </c>
      <c r="F35" s="12" t="s">
        <v>768</v>
      </c>
      <c r="G35" s="23" t="s">
        <v>287</v>
      </c>
      <c r="H35" s="23" t="s">
        <v>288</v>
      </c>
      <c r="I35" s="13"/>
      <c r="J35" s="13"/>
      <c r="K35" s="13" t="str">
        <f>"182,5"</f>
        <v>182,5</v>
      </c>
      <c r="L35" s="13" t="str">
        <f>"111,4710"</f>
        <v>111,4710</v>
      </c>
      <c r="M35" s="12" t="s">
        <v>78</v>
      </c>
    </row>
    <row r="36" spans="1:13">
      <c r="A36" s="13" t="s">
        <v>334</v>
      </c>
      <c r="B36" s="12" t="s">
        <v>289</v>
      </c>
      <c r="C36" s="12" t="s">
        <v>290</v>
      </c>
      <c r="D36" s="12" t="s">
        <v>222</v>
      </c>
      <c r="E36" s="12" t="s">
        <v>760</v>
      </c>
      <c r="F36" s="12" t="s">
        <v>775</v>
      </c>
      <c r="G36" s="23" t="s">
        <v>64</v>
      </c>
      <c r="H36" s="23" t="s">
        <v>35</v>
      </c>
      <c r="I36" s="23" t="s">
        <v>83</v>
      </c>
      <c r="J36" s="13"/>
      <c r="K36" s="13" t="str">
        <f>"175,0"</f>
        <v>175,0</v>
      </c>
      <c r="L36" s="13" t="str">
        <f>"106,5050"</f>
        <v>106,5050</v>
      </c>
      <c r="M36" s="12" t="s">
        <v>749</v>
      </c>
    </row>
    <row r="37" spans="1:13">
      <c r="A37" s="13" t="s">
        <v>335</v>
      </c>
      <c r="B37" s="12" t="s">
        <v>291</v>
      </c>
      <c r="C37" s="12" t="s">
        <v>292</v>
      </c>
      <c r="D37" s="12" t="s">
        <v>284</v>
      </c>
      <c r="E37" s="12" t="s">
        <v>760</v>
      </c>
      <c r="F37" s="12" t="s">
        <v>775</v>
      </c>
      <c r="G37" s="23" t="s">
        <v>31</v>
      </c>
      <c r="H37" s="23" t="s">
        <v>293</v>
      </c>
      <c r="I37" s="24" t="s">
        <v>83</v>
      </c>
      <c r="J37" s="13"/>
      <c r="K37" s="13" t="str">
        <f>"167,5"</f>
        <v>167,5</v>
      </c>
      <c r="L37" s="13" t="str">
        <f>"101,9740"</f>
        <v>101,9740</v>
      </c>
      <c r="M37" s="12"/>
    </row>
    <row r="38" spans="1:13">
      <c r="A38" s="13" t="s">
        <v>336</v>
      </c>
      <c r="B38" s="12" t="s">
        <v>294</v>
      </c>
      <c r="C38" s="12" t="s">
        <v>295</v>
      </c>
      <c r="D38" s="12" t="s">
        <v>296</v>
      </c>
      <c r="E38" s="12" t="s">
        <v>760</v>
      </c>
      <c r="F38" s="12" t="s">
        <v>786</v>
      </c>
      <c r="G38" s="23" t="s">
        <v>16</v>
      </c>
      <c r="H38" s="23" t="s">
        <v>71</v>
      </c>
      <c r="I38" s="24" t="s">
        <v>17</v>
      </c>
      <c r="J38" s="13"/>
      <c r="K38" s="13" t="str">
        <f>"95,0"</f>
        <v>95,0</v>
      </c>
      <c r="L38" s="13" t="str">
        <f>"59,4700"</f>
        <v>59,4700</v>
      </c>
      <c r="M38" s="12"/>
    </row>
    <row r="39" spans="1:13">
      <c r="A39" s="13" t="s">
        <v>111</v>
      </c>
      <c r="B39" s="12" t="s">
        <v>297</v>
      </c>
      <c r="C39" s="12" t="s">
        <v>723</v>
      </c>
      <c r="D39" s="12" t="s">
        <v>298</v>
      </c>
      <c r="E39" s="12" t="s">
        <v>763</v>
      </c>
      <c r="F39" s="12" t="s">
        <v>768</v>
      </c>
      <c r="G39" s="23" t="s">
        <v>29</v>
      </c>
      <c r="H39" s="23" t="s">
        <v>145</v>
      </c>
      <c r="I39" s="23" t="s">
        <v>54</v>
      </c>
      <c r="J39" s="13"/>
      <c r="K39" s="13" t="str">
        <f>"147,5"</f>
        <v>147,5</v>
      </c>
      <c r="L39" s="13" t="str">
        <f>"94,6115"</f>
        <v>94,6115</v>
      </c>
      <c r="M39" s="12"/>
    </row>
    <row r="40" spans="1:13">
      <c r="A40" s="13" t="s">
        <v>111</v>
      </c>
      <c r="B40" s="12" t="s">
        <v>285</v>
      </c>
      <c r="C40" s="12" t="s">
        <v>724</v>
      </c>
      <c r="D40" s="12" t="s">
        <v>281</v>
      </c>
      <c r="E40" s="12" t="s">
        <v>761</v>
      </c>
      <c r="F40" s="12" t="s">
        <v>768</v>
      </c>
      <c r="G40" s="23" t="s">
        <v>287</v>
      </c>
      <c r="H40" s="23" t="s">
        <v>288</v>
      </c>
      <c r="I40" s="13"/>
      <c r="J40" s="13"/>
      <c r="K40" s="13" t="str">
        <f>"182,5"</f>
        <v>182,5</v>
      </c>
      <c r="L40" s="13" t="str">
        <f>"124,1787"</f>
        <v>124,1787</v>
      </c>
      <c r="M40" s="12" t="s">
        <v>78</v>
      </c>
    </row>
    <row r="41" spans="1:13">
      <c r="A41" s="15" t="s">
        <v>111</v>
      </c>
      <c r="B41" s="14" t="s">
        <v>299</v>
      </c>
      <c r="C41" s="14" t="s">
        <v>725</v>
      </c>
      <c r="D41" s="14" t="s">
        <v>300</v>
      </c>
      <c r="E41" s="14" t="s">
        <v>764</v>
      </c>
      <c r="F41" s="14" t="s">
        <v>768</v>
      </c>
      <c r="G41" s="26" t="s">
        <v>268</v>
      </c>
      <c r="H41" s="26" t="s">
        <v>53</v>
      </c>
      <c r="I41" s="26" t="s">
        <v>34</v>
      </c>
      <c r="J41" s="15"/>
      <c r="K41" s="15" t="str">
        <f>"150,0"</f>
        <v>150,0</v>
      </c>
      <c r="L41" s="15" t="str">
        <f>"108,5189"</f>
        <v>108,5189</v>
      </c>
      <c r="M41" s="14" t="s">
        <v>78</v>
      </c>
    </row>
    <row r="42" spans="1:13">
      <c r="B42" s="5" t="s">
        <v>8</v>
      </c>
    </row>
    <row r="43" spans="1:13" ht="16">
      <c r="A43" s="63" t="s">
        <v>73</v>
      </c>
      <c r="B43" s="63"/>
      <c r="C43" s="63"/>
      <c r="D43" s="63"/>
      <c r="E43" s="63"/>
      <c r="F43" s="63"/>
      <c r="G43" s="63"/>
      <c r="H43" s="63"/>
      <c r="I43" s="63"/>
      <c r="J43" s="63"/>
    </row>
    <row r="44" spans="1:13">
      <c r="A44" s="11" t="s">
        <v>111</v>
      </c>
      <c r="B44" s="10" t="s">
        <v>301</v>
      </c>
      <c r="C44" s="10" t="s">
        <v>302</v>
      </c>
      <c r="D44" s="10" t="s">
        <v>303</v>
      </c>
      <c r="E44" s="10" t="s">
        <v>760</v>
      </c>
      <c r="F44" s="10" t="s">
        <v>775</v>
      </c>
      <c r="G44" s="22" t="s">
        <v>35</v>
      </c>
      <c r="H44" s="22" t="s">
        <v>36</v>
      </c>
      <c r="I44" s="11"/>
      <c r="J44" s="11"/>
      <c r="K44" s="11" t="str">
        <f>"180,0"</f>
        <v>180,0</v>
      </c>
      <c r="L44" s="11" t="str">
        <f>"107,9280"</f>
        <v>107,9280</v>
      </c>
      <c r="M44" s="10"/>
    </row>
    <row r="45" spans="1:13">
      <c r="A45" s="13" t="s">
        <v>112</v>
      </c>
      <c r="B45" s="12" t="s">
        <v>304</v>
      </c>
      <c r="C45" s="12" t="s">
        <v>305</v>
      </c>
      <c r="D45" s="12" t="s">
        <v>306</v>
      </c>
      <c r="E45" s="12" t="s">
        <v>760</v>
      </c>
      <c r="F45" s="12" t="s">
        <v>787</v>
      </c>
      <c r="G45" s="24" t="s">
        <v>293</v>
      </c>
      <c r="H45" s="24" t="s">
        <v>35</v>
      </c>
      <c r="I45" s="23" t="s">
        <v>35</v>
      </c>
      <c r="J45" s="13"/>
      <c r="K45" s="13" t="str">
        <f>"170,0"</f>
        <v>170,0</v>
      </c>
      <c r="L45" s="13" t="str">
        <f>"100,0450"</f>
        <v>100,0450</v>
      </c>
      <c r="M45" s="12"/>
    </row>
    <row r="46" spans="1:13">
      <c r="A46" s="15" t="s">
        <v>111</v>
      </c>
      <c r="B46" s="14" t="s">
        <v>307</v>
      </c>
      <c r="C46" s="14" t="s">
        <v>726</v>
      </c>
      <c r="D46" s="14" t="s">
        <v>308</v>
      </c>
      <c r="E46" s="14" t="s">
        <v>763</v>
      </c>
      <c r="F46" s="14" t="s">
        <v>788</v>
      </c>
      <c r="G46" s="26" t="s">
        <v>64</v>
      </c>
      <c r="H46" s="26" t="s">
        <v>293</v>
      </c>
      <c r="I46" s="26" t="s">
        <v>83</v>
      </c>
      <c r="J46" s="15"/>
      <c r="K46" s="15" t="str">
        <f>"175,0"</f>
        <v>175,0</v>
      </c>
      <c r="L46" s="15" t="str">
        <f>"107,8843"</f>
        <v>107,8843</v>
      </c>
      <c r="M46" s="14"/>
    </row>
    <row r="47" spans="1:13">
      <c r="B47" s="5" t="s">
        <v>8</v>
      </c>
    </row>
    <row r="48" spans="1:13" ht="16">
      <c r="A48" s="63" t="s">
        <v>243</v>
      </c>
      <c r="B48" s="63"/>
      <c r="C48" s="63"/>
      <c r="D48" s="63"/>
      <c r="E48" s="63"/>
      <c r="F48" s="63"/>
      <c r="G48" s="63"/>
      <c r="H48" s="63"/>
      <c r="I48" s="63"/>
      <c r="J48" s="63"/>
    </row>
    <row r="49" spans="1:13">
      <c r="A49" s="11" t="s">
        <v>111</v>
      </c>
      <c r="B49" s="10" t="s">
        <v>309</v>
      </c>
      <c r="C49" s="10" t="s">
        <v>310</v>
      </c>
      <c r="D49" s="10" t="s">
        <v>311</v>
      </c>
      <c r="E49" s="10" t="s">
        <v>760</v>
      </c>
      <c r="F49" s="10" t="s">
        <v>768</v>
      </c>
      <c r="G49" s="22" t="s">
        <v>77</v>
      </c>
      <c r="H49" s="22" t="s">
        <v>312</v>
      </c>
      <c r="I49" s="22" t="s">
        <v>66</v>
      </c>
      <c r="J49" s="11"/>
      <c r="K49" s="11" t="str">
        <f>"240,0"</f>
        <v>240,0</v>
      </c>
      <c r="L49" s="11" t="str">
        <f>"138,9600"</f>
        <v>138,9600</v>
      </c>
      <c r="M49" s="10"/>
    </row>
    <row r="50" spans="1:13">
      <c r="A50" s="13" t="s">
        <v>112</v>
      </c>
      <c r="B50" s="12" t="s">
        <v>313</v>
      </c>
      <c r="C50" s="12" t="s">
        <v>314</v>
      </c>
      <c r="D50" s="12" t="s">
        <v>315</v>
      </c>
      <c r="E50" s="12" t="s">
        <v>760</v>
      </c>
      <c r="F50" s="12" t="s">
        <v>768</v>
      </c>
      <c r="G50" s="23" t="s">
        <v>91</v>
      </c>
      <c r="H50" s="24" t="s">
        <v>61</v>
      </c>
      <c r="I50" s="24" t="s">
        <v>61</v>
      </c>
      <c r="J50" s="13"/>
      <c r="K50" s="13" t="str">
        <f>"190,0"</f>
        <v>190,0</v>
      </c>
      <c r="L50" s="13" t="str">
        <f>"109,5350"</f>
        <v>109,5350</v>
      </c>
      <c r="M50" s="12" t="s">
        <v>659</v>
      </c>
    </row>
    <row r="51" spans="1:13">
      <c r="A51" s="13" t="s">
        <v>214</v>
      </c>
      <c r="B51" s="12" t="s">
        <v>316</v>
      </c>
      <c r="C51" s="12" t="s">
        <v>317</v>
      </c>
      <c r="D51" s="12" t="s">
        <v>318</v>
      </c>
      <c r="E51" s="12" t="s">
        <v>760</v>
      </c>
      <c r="F51" s="12" t="s">
        <v>786</v>
      </c>
      <c r="G51" s="23" t="s">
        <v>23</v>
      </c>
      <c r="H51" s="23" t="s">
        <v>24</v>
      </c>
      <c r="I51" s="24" t="s">
        <v>267</v>
      </c>
      <c r="J51" s="13"/>
      <c r="K51" s="13" t="str">
        <f>"122,5"</f>
        <v>122,5</v>
      </c>
      <c r="L51" s="13" t="str">
        <f>"71,3440"</f>
        <v>71,3440</v>
      </c>
      <c r="M51" s="12" t="s">
        <v>750</v>
      </c>
    </row>
    <row r="52" spans="1:13">
      <c r="A52" s="13" t="s">
        <v>111</v>
      </c>
      <c r="B52" s="12" t="s">
        <v>309</v>
      </c>
      <c r="C52" s="12" t="s">
        <v>727</v>
      </c>
      <c r="D52" s="12" t="s">
        <v>311</v>
      </c>
      <c r="E52" s="12" t="s">
        <v>763</v>
      </c>
      <c r="F52" s="12" t="s">
        <v>768</v>
      </c>
      <c r="G52" s="23" t="s">
        <v>77</v>
      </c>
      <c r="H52" s="23" t="s">
        <v>312</v>
      </c>
      <c r="I52" s="23" t="s">
        <v>66</v>
      </c>
      <c r="J52" s="13"/>
      <c r="K52" s="13" t="str">
        <f>"240,0"</f>
        <v>240,0</v>
      </c>
      <c r="L52" s="13" t="str">
        <f>"140,9054"</f>
        <v>140,9054</v>
      </c>
      <c r="M52" s="12"/>
    </row>
    <row r="53" spans="1:13">
      <c r="A53" s="15" t="s">
        <v>112</v>
      </c>
      <c r="B53" s="14" t="s">
        <v>319</v>
      </c>
      <c r="C53" s="14" t="s">
        <v>719</v>
      </c>
      <c r="D53" s="14" t="s">
        <v>320</v>
      </c>
      <c r="E53" s="14" t="s">
        <v>763</v>
      </c>
      <c r="F53" s="14" t="s">
        <v>768</v>
      </c>
      <c r="G53" s="25" t="s">
        <v>91</v>
      </c>
      <c r="H53" s="26" t="s">
        <v>91</v>
      </c>
      <c r="I53" s="25" t="s">
        <v>183</v>
      </c>
      <c r="J53" s="15"/>
      <c r="K53" s="15" t="str">
        <f>"190,0"</f>
        <v>190,0</v>
      </c>
      <c r="L53" s="15" t="str">
        <f>"111,4538"</f>
        <v>111,4538</v>
      </c>
      <c r="M53" s="14"/>
    </row>
    <row r="54" spans="1:13">
      <c r="B54" s="5" t="s">
        <v>8</v>
      </c>
    </row>
    <row r="55" spans="1:13" ht="16">
      <c r="A55" s="63" t="s">
        <v>84</v>
      </c>
      <c r="B55" s="63"/>
      <c r="C55" s="63"/>
      <c r="D55" s="63"/>
      <c r="E55" s="63"/>
      <c r="F55" s="63"/>
      <c r="G55" s="63"/>
      <c r="H55" s="63"/>
      <c r="I55" s="63"/>
      <c r="J55" s="63"/>
    </row>
    <row r="56" spans="1:13">
      <c r="A56" s="9" t="s">
        <v>111</v>
      </c>
      <c r="B56" s="8" t="s">
        <v>321</v>
      </c>
      <c r="C56" s="8" t="s">
        <v>322</v>
      </c>
      <c r="D56" s="8" t="s">
        <v>323</v>
      </c>
      <c r="E56" s="8" t="s">
        <v>760</v>
      </c>
      <c r="F56" s="8" t="s">
        <v>775</v>
      </c>
      <c r="G56" s="20" t="s">
        <v>288</v>
      </c>
      <c r="H56" s="20" t="s">
        <v>324</v>
      </c>
      <c r="I56" s="21" t="s">
        <v>61</v>
      </c>
      <c r="J56" s="9"/>
      <c r="K56" s="9" t="str">
        <f>"192,5"</f>
        <v>192,5</v>
      </c>
      <c r="L56" s="9" t="str">
        <f>"109,0705"</f>
        <v>109,0705</v>
      </c>
      <c r="M56" s="8"/>
    </row>
    <row r="57" spans="1:13">
      <c r="B57" s="5" t="s">
        <v>8</v>
      </c>
    </row>
    <row r="58" spans="1:13">
      <c r="B58" s="5" t="s">
        <v>8</v>
      </c>
    </row>
    <row r="59" spans="1:13">
      <c r="B59" s="5" t="s">
        <v>8</v>
      </c>
    </row>
    <row r="60" spans="1:13" ht="18">
      <c r="B60" s="7" t="s">
        <v>7</v>
      </c>
      <c r="C60" s="7"/>
      <c r="F60" s="3"/>
    </row>
    <row r="61" spans="1:13" ht="16">
      <c r="B61" s="16" t="s">
        <v>197</v>
      </c>
      <c r="C61" s="16"/>
      <c r="F61" s="3"/>
    </row>
    <row r="62" spans="1:13" ht="14">
      <c r="B62" s="17"/>
      <c r="C62" s="18" t="s">
        <v>101</v>
      </c>
      <c r="F62" s="3"/>
    </row>
    <row r="63" spans="1:13" ht="14">
      <c r="B63" s="19" t="s">
        <v>95</v>
      </c>
      <c r="C63" s="19" t="s">
        <v>96</v>
      </c>
      <c r="D63" s="19" t="s">
        <v>663</v>
      </c>
      <c r="E63" s="19" t="s">
        <v>325</v>
      </c>
      <c r="F63" s="19" t="s">
        <v>99</v>
      </c>
    </row>
    <row r="64" spans="1:13">
      <c r="B64" s="5" t="s">
        <v>255</v>
      </c>
      <c r="C64" s="5" t="s">
        <v>101</v>
      </c>
      <c r="D64" s="6" t="s">
        <v>100</v>
      </c>
      <c r="E64" s="6" t="s">
        <v>117</v>
      </c>
      <c r="F64" s="6" t="s">
        <v>326</v>
      </c>
    </row>
    <row r="65" spans="2:6">
      <c r="B65" s="5" t="s">
        <v>252</v>
      </c>
      <c r="C65" s="5" t="s">
        <v>101</v>
      </c>
      <c r="D65" s="6" t="s">
        <v>198</v>
      </c>
      <c r="E65" s="6" t="s">
        <v>251</v>
      </c>
      <c r="F65" s="6" t="s">
        <v>327</v>
      </c>
    </row>
    <row r="66" spans="2:6">
      <c r="B66" s="5" t="s">
        <v>248</v>
      </c>
      <c r="C66" s="5" t="s">
        <v>101</v>
      </c>
      <c r="D66" s="6" t="s">
        <v>328</v>
      </c>
      <c r="E66" s="6" t="s">
        <v>120</v>
      </c>
      <c r="F66" s="6" t="s">
        <v>329</v>
      </c>
    </row>
    <row r="68" spans="2:6" ht="16">
      <c r="B68" s="16" t="s">
        <v>94</v>
      </c>
      <c r="C68" s="16"/>
    </row>
    <row r="69" spans="2:6" ht="14">
      <c r="B69" s="17"/>
      <c r="C69" s="18" t="s">
        <v>101</v>
      </c>
    </row>
    <row r="70" spans="2:6" ht="14">
      <c r="B70" s="19" t="s">
        <v>95</v>
      </c>
      <c r="C70" s="19" t="s">
        <v>96</v>
      </c>
      <c r="D70" s="19" t="s">
        <v>663</v>
      </c>
      <c r="E70" s="19" t="s">
        <v>325</v>
      </c>
      <c r="F70" s="19" t="s">
        <v>99</v>
      </c>
    </row>
    <row r="71" spans="2:6">
      <c r="B71" s="5" t="s">
        <v>279</v>
      </c>
      <c r="C71" s="5" t="s">
        <v>101</v>
      </c>
      <c r="D71" s="6" t="s">
        <v>212</v>
      </c>
      <c r="E71" s="6" t="s">
        <v>223</v>
      </c>
      <c r="F71" s="6" t="s">
        <v>330</v>
      </c>
    </row>
    <row r="72" spans="2:6">
      <c r="B72" s="5" t="s">
        <v>309</v>
      </c>
      <c r="C72" s="5" t="s">
        <v>101</v>
      </c>
      <c r="D72" s="6" t="s">
        <v>246</v>
      </c>
      <c r="E72" s="6" t="s">
        <v>66</v>
      </c>
      <c r="F72" s="6" t="s">
        <v>331</v>
      </c>
    </row>
    <row r="73" spans="2:6">
      <c r="B73" s="5" t="s">
        <v>282</v>
      </c>
      <c r="C73" s="5" t="s">
        <v>101</v>
      </c>
      <c r="D73" s="6" t="s">
        <v>212</v>
      </c>
      <c r="E73" s="6" t="s">
        <v>42</v>
      </c>
      <c r="F73" s="6" t="s">
        <v>332</v>
      </c>
    </row>
    <row r="74" spans="2:6">
      <c r="B74" s="5" t="s">
        <v>8</v>
      </c>
    </row>
  </sheetData>
  <mergeCells count="23">
    <mergeCell ref="A29:J29"/>
    <mergeCell ref="A32:J32"/>
    <mergeCell ref="A43:J43"/>
    <mergeCell ref="A48:J48"/>
    <mergeCell ref="A55:J55"/>
    <mergeCell ref="A20:J20"/>
    <mergeCell ref="A24:J24"/>
    <mergeCell ref="K3:K4"/>
    <mergeCell ref="L3:L4"/>
    <mergeCell ref="M3:M4"/>
    <mergeCell ref="A5:J5"/>
    <mergeCell ref="B3:B4"/>
    <mergeCell ref="A8:J8"/>
    <mergeCell ref="A11:J11"/>
    <mergeCell ref="A14:J14"/>
    <mergeCell ref="A17:J17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2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52" t="s">
        <v>712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10</v>
      </c>
      <c r="H3" s="46"/>
      <c r="I3" s="46"/>
      <c r="J3" s="46"/>
      <c r="K3" s="46" t="s">
        <v>333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73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111</v>
      </c>
      <c r="B6" s="8" t="s">
        <v>435</v>
      </c>
      <c r="C6" s="8" t="s">
        <v>436</v>
      </c>
      <c r="D6" s="8" t="s">
        <v>437</v>
      </c>
      <c r="E6" s="8" t="s">
        <v>760</v>
      </c>
      <c r="F6" s="8" t="s">
        <v>768</v>
      </c>
      <c r="G6" s="21" t="s">
        <v>91</v>
      </c>
      <c r="H6" s="20" t="s">
        <v>91</v>
      </c>
      <c r="I6" s="20" t="s">
        <v>438</v>
      </c>
      <c r="J6" s="9"/>
      <c r="K6" s="9" t="str">
        <f>"197,5"</f>
        <v>197,5</v>
      </c>
      <c r="L6" s="9" t="str">
        <f>"116,5843"</f>
        <v>116,5843</v>
      </c>
      <c r="M6" s="8"/>
    </row>
    <row r="7" spans="1:13">
      <c r="B7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M7"/>
  <sheetViews>
    <sheetView workbookViewId="0">
      <selection activeCell="E7" sqref="E7"/>
    </sheetView>
  </sheetViews>
  <sheetFormatPr baseColWidth="10" defaultColWidth="9.1640625" defaultRowHeight="13"/>
  <cols>
    <col min="1" max="1" width="7.5" style="5" bestFit="1" customWidth="1"/>
    <col min="2" max="2" width="15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52" t="s">
        <v>713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10</v>
      </c>
      <c r="H3" s="46"/>
      <c r="I3" s="46"/>
      <c r="J3" s="46"/>
      <c r="K3" s="46" t="s">
        <v>333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175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111</v>
      </c>
      <c r="B6" s="8" t="s">
        <v>432</v>
      </c>
      <c r="C6" s="8" t="s">
        <v>433</v>
      </c>
      <c r="D6" s="8" t="s">
        <v>434</v>
      </c>
      <c r="E6" s="8" t="s">
        <v>760</v>
      </c>
      <c r="F6" s="8" t="s">
        <v>768</v>
      </c>
      <c r="G6" s="21" t="s">
        <v>62</v>
      </c>
      <c r="H6" s="21" t="s">
        <v>62</v>
      </c>
      <c r="I6" s="20" t="s">
        <v>62</v>
      </c>
      <c r="J6" s="9"/>
      <c r="K6" s="9" t="str">
        <f>"210,0"</f>
        <v>210,0</v>
      </c>
      <c r="L6" s="9" t="str">
        <f>"132,6150"</f>
        <v>132,6150</v>
      </c>
      <c r="M6" s="8" t="s">
        <v>460</v>
      </c>
    </row>
    <row r="7" spans="1:13">
      <c r="B7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3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83203125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0.83203125" style="5" customWidth="1"/>
    <col min="7" max="10" width="5.5" style="6" customWidth="1"/>
    <col min="11" max="11" width="10.5" style="6" bestFit="1" customWidth="1"/>
    <col min="12" max="12" width="8.5" style="6" bestFit="1" customWidth="1"/>
    <col min="13" max="13" width="22.6640625" style="5" customWidth="1"/>
    <col min="14" max="16384" width="9.1640625" style="3"/>
  </cols>
  <sheetData>
    <row r="1" spans="1:13" s="2" customFormat="1" ht="29" customHeight="1">
      <c r="A1" s="52" t="s">
        <v>692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10</v>
      </c>
      <c r="H3" s="46"/>
      <c r="I3" s="46"/>
      <c r="J3" s="46"/>
      <c r="K3" s="46" t="s">
        <v>333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113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11" t="s">
        <v>111</v>
      </c>
      <c r="B6" s="10" t="s">
        <v>605</v>
      </c>
      <c r="C6" s="10" t="s">
        <v>656</v>
      </c>
      <c r="D6" s="10" t="s">
        <v>606</v>
      </c>
      <c r="E6" s="10" t="s">
        <v>762</v>
      </c>
      <c r="F6" s="10" t="s">
        <v>768</v>
      </c>
      <c r="G6" s="22" t="s">
        <v>16</v>
      </c>
      <c r="H6" s="27" t="s">
        <v>17</v>
      </c>
      <c r="I6" s="27" t="s">
        <v>17</v>
      </c>
      <c r="J6" s="11"/>
      <c r="K6" s="11" t="str">
        <f>"90,0"</f>
        <v>90,0</v>
      </c>
      <c r="L6" s="11" t="str">
        <f>"95,7420"</f>
        <v>95,7420</v>
      </c>
      <c r="M6" s="10" t="s">
        <v>658</v>
      </c>
    </row>
    <row r="7" spans="1:13">
      <c r="A7" s="15" t="s">
        <v>111</v>
      </c>
      <c r="B7" s="14" t="s">
        <v>605</v>
      </c>
      <c r="C7" s="14" t="s">
        <v>607</v>
      </c>
      <c r="D7" s="14" t="s">
        <v>606</v>
      </c>
      <c r="E7" s="14" t="s">
        <v>760</v>
      </c>
      <c r="F7" s="14" t="s">
        <v>768</v>
      </c>
      <c r="G7" s="26" t="s">
        <v>16</v>
      </c>
      <c r="H7" s="25" t="s">
        <v>17</v>
      </c>
      <c r="I7" s="25" t="s">
        <v>17</v>
      </c>
      <c r="J7" s="15"/>
      <c r="K7" s="15" t="str">
        <f>"90,0"</f>
        <v>90,0</v>
      </c>
      <c r="L7" s="15" t="str">
        <f>"95,7420"</f>
        <v>95,7420</v>
      </c>
      <c r="M7" s="14" t="s">
        <v>658</v>
      </c>
    </row>
    <row r="8" spans="1:13">
      <c r="B8" s="5" t="s">
        <v>8</v>
      </c>
    </row>
    <row r="9" spans="1:13" ht="16">
      <c r="A9" s="63" t="s">
        <v>137</v>
      </c>
      <c r="B9" s="63"/>
      <c r="C9" s="63"/>
      <c r="D9" s="63"/>
      <c r="E9" s="63"/>
      <c r="F9" s="63"/>
      <c r="G9" s="63"/>
      <c r="H9" s="63"/>
      <c r="I9" s="63"/>
      <c r="J9" s="63"/>
    </row>
    <row r="10" spans="1:13">
      <c r="A10" s="9" t="s">
        <v>111</v>
      </c>
      <c r="B10" s="8" t="s">
        <v>608</v>
      </c>
      <c r="C10" s="8" t="s">
        <v>609</v>
      </c>
      <c r="D10" s="8" t="s">
        <v>610</v>
      </c>
      <c r="E10" s="8" t="s">
        <v>760</v>
      </c>
      <c r="F10" s="8" t="s">
        <v>789</v>
      </c>
      <c r="G10" s="20" t="s">
        <v>611</v>
      </c>
      <c r="H10" s="21" t="s">
        <v>18</v>
      </c>
      <c r="I10" s="20" t="s">
        <v>18</v>
      </c>
      <c r="J10" s="21" t="s">
        <v>32</v>
      </c>
      <c r="K10" s="9" t="str">
        <f>"107,5"</f>
        <v>107,5</v>
      </c>
      <c r="L10" s="9" t="str">
        <f>"107,1721"</f>
        <v>107,1721</v>
      </c>
      <c r="M10" s="8"/>
    </row>
    <row r="11" spans="1:13">
      <c r="B11" s="5" t="s">
        <v>8</v>
      </c>
    </row>
    <row r="12" spans="1:13" ht="16">
      <c r="A12" s="63" t="s">
        <v>12</v>
      </c>
      <c r="B12" s="63"/>
      <c r="C12" s="63"/>
      <c r="D12" s="63"/>
      <c r="E12" s="63"/>
      <c r="F12" s="63"/>
      <c r="G12" s="63"/>
      <c r="H12" s="63"/>
      <c r="I12" s="63"/>
      <c r="J12" s="63"/>
    </row>
    <row r="13" spans="1:13">
      <c r="A13" s="9" t="s">
        <v>111</v>
      </c>
      <c r="B13" s="8" t="s">
        <v>255</v>
      </c>
      <c r="C13" s="8" t="s">
        <v>256</v>
      </c>
      <c r="D13" s="8" t="s">
        <v>257</v>
      </c>
      <c r="E13" s="8" t="s">
        <v>760</v>
      </c>
      <c r="F13" s="8" t="s">
        <v>768</v>
      </c>
      <c r="G13" s="20" t="s">
        <v>32</v>
      </c>
      <c r="H13" s="21" t="s">
        <v>179</v>
      </c>
      <c r="I13" s="21" t="s">
        <v>179</v>
      </c>
      <c r="J13" s="9"/>
      <c r="K13" s="9" t="str">
        <f>"110,0"</f>
        <v>110,0</v>
      </c>
      <c r="L13" s="9" t="str">
        <f>"101,1945"</f>
        <v>101,1945</v>
      </c>
      <c r="M13" s="8" t="s">
        <v>659</v>
      </c>
    </row>
    <row r="14" spans="1:13">
      <c r="B14" s="5" t="s">
        <v>8</v>
      </c>
    </row>
    <row r="15" spans="1:13" ht="16">
      <c r="A15" s="63" t="s">
        <v>12</v>
      </c>
      <c r="B15" s="63"/>
      <c r="C15" s="63"/>
      <c r="D15" s="63"/>
      <c r="E15" s="63"/>
      <c r="F15" s="63"/>
      <c r="G15" s="63"/>
      <c r="H15" s="63"/>
      <c r="I15" s="63"/>
      <c r="J15" s="63"/>
    </row>
    <row r="16" spans="1:13">
      <c r="A16" s="9" t="s">
        <v>111</v>
      </c>
      <c r="B16" s="8" t="s">
        <v>602</v>
      </c>
      <c r="C16" s="8" t="s">
        <v>657</v>
      </c>
      <c r="D16" s="8" t="s">
        <v>603</v>
      </c>
      <c r="E16" s="8" t="s">
        <v>759</v>
      </c>
      <c r="F16" s="8" t="s">
        <v>768</v>
      </c>
      <c r="G16" s="20" t="s">
        <v>64</v>
      </c>
      <c r="H16" s="20" t="s">
        <v>35</v>
      </c>
      <c r="I16" s="21" t="s">
        <v>36</v>
      </c>
      <c r="J16" s="9"/>
      <c r="K16" s="9" t="str">
        <f>"170,0"</f>
        <v>170,0</v>
      </c>
      <c r="L16" s="9" t="str">
        <f>"128,2055"</f>
        <v>128,2055</v>
      </c>
      <c r="M16" s="8" t="s">
        <v>660</v>
      </c>
    </row>
    <row r="17" spans="1:13">
      <c r="B17" s="5" t="s">
        <v>8</v>
      </c>
    </row>
    <row r="18" spans="1:13" ht="16">
      <c r="A18" s="63" t="s">
        <v>25</v>
      </c>
      <c r="B18" s="63"/>
      <c r="C18" s="63"/>
      <c r="D18" s="63"/>
      <c r="E18" s="63"/>
      <c r="F18" s="63"/>
      <c r="G18" s="63"/>
      <c r="H18" s="63"/>
      <c r="I18" s="63"/>
      <c r="J18" s="63"/>
    </row>
    <row r="19" spans="1:13">
      <c r="A19" s="9" t="s">
        <v>111</v>
      </c>
      <c r="B19" s="8" t="s">
        <v>612</v>
      </c>
      <c r="C19" s="8" t="s">
        <v>613</v>
      </c>
      <c r="D19" s="8" t="s">
        <v>373</v>
      </c>
      <c r="E19" s="8" t="s">
        <v>760</v>
      </c>
      <c r="F19" s="8" t="s">
        <v>784</v>
      </c>
      <c r="G19" s="20" t="s">
        <v>61</v>
      </c>
      <c r="H19" s="21" t="s">
        <v>51</v>
      </c>
      <c r="I19" s="21" t="s">
        <v>51</v>
      </c>
      <c r="J19" s="9"/>
      <c r="K19" s="9" t="str">
        <f>"200,0"</f>
        <v>200,0</v>
      </c>
      <c r="L19" s="9" t="str">
        <f>"139,0900"</f>
        <v>139,0900</v>
      </c>
      <c r="M19" s="8"/>
    </row>
    <row r="20" spans="1:13">
      <c r="B20" s="5" t="s">
        <v>8</v>
      </c>
    </row>
    <row r="21" spans="1:13" ht="16">
      <c r="A21" s="63" t="s">
        <v>37</v>
      </c>
      <c r="B21" s="63"/>
      <c r="C21" s="63"/>
      <c r="D21" s="63"/>
      <c r="E21" s="63"/>
      <c r="F21" s="63"/>
      <c r="G21" s="63"/>
      <c r="H21" s="63"/>
      <c r="I21" s="63"/>
      <c r="J21" s="63"/>
    </row>
    <row r="22" spans="1:13">
      <c r="A22" s="11" t="s">
        <v>111</v>
      </c>
      <c r="B22" s="10" t="s">
        <v>269</v>
      </c>
      <c r="C22" s="10" t="s">
        <v>270</v>
      </c>
      <c r="D22" s="10" t="s">
        <v>40</v>
      </c>
      <c r="E22" s="10" t="s">
        <v>760</v>
      </c>
      <c r="F22" s="10" t="s">
        <v>768</v>
      </c>
      <c r="G22" s="27" t="s">
        <v>183</v>
      </c>
      <c r="H22" s="22" t="s">
        <v>183</v>
      </c>
      <c r="I22" s="11"/>
      <c r="J22" s="11"/>
      <c r="K22" s="11" t="str">
        <f>"202,5"</f>
        <v>202,5</v>
      </c>
      <c r="L22" s="11" t="str">
        <f>"131,9996"</f>
        <v>131,9996</v>
      </c>
      <c r="M22" s="10"/>
    </row>
    <row r="23" spans="1:13">
      <c r="A23" s="15" t="s">
        <v>112</v>
      </c>
      <c r="B23" s="14" t="s">
        <v>614</v>
      </c>
      <c r="C23" s="14" t="s">
        <v>615</v>
      </c>
      <c r="D23" s="14" t="s">
        <v>616</v>
      </c>
      <c r="E23" s="14" t="s">
        <v>760</v>
      </c>
      <c r="F23" s="14" t="s">
        <v>775</v>
      </c>
      <c r="G23" s="25" t="s">
        <v>156</v>
      </c>
      <c r="H23" s="26" t="s">
        <v>156</v>
      </c>
      <c r="I23" s="25" t="s">
        <v>183</v>
      </c>
      <c r="J23" s="15"/>
      <c r="K23" s="15" t="str">
        <f>"185,0"</f>
        <v>185,0</v>
      </c>
      <c r="L23" s="15" t="str">
        <f>"121,0825"</f>
        <v>121,0825</v>
      </c>
      <c r="M23" s="14" t="s">
        <v>661</v>
      </c>
    </row>
    <row r="24" spans="1:13">
      <c r="B24" s="5" t="s">
        <v>8</v>
      </c>
    </row>
    <row r="25" spans="1:13" ht="16">
      <c r="A25" s="63" t="s">
        <v>47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3">
      <c r="A26" s="9" t="s">
        <v>111</v>
      </c>
      <c r="B26" s="8" t="s">
        <v>617</v>
      </c>
      <c r="C26" s="8" t="s">
        <v>618</v>
      </c>
      <c r="D26" s="8" t="s">
        <v>619</v>
      </c>
      <c r="E26" s="8" t="s">
        <v>760</v>
      </c>
      <c r="F26" s="8" t="s">
        <v>768</v>
      </c>
      <c r="G26" s="21" t="s">
        <v>65</v>
      </c>
      <c r="H26" s="20" t="s">
        <v>65</v>
      </c>
      <c r="I26" s="21" t="s">
        <v>187</v>
      </c>
      <c r="J26" s="9"/>
      <c r="K26" s="9" t="str">
        <f>"165,0"</f>
        <v>165,0</v>
      </c>
      <c r="L26" s="9" t="str">
        <f>"101,2027"</f>
        <v>101,2027</v>
      </c>
      <c r="M26" s="8" t="s">
        <v>658</v>
      </c>
    </row>
    <row r="27" spans="1:13">
      <c r="B27" s="5" t="s">
        <v>8</v>
      </c>
    </row>
    <row r="28" spans="1:13" ht="16">
      <c r="A28" s="63" t="s">
        <v>175</v>
      </c>
      <c r="B28" s="63"/>
      <c r="C28" s="63"/>
      <c r="D28" s="63"/>
      <c r="E28" s="63"/>
      <c r="F28" s="63"/>
      <c r="G28" s="63"/>
      <c r="H28" s="63"/>
      <c r="I28" s="63"/>
      <c r="J28" s="63"/>
    </row>
    <row r="29" spans="1:13">
      <c r="A29" s="11" t="s">
        <v>111</v>
      </c>
      <c r="B29" s="10" t="s">
        <v>620</v>
      </c>
      <c r="C29" s="10" t="s">
        <v>621</v>
      </c>
      <c r="D29" s="10" t="s">
        <v>622</v>
      </c>
      <c r="E29" s="10" t="s">
        <v>760</v>
      </c>
      <c r="F29" s="10" t="s">
        <v>790</v>
      </c>
      <c r="G29" s="22" t="s">
        <v>156</v>
      </c>
      <c r="H29" s="22" t="s">
        <v>183</v>
      </c>
      <c r="I29" s="27" t="s">
        <v>62</v>
      </c>
      <c r="J29" s="11"/>
      <c r="K29" s="11" t="str">
        <f>"202,5"</f>
        <v>202,5</v>
      </c>
      <c r="L29" s="11" t="str">
        <f>"119,1814"</f>
        <v>119,1814</v>
      </c>
      <c r="M29" s="10"/>
    </row>
    <row r="30" spans="1:13">
      <c r="A30" s="15" t="s">
        <v>112</v>
      </c>
      <c r="B30" s="14" t="s">
        <v>412</v>
      </c>
      <c r="C30" s="14" t="s">
        <v>413</v>
      </c>
      <c r="D30" s="14" t="s">
        <v>414</v>
      </c>
      <c r="E30" s="14" t="s">
        <v>760</v>
      </c>
      <c r="F30" s="14" t="s">
        <v>768</v>
      </c>
      <c r="G30" s="26" t="s">
        <v>35</v>
      </c>
      <c r="H30" s="26" t="s">
        <v>287</v>
      </c>
      <c r="I30" s="25" t="s">
        <v>36</v>
      </c>
      <c r="J30" s="15"/>
      <c r="K30" s="15" t="str">
        <f>"177,5"</f>
        <v>177,5</v>
      </c>
      <c r="L30" s="15" t="str">
        <f>"104,8137"</f>
        <v>104,8137</v>
      </c>
      <c r="M30" s="14" t="s">
        <v>659</v>
      </c>
    </row>
    <row r="31" spans="1:13">
      <c r="B31" s="5" t="s">
        <v>8</v>
      </c>
    </row>
    <row r="32" spans="1:13" ht="16">
      <c r="A32" s="63" t="s">
        <v>73</v>
      </c>
      <c r="B32" s="63"/>
      <c r="C32" s="63"/>
      <c r="D32" s="63"/>
      <c r="E32" s="63"/>
      <c r="F32" s="63"/>
      <c r="G32" s="63"/>
      <c r="H32" s="63"/>
      <c r="I32" s="63"/>
      <c r="J32" s="63"/>
    </row>
    <row r="33" spans="1:13">
      <c r="A33" s="9" t="s">
        <v>111</v>
      </c>
      <c r="B33" s="8" t="s">
        <v>623</v>
      </c>
      <c r="C33" s="8" t="s">
        <v>624</v>
      </c>
      <c r="D33" s="8" t="s">
        <v>625</v>
      </c>
      <c r="E33" s="8" t="s">
        <v>760</v>
      </c>
      <c r="F33" s="8" t="s">
        <v>768</v>
      </c>
      <c r="G33" s="20" t="s">
        <v>61</v>
      </c>
      <c r="H33" s="20" t="s">
        <v>63</v>
      </c>
      <c r="I33" s="21" t="s">
        <v>77</v>
      </c>
      <c r="J33" s="9"/>
      <c r="K33" s="9" t="str">
        <f>"220,0"</f>
        <v>220,0</v>
      </c>
      <c r="L33" s="9" t="str">
        <f>"124,1680"</f>
        <v>124,1680</v>
      </c>
      <c r="M33" s="8" t="s">
        <v>662</v>
      </c>
    </row>
    <row r="34" spans="1:13">
      <c r="B34" s="5" t="s">
        <v>8</v>
      </c>
    </row>
    <row r="35" spans="1:13">
      <c r="B35" s="5" t="s">
        <v>8</v>
      </c>
    </row>
  </sheetData>
  <mergeCells count="20">
    <mergeCell ref="A28:J28"/>
    <mergeCell ref="A32:J32"/>
    <mergeCell ref="B3:B4"/>
    <mergeCell ref="A9:J9"/>
    <mergeCell ref="A12:J12"/>
    <mergeCell ref="A15:J15"/>
    <mergeCell ref="A18:J18"/>
    <mergeCell ref="A21:J21"/>
    <mergeCell ref="A25:J25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16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.3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5" style="5" customWidth="1"/>
    <col min="14" max="16384" width="9.1640625" style="3"/>
  </cols>
  <sheetData>
    <row r="1" spans="1:13" s="2" customFormat="1" ht="29" customHeight="1">
      <c r="A1" s="52" t="s">
        <v>693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10</v>
      </c>
      <c r="H3" s="46"/>
      <c r="I3" s="46"/>
      <c r="J3" s="46"/>
      <c r="K3" s="46" t="s">
        <v>333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12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111</v>
      </c>
      <c r="B6" s="8" t="s">
        <v>602</v>
      </c>
      <c r="C6" s="8" t="s">
        <v>657</v>
      </c>
      <c r="D6" s="8" t="s">
        <v>603</v>
      </c>
      <c r="E6" s="8" t="s">
        <v>759</v>
      </c>
      <c r="F6" s="8" t="s">
        <v>768</v>
      </c>
      <c r="G6" s="20" t="s">
        <v>35</v>
      </c>
      <c r="H6" s="9"/>
      <c r="I6" s="9"/>
      <c r="J6" s="9"/>
      <c r="K6" s="9" t="str">
        <f>"170,0"</f>
        <v>170,0</v>
      </c>
      <c r="L6" s="9" t="str">
        <f>"128,2055"</f>
        <v>128,2055</v>
      </c>
      <c r="M6" s="8" t="s">
        <v>664</v>
      </c>
    </row>
    <row r="7" spans="1:13">
      <c r="B7" s="5" t="s">
        <v>8</v>
      </c>
    </row>
    <row r="8" spans="1:13" ht="16">
      <c r="A8" s="63" t="s">
        <v>37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9" t="s">
        <v>111</v>
      </c>
      <c r="B9" s="8" t="s">
        <v>269</v>
      </c>
      <c r="C9" s="8" t="s">
        <v>270</v>
      </c>
      <c r="D9" s="8" t="s">
        <v>40</v>
      </c>
      <c r="E9" s="8" t="s">
        <v>760</v>
      </c>
      <c r="F9" s="8" t="s">
        <v>768</v>
      </c>
      <c r="G9" s="21" t="s">
        <v>183</v>
      </c>
      <c r="H9" s="20" t="s">
        <v>183</v>
      </c>
      <c r="I9" s="9"/>
      <c r="J9" s="9"/>
      <c r="K9" s="9" t="str">
        <f>"202,5"</f>
        <v>202,5</v>
      </c>
      <c r="L9" s="9" t="str">
        <f>"131,9996"</f>
        <v>131,9996</v>
      </c>
      <c r="M9" s="8"/>
    </row>
    <row r="10" spans="1:13">
      <c r="B10" s="5" t="s">
        <v>8</v>
      </c>
    </row>
    <row r="11" spans="1:13" ht="16">
      <c r="A11" s="63" t="s">
        <v>175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3">
      <c r="A12" s="9" t="s">
        <v>111</v>
      </c>
      <c r="B12" s="8" t="s">
        <v>282</v>
      </c>
      <c r="C12" s="8" t="s">
        <v>283</v>
      </c>
      <c r="D12" s="8" t="s">
        <v>284</v>
      </c>
      <c r="E12" s="8" t="s">
        <v>760</v>
      </c>
      <c r="F12" s="8" t="s">
        <v>785</v>
      </c>
      <c r="G12" s="20" t="s">
        <v>227</v>
      </c>
      <c r="H12" s="21" t="s">
        <v>604</v>
      </c>
      <c r="I12" s="21" t="s">
        <v>604</v>
      </c>
      <c r="J12" s="9"/>
      <c r="K12" s="9" t="str">
        <f>"290,0"</f>
        <v>290,0</v>
      </c>
      <c r="L12" s="9" t="str">
        <f>"168,6495"</f>
        <v>168,6495</v>
      </c>
      <c r="M12" s="8"/>
    </row>
    <row r="13" spans="1:13">
      <c r="B13" s="5" t="s">
        <v>8</v>
      </c>
    </row>
    <row r="14" spans="1:13" ht="16">
      <c r="A14" s="63" t="s">
        <v>243</v>
      </c>
      <c r="B14" s="63"/>
      <c r="C14" s="63"/>
      <c r="D14" s="63"/>
      <c r="E14" s="63"/>
      <c r="F14" s="63"/>
      <c r="G14" s="63"/>
      <c r="H14" s="63"/>
      <c r="I14" s="63"/>
      <c r="J14" s="63"/>
    </row>
    <row r="15" spans="1:13">
      <c r="A15" s="9" t="s">
        <v>111</v>
      </c>
      <c r="B15" s="8" t="s">
        <v>309</v>
      </c>
      <c r="C15" s="8" t="s">
        <v>665</v>
      </c>
      <c r="D15" s="8" t="s">
        <v>311</v>
      </c>
      <c r="E15" s="8" t="s">
        <v>763</v>
      </c>
      <c r="F15" s="8" t="s">
        <v>768</v>
      </c>
      <c r="G15" s="20" t="s">
        <v>228</v>
      </c>
      <c r="H15" s="20" t="s">
        <v>227</v>
      </c>
      <c r="I15" s="20" t="s">
        <v>88</v>
      </c>
      <c r="J15" s="9"/>
      <c r="K15" s="9" t="str">
        <f>"300,0"</f>
        <v>300,0</v>
      </c>
      <c r="L15" s="9" t="str">
        <f>"169,6770"</f>
        <v>169,6770</v>
      </c>
      <c r="M15" s="8"/>
    </row>
    <row r="16" spans="1:13">
      <c r="B16" s="5" t="s">
        <v>8</v>
      </c>
    </row>
  </sheetData>
  <mergeCells count="15">
    <mergeCell ref="A8:J8"/>
    <mergeCell ref="A11:J11"/>
    <mergeCell ref="A14:J14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9.5" style="5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2.83203125" style="5" customWidth="1"/>
    <col min="14" max="16384" width="9.1640625" style="3"/>
  </cols>
  <sheetData>
    <row r="1" spans="1:13" s="2" customFormat="1" ht="29" customHeight="1">
      <c r="A1" s="52" t="s">
        <v>690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10</v>
      </c>
      <c r="H3" s="46"/>
      <c r="I3" s="46"/>
      <c r="J3" s="46"/>
      <c r="K3" s="66" t="s">
        <v>333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67"/>
      <c r="L4" s="47"/>
      <c r="M4" s="49"/>
    </row>
    <row r="5" spans="1:13" ht="16">
      <c r="A5" s="50" t="s">
        <v>37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111</v>
      </c>
      <c r="B6" s="8" t="s">
        <v>269</v>
      </c>
      <c r="C6" s="8" t="s">
        <v>270</v>
      </c>
      <c r="D6" s="8" t="s">
        <v>40</v>
      </c>
      <c r="E6" s="8" t="s">
        <v>760</v>
      </c>
      <c r="F6" s="8" t="s">
        <v>768</v>
      </c>
      <c r="G6" s="21" t="s">
        <v>183</v>
      </c>
      <c r="H6" s="20" t="s">
        <v>183</v>
      </c>
      <c r="I6" s="9"/>
      <c r="J6" s="9"/>
      <c r="K6" s="29" t="str">
        <f>"202,5"</f>
        <v>202,5</v>
      </c>
      <c r="L6" s="9" t="str">
        <f>"131,9996"</f>
        <v>131,9996</v>
      </c>
      <c r="M6" s="8"/>
    </row>
    <row r="7" spans="1:13">
      <c r="B7" s="5" t="s">
        <v>8</v>
      </c>
    </row>
    <row r="8" spans="1:13" ht="16">
      <c r="A8" s="63" t="s">
        <v>175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9" t="s">
        <v>213</v>
      </c>
      <c r="B9" s="8" t="s">
        <v>631</v>
      </c>
      <c r="C9" s="8" t="s">
        <v>632</v>
      </c>
      <c r="D9" s="8" t="s">
        <v>513</v>
      </c>
      <c r="E9" s="8" t="s">
        <v>760</v>
      </c>
      <c r="F9" s="8" t="s">
        <v>791</v>
      </c>
      <c r="G9" s="21" t="s">
        <v>46</v>
      </c>
      <c r="H9" s="21" t="s">
        <v>46</v>
      </c>
      <c r="I9" s="21" t="s">
        <v>46</v>
      </c>
      <c r="J9" s="9"/>
      <c r="K9" s="29">
        <v>0</v>
      </c>
      <c r="L9" s="9" t="str">
        <f>"0,0000"</f>
        <v>0,0000</v>
      </c>
      <c r="M9" s="8" t="s">
        <v>654</v>
      </c>
    </row>
    <row r="10" spans="1:13">
      <c r="B10" s="5" t="s">
        <v>8</v>
      </c>
    </row>
    <row r="11" spans="1:13" ht="16">
      <c r="A11" s="63" t="s">
        <v>243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3">
      <c r="A12" s="9" t="s">
        <v>111</v>
      </c>
      <c r="B12" s="8" t="s">
        <v>633</v>
      </c>
      <c r="C12" s="8" t="s">
        <v>655</v>
      </c>
      <c r="D12" s="8" t="s">
        <v>634</v>
      </c>
      <c r="E12" s="8" t="s">
        <v>759</v>
      </c>
      <c r="F12" s="8" t="s">
        <v>792</v>
      </c>
      <c r="G12" s="21" t="s">
        <v>193</v>
      </c>
      <c r="H12" s="20" t="s">
        <v>193</v>
      </c>
      <c r="I12" s="21" t="s">
        <v>88</v>
      </c>
      <c r="J12" s="9"/>
      <c r="K12" s="29" t="str">
        <f>"270,0"</f>
        <v>270,0</v>
      </c>
      <c r="L12" s="9" t="str">
        <f>"150,0795"</f>
        <v>150,0795</v>
      </c>
      <c r="M12" s="8"/>
    </row>
    <row r="13" spans="1:13">
      <c r="B13" s="5" t="s">
        <v>8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21.83203125" style="5" customWidth="1"/>
    <col min="14" max="16384" width="9.1640625" style="3"/>
  </cols>
  <sheetData>
    <row r="1" spans="1:13" s="2" customFormat="1" ht="29" customHeight="1">
      <c r="A1" s="52" t="s">
        <v>691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10</v>
      </c>
      <c r="H3" s="46"/>
      <c r="I3" s="46"/>
      <c r="J3" s="46"/>
      <c r="K3" s="46" t="s">
        <v>333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37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111</v>
      </c>
      <c r="B6" s="8" t="s">
        <v>269</v>
      </c>
      <c r="C6" s="8" t="s">
        <v>270</v>
      </c>
      <c r="D6" s="8" t="s">
        <v>40</v>
      </c>
      <c r="E6" s="8" t="s">
        <v>760</v>
      </c>
      <c r="F6" s="8" t="s">
        <v>768</v>
      </c>
      <c r="G6" s="21" t="s">
        <v>183</v>
      </c>
      <c r="H6" s="20" t="s">
        <v>183</v>
      </c>
      <c r="I6" s="9"/>
      <c r="J6" s="9"/>
      <c r="K6" s="9" t="str">
        <f>"202,5"</f>
        <v>202,5</v>
      </c>
      <c r="L6" s="9" t="str">
        <f>"131,9996"</f>
        <v>131,9996</v>
      </c>
      <c r="M6" s="8"/>
    </row>
    <row r="7" spans="1:13">
      <c r="B7" s="5" t="s">
        <v>8</v>
      </c>
    </row>
    <row r="8" spans="1:13" ht="16">
      <c r="A8" s="63" t="s">
        <v>73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9" t="s">
        <v>111</v>
      </c>
      <c r="B9" s="8" t="s">
        <v>626</v>
      </c>
      <c r="C9" s="8" t="s">
        <v>627</v>
      </c>
      <c r="D9" s="8" t="s">
        <v>628</v>
      </c>
      <c r="E9" s="8" t="s">
        <v>760</v>
      </c>
      <c r="F9" s="8" t="s">
        <v>768</v>
      </c>
      <c r="G9" s="20" t="s">
        <v>88</v>
      </c>
      <c r="H9" s="20" t="s">
        <v>229</v>
      </c>
      <c r="I9" s="21" t="s">
        <v>629</v>
      </c>
      <c r="J9" s="9"/>
      <c r="K9" s="9" t="str">
        <f>"320,0"</f>
        <v>320,0</v>
      </c>
      <c r="L9" s="9" t="str">
        <f>"181,1520"</f>
        <v>181,1520</v>
      </c>
      <c r="M9" s="8" t="s">
        <v>630</v>
      </c>
    </row>
    <row r="10" spans="1:13">
      <c r="B10" s="5" t="s">
        <v>8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1.83203125" style="5" customWidth="1"/>
    <col min="3" max="3" width="27.5" style="5" bestFit="1" customWidth="1"/>
    <col min="4" max="4" width="21.5" style="5" bestFit="1" customWidth="1"/>
    <col min="5" max="5" width="10.5" style="5" bestFit="1" customWidth="1"/>
    <col min="6" max="6" width="21.164062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4.83203125" style="5" customWidth="1"/>
    <col min="14" max="16384" width="9.1640625" style="3"/>
  </cols>
  <sheetData>
    <row r="1" spans="1:13" s="2" customFormat="1" ht="29" customHeight="1">
      <c r="A1" s="52" t="s">
        <v>689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10</v>
      </c>
      <c r="H3" s="46"/>
      <c r="I3" s="46"/>
      <c r="J3" s="46"/>
      <c r="K3" s="46" t="s">
        <v>333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12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111</v>
      </c>
      <c r="B6" s="8" t="s">
        <v>639</v>
      </c>
      <c r="C6" s="8" t="s">
        <v>640</v>
      </c>
      <c r="D6" s="8" t="s">
        <v>641</v>
      </c>
      <c r="E6" s="8" t="s">
        <v>763</v>
      </c>
      <c r="F6" s="8" t="s">
        <v>793</v>
      </c>
      <c r="G6" s="20" t="s">
        <v>133</v>
      </c>
      <c r="H6" s="21" t="s">
        <v>136</v>
      </c>
      <c r="I6" s="20" t="s">
        <v>136</v>
      </c>
      <c r="J6" s="9"/>
      <c r="K6" s="9" t="str">
        <f>"70,0"</f>
        <v>70,0</v>
      </c>
      <c r="L6" s="9" t="str">
        <f>"52,3880"</f>
        <v>52,3880</v>
      </c>
      <c r="M6" s="8" t="s">
        <v>649</v>
      </c>
    </row>
    <row r="7" spans="1:13">
      <c r="B7" s="5" t="s">
        <v>8</v>
      </c>
    </row>
    <row r="8" spans="1:13" ht="16">
      <c r="A8" s="63" t="s">
        <v>25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9" t="s">
        <v>111</v>
      </c>
      <c r="B9" s="8" t="s">
        <v>642</v>
      </c>
      <c r="C9" s="8" t="s">
        <v>643</v>
      </c>
      <c r="D9" s="8" t="s">
        <v>644</v>
      </c>
      <c r="E9" s="8" t="s">
        <v>760</v>
      </c>
      <c r="F9" s="8" t="s">
        <v>793</v>
      </c>
      <c r="G9" s="20" t="s">
        <v>16</v>
      </c>
      <c r="H9" s="20" t="s">
        <v>71</v>
      </c>
      <c r="I9" s="20" t="s">
        <v>127</v>
      </c>
      <c r="J9" s="9"/>
      <c r="K9" s="9" t="str">
        <f>"97,5"</f>
        <v>97,5</v>
      </c>
      <c r="L9" s="9" t="str">
        <f>"67,4651"</f>
        <v>67,4651</v>
      </c>
      <c r="M9" s="8" t="s">
        <v>649</v>
      </c>
    </row>
    <row r="10" spans="1:13">
      <c r="B10" s="5" t="s">
        <v>8</v>
      </c>
    </row>
    <row r="11" spans="1:13" ht="16">
      <c r="A11" s="63" t="s">
        <v>189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3">
      <c r="A12" s="9" t="s">
        <v>111</v>
      </c>
      <c r="B12" s="8" t="s">
        <v>645</v>
      </c>
      <c r="C12" s="8" t="s">
        <v>646</v>
      </c>
      <c r="D12" s="8" t="s">
        <v>647</v>
      </c>
      <c r="E12" s="8" t="s">
        <v>763</v>
      </c>
      <c r="F12" s="8" t="s">
        <v>794</v>
      </c>
      <c r="G12" s="20" t="s">
        <v>19</v>
      </c>
      <c r="H12" s="20" t="s">
        <v>133</v>
      </c>
      <c r="I12" s="20" t="s">
        <v>136</v>
      </c>
      <c r="J12" s="9"/>
      <c r="K12" s="9" t="str">
        <f>"70,0"</f>
        <v>70,0</v>
      </c>
      <c r="L12" s="9" t="str">
        <f>"37,4582"</f>
        <v>37,4582</v>
      </c>
      <c r="M12" s="8" t="s">
        <v>648</v>
      </c>
    </row>
    <row r="13" spans="1:13">
      <c r="B13" s="5" t="s">
        <v>8</v>
      </c>
    </row>
  </sheetData>
  <mergeCells count="14">
    <mergeCell ref="A8:J8"/>
    <mergeCell ref="A11:J11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M45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7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0" style="5" bestFit="1" customWidth="1"/>
    <col min="7" max="9" width="5.5" style="6" customWidth="1"/>
    <col min="10" max="10" width="4.83203125" style="6" customWidth="1"/>
    <col min="11" max="11" width="7.83203125" style="6" bestFit="1" customWidth="1"/>
    <col min="12" max="12" width="8.5" style="6" bestFit="1" customWidth="1"/>
    <col min="13" max="13" width="23.33203125" style="5" bestFit="1" customWidth="1"/>
    <col min="14" max="16384" width="9.1640625" style="3"/>
  </cols>
  <sheetData>
    <row r="1" spans="1:13" s="2" customFormat="1" ht="29" customHeight="1">
      <c r="A1" s="52" t="s">
        <v>705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11</v>
      </c>
      <c r="H3" s="46"/>
      <c r="I3" s="46"/>
      <c r="J3" s="46"/>
      <c r="K3" s="46" t="s">
        <v>333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137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111</v>
      </c>
      <c r="B6" s="8" t="s">
        <v>455</v>
      </c>
      <c r="C6" s="8" t="s">
        <v>706</v>
      </c>
      <c r="D6" s="8" t="s">
        <v>456</v>
      </c>
      <c r="E6" s="8" t="s">
        <v>763</v>
      </c>
      <c r="F6" s="8" t="s">
        <v>768</v>
      </c>
      <c r="G6" s="20" t="s">
        <v>17</v>
      </c>
      <c r="H6" s="20" t="s">
        <v>32</v>
      </c>
      <c r="I6" s="21" t="s">
        <v>23</v>
      </c>
      <c r="J6" s="9"/>
      <c r="K6" s="9" t="str">
        <f>"110,0"</f>
        <v>110,0</v>
      </c>
      <c r="L6" s="9" t="str">
        <f>"134,4697"</f>
        <v>134,4697</v>
      </c>
      <c r="M6" s="8"/>
    </row>
    <row r="7" spans="1:13">
      <c r="B7" s="5" t="s">
        <v>8</v>
      </c>
    </row>
    <row r="8" spans="1:13" ht="16">
      <c r="A8" s="63" t="s">
        <v>12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9" t="s">
        <v>111</v>
      </c>
      <c r="B9" s="8" t="s">
        <v>457</v>
      </c>
      <c r="C9" s="8" t="s">
        <v>458</v>
      </c>
      <c r="D9" s="8" t="s">
        <v>459</v>
      </c>
      <c r="E9" s="8" t="s">
        <v>760</v>
      </c>
      <c r="F9" s="8" t="s">
        <v>768</v>
      </c>
      <c r="G9" s="20" t="s">
        <v>34</v>
      </c>
      <c r="H9" s="20" t="s">
        <v>31</v>
      </c>
      <c r="I9" s="20" t="s">
        <v>422</v>
      </c>
      <c r="J9" s="9"/>
      <c r="K9" s="9" t="str">
        <f>"162,5"</f>
        <v>162,5</v>
      </c>
      <c r="L9" s="9" t="str">
        <f>"166,0263"</f>
        <v>166,0263</v>
      </c>
      <c r="M9" s="8" t="s">
        <v>671</v>
      </c>
    </row>
    <row r="10" spans="1:13">
      <c r="B10" s="5" t="s">
        <v>8</v>
      </c>
    </row>
    <row r="11" spans="1:13" ht="16">
      <c r="A11" s="63" t="s">
        <v>37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3">
      <c r="A12" s="9" t="s">
        <v>111</v>
      </c>
      <c r="B12" s="8" t="s">
        <v>461</v>
      </c>
      <c r="C12" s="8" t="s">
        <v>462</v>
      </c>
      <c r="D12" s="8" t="s">
        <v>463</v>
      </c>
      <c r="E12" s="8" t="s">
        <v>760</v>
      </c>
      <c r="F12" s="8" t="s">
        <v>775</v>
      </c>
      <c r="G12" s="20" t="s">
        <v>70</v>
      </c>
      <c r="H12" s="21" t="s">
        <v>72</v>
      </c>
      <c r="I12" s="21" t="s">
        <v>72</v>
      </c>
      <c r="J12" s="9"/>
      <c r="K12" s="9" t="str">
        <f>"125,0"</f>
        <v>125,0</v>
      </c>
      <c r="L12" s="9" t="str">
        <f>"114,7000"</f>
        <v>114,7000</v>
      </c>
      <c r="M12" s="8" t="s">
        <v>755</v>
      </c>
    </row>
    <row r="13" spans="1:13">
      <c r="B13" s="5" t="s">
        <v>8</v>
      </c>
    </row>
    <row r="14" spans="1:13" ht="16">
      <c r="A14" s="63" t="s">
        <v>464</v>
      </c>
      <c r="B14" s="63"/>
      <c r="C14" s="63"/>
      <c r="D14" s="63"/>
      <c r="E14" s="63"/>
      <c r="F14" s="63"/>
      <c r="G14" s="63"/>
      <c r="H14" s="63"/>
      <c r="I14" s="63"/>
      <c r="J14" s="63"/>
    </row>
    <row r="15" spans="1:13">
      <c r="A15" s="9" t="s">
        <v>111</v>
      </c>
      <c r="B15" s="8" t="s">
        <v>465</v>
      </c>
      <c r="C15" s="8" t="s">
        <v>466</v>
      </c>
      <c r="D15" s="8" t="s">
        <v>182</v>
      </c>
      <c r="E15" s="8" t="s">
        <v>760</v>
      </c>
      <c r="F15" s="8" t="s">
        <v>768</v>
      </c>
      <c r="G15" s="20" t="s">
        <v>358</v>
      </c>
      <c r="H15" s="20" t="s">
        <v>23</v>
      </c>
      <c r="I15" s="20" t="s">
        <v>179</v>
      </c>
      <c r="J15" s="9"/>
      <c r="K15" s="9" t="str">
        <f>"120,0"</f>
        <v>120,0</v>
      </c>
      <c r="L15" s="9" t="str">
        <f>"102,7320"</f>
        <v>102,7320</v>
      </c>
      <c r="M15" s="8" t="s">
        <v>659</v>
      </c>
    </row>
    <row r="16" spans="1:13">
      <c r="B16" s="5" t="s">
        <v>8</v>
      </c>
    </row>
    <row r="17" spans="1:13" ht="16">
      <c r="A17" s="63" t="s">
        <v>12</v>
      </c>
      <c r="B17" s="63"/>
      <c r="C17" s="63"/>
      <c r="D17" s="63"/>
      <c r="E17" s="63"/>
      <c r="F17" s="63"/>
      <c r="G17" s="63"/>
      <c r="H17" s="63"/>
      <c r="I17" s="63"/>
      <c r="J17" s="63"/>
    </row>
    <row r="18" spans="1:13">
      <c r="A18" s="9" t="s">
        <v>111</v>
      </c>
      <c r="B18" s="8" t="s">
        <v>467</v>
      </c>
      <c r="C18" s="8" t="s">
        <v>468</v>
      </c>
      <c r="D18" s="8" t="s">
        <v>351</v>
      </c>
      <c r="E18" s="8" t="s">
        <v>760</v>
      </c>
      <c r="F18" s="8" t="s">
        <v>768</v>
      </c>
      <c r="G18" s="20" t="s">
        <v>35</v>
      </c>
      <c r="H18" s="20" t="s">
        <v>156</v>
      </c>
      <c r="I18" s="21" t="s">
        <v>170</v>
      </c>
      <c r="J18" s="9"/>
      <c r="K18" s="9" t="str">
        <f>"185,0"</f>
        <v>185,0</v>
      </c>
      <c r="L18" s="9" t="str">
        <f>"145,0770"</f>
        <v>145,0770</v>
      </c>
      <c r="M18" s="8"/>
    </row>
    <row r="19" spans="1:13">
      <c r="B19" s="5" t="s">
        <v>8</v>
      </c>
    </row>
    <row r="20" spans="1:13" ht="16">
      <c r="A20" s="63" t="s">
        <v>25</v>
      </c>
      <c r="B20" s="63"/>
      <c r="C20" s="63"/>
      <c r="D20" s="63"/>
      <c r="E20" s="63"/>
      <c r="F20" s="63"/>
      <c r="G20" s="63"/>
      <c r="H20" s="63"/>
      <c r="I20" s="63"/>
      <c r="J20" s="63"/>
    </row>
    <row r="21" spans="1:13">
      <c r="A21" s="11" t="s">
        <v>111</v>
      </c>
      <c r="B21" s="10" t="s">
        <v>151</v>
      </c>
      <c r="C21" s="10" t="s">
        <v>152</v>
      </c>
      <c r="D21" s="10" t="s">
        <v>144</v>
      </c>
      <c r="E21" s="10" t="s">
        <v>762</v>
      </c>
      <c r="F21" s="10" t="s">
        <v>771</v>
      </c>
      <c r="G21" s="22" t="s">
        <v>64</v>
      </c>
      <c r="H21" s="22" t="s">
        <v>194</v>
      </c>
      <c r="I21" s="27" t="s">
        <v>288</v>
      </c>
      <c r="J21" s="11"/>
      <c r="K21" s="11" t="str">
        <f>"172,5"</f>
        <v>172,5</v>
      </c>
      <c r="L21" s="11" t="str">
        <f>"124,5623"</f>
        <v>124,5623</v>
      </c>
      <c r="M21" s="10" t="s">
        <v>741</v>
      </c>
    </row>
    <row r="22" spans="1:13">
      <c r="A22" s="13" t="s">
        <v>111</v>
      </c>
      <c r="B22" s="12" t="s">
        <v>469</v>
      </c>
      <c r="C22" s="12" t="s">
        <v>707</v>
      </c>
      <c r="D22" s="12" t="s">
        <v>28</v>
      </c>
      <c r="E22" s="12" t="s">
        <v>759</v>
      </c>
      <c r="F22" s="12" t="s">
        <v>771</v>
      </c>
      <c r="G22" s="23" t="s">
        <v>156</v>
      </c>
      <c r="H22" s="24" t="s">
        <v>61</v>
      </c>
      <c r="I22" s="24" t="s">
        <v>61</v>
      </c>
      <c r="J22" s="13"/>
      <c r="K22" s="13" t="str">
        <f>"185,0"</f>
        <v>185,0</v>
      </c>
      <c r="L22" s="13" t="str">
        <f>"133,7180"</f>
        <v>133,7180</v>
      </c>
      <c r="M22" s="12" t="s">
        <v>747</v>
      </c>
    </row>
    <row r="23" spans="1:13">
      <c r="A23" s="13" t="s">
        <v>111</v>
      </c>
      <c r="B23" s="12" t="s">
        <v>233</v>
      </c>
      <c r="C23" s="12" t="s">
        <v>470</v>
      </c>
      <c r="D23" s="12" t="s">
        <v>144</v>
      </c>
      <c r="E23" s="12" t="s">
        <v>760</v>
      </c>
      <c r="F23" s="12" t="s">
        <v>773</v>
      </c>
      <c r="G23" s="24" t="s">
        <v>51</v>
      </c>
      <c r="H23" s="23" t="s">
        <v>51</v>
      </c>
      <c r="I23" s="23" t="s">
        <v>44</v>
      </c>
      <c r="J23" s="13"/>
      <c r="K23" s="13" t="str">
        <f>"225,0"</f>
        <v>225,0</v>
      </c>
      <c r="L23" s="13" t="str">
        <f>"162,4725"</f>
        <v>162,4725</v>
      </c>
      <c r="M23" s="12"/>
    </row>
    <row r="24" spans="1:13">
      <c r="A24" s="15" t="s">
        <v>112</v>
      </c>
      <c r="B24" s="14" t="s">
        <v>471</v>
      </c>
      <c r="C24" s="14" t="s">
        <v>472</v>
      </c>
      <c r="D24" s="14" t="s">
        <v>473</v>
      </c>
      <c r="E24" s="14" t="s">
        <v>760</v>
      </c>
      <c r="F24" s="14" t="s">
        <v>772</v>
      </c>
      <c r="G24" s="26" t="s">
        <v>61</v>
      </c>
      <c r="H24" s="25" t="s">
        <v>62</v>
      </c>
      <c r="I24" s="25" t="s">
        <v>474</v>
      </c>
      <c r="J24" s="15"/>
      <c r="K24" s="15" t="str">
        <f>"200,0"</f>
        <v>200,0</v>
      </c>
      <c r="L24" s="15" t="str">
        <f>"142,7800"</f>
        <v>142,7800</v>
      </c>
      <c r="M24" s="14"/>
    </row>
    <row r="25" spans="1:13">
      <c r="B25" s="5" t="s">
        <v>8</v>
      </c>
    </row>
    <row r="26" spans="1:13" ht="16">
      <c r="A26" s="63" t="s">
        <v>37</v>
      </c>
      <c r="B26" s="63"/>
      <c r="C26" s="63"/>
      <c r="D26" s="63"/>
      <c r="E26" s="63"/>
      <c r="F26" s="63"/>
      <c r="G26" s="63"/>
      <c r="H26" s="63"/>
      <c r="I26" s="63"/>
      <c r="J26" s="63"/>
    </row>
    <row r="27" spans="1:13">
      <c r="A27" s="11" t="s">
        <v>111</v>
      </c>
      <c r="B27" s="10" t="s">
        <v>157</v>
      </c>
      <c r="C27" s="10" t="s">
        <v>158</v>
      </c>
      <c r="D27" s="10" t="s">
        <v>159</v>
      </c>
      <c r="E27" s="10" t="s">
        <v>760</v>
      </c>
      <c r="F27" s="10" t="s">
        <v>772</v>
      </c>
      <c r="G27" s="22" t="s">
        <v>66</v>
      </c>
      <c r="H27" s="22" t="s">
        <v>46</v>
      </c>
      <c r="I27" s="27" t="s">
        <v>55</v>
      </c>
      <c r="J27" s="11"/>
      <c r="K27" s="11" t="str">
        <f>"250,0"</f>
        <v>250,0</v>
      </c>
      <c r="L27" s="11" t="str">
        <f>"168,7250"</f>
        <v>168,7250</v>
      </c>
      <c r="M27" s="10" t="s">
        <v>660</v>
      </c>
    </row>
    <row r="28" spans="1:13">
      <c r="A28" s="15" t="s">
        <v>112</v>
      </c>
      <c r="B28" s="14" t="s">
        <v>475</v>
      </c>
      <c r="C28" s="14" t="s">
        <v>476</v>
      </c>
      <c r="D28" s="14" t="s">
        <v>477</v>
      </c>
      <c r="E28" s="14" t="s">
        <v>760</v>
      </c>
      <c r="F28" s="14" t="s">
        <v>768</v>
      </c>
      <c r="G28" s="25" t="s">
        <v>34</v>
      </c>
      <c r="H28" s="26" t="s">
        <v>35</v>
      </c>
      <c r="I28" s="26" t="s">
        <v>91</v>
      </c>
      <c r="J28" s="15"/>
      <c r="K28" s="15" t="str">
        <f>"190,0"</f>
        <v>190,0</v>
      </c>
      <c r="L28" s="15" t="str">
        <f>"130,4350"</f>
        <v>130,4350</v>
      </c>
      <c r="M28" s="14"/>
    </row>
    <row r="29" spans="1:13">
      <c r="B29" s="5" t="s">
        <v>8</v>
      </c>
    </row>
    <row r="30" spans="1:13" ht="16">
      <c r="A30" s="63" t="s">
        <v>47</v>
      </c>
      <c r="B30" s="63"/>
      <c r="C30" s="63"/>
      <c r="D30" s="63"/>
      <c r="E30" s="63"/>
      <c r="F30" s="63"/>
      <c r="G30" s="63"/>
      <c r="H30" s="63"/>
      <c r="I30" s="63"/>
      <c r="J30" s="63"/>
    </row>
    <row r="31" spans="1:13">
      <c r="A31" s="11" t="s">
        <v>111</v>
      </c>
      <c r="B31" s="10" t="s">
        <v>478</v>
      </c>
      <c r="C31" s="10" t="s">
        <v>479</v>
      </c>
      <c r="D31" s="10" t="s">
        <v>480</v>
      </c>
      <c r="E31" s="10" t="s">
        <v>762</v>
      </c>
      <c r="F31" s="10" t="s">
        <v>768</v>
      </c>
      <c r="G31" s="22" t="s">
        <v>91</v>
      </c>
      <c r="H31" s="22" t="s">
        <v>183</v>
      </c>
      <c r="I31" s="27" t="s">
        <v>77</v>
      </c>
      <c r="J31" s="11"/>
      <c r="K31" s="11" t="str">
        <f>"202,5"</f>
        <v>202,5</v>
      </c>
      <c r="L31" s="11" t="str">
        <f>"133,1438"</f>
        <v>133,1438</v>
      </c>
      <c r="M31" s="10" t="s">
        <v>481</v>
      </c>
    </row>
    <row r="32" spans="1:13">
      <c r="A32" s="15" t="s">
        <v>111</v>
      </c>
      <c r="B32" s="14" t="s">
        <v>482</v>
      </c>
      <c r="C32" s="14" t="s">
        <v>708</v>
      </c>
      <c r="D32" s="14" t="s">
        <v>483</v>
      </c>
      <c r="E32" s="14" t="s">
        <v>761</v>
      </c>
      <c r="F32" s="14" t="s">
        <v>768</v>
      </c>
      <c r="G32" s="26" t="s">
        <v>34</v>
      </c>
      <c r="H32" s="26" t="s">
        <v>65</v>
      </c>
      <c r="I32" s="25" t="s">
        <v>83</v>
      </c>
      <c r="J32" s="15"/>
      <c r="K32" s="15" t="str">
        <f>"165,0"</f>
        <v>165,0</v>
      </c>
      <c r="L32" s="15" t="str">
        <f>"122,0794"</f>
        <v>122,0794</v>
      </c>
      <c r="M32" s="14" t="s">
        <v>660</v>
      </c>
    </row>
    <row r="33" spans="1:13">
      <c r="B33" s="5" t="s">
        <v>8</v>
      </c>
    </row>
    <row r="34" spans="1:13" ht="16">
      <c r="A34" s="63" t="s">
        <v>175</v>
      </c>
      <c r="B34" s="63"/>
      <c r="C34" s="63"/>
      <c r="D34" s="63"/>
      <c r="E34" s="63"/>
      <c r="F34" s="63"/>
      <c r="G34" s="63"/>
      <c r="H34" s="63"/>
      <c r="I34" s="63"/>
      <c r="J34" s="63"/>
    </row>
    <row r="35" spans="1:13">
      <c r="A35" s="9" t="s">
        <v>111</v>
      </c>
      <c r="B35" s="8" t="s">
        <v>484</v>
      </c>
      <c r="C35" s="8" t="s">
        <v>485</v>
      </c>
      <c r="D35" s="8" t="s">
        <v>486</v>
      </c>
      <c r="E35" s="8" t="s">
        <v>762</v>
      </c>
      <c r="F35" s="8" t="s">
        <v>768</v>
      </c>
      <c r="G35" s="20" t="s">
        <v>91</v>
      </c>
      <c r="H35" s="20" t="s">
        <v>61</v>
      </c>
      <c r="I35" s="21" t="s">
        <v>62</v>
      </c>
      <c r="J35" s="9"/>
      <c r="K35" s="9" t="str">
        <f>"200,0"</f>
        <v>200,0</v>
      </c>
      <c r="L35" s="9" t="str">
        <f>"123,1000"</f>
        <v>123,1000</v>
      </c>
      <c r="M35" s="8" t="s">
        <v>481</v>
      </c>
    </row>
    <row r="36" spans="1:13">
      <c r="B36" s="5" t="s">
        <v>8</v>
      </c>
    </row>
    <row r="39" spans="1:13" ht="18">
      <c r="B39" s="33" t="s">
        <v>7</v>
      </c>
      <c r="C39" s="33"/>
      <c r="D39" s="34"/>
      <c r="E39" s="34"/>
    </row>
    <row r="40" spans="1:13" ht="16">
      <c r="B40" s="35" t="s">
        <v>94</v>
      </c>
      <c r="C40" s="35"/>
      <c r="D40" s="34"/>
      <c r="E40" s="34"/>
    </row>
    <row r="41" spans="1:13" ht="14">
      <c r="B41" s="36"/>
      <c r="C41" s="37" t="s">
        <v>101</v>
      </c>
      <c r="D41" s="34"/>
      <c r="E41" s="34"/>
    </row>
    <row r="42" spans="1:13" ht="14">
      <c r="B42" s="38" t="s">
        <v>95</v>
      </c>
      <c r="C42" s="38" t="s">
        <v>96</v>
      </c>
      <c r="D42" s="38" t="s">
        <v>663</v>
      </c>
      <c r="E42" s="38" t="s">
        <v>325</v>
      </c>
      <c r="F42" s="38" t="s">
        <v>99</v>
      </c>
    </row>
    <row r="43" spans="1:13">
      <c r="B43" s="34" t="s">
        <v>157</v>
      </c>
      <c r="C43" s="34" t="s">
        <v>101</v>
      </c>
      <c r="D43" s="39" t="s">
        <v>108</v>
      </c>
      <c r="E43" s="39" t="s">
        <v>46</v>
      </c>
      <c r="F43" s="39" t="s">
        <v>487</v>
      </c>
    </row>
    <row r="44" spans="1:13">
      <c r="B44" s="34" t="s">
        <v>233</v>
      </c>
      <c r="C44" s="34" t="s">
        <v>101</v>
      </c>
      <c r="D44" s="39" t="s">
        <v>202</v>
      </c>
      <c r="E44" s="39" t="s">
        <v>44</v>
      </c>
      <c r="F44" s="39" t="s">
        <v>488</v>
      </c>
    </row>
    <row r="45" spans="1:13">
      <c r="B45" s="34" t="s">
        <v>467</v>
      </c>
      <c r="C45" s="34" t="s">
        <v>101</v>
      </c>
      <c r="D45" s="39" t="s">
        <v>100</v>
      </c>
      <c r="E45" s="39" t="s">
        <v>156</v>
      </c>
      <c r="F45" s="39" t="s">
        <v>489</v>
      </c>
    </row>
  </sheetData>
  <mergeCells count="20">
    <mergeCell ref="A30:J30"/>
    <mergeCell ref="A34:J34"/>
    <mergeCell ref="B3:B4"/>
    <mergeCell ref="A8:J8"/>
    <mergeCell ref="A11:J11"/>
    <mergeCell ref="A14:J14"/>
    <mergeCell ref="A17:J17"/>
    <mergeCell ref="A20:J20"/>
    <mergeCell ref="A26:J26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15"/>
  <sheetViews>
    <sheetView workbookViewId="0">
      <selection activeCell="E14" sqref="E14"/>
    </sheetView>
  </sheetViews>
  <sheetFormatPr baseColWidth="10" defaultColWidth="9.1640625" defaultRowHeight="13"/>
  <cols>
    <col min="1" max="1" width="7.5" style="5" bestFit="1" customWidth="1"/>
    <col min="2" max="2" width="18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33203125" style="5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30.5" style="5" bestFit="1" customWidth="1"/>
    <col min="14" max="16384" width="9.1640625" style="3"/>
  </cols>
  <sheetData>
    <row r="1" spans="1:13" s="2" customFormat="1" ht="29" customHeight="1">
      <c r="A1" s="52" t="s">
        <v>709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11</v>
      </c>
      <c r="H3" s="46"/>
      <c r="I3" s="46"/>
      <c r="J3" s="46"/>
      <c r="K3" s="46" t="s">
        <v>333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47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111</v>
      </c>
      <c r="B6" s="8" t="s">
        <v>439</v>
      </c>
      <c r="C6" s="8" t="s">
        <v>440</v>
      </c>
      <c r="D6" s="8" t="s">
        <v>441</v>
      </c>
      <c r="E6" s="8" t="s">
        <v>760</v>
      </c>
      <c r="F6" s="8" t="s">
        <v>768</v>
      </c>
      <c r="G6" s="20" t="s">
        <v>442</v>
      </c>
      <c r="H6" s="21" t="s">
        <v>88</v>
      </c>
      <c r="I6" s="21" t="s">
        <v>88</v>
      </c>
      <c r="J6" s="9"/>
      <c r="K6" s="9" t="str">
        <f>"285,0"</f>
        <v>285,0</v>
      </c>
      <c r="L6" s="9" t="str">
        <f>"187,8720"</f>
        <v>187,8720</v>
      </c>
      <c r="M6" s="8"/>
    </row>
    <row r="7" spans="1:13">
      <c r="B7" s="5" t="s">
        <v>8</v>
      </c>
    </row>
    <row r="8" spans="1:13" ht="16">
      <c r="A8" s="63" t="s">
        <v>73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11" t="s">
        <v>111</v>
      </c>
      <c r="B9" s="10" t="s">
        <v>443</v>
      </c>
      <c r="C9" s="10" t="s">
        <v>444</v>
      </c>
      <c r="D9" s="10" t="s">
        <v>445</v>
      </c>
      <c r="E9" s="10" t="s">
        <v>760</v>
      </c>
      <c r="F9" s="10" t="s">
        <v>774</v>
      </c>
      <c r="G9" s="22" t="s">
        <v>46</v>
      </c>
      <c r="H9" s="22" t="s">
        <v>193</v>
      </c>
      <c r="I9" s="22" t="s">
        <v>228</v>
      </c>
      <c r="J9" s="11"/>
      <c r="K9" s="11" t="str">
        <f>"280,0"</f>
        <v>280,0</v>
      </c>
      <c r="L9" s="11" t="str">
        <f>"166,1800"</f>
        <v>166,1800</v>
      </c>
      <c r="M9" s="10"/>
    </row>
    <row r="10" spans="1:13">
      <c r="A10" s="15" t="s">
        <v>111</v>
      </c>
      <c r="B10" s="14" t="s">
        <v>446</v>
      </c>
      <c r="C10" s="14" t="s">
        <v>710</v>
      </c>
      <c r="D10" s="14" t="s">
        <v>447</v>
      </c>
      <c r="E10" s="14" t="s">
        <v>767</v>
      </c>
      <c r="F10" s="14" t="s">
        <v>768</v>
      </c>
      <c r="G10" s="26" t="s">
        <v>41</v>
      </c>
      <c r="H10" s="25" t="s">
        <v>63</v>
      </c>
      <c r="I10" s="25" t="s">
        <v>63</v>
      </c>
      <c r="J10" s="15"/>
      <c r="K10" s="15" t="str">
        <f>"205,0"</f>
        <v>205,0</v>
      </c>
      <c r="L10" s="15" t="str">
        <f>"152,9300"</f>
        <v>152,9300</v>
      </c>
      <c r="M10" s="14" t="s">
        <v>754</v>
      </c>
    </row>
    <row r="11" spans="1:13">
      <c r="B11" s="5" t="s">
        <v>8</v>
      </c>
    </row>
    <row r="12" spans="1:13" ht="16">
      <c r="A12" s="63" t="s">
        <v>243</v>
      </c>
      <c r="B12" s="63"/>
      <c r="C12" s="63"/>
      <c r="D12" s="63"/>
      <c r="E12" s="63"/>
      <c r="F12" s="63"/>
      <c r="G12" s="63"/>
      <c r="H12" s="63"/>
      <c r="I12" s="63"/>
      <c r="J12" s="63"/>
    </row>
    <row r="13" spans="1:13">
      <c r="A13" s="11" t="s">
        <v>111</v>
      </c>
      <c r="B13" s="10" t="s">
        <v>448</v>
      </c>
      <c r="C13" s="10" t="s">
        <v>711</v>
      </c>
      <c r="D13" s="10" t="s">
        <v>449</v>
      </c>
      <c r="E13" s="10" t="s">
        <v>759</v>
      </c>
      <c r="F13" s="10" t="s">
        <v>778</v>
      </c>
      <c r="G13" s="22" t="s">
        <v>450</v>
      </c>
      <c r="H13" s="22" t="s">
        <v>451</v>
      </c>
      <c r="I13" s="27" t="s">
        <v>93</v>
      </c>
      <c r="J13" s="11"/>
      <c r="K13" s="11" t="str">
        <f>"335,0"</f>
        <v>335,0</v>
      </c>
      <c r="L13" s="11" t="str">
        <f>"191,4525"</f>
        <v>191,4525</v>
      </c>
      <c r="M13" s="10"/>
    </row>
    <row r="14" spans="1:13">
      <c r="A14" s="15" t="s">
        <v>111</v>
      </c>
      <c r="B14" s="14" t="s">
        <v>452</v>
      </c>
      <c r="C14" s="14" t="s">
        <v>453</v>
      </c>
      <c r="D14" s="14" t="s">
        <v>454</v>
      </c>
      <c r="E14" s="14" t="s">
        <v>760</v>
      </c>
      <c r="F14" s="14" t="s">
        <v>795</v>
      </c>
      <c r="G14" s="26" t="s">
        <v>227</v>
      </c>
      <c r="H14" s="26" t="s">
        <v>450</v>
      </c>
      <c r="I14" s="25" t="s">
        <v>229</v>
      </c>
      <c r="J14" s="15"/>
      <c r="K14" s="15" t="str">
        <f>"310,0"</f>
        <v>310,0</v>
      </c>
      <c r="L14" s="15" t="str">
        <f>"177,3200"</f>
        <v>177,3200</v>
      </c>
      <c r="M14" s="14"/>
    </row>
    <row r="15" spans="1:13">
      <c r="B15" s="5" t="s">
        <v>8</v>
      </c>
    </row>
  </sheetData>
  <mergeCells count="14">
    <mergeCell ref="A8:J8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U36"/>
  <sheetViews>
    <sheetView workbookViewId="0">
      <selection activeCell="E26" sqref="E26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1.83203125" style="5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4.83203125" style="5" customWidth="1"/>
    <col min="22" max="16384" width="9.1640625" style="3"/>
  </cols>
  <sheetData>
    <row r="1" spans="1:21" s="2" customFormat="1" ht="29" customHeight="1">
      <c r="A1" s="52" t="s">
        <v>735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</row>
    <row r="2" spans="1:21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9"/>
    </row>
    <row r="3" spans="1:21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9</v>
      </c>
      <c r="H3" s="46"/>
      <c r="I3" s="46"/>
      <c r="J3" s="46"/>
      <c r="K3" s="46" t="s">
        <v>10</v>
      </c>
      <c r="L3" s="46"/>
      <c r="M3" s="46"/>
      <c r="N3" s="46"/>
      <c r="O3" s="46" t="s">
        <v>11</v>
      </c>
      <c r="P3" s="46"/>
      <c r="Q3" s="46"/>
      <c r="R3" s="46"/>
      <c r="S3" s="46" t="s">
        <v>1</v>
      </c>
      <c r="T3" s="46" t="s">
        <v>3</v>
      </c>
      <c r="U3" s="48" t="s">
        <v>2</v>
      </c>
    </row>
    <row r="4" spans="1:21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7"/>
      <c r="T4" s="47"/>
      <c r="U4" s="49"/>
    </row>
    <row r="5" spans="1:21" ht="16">
      <c r="A5" s="50" t="s">
        <v>12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9" t="s">
        <v>111</v>
      </c>
      <c r="B6" s="8" t="s">
        <v>13</v>
      </c>
      <c r="C6" s="8" t="s">
        <v>14</v>
      </c>
      <c r="D6" s="8" t="s">
        <v>15</v>
      </c>
      <c r="E6" s="8" t="s">
        <v>762</v>
      </c>
      <c r="F6" s="8" t="s">
        <v>768</v>
      </c>
      <c r="G6" s="20" t="s">
        <v>16</v>
      </c>
      <c r="H6" s="20" t="s">
        <v>17</v>
      </c>
      <c r="I6" s="20" t="s">
        <v>18</v>
      </c>
      <c r="J6" s="9"/>
      <c r="K6" s="21" t="s">
        <v>19</v>
      </c>
      <c r="L6" s="20" t="s">
        <v>20</v>
      </c>
      <c r="M6" s="21" t="s">
        <v>21</v>
      </c>
      <c r="N6" s="9"/>
      <c r="O6" s="20" t="s">
        <v>22</v>
      </c>
      <c r="P6" s="20" t="s">
        <v>23</v>
      </c>
      <c r="Q6" s="20" t="s">
        <v>24</v>
      </c>
      <c r="R6" s="9"/>
      <c r="S6" s="9" t="str">
        <f>"292,5"</f>
        <v>292,5</v>
      </c>
      <c r="T6" s="9" t="str">
        <f>"237,5685"</f>
        <v>237,5685</v>
      </c>
      <c r="U6" s="8" t="s">
        <v>688</v>
      </c>
    </row>
    <row r="7" spans="1:21">
      <c r="B7" s="5" t="s">
        <v>8</v>
      </c>
    </row>
    <row r="8" spans="1:21" ht="16">
      <c r="A8" s="63" t="s">
        <v>25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21">
      <c r="A9" s="9" t="s">
        <v>111</v>
      </c>
      <c r="B9" s="8" t="s">
        <v>26</v>
      </c>
      <c r="C9" s="8" t="s">
        <v>27</v>
      </c>
      <c r="D9" s="8" t="s">
        <v>28</v>
      </c>
      <c r="E9" s="8" t="s">
        <v>760</v>
      </c>
      <c r="F9" s="8" t="s">
        <v>775</v>
      </c>
      <c r="G9" s="20" t="s">
        <v>29</v>
      </c>
      <c r="H9" s="20" t="s">
        <v>30</v>
      </c>
      <c r="I9" s="20" t="s">
        <v>31</v>
      </c>
      <c r="J9" s="9"/>
      <c r="K9" s="20" t="s">
        <v>32</v>
      </c>
      <c r="L9" s="20" t="s">
        <v>33</v>
      </c>
      <c r="M9" s="20" t="s">
        <v>24</v>
      </c>
      <c r="N9" s="9"/>
      <c r="O9" s="20" t="s">
        <v>34</v>
      </c>
      <c r="P9" s="20" t="s">
        <v>35</v>
      </c>
      <c r="Q9" s="20" t="s">
        <v>36</v>
      </c>
      <c r="R9" s="9"/>
      <c r="S9" s="9" t="str">
        <f>"460,0"</f>
        <v>460,0</v>
      </c>
      <c r="T9" s="9" t="str">
        <f>"332,4880"</f>
        <v>332,4880</v>
      </c>
      <c r="U9" s="8"/>
    </row>
    <row r="10" spans="1:21">
      <c r="B10" s="5" t="s">
        <v>8</v>
      </c>
    </row>
    <row r="11" spans="1:21" ht="16">
      <c r="A11" s="63" t="s">
        <v>37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spans="1:21">
      <c r="A12" s="9" t="s">
        <v>111</v>
      </c>
      <c r="B12" s="8" t="s">
        <v>38</v>
      </c>
      <c r="C12" s="8" t="s">
        <v>39</v>
      </c>
      <c r="D12" s="8" t="s">
        <v>40</v>
      </c>
      <c r="E12" s="8" t="s">
        <v>760</v>
      </c>
      <c r="F12" s="8" t="s">
        <v>768</v>
      </c>
      <c r="G12" s="20" t="s">
        <v>41</v>
      </c>
      <c r="H12" s="21" t="s">
        <v>42</v>
      </c>
      <c r="I12" s="20" t="s">
        <v>42</v>
      </c>
      <c r="J12" s="9"/>
      <c r="K12" s="21" t="s">
        <v>34</v>
      </c>
      <c r="L12" s="20" t="s">
        <v>34</v>
      </c>
      <c r="M12" s="21" t="s">
        <v>43</v>
      </c>
      <c r="N12" s="9"/>
      <c r="O12" s="20" t="s">
        <v>44</v>
      </c>
      <c r="P12" s="20" t="s">
        <v>45</v>
      </c>
      <c r="Q12" s="20" t="s">
        <v>46</v>
      </c>
      <c r="R12" s="9"/>
      <c r="S12" s="9" t="str">
        <f>"612,5"</f>
        <v>612,5</v>
      </c>
      <c r="T12" s="9" t="str">
        <f>"414,6013"</f>
        <v>414,6013</v>
      </c>
      <c r="U12" s="8"/>
    </row>
    <row r="13" spans="1:21">
      <c r="B13" s="5" t="s">
        <v>8</v>
      </c>
    </row>
    <row r="14" spans="1:21" ht="16">
      <c r="A14" s="63" t="s">
        <v>47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</row>
    <row r="15" spans="1:21">
      <c r="A15" s="11" t="s">
        <v>111</v>
      </c>
      <c r="B15" s="10" t="s">
        <v>48</v>
      </c>
      <c r="C15" s="10" t="s">
        <v>49</v>
      </c>
      <c r="D15" s="10" t="s">
        <v>50</v>
      </c>
      <c r="E15" s="10" t="s">
        <v>760</v>
      </c>
      <c r="F15" s="10" t="s">
        <v>768</v>
      </c>
      <c r="G15" s="22" t="s">
        <v>51</v>
      </c>
      <c r="H15" s="22" t="s">
        <v>44</v>
      </c>
      <c r="I15" s="22" t="s">
        <v>52</v>
      </c>
      <c r="J15" s="11"/>
      <c r="K15" s="22" t="s">
        <v>29</v>
      </c>
      <c r="L15" s="22" t="s">
        <v>53</v>
      </c>
      <c r="M15" s="22" t="s">
        <v>54</v>
      </c>
      <c r="N15" s="11"/>
      <c r="O15" s="22" t="s">
        <v>45</v>
      </c>
      <c r="P15" s="22" t="s">
        <v>55</v>
      </c>
      <c r="Q15" s="22" t="s">
        <v>56</v>
      </c>
      <c r="R15" s="11"/>
      <c r="S15" s="11" t="str">
        <f>"647,5"</f>
        <v>647,5</v>
      </c>
      <c r="T15" s="11" t="str">
        <f>"421,8462"</f>
        <v>421,8462</v>
      </c>
      <c r="U15" s="10" t="s">
        <v>57</v>
      </c>
    </row>
    <row r="16" spans="1:21">
      <c r="A16" s="13" t="s">
        <v>112</v>
      </c>
      <c r="B16" s="12" t="s">
        <v>58</v>
      </c>
      <c r="C16" s="12" t="s">
        <v>59</v>
      </c>
      <c r="D16" s="12" t="s">
        <v>60</v>
      </c>
      <c r="E16" s="12" t="s">
        <v>760</v>
      </c>
      <c r="F16" s="12" t="s">
        <v>768</v>
      </c>
      <c r="G16" s="23" t="s">
        <v>61</v>
      </c>
      <c r="H16" s="23" t="s">
        <v>62</v>
      </c>
      <c r="I16" s="23" t="s">
        <v>63</v>
      </c>
      <c r="J16" s="13"/>
      <c r="K16" s="23" t="s">
        <v>43</v>
      </c>
      <c r="L16" s="23" t="s">
        <v>64</v>
      </c>
      <c r="M16" s="23" t="s">
        <v>65</v>
      </c>
      <c r="N16" s="13"/>
      <c r="O16" s="23" t="s">
        <v>66</v>
      </c>
      <c r="P16" s="24" t="s">
        <v>46</v>
      </c>
      <c r="Q16" s="24" t="s">
        <v>67</v>
      </c>
      <c r="R16" s="13"/>
      <c r="S16" s="13" t="str">
        <f>"625,0"</f>
        <v>625,0</v>
      </c>
      <c r="T16" s="13" t="str">
        <f>"403,1875"</f>
        <v>403,1875</v>
      </c>
      <c r="U16" s="12"/>
    </row>
    <row r="17" spans="1:21">
      <c r="A17" s="15" t="s">
        <v>111</v>
      </c>
      <c r="B17" s="14" t="s">
        <v>68</v>
      </c>
      <c r="C17" s="14" t="s">
        <v>736</v>
      </c>
      <c r="D17" s="14" t="s">
        <v>69</v>
      </c>
      <c r="E17" s="14" t="s">
        <v>764</v>
      </c>
      <c r="F17" s="14" t="s">
        <v>776</v>
      </c>
      <c r="G17" s="25" t="s">
        <v>32</v>
      </c>
      <c r="H17" s="26" t="s">
        <v>23</v>
      </c>
      <c r="I17" s="25" t="s">
        <v>70</v>
      </c>
      <c r="J17" s="15"/>
      <c r="K17" s="25" t="s">
        <v>71</v>
      </c>
      <c r="L17" s="26" t="s">
        <v>71</v>
      </c>
      <c r="M17" s="26" t="s">
        <v>17</v>
      </c>
      <c r="N17" s="15"/>
      <c r="O17" s="26" t="s">
        <v>70</v>
      </c>
      <c r="P17" s="26" t="s">
        <v>29</v>
      </c>
      <c r="Q17" s="26" t="s">
        <v>72</v>
      </c>
      <c r="R17" s="15"/>
      <c r="S17" s="15" t="str">
        <f>"350,0"</f>
        <v>350,0</v>
      </c>
      <c r="T17" s="15" t="str">
        <f>"266,7770"</f>
        <v>266,7770</v>
      </c>
      <c r="U17" s="14" t="s">
        <v>649</v>
      </c>
    </row>
    <row r="18" spans="1:21">
      <c r="B18" s="5" t="s">
        <v>8</v>
      </c>
    </row>
    <row r="19" spans="1:21" ht="16">
      <c r="A19" s="63" t="s">
        <v>73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</row>
    <row r="20" spans="1:21">
      <c r="A20" s="11" t="s">
        <v>111</v>
      </c>
      <c r="B20" s="10" t="s">
        <v>74</v>
      </c>
      <c r="C20" s="10" t="s">
        <v>75</v>
      </c>
      <c r="D20" s="10" t="s">
        <v>76</v>
      </c>
      <c r="E20" s="10" t="s">
        <v>760</v>
      </c>
      <c r="F20" s="10" t="s">
        <v>768</v>
      </c>
      <c r="G20" s="22" t="s">
        <v>63</v>
      </c>
      <c r="H20" s="22" t="s">
        <v>77</v>
      </c>
      <c r="I20" s="27" t="s">
        <v>66</v>
      </c>
      <c r="J20" s="11"/>
      <c r="K20" s="22" t="s">
        <v>64</v>
      </c>
      <c r="L20" s="27" t="s">
        <v>35</v>
      </c>
      <c r="M20" s="27" t="s">
        <v>35</v>
      </c>
      <c r="N20" s="11"/>
      <c r="O20" s="22" t="s">
        <v>66</v>
      </c>
      <c r="P20" s="22" t="s">
        <v>46</v>
      </c>
      <c r="Q20" s="27" t="s">
        <v>55</v>
      </c>
      <c r="R20" s="11"/>
      <c r="S20" s="11" t="str">
        <f>"640,0"</f>
        <v>640,0</v>
      </c>
      <c r="T20" s="11" t="str">
        <f>"379,7120"</f>
        <v>379,7120</v>
      </c>
      <c r="U20" s="10" t="s">
        <v>78</v>
      </c>
    </row>
    <row r="21" spans="1:21">
      <c r="A21" s="13" t="s">
        <v>111</v>
      </c>
      <c r="B21" s="12" t="s">
        <v>79</v>
      </c>
      <c r="C21" s="12" t="s">
        <v>737</v>
      </c>
      <c r="D21" s="12" t="s">
        <v>80</v>
      </c>
      <c r="E21" s="12" t="s">
        <v>763</v>
      </c>
      <c r="F21" s="12" t="s">
        <v>777</v>
      </c>
      <c r="G21" s="23" t="s">
        <v>62</v>
      </c>
      <c r="H21" s="23" t="s">
        <v>44</v>
      </c>
      <c r="I21" s="24" t="s">
        <v>77</v>
      </c>
      <c r="J21" s="13"/>
      <c r="K21" s="24" t="s">
        <v>34</v>
      </c>
      <c r="L21" s="23" t="s">
        <v>31</v>
      </c>
      <c r="M21" s="24" t="s">
        <v>65</v>
      </c>
      <c r="N21" s="13"/>
      <c r="O21" s="23" t="s">
        <v>63</v>
      </c>
      <c r="P21" s="24" t="s">
        <v>52</v>
      </c>
      <c r="Q21" s="24" t="s">
        <v>52</v>
      </c>
      <c r="R21" s="13"/>
      <c r="S21" s="13" t="str">
        <f>"602,5"</f>
        <v>602,5</v>
      </c>
      <c r="T21" s="13" t="str">
        <f>"356,6469"</f>
        <v>356,6469</v>
      </c>
      <c r="U21" s="12" t="s">
        <v>739</v>
      </c>
    </row>
    <row r="22" spans="1:21">
      <c r="A22" s="15" t="s">
        <v>111</v>
      </c>
      <c r="B22" s="14" t="s">
        <v>81</v>
      </c>
      <c r="C22" s="14" t="s">
        <v>738</v>
      </c>
      <c r="D22" s="14" t="s">
        <v>82</v>
      </c>
      <c r="E22" s="14" t="s">
        <v>764</v>
      </c>
      <c r="F22" s="14" t="s">
        <v>768</v>
      </c>
      <c r="G22" s="25" t="s">
        <v>34</v>
      </c>
      <c r="H22" s="26" t="s">
        <v>34</v>
      </c>
      <c r="I22" s="25" t="s">
        <v>43</v>
      </c>
      <c r="J22" s="15"/>
      <c r="K22" s="25" t="s">
        <v>23</v>
      </c>
      <c r="L22" s="26" t="s">
        <v>23</v>
      </c>
      <c r="M22" s="25" t="s">
        <v>70</v>
      </c>
      <c r="N22" s="15"/>
      <c r="O22" s="26" t="s">
        <v>35</v>
      </c>
      <c r="P22" s="26" t="s">
        <v>83</v>
      </c>
      <c r="Q22" s="25" t="s">
        <v>36</v>
      </c>
      <c r="R22" s="15"/>
      <c r="S22" s="15" t="str">
        <f>"440,0"</f>
        <v>440,0</v>
      </c>
      <c r="T22" s="15" t="str">
        <f>"305,5734"</f>
        <v>305,5734</v>
      </c>
      <c r="U22" s="14"/>
    </row>
    <row r="23" spans="1:21">
      <c r="B23" s="5" t="s">
        <v>8</v>
      </c>
    </row>
    <row r="24" spans="1:21" ht="16">
      <c r="A24" s="63" t="s">
        <v>84</v>
      </c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</row>
    <row r="25" spans="1:21">
      <c r="A25" s="9" t="s">
        <v>111</v>
      </c>
      <c r="B25" s="8" t="s">
        <v>85</v>
      </c>
      <c r="C25" s="8" t="s">
        <v>86</v>
      </c>
      <c r="D25" s="8" t="s">
        <v>87</v>
      </c>
      <c r="E25" s="8" t="s">
        <v>760</v>
      </c>
      <c r="F25" s="8" t="s">
        <v>778</v>
      </c>
      <c r="G25" s="20" t="s">
        <v>88</v>
      </c>
      <c r="H25" s="20" t="s">
        <v>89</v>
      </c>
      <c r="I25" s="20" t="s">
        <v>90</v>
      </c>
      <c r="J25" s="9"/>
      <c r="K25" s="20" t="s">
        <v>91</v>
      </c>
      <c r="L25" s="20" t="s">
        <v>61</v>
      </c>
      <c r="M25" s="21" t="s">
        <v>92</v>
      </c>
      <c r="N25" s="9"/>
      <c r="O25" s="21" t="s">
        <v>88</v>
      </c>
      <c r="P25" s="20" t="s">
        <v>88</v>
      </c>
      <c r="Q25" s="21" t="s">
        <v>93</v>
      </c>
      <c r="R25" s="9"/>
      <c r="S25" s="9" t="str">
        <f>"825,0"</f>
        <v>825,0</v>
      </c>
      <c r="T25" s="9" t="str">
        <f>"461,5875"</f>
        <v>461,5875</v>
      </c>
      <c r="U25" s="8"/>
    </row>
    <row r="26" spans="1:21">
      <c r="B26" s="5" t="s">
        <v>8</v>
      </c>
    </row>
    <row r="27" spans="1:21">
      <c r="B27" s="5" t="s">
        <v>8</v>
      </c>
    </row>
    <row r="28" spans="1:21">
      <c r="B28" s="5" t="s">
        <v>8</v>
      </c>
    </row>
    <row r="29" spans="1:21" ht="18">
      <c r="B29" s="7" t="s">
        <v>7</v>
      </c>
      <c r="C29" s="7"/>
      <c r="F29" s="3"/>
    </row>
    <row r="30" spans="1:21" ht="16">
      <c r="B30" s="16" t="s">
        <v>94</v>
      </c>
      <c r="C30" s="16"/>
      <c r="F30" s="3"/>
    </row>
    <row r="31" spans="1:21" ht="14">
      <c r="B31" s="17"/>
      <c r="C31" s="18" t="s">
        <v>101</v>
      </c>
      <c r="F31" s="3"/>
    </row>
    <row r="32" spans="1:21" ht="14">
      <c r="B32" s="19" t="s">
        <v>95</v>
      </c>
      <c r="C32" s="19" t="s">
        <v>96</v>
      </c>
      <c r="D32" s="19" t="s">
        <v>97</v>
      </c>
      <c r="E32" s="19" t="s">
        <v>98</v>
      </c>
      <c r="F32" s="19" t="s">
        <v>99</v>
      </c>
    </row>
    <row r="33" spans="2:6">
      <c r="B33" s="5" t="s">
        <v>85</v>
      </c>
      <c r="C33" s="5" t="s">
        <v>101</v>
      </c>
      <c r="D33" s="6" t="s">
        <v>102</v>
      </c>
      <c r="E33" s="6" t="s">
        <v>103</v>
      </c>
      <c r="F33" s="6" t="s">
        <v>104</v>
      </c>
    </row>
    <row r="34" spans="2:6">
      <c r="B34" s="5" t="s">
        <v>48</v>
      </c>
      <c r="C34" s="5" t="s">
        <v>101</v>
      </c>
      <c r="D34" s="6" t="s">
        <v>105</v>
      </c>
      <c r="E34" s="6" t="s">
        <v>106</v>
      </c>
      <c r="F34" s="6" t="s">
        <v>107</v>
      </c>
    </row>
    <row r="35" spans="2:6">
      <c r="B35" s="5" t="s">
        <v>38</v>
      </c>
      <c r="C35" s="5" t="s">
        <v>101</v>
      </c>
      <c r="D35" s="6" t="s">
        <v>108</v>
      </c>
      <c r="E35" s="6" t="s">
        <v>109</v>
      </c>
      <c r="F35" s="6" t="s">
        <v>110</v>
      </c>
    </row>
    <row r="36" spans="2:6">
      <c r="B36" s="5" t="s">
        <v>8</v>
      </c>
    </row>
  </sheetData>
  <mergeCells count="19">
    <mergeCell ref="A24:R24"/>
    <mergeCell ref="A5:R5"/>
    <mergeCell ref="A8:R8"/>
    <mergeCell ref="A11:R11"/>
    <mergeCell ref="A14:R14"/>
    <mergeCell ref="A19:R19"/>
    <mergeCell ref="A1:U2"/>
    <mergeCell ref="A3:A4"/>
    <mergeCell ref="C3:C4"/>
    <mergeCell ref="D3:D4"/>
    <mergeCell ref="E3:E4"/>
    <mergeCell ref="F3:F4"/>
    <mergeCell ref="G3:J3"/>
    <mergeCell ref="K3:N3"/>
    <mergeCell ref="O3:R3"/>
    <mergeCell ref="B3:B4"/>
    <mergeCell ref="S3:S4"/>
    <mergeCell ref="T3:T4"/>
    <mergeCell ref="U3:U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52" t="s">
        <v>703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11</v>
      </c>
      <c r="H3" s="46"/>
      <c r="I3" s="46"/>
      <c r="J3" s="46"/>
      <c r="K3" s="46" t="s">
        <v>333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73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111</v>
      </c>
      <c r="B6" s="8" t="s">
        <v>490</v>
      </c>
      <c r="C6" s="8" t="s">
        <v>492</v>
      </c>
      <c r="D6" s="8" t="s">
        <v>80</v>
      </c>
      <c r="E6" s="8" t="s">
        <v>760</v>
      </c>
      <c r="F6" s="8" t="s">
        <v>775</v>
      </c>
      <c r="G6" s="20" t="s">
        <v>442</v>
      </c>
      <c r="H6" s="20" t="s">
        <v>491</v>
      </c>
      <c r="I6" s="21" t="s">
        <v>229</v>
      </c>
      <c r="J6" s="9"/>
      <c r="K6" s="9" t="str">
        <f>"307,5"</f>
        <v>307,5</v>
      </c>
      <c r="L6" s="9" t="str">
        <f>"181,1175"</f>
        <v>181,1175</v>
      </c>
      <c r="M6" s="8"/>
    </row>
    <row r="7" spans="1:13">
      <c r="B7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20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52" t="s">
        <v>704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11</v>
      </c>
      <c r="H3" s="46"/>
      <c r="I3" s="46"/>
      <c r="J3" s="46"/>
      <c r="K3" s="46" t="s">
        <v>333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73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111</v>
      </c>
      <c r="B6" s="8" t="s">
        <v>490</v>
      </c>
      <c r="C6" s="8" t="s">
        <v>683</v>
      </c>
      <c r="D6" s="8" t="s">
        <v>80</v>
      </c>
      <c r="E6" s="8" t="s">
        <v>761</v>
      </c>
      <c r="F6" s="8" t="s">
        <v>775</v>
      </c>
      <c r="G6" s="20" t="s">
        <v>442</v>
      </c>
      <c r="H6" s="20" t="s">
        <v>491</v>
      </c>
      <c r="I6" s="21" t="s">
        <v>229</v>
      </c>
      <c r="J6" s="9"/>
      <c r="K6" s="9" t="str">
        <f>"307,5"</f>
        <v>307,5</v>
      </c>
      <c r="L6" s="9" t="str">
        <f>"198,5048"</f>
        <v>198,5048</v>
      </c>
      <c r="M6" s="8"/>
    </row>
    <row r="7" spans="1:13">
      <c r="B7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47"/>
  <sheetViews>
    <sheetView topLeftCell="A4" workbookViewId="0">
      <selection activeCell="E38" sqref="E38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9" style="5" bestFit="1" customWidth="1"/>
    <col min="4" max="4" width="21.5" style="5" bestFit="1" customWidth="1"/>
    <col min="5" max="5" width="10.5" style="5" bestFit="1" customWidth="1"/>
    <col min="6" max="6" width="21.6640625" style="5" customWidth="1"/>
    <col min="7" max="8" width="4.5" style="6" customWidth="1"/>
    <col min="9" max="9" width="5.5" style="6" customWidth="1"/>
    <col min="10" max="10" width="4.83203125" style="6" customWidth="1"/>
    <col min="11" max="13" width="4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31.33203125" style="5" bestFit="1" customWidth="1"/>
    <col min="18" max="16384" width="9.1640625" style="3"/>
  </cols>
  <sheetData>
    <row r="1" spans="1:17" s="2" customFormat="1" ht="29" customHeight="1">
      <c r="A1" s="52" t="s">
        <v>694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1:17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756</v>
      </c>
      <c r="H3" s="46"/>
      <c r="I3" s="46"/>
      <c r="J3" s="46"/>
      <c r="K3" s="46" t="s">
        <v>638</v>
      </c>
      <c r="L3" s="46"/>
      <c r="M3" s="46"/>
      <c r="N3" s="46"/>
      <c r="O3" s="46" t="s">
        <v>1</v>
      </c>
      <c r="P3" s="46" t="s">
        <v>3</v>
      </c>
      <c r="Q3" s="48" t="s">
        <v>2</v>
      </c>
    </row>
    <row r="4" spans="1:17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7"/>
      <c r="P4" s="47"/>
      <c r="Q4" s="49"/>
    </row>
    <row r="5" spans="1:17" ht="16">
      <c r="A5" s="50" t="s">
        <v>247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7">
      <c r="A6" s="11" t="s">
        <v>111</v>
      </c>
      <c r="B6" s="10" t="s">
        <v>556</v>
      </c>
      <c r="C6" s="10" t="s">
        <v>667</v>
      </c>
      <c r="D6" s="10" t="s">
        <v>557</v>
      </c>
      <c r="E6" s="40" t="s">
        <v>762</v>
      </c>
      <c r="F6" s="10" t="s">
        <v>770</v>
      </c>
      <c r="G6" s="43" t="s">
        <v>558</v>
      </c>
      <c r="H6" s="22" t="s">
        <v>559</v>
      </c>
      <c r="I6" s="22" t="s">
        <v>511</v>
      </c>
      <c r="J6" s="11"/>
      <c r="K6" s="22" t="s">
        <v>560</v>
      </c>
      <c r="L6" s="22" t="s">
        <v>558</v>
      </c>
      <c r="M6" s="27" t="s">
        <v>559</v>
      </c>
      <c r="N6" s="11"/>
      <c r="O6" s="11" t="str">
        <f>"35,0"</f>
        <v>35,0</v>
      </c>
      <c r="P6" s="11" t="str">
        <f>"47,0295"</f>
        <v>47,0295</v>
      </c>
      <c r="Q6" s="10" t="s">
        <v>653</v>
      </c>
    </row>
    <row r="7" spans="1:17">
      <c r="A7" s="13" t="s">
        <v>111</v>
      </c>
      <c r="B7" s="12" t="s">
        <v>561</v>
      </c>
      <c r="C7" s="12" t="s">
        <v>562</v>
      </c>
      <c r="D7" s="12" t="s">
        <v>563</v>
      </c>
      <c r="E7" s="41" t="s">
        <v>760</v>
      </c>
      <c r="F7" s="12" t="s">
        <v>770</v>
      </c>
      <c r="G7" s="44" t="s">
        <v>564</v>
      </c>
      <c r="H7" s="23" t="s">
        <v>517</v>
      </c>
      <c r="I7" s="23" t="s">
        <v>518</v>
      </c>
      <c r="J7" s="13"/>
      <c r="K7" s="23" t="s">
        <v>516</v>
      </c>
      <c r="L7" s="23" t="s">
        <v>564</v>
      </c>
      <c r="M7" s="24" t="s">
        <v>517</v>
      </c>
      <c r="N7" s="13"/>
      <c r="O7" s="13" t="str">
        <f>"60,0"</f>
        <v>60,0</v>
      </c>
      <c r="P7" s="13" t="str">
        <f>"73,8900"</f>
        <v>73,8900</v>
      </c>
      <c r="Q7" s="12" t="s">
        <v>653</v>
      </c>
    </row>
    <row r="8" spans="1:17">
      <c r="A8" s="13" t="s">
        <v>112</v>
      </c>
      <c r="B8" s="12" t="s">
        <v>565</v>
      </c>
      <c r="C8" s="12" t="s">
        <v>566</v>
      </c>
      <c r="D8" s="12" t="s">
        <v>567</v>
      </c>
      <c r="E8" s="41" t="s">
        <v>760</v>
      </c>
      <c r="F8" s="12" t="s">
        <v>770</v>
      </c>
      <c r="G8" s="44" t="s">
        <v>516</v>
      </c>
      <c r="H8" s="23" t="s">
        <v>564</v>
      </c>
      <c r="I8" s="24" t="s">
        <v>517</v>
      </c>
      <c r="J8" s="13"/>
      <c r="K8" s="23" t="s">
        <v>516</v>
      </c>
      <c r="L8" s="24" t="s">
        <v>564</v>
      </c>
      <c r="M8" s="23" t="s">
        <v>564</v>
      </c>
      <c r="N8" s="13"/>
      <c r="O8" s="13" t="str">
        <f>"55,0"</f>
        <v>55,0</v>
      </c>
      <c r="P8" s="13" t="str">
        <f>"66,6380"</f>
        <v>66,6380</v>
      </c>
      <c r="Q8" s="12" t="s">
        <v>653</v>
      </c>
    </row>
    <row r="9" spans="1:17">
      <c r="A9" s="13" t="s">
        <v>214</v>
      </c>
      <c r="B9" s="12" t="s">
        <v>568</v>
      </c>
      <c r="C9" s="12" t="s">
        <v>569</v>
      </c>
      <c r="D9" s="12" t="s">
        <v>570</v>
      </c>
      <c r="E9" s="41" t="s">
        <v>760</v>
      </c>
      <c r="F9" s="12" t="s">
        <v>770</v>
      </c>
      <c r="G9" s="44" t="s">
        <v>516</v>
      </c>
      <c r="H9" s="23" t="s">
        <v>564</v>
      </c>
      <c r="I9" s="24" t="s">
        <v>517</v>
      </c>
      <c r="J9" s="13"/>
      <c r="K9" s="23" t="s">
        <v>571</v>
      </c>
      <c r="L9" s="23" t="s">
        <v>516</v>
      </c>
      <c r="M9" s="24" t="s">
        <v>564</v>
      </c>
      <c r="N9" s="13"/>
      <c r="O9" s="13" t="str">
        <f>"52,5"</f>
        <v>52,5</v>
      </c>
      <c r="P9" s="13" t="str">
        <f>"61,8975"</f>
        <v>61,8975</v>
      </c>
      <c r="Q9" s="12" t="s">
        <v>653</v>
      </c>
    </row>
    <row r="10" spans="1:17">
      <c r="A10" s="15" t="s">
        <v>334</v>
      </c>
      <c r="B10" s="14" t="s">
        <v>572</v>
      </c>
      <c r="C10" s="14" t="s">
        <v>573</v>
      </c>
      <c r="D10" s="14" t="s">
        <v>574</v>
      </c>
      <c r="E10" s="42" t="s">
        <v>760</v>
      </c>
      <c r="F10" s="14" t="s">
        <v>770</v>
      </c>
      <c r="G10" s="45" t="s">
        <v>516</v>
      </c>
      <c r="H10" s="26" t="s">
        <v>564</v>
      </c>
      <c r="I10" s="25" t="s">
        <v>517</v>
      </c>
      <c r="J10" s="15"/>
      <c r="K10" s="26" t="s">
        <v>516</v>
      </c>
      <c r="L10" s="25" t="s">
        <v>564</v>
      </c>
      <c r="M10" s="25" t="s">
        <v>564</v>
      </c>
      <c r="N10" s="15"/>
      <c r="O10" s="15" t="str">
        <f>"52,5"</f>
        <v>52,5</v>
      </c>
      <c r="P10" s="15" t="str">
        <f>"61,1153"</f>
        <v>61,1153</v>
      </c>
      <c r="Q10" s="14" t="s">
        <v>653</v>
      </c>
    </row>
    <row r="11" spans="1:17">
      <c r="B11" s="5" t="s">
        <v>8</v>
      </c>
    </row>
    <row r="12" spans="1:17" ht="16">
      <c r="A12" s="63" t="s">
        <v>137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1:17">
      <c r="A13" s="11" t="s">
        <v>111</v>
      </c>
      <c r="B13" s="10" t="s">
        <v>575</v>
      </c>
      <c r="C13" s="10" t="s">
        <v>576</v>
      </c>
      <c r="D13" s="10" t="s">
        <v>456</v>
      </c>
      <c r="E13" s="10" t="s">
        <v>760</v>
      </c>
      <c r="F13" s="10" t="s">
        <v>796</v>
      </c>
      <c r="G13" s="22" t="s">
        <v>564</v>
      </c>
      <c r="H13" s="22" t="s">
        <v>517</v>
      </c>
      <c r="I13" s="22" t="s">
        <v>518</v>
      </c>
      <c r="J13" s="11"/>
      <c r="K13" s="22" t="s">
        <v>516</v>
      </c>
      <c r="L13" s="22" t="s">
        <v>564</v>
      </c>
      <c r="M13" s="27" t="s">
        <v>517</v>
      </c>
      <c r="N13" s="11"/>
      <c r="O13" s="11" t="str">
        <f>"60,0"</f>
        <v>60,0</v>
      </c>
      <c r="P13" s="11" t="str">
        <f>"60,3060"</f>
        <v>60,3060</v>
      </c>
      <c r="Q13" s="10" t="s">
        <v>653</v>
      </c>
    </row>
    <row r="14" spans="1:17">
      <c r="A14" s="15" t="s">
        <v>112</v>
      </c>
      <c r="B14" s="14" t="s">
        <v>577</v>
      </c>
      <c r="C14" s="14" t="s">
        <v>578</v>
      </c>
      <c r="D14" s="14" t="s">
        <v>579</v>
      </c>
      <c r="E14" s="14" t="s">
        <v>760</v>
      </c>
      <c r="F14" s="14" t="s">
        <v>782</v>
      </c>
      <c r="G14" s="26" t="s">
        <v>511</v>
      </c>
      <c r="H14" s="25" t="s">
        <v>516</v>
      </c>
      <c r="I14" s="26" t="s">
        <v>564</v>
      </c>
      <c r="J14" s="15"/>
      <c r="K14" s="26" t="s">
        <v>516</v>
      </c>
      <c r="L14" s="26" t="s">
        <v>564</v>
      </c>
      <c r="M14" s="26" t="s">
        <v>517</v>
      </c>
      <c r="N14" s="15"/>
      <c r="O14" s="15" t="str">
        <f>"57,5"</f>
        <v>57,5</v>
      </c>
      <c r="P14" s="15" t="str">
        <f>"62,3530"</f>
        <v>62,3530</v>
      </c>
      <c r="Q14" s="14"/>
    </row>
    <row r="15" spans="1:17">
      <c r="B15" s="5" t="s">
        <v>8</v>
      </c>
    </row>
    <row r="16" spans="1:17" ht="16">
      <c r="A16" s="63" t="s">
        <v>25</v>
      </c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7">
      <c r="A17" s="9" t="s">
        <v>111</v>
      </c>
      <c r="B17" s="8" t="s">
        <v>580</v>
      </c>
      <c r="C17" s="8" t="s">
        <v>668</v>
      </c>
      <c r="D17" s="8" t="s">
        <v>541</v>
      </c>
      <c r="E17" s="8" t="s">
        <v>763</v>
      </c>
      <c r="F17" s="8" t="s">
        <v>796</v>
      </c>
      <c r="G17" s="20" t="s">
        <v>515</v>
      </c>
      <c r="H17" s="20" t="s">
        <v>135</v>
      </c>
      <c r="I17" s="21" t="s">
        <v>128</v>
      </c>
      <c r="J17" s="9"/>
      <c r="K17" s="20" t="s">
        <v>517</v>
      </c>
      <c r="L17" s="21" t="s">
        <v>134</v>
      </c>
      <c r="M17" s="21" t="s">
        <v>134</v>
      </c>
      <c r="N17" s="9"/>
      <c r="O17" s="9" t="str">
        <f>"70,0"</f>
        <v>70,0</v>
      </c>
      <c r="P17" s="9" t="str">
        <f>"60,7400"</f>
        <v>60,7400</v>
      </c>
      <c r="Q17" s="8" t="s">
        <v>653</v>
      </c>
    </row>
    <row r="18" spans="1:17">
      <c r="B18" s="5" t="s">
        <v>8</v>
      </c>
    </row>
    <row r="19" spans="1:17" ht="16">
      <c r="A19" s="63" t="s">
        <v>581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</row>
    <row r="20" spans="1:17">
      <c r="A20" s="11" t="s">
        <v>111</v>
      </c>
      <c r="B20" s="10" t="s">
        <v>582</v>
      </c>
      <c r="C20" s="10" t="s">
        <v>583</v>
      </c>
      <c r="D20" s="10" t="s">
        <v>584</v>
      </c>
      <c r="E20" s="10" t="s">
        <v>760</v>
      </c>
      <c r="F20" s="10" t="s">
        <v>797</v>
      </c>
      <c r="G20" s="22" t="s">
        <v>119</v>
      </c>
      <c r="H20" s="27" t="s">
        <v>121</v>
      </c>
      <c r="I20" s="22" t="s">
        <v>121</v>
      </c>
      <c r="J20" s="11"/>
      <c r="K20" s="22" t="s">
        <v>134</v>
      </c>
      <c r="L20" s="22" t="s">
        <v>515</v>
      </c>
      <c r="M20" s="22" t="s">
        <v>135</v>
      </c>
      <c r="N20" s="11"/>
      <c r="O20" s="11" t="str">
        <f>"90,0"</f>
        <v>90,0</v>
      </c>
      <c r="P20" s="11" t="str">
        <f>"69,7185"</f>
        <v>69,7185</v>
      </c>
      <c r="Q20" s="10"/>
    </row>
    <row r="21" spans="1:17">
      <c r="A21" s="15" t="s">
        <v>111</v>
      </c>
      <c r="B21" s="14" t="s">
        <v>582</v>
      </c>
      <c r="C21" s="14" t="s">
        <v>669</v>
      </c>
      <c r="D21" s="14" t="s">
        <v>584</v>
      </c>
      <c r="E21" s="14" t="s">
        <v>761</v>
      </c>
      <c r="F21" s="14" t="s">
        <v>797</v>
      </c>
      <c r="G21" s="26" t="s">
        <v>119</v>
      </c>
      <c r="H21" s="25" t="s">
        <v>121</v>
      </c>
      <c r="I21" s="26" t="s">
        <v>121</v>
      </c>
      <c r="J21" s="15"/>
      <c r="K21" s="26" t="s">
        <v>134</v>
      </c>
      <c r="L21" s="26" t="s">
        <v>515</v>
      </c>
      <c r="M21" s="26" t="s">
        <v>135</v>
      </c>
      <c r="N21" s="15"/>
      <c r="O21" s="15" t="str">
        <f>"90,0"</f>
        <v>90,0</v>
      </c>
      <c r="P21" s="15" t="str">
        <f>"78,7819"</f>
        <v>78,7819</v>
      </c>
      <c r="Q21" s="14"/>
    </row>
    <row r="22" spans="1:17">
      <c r="B22" s="5" t="s">
        <v>8</v>
      </c>
    </row>
    <row r="23" spans="1:17" ht="16">
      <c r="A23" s="63" t="s">
        <v>137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  <row r="24" spans="1:17">
      <c r="A24" s="9" t="s">
        <v>111</v>
      </c>
      <c r="B24" s="8" t="s">
        <v>585</v>
      </c>
      <c r="C24" s="8" t="s">
        <v>586</v>
      </c>
      <c r="D24" s="8" t="s">
        <v>587</v>
      </c>
      <c r="E24" s="8" t="s">
        <v>760</v>
      </c>
      <c r="F24" s="8" t="s">
        <v>768</v>
      </c>
      <c r="G24" s="21" t="s">
        <v>119</v>
      </c>
      <c r="H24" s="20" t="s">
        <v>121</v>
      </c>
      <c r="I24" s="21" t="s">
        <v>132</v>
      </c>
      <c r="J24" s="9"/>
      <c r="K24" s="20" t="s">
        <v>135</v>
      </c>
      <c r="L24" s="20" t="s">
        <v>119</v>
      </c>
      <c r="M24" s="20" t="s">
        <v>120</v>
      </c>
      <c r="N24" s="9"/>
      <c r="O24" s="9" t="str">
        <f>"97,5"</f>
        <v>97,5</v>
      </c>
      <c r="P24" s="9" t="str">
        <f>"81,8659"</f>
        <v>81,8659</v>
      </c>
      <c r="Q24" s="8" t="s">
        <v>666</v>
      </c>
    </row>
    <row r="25" spans="1:17">
      <c r="B25" s="5" t="s">
        <v>8</v>
      </c>
    </row>
    <row r="26" spans="1:17" ht="16">
      <c r="A26" s="63" t="s">
        <v>12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</row>
    <row r="27" spans="1:17">
      <c r="A27" s="9" t="s">
        <v>111</v>
      </c>
      <c r="B27" s="8" t="s">
        <v>537</v>
      </c>
      <c r="C27" s="8" t="s">
        <v>538</v>
      </c>
      <c r="D27" s="8" t="s">
        <v>539</v>
      </c>
      <c r="E27" s="8" t="s">
        <v>760</v>
      </c>
      <c r="F27" s="8" t="s">
        <v>798</v>
      </c>
      <c r="G27" s="20" t="s">
        <v>116</v>
      </c>
      <c r="H27" s="20" t="s">
        <v>117</v>
      </c>
      <c r="I27" s="21" t="s">
        <v>510</v>
      </c>
      <c r="J27" s="9"/>
      <c r="K27" s="20" t="s">
        <v>121</v>
      </c>
      <c r="L27" s="20" t="s">
        <v>343</v>
      </c>
      <c r="M27" s="21" t="s">
        <v>19</v>
      </c>
      <c r="N27" s="9"/>
      <c r="O27" s="9" t="str">
        <f>"137,5"</f>
        <v>137,5</v>
      </c>
      <c r="P27" s="9" t="str">
        <f>"106,4662"</f>
        <v>106,4662</v>
      </c>
      <c r="Q27" s="8"/>
    </row>
    <row r="28" spans="1:17">
      <c r="B28" s="5" t="s">
        <v>8</v>
      </c>
    </row>
    <row r="29" spans="1:17" ht="16">
      <c r="A29" s="63" t="s">
        <v>25</v>
      </c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</row>
    <row r="30" spans="1:17">
      <c r="A30" s="9" t="s">
        <v>111</v>
      </c>
      <c r="B30" s="8" t="s">
        <v>588</v>
      </c>
      <c r="C30" s="8" t="s">
        <v>589</v>
      </c>
      <c r="D30" s="8" t="s">
        <v>155</v>
      </c>
      <c r="E30" s="8" t="s">
        <v>760</v>
      </c>
      <c r="F30" s="8" t="s">
        <v>768</v>
      </c>
      <c r="G30" s="20" t="s">
        <v>16</v>
      </c>
      <c r="H30" s="20" t="s">
        <v>71</v>
      </c>
      <c r="I30" s="21" t="s">
        <v>17</v>
      </c>
      <c r="J30" s="9"/>
      <c r="K30" s="20" t="s">
        <v>132</v>
      </c>
      <c r="L30" s="20" t="s">
        <v>343</v>
      </c>
      <c r="M30" s="20" t="s">
        <v>19</v>
      </c>
      <c r="N30" s="9"/>
      <c r="O30" s="9" t="str">
        <f>"155,0"</f>
        <v>155,0</v>
      </c>
      <c r="P30" s="9" t="str">
        <f>"107,4693"</f>
        <v>107,4693</v>
      </c>
      <c r="Q30" s="8"/>
    </row>
    <row r="31" spans="1:17">
      <c r="B31" s="5" t="s">
        <v>8</v>
      </c>
    </row>
    <row r="32" spans="1:17" ht="16">
      <c r="A32" s="63" t="s">
        <v>37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</row>
    <row r="33" spans="1:17">
      <c r="A33" s="9" t="s">
        <v>111</v>
      </c>
      <c r="B33" s="8" t="s">
        <v>590</v>
      </c>
      <c r="C33" s="8" t="s">
        <v>591</v>
      </c>
      <c r="D33" s="8" t="s">
        <v>592</v>
      </c>
      <c r="E33" s="8" t="s">
        <v>760</v>
      </c>
      <c r="F33" s="8" t="s">
        <v>799</v>
      </c>
      <c r="G33" s="20" t="s">
        <v>118</v>
      </c>
      <c r="H33" s="20" t="s">
        <v>16</v>
      </c>
      <c r="I33" s="20" t="s">
        <v>126</v>
      </c>
      <c r="J33" s="9"/>
      <c r="K33" s="20" t="s">
        <v>132</v>
      </c>
      <c r="L33" s="20" t="s">
        <v>19</v>
      </c>
      <c r="M33" s="20" t="s">
        <v>20</v>
      </c>
      <c r="N33" s="9"/>
      <c r="O33" s="9" t="str">
        <f>"155,0"</f>
        <v>155,0</v>
      </c>
      <c r="P33" s="9" t="str">
        <f>"100,4710"</f>
        <v>100,4710</v>
      </c>
      <c r="Q33" s="8"/>
    </row>
    <row r="34" spans="1:17">
      <c r="B34" s="5" t="s">
        <v>8</v>
      </c>
    </row>
    <row r="35" spans="1:17" ht="16">
      <c r="A35" s="63" t="s">
        <v>47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</row>
    <row r="36" spans="1:17">
      <c r="A36" s="11" t="s">
        <v>111</v>
      </c>
      <c r="B36" s="10" t="s">
        <v>593</v>
      </c>
      <c r="C36" s="10" t="s">
        <v>594</v>
      </c>
      <c r="D36" s="10" t="s">
        <v>595</v>
      </c>
      <c r="E36" s="10" t="s">
        <v>760</v>
      </c>
      <c r="F36" s="10" t="s">
        <v>768</v>
      </c>
      <c r="G36" s="22" t="s">
        <v>118</v>
      </c>
      <c r="H36" s="27" t="s">
        <v>125</v>
      </c>
      <c r="I36" s="27" t="s">
        <v>125</v>
      </c>
      <c r="J36" s="11"/>
      <c r="K36" s="22" t="s">
        <v>133</v>
      </c>
      <c r="L36" s="27" t="s">
        <v>136</v>
      </c>
      <c r="M36" s="27" t="s">
        <v>136</v>
      </c>
      <c r="N36" s="11"/>
      <c r="O36" s="11" t="str">
        <f>"150,0"</f>
        <v>150,0</v>
      </c>
      <c r="P36" s="11" t="str">
        <f>"92,2950"</f>
        <v>92,2950</v>
      </c>
      <c r="Q36" s="10"/>
    </row>
    <row r="37" spans="1:17">
      <c r="A37" s="15" t="s">
        <v>111</v>
      </c>
      <c r="B37" s="14" t="s">
        <v>596</v>
      </c>
      <c r="C37" s="14" t="s">
        <v>670</v>
      </c>
      <c r="D37" s="14" t="s">
        <v>597</v>
      </c>
      <c r="E37" s="14" t="s">
        <v>761</v>
      </c>
      <c r="F37" s="14" t="s">
        <v>770</v>
      </c>
      <c r="G37" s="26" t="s">
        <v>118</v>
      </c>
      <c r="H37" s="26" t="s">
        <v>16</v>
      </c>
      <c r="I37" s="26" t="s">
        <v>71</v>
      </c>
      <c r="J37" s="15"/>
      <c r="K37" s="26" t="s">
        <v>19</v>
      </c>
      <c r="L37" s="26" t="s">
        <v>133</v>
      </c>
      <c r="M37" s="26" t="s">
        <v>21</v>
      </c>
      <c r="N37" s="15"/>
      <c r="O37" s="15" t="str">
        <f>"162,5"</f>
        <v>162,5</v>
      </c>
      <c r="P37" s="15" t="str">
        <f>"116,7774"</f>
        <v>116,7774</v>
      </c>
      <c r="Q37" s="14"/>
    </row>
    <row r="38" spans="1:17">
      <c r="B38" s="5" t="s">
        <v>8</v>
      </c>
    </row>
    <row r="39" spans="1:17">
      <c r="B39" s="5" t="s">
        <v>8</v>
      </c>
    </row>
    <row r="40" spans="1:17">
      <c r="B40" s="5" t="s">
        <v>8</v>
      </c>
    </row>
    <row r="41" spans="1:17" ht="18">
      <c r="B41" s="7" t="s">
        <v>7</v>
      </c>
      <c r="C41" s="7"/>
      <c r="F41" s="3"/>
    </row>
    <row r="42" spans="1:17" ht="16">
      <c r="B42" s="16" t="s">
        <v>197</v>
      </c>
      <c r="C42" s="16"/>
      <c r="F42" s="3"/>
    </row>
    <row r="43" spans="1:17" ht="14">
      <c r="B43" s="17"/>
      <c r="C43" s="18" t="s">
        <v>101</v>
      </c>
      <c r="F43" s="3"/>
    </row>
    <row r="44" spans="1:17" ht="14">
      <c r="B44" s="19" t="s">
        <v>95</v>
      </c>
      <c r="C44" s="19" t="s">
        <v>96</v>
      </c>
      <c r="D44" s="19" t="s">
        <v>97</v>
      </c>
      <c r="E44" s="19" t="s">
        <v>98</v>
      </c>
      <c r="F44" s="19" t="s">
        <v>514</v>
      </c>
    </row>
    <row r="45" spans="1:17">
      <c r="B45" s="5" t="s">
        <v>561</v>
      </c>
      <c r="C45" s="5" t="s">
        <v>101</v>
      </c>
      <c r="D45" s="6" t="s">
        <v>328</v>
      </c>
      <c r="E45" s="6" t="s">
        <v>19</v>
      </c>
      <c r="F45" s="6" t="s">
        <v>598</v>
      </c>
    </row>
    <row r="46" spans="1:17">
      <c r="B46" s="5" t="s">
        <v>582</v>
      </c>
      <c r="C46" s="5" t="s">
        <v>101</v>
      </c>
      <c r="D46" s="6" t="s">
        <v>599</v>
      </c>
      <c r="E46" s="6" t="s">
        <v>16</v>
      </c>
      <c r="F46" s="6" t="s">
        <v>600</v>
      </c>
    </row>
    <row r="47" spans="1:17">
      <c r="B47" s="5" t="s">
        <v>565</v>
      </c>
      <c r="C47" s="5" t="s">
        <v>101</v>
      </c>
      <c r="D47" s="6" t="s">
        <v>328</v>
      </c>
      <c r="E47" s="6" t="s">
        <v>132</v>
      </c>
      <c r="F47" s="6" t="s">
        <v>601</v>
      </c>
    </row>
  </sheetData>
  <mergeCells count="21">
    <mergeCell ref="A32:N32"/>
    <mergeCell ref="A35:N35"/>
    <mergeCell ref="B3:B4"/>
    <mergeCell ref="A12:N12"/>
    <mergeCell ref="A16:N16"/>
    <mergeCell ref="A19:N19"/>
    <mergeCell ref="A23:N23"/>
    <mergeCell ref="A26:N26"/>
    <mergeCell ref="A29:N29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6.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4.5" style="6" customWidth="1"/>
    <col min="10" max="10" width="4.83203125" style="6" customWidth="1"/>
    <col min="11" max="13" width="4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6.33203125" style="5" bestFit="1" customWidth="1"/>
    <col min="18" max="16384" width="9.1640625" style="3"/>
  </cols>
  <sheetData>
    <row r="1" spans="1:17" s="2" customFormat="1" ht="29" customHeight="1">
      <c r="A1" s="52" t="s">
        <v>695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1:17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756</v>
      </c>
      <c r="H3" s="46"/>
      <c r="I3" s="46"/>
      <c r="J3" s="46"/>
      <c r="K3" s="46" t="s">
        <v>638</v>
      </c>
      <c r="L3" s="46"/>
      <c r="M3" s="46"/>
      <c r="N3" s="46"/>
      <c r="O3" s="46" t="s">
        <v>1</v>
      </c>
      <c r="P3" s="46" t="s">
        <v>3</v>
      </c>
      <c r="Q3" s="48" t="s">
        <v>2</v>
      </c>
    </row>
    <row r="4" spans="1:17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7"/>
      <c r="P4" s="47"/>
      <c r="Q4" s="49"/>
    </row>
    <row r="5" spans="1:17" ht="16">
      <c r="A5" s="50" t="s">
        <v>47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7">
      <c r="A6" s="9" t="s">
        <v>111</v>
      </c>
      <c r="B6" s="8" t="s">
        <v>525</v>
      </c>
      <c r="C6" s="8" t="s">
        <v>526</v>
      </c>
      <c r="D6" s="8" t="s">
        <v>527</v>
      </c>
      <c r="E6" s="8" t="s">
        <v>760</v>
      </c>
      <c r="F6" s="8" t="s">
        <v>768</v>
      </c>
      <c r="G6" s="20" t="s">
        <v>118</v>
      </c>
      <c r="H6" s="20" t="s">
        <v>16</v>
      </c>
      <c r="I6" s="20" t="s">
        <v>126</v>
      </c>
      <c r="J6" s="9"/>
      <c r="K6" s="20" t="s">
        <v>133</v>
      </c>
      <c r="L6" s="20" t="s">
        <v>136</v>
      </c>
      <c r="M6" s="20" t="s">
        <v>141</v>
      </c>
      <c r="N6" s="21" t="s">
        <v>528</v>
      </c>
      <c r="O6" s="9" t="str">
        <f>"165,0"</f>
        <v>165,0</v>
      </c>
      <c r="P6" s="9" t="str">
        <f>"102,5887"</f>
        <v>102,5887</v>
      </c>
      <c r="Q6" s="8" t="s">
        <v>671</v>
      </c>
    </row>
    <row r="7" spans="1:17">
      <c r="B7" s="5" t="s">
        <v>8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13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6.3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5.5" style="5" customWidth="1"/>
    <col min="14" max="16384" width="9.1640625" style="3"/>
  </cols>
  <sheetData>
    <row r="1" spans="1:15" s="2" customFormat="1" ht="29" customHeight="1">
      <c r="A1" s="52" t="s">
        <v>698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5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5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519</v>
      </c>
      <c r="H3" s="46"/>
      <c r="I3" s="46"/>
      <c r="J3" s="46"/>
      <c r="K3" s="46" t="s">
        <v>333</v>
      </c>
      <c r="L3" s="46" t="s">
        <v>3</v>
      </c>
      <c r="M3" s="48" t="s">
        <v>2</v>
      </c>
    </row>
    <row r="4" spans="1:15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5" ht="16">
      <c r="A5" s="50" t="s">
        <v>175</v>
      </c>
      <c r="B5" s="50"/>
      <c r="C5" s="51"/>
      <c r="D5" s="51"/>
      <c r="E5" s="51"/>
      <c r="F5" s="51"/>
      <c r="G5" s="51"/>
      <c r="H5" s="51"/>
      <c r="I5" s="51"/>
      <c r="J5" s="51"/>
    </row>
    <row r="6" spans="1:15">
      <c r="A6" s="9" t="s">
        <v>111</v>
      </c>
      <c r="B6" s="8" t="s">
        <v>520</v>
      </c>
      <c r="C6" s="8" t="s">
        <v>678</v>
      </c>
      <c r="D6" s="8" t="s">
        <v>521</v>
      </c>
      <c r="E6" s="8" t="s">
        <v>763</v>
      </c>
      <c r="F6" s="8" t="s">
        <v>768</v>
      </c>
      <c r="G6" s="20" t="s">
        <v>21</v>
      </c>
      <c r="H6" s="21" t="s">
        <v>136</v>
      </c>
      <c r="I6" s="21" t="s">
        <v>136</v>
      </c>
      <c r="J6" s="9"/>
      <c r="K6" s="9" t="str">
        <f>"67,5"</f>
        <v>67,5</v>
      </c>
      <c r="L6" s="9" t="str">
        <f>"40,5411"</f>
        <v>40,5411</v>
      </c>
      <c r="M6" s="8"/>
    </row>
    <row r="7" spans="1:15" ht="14" thickBot="1">
      <c r="B7" s="5" t="s">
        <v>8</v>
      </c>
    </row>
    <row r="8" spans="1:15" ht="16">
      <c r="A8" s="50" t="s">
        <v>73</v>
      </c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6"/>
      <c r="N8" s="6"/>
      <c r="O8" s="5"/>
    </row>
    <row r="9" spans="1:15">
      <c r="A9" s="9" t="s">
        <v>111</v>
      </c>
      <c r="B9" s="8" t="s">
        <v>635</v>
      </c>
      <c r="C9" s="8" t="s">
        <v>636</v>
      </c>
      <c r="D9" s="8" t="s">
        <v>637</v>
      </c>
      <c r="E9" s="8" t="s">
        <v>760</v>
      </c>
      <c r="F9" s="8" t="s">
        <v>800</v>
      </c>
      <c r="G9" s="21" t="s">
        <v>71</v>
      </c>
      <c r="H9" s="20" t="s">
        <v>71</v>
      </c>
      <c r="I9" s="20" t="s">
        <v>22</v>
      </c>
      <c r="J9" s="9"/>
      <c r="K9" s="9" t="s">
        <v>132</v>
      </c>
      <c r="L9" s="9" t="str">
        <f>"4274,8649"</f>
        <v>4274,8649</v>
      </c>
      <c r="M9" s="8"/>
    </row>
    <row r="10" spans="1:15" ht="14" thickBot="1"/>
    <row r="11" spans="1:15" ht="16">
      <c r="A11" s="50" t="s">
        <v>47</v>
      </c>
      <c r="B11" s="50"/>
      <c r="C11" s="51"/>
      <c r="D11" s="51"/>
      <c r="E11" s="51"/>
      <c r="F11" s="51"/>
      <c r="G11" s="51"/>
      <c r="H11" s="51"/>
      <c r="I11" s="51"/>
      <c r="J11" s="51"/>
    </row>
    <row r="12" spans="1:15">
      <c r="A12" s="9" t="s">
        <v>111</v>
      </c>
      <c r="B12" s="8" t="s">
        <v>525</v>
      </c>
      <c r="C12" s="8" t="s">
        <v>526</v>
      </c>
      <c r="D12" s="8" t="s">
        <v>527</v>
      </c>
      <c r="E12" s="8" t="s">
        <v>760</v>
      </c>
      <c r="F12" s="8" t="s">
        <v>768</v>
      </c>
      <c r="G12" s="20" t="s">
        <v>118</v>
      </c>
      <c r="H12" s="20" t="s">
        <v>16</v>
      </c>
      <c r="I12" s="20" t="s">
        <v>126</v>
      </c>
      <c r="J12" s="9"/>
      <c r="K12" s="9" t="str">
        <f>"92,5"</f>
        <v>92,5</v>
      </c>
      <c r="L12" s="9" t="str">
        <f>"59,9307"</f>
        <v>59,9307</v>
      </c>
      <c r="M12" s="8" t="s">
        <v>652</v>
      </c>
    </row>
    <row r="13" spans="1:15">
      <c r="B13" s="5" t="s">
        <v>8</v>
      </c>
    </row>
  </sheetData>
  <mergeCells count="14">
    <mergeCell ref="A5:J5"/>
    <mergeCell ref="B3:B4"/>
    <mergeCell ref="A8:L8"/>
    <mergeCell ref="A11:J11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M40"/>
  <sheetViews>
    <sheetView tabSelected="1"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22.83203125" style="5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3.1640625" style="5" customWidth="1"/>
    <col min="14" max="16384" width="9.1640625" style="3"/>
  </cols>
  <sheetData>
    <row r="1" spans="1:13" s="2" customFormat="1" ht="29" customHeight="1">
      <c r="A1" s="52" t="s">
        <v>696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756</v>
      </c>
      <c r="H3" s="46"/>
      <c r="I3" s="46"/>
      <c r="J3" s="46"/>
      <c r="K3" s="46" t="s">
        <v>333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68" t="s">
        <v>137</v>
      </c>
      <c r="B5" s="68"/>
      <c r="C5" s="68"/>
      <c r="D5" s="68"/>
      <c r="E5" s="68"/>
      <c r="F5" s="68"/>
      <c r="G5" s="68"/>
      <c r="H5" s="68"/>
      <c r="I5" s="68"/>
      <c r="J5" s="68"/>
    </row>
    <row r="6" spans="1:13">
      <c r="A6" s="9" t="s">
        <v>111</v>
      </c>
      <c r="B6" s="8" t="s">
        <v>529</v>
      </c>
      <c r="C6" s="8" t="s">
        <v>530</v>
      </c>
      <c r="D6" s="8" t="s">
        <v>531</v>
      </c>
      <c r="E6" s="8" t="s">
        <v>760</v>
      </c>
      <c r="F6" s="8" t="s">
        <v>775</v>
      </c>
      <c r="G6" s="20" t="s">
        <v>119</v>
      </c>
      <c r="H6" s="21" t="s">
        <v>121</v>
      </c>
      <c r="I6" s="21" t="s">
        <v>121</v>
      </c>
      <c r="J6" s="9"/>
      <c r="K6" s="9" t="str">
        <f>"45,0"</f>
        <v>45,0</v>
      </c>
      <c r="L6" s="9" t="str">
        <f>"38,1622"</f>
        <v>38,1622</v>
      </c>
      <c r="M6" s="8"/>
    </row>
    <row r="7" spans="1:13">
      <c r="B7" s="5" t="s">
        <v>8</v>
      </c>
    </row>
    <row r="8" spans="1:13" ht="16">
      <c r="A8" s="69" t="s">
        <v>12</v>
      </c>
      <c r="B8" s="69"/>
      <c r="C8" s="69"/>
      <c r="D8" s="69"/>
      <c r="E8" s="69"/>
      <c r="F8" s="69"/>
      <c r="G8" s="69"/>
      <c r="H8" s="69"/>
      <c r="I8" s="69"/>
      <c r="J8" s="69"/>
    </row>
    <row r="9" spans="1:13">
      <c r="A9" s="11" t="s">
        <v>111</v>
      </c>
      <c r="B9" s="10" t="s">
        <v>532</v>
      </c>
      <c r="C9" s="10" t="s">
        <v>650</v>
      </c>
      <c r="D9" s="10" t="s">
        <v>533</v>
      </c>
      <c r="E9" s="10" t="s">
        <v>762</v>
      </c>
      <c r="F9" s="10" t="s">
        <v>768</v>
      </c>
      <c r="G9" s="22" t="s">
        <v>119</v>
      </c>
      <c r="H9" s="22" t="s">
        <v>121</v>
      </c>
      <c r="I9" s="22" t="s">
        <v>251</v>
      </c>
      <c r="J9" s="11"/>
      <c r="K9" s="11" t="str">
        <f>"52,5"</f>
        <v>52,5</v>
      </c>
      <c r="L9" s="11" t="str">
        <f>"40,9342"</f>
        <v>40,9342</v>
      </c>
      <c r="M9" s="10"/>
    </row>
    <row r="10" spans="1:13">
      <c r="A10" s="13" t="s">
        <v>111</v>
      </c>
      <c r="B10" s="12" t="s">
        <v>534</v>
      </c>
      <c r="C10" s="12" t="s">
        <v>535</v>
      </c>
      <c r="D10" s="12" t="s">
        <v>536</v>
      </c>
      <c r="E10" s="12" t="s">
        <v>760</v>
      </c>
      <c r="F10" s="12" t="s">
        <v>768</v>
      </c>
      <c r="G10" s="23" t="s">
        <v>132</v>
      </c>
      <c r="H10" s="23" t="s">
        <v>19</v>
      </c>
      <c r="I10" s="24" t="s">
        <v>20</v>
      </c>
      <c r="J10" s="13"/>
      <c r="K10" s="13" t="str">
        <f>"60,0"</f>
        <v>60,0</v>
      </c>
      <c r="L10" s="13" t="str">
        <f>"45,9600"</f>
        <v>45,9600</v>
      </c>
      <c r="M10" s="12"/>
    </row>
    <row r="11" spans="1:13">
      <c r="A11" s="15" t="s">
        <v>112</v>
      </c>
      <c r="B11" s="14" t="s">
        <v>537</v>
      </c>
      <c r="C11" s="14" t="s">
        <v>538</v>
      </c>
      <c r="D11" s="14" t="s">
        <v>539</v>
      </c>
      <c r="E11" s="14" t="s">
        <v>760</v>
      </c>
      <c r="F11" s="14" t="s">
        <v>798</v>
      </c>
      <c r="G11" s="26" t="s">
        <v>121</v>
      </c>
      <c r="H11" s="26" t="s">
        <v>343</v>
      </c>
      <c r="I11" s="25" t="s">
        <v>19</v>
      </c>
      <c r="J11" s="15"/>
      <c r="K11" s="15" t="str">
        <f>"57,5"</f>
        <v>57,5</v>
      </c>
      <c r="L11" s="15" t="str">
        <f>"44,5222"</f>
        <v>44,5222</v>
      </c>
      <c r="M11" s="14"/>
    </row>
    <row r="12" spans="1:13">
      <c r="B12" s="5" t="s">
        <v>8</v>
      </c>
    </row>
    <row r="13" spans="1:13" ht="16">
      <c r="A13" s="69" t="s">
        <v>25</v>
      </c>
      <c r="B13" s="69"/>
      <c r="C13" s="69"/>
      <c r="D13" s="69"/>
      <c r="E13" s="69"/>
      <c r="F13" s="69"/>
      <c r="G13" s="69"/>
      <c r="H13" s="69"/>
      <c r="I13" s="69"/>
      <c r="J13" s="69"/>
    </row>
    <row r="14" spans="1:13">
      <c r="A14" s="11" t="s">
        <v>111</v>
      </c>
      <c r="B14" s="10" t="s">
        <v>540</v>
      </c>
      <c r="C14" s="10" t="s">
        <v>673</v>
      </c>
      <c r="D14" s="10" t="s">
        <v>541</v>
      </c>
      <c r="E14" s="10" t="s">
        <v>759</v>
      </c>
      <c r="F14" s="10" t="s">
        <v>768</v>
      </c>
      <c r="G14" s="22" t="s">
        <v>132</v>
      </c>
      <c r="H14" s="22" t="s">
        <v>19</v>
      </c>
      <c r="I14" s="22" t="s">
        <v>20</v>
      </c>
      <c r="J14" s="11"/>
      <c r="K14" s="11" t="str">
        <f>"62,5"</f>
        <v>62,5</v>
      </c>
      <c r="L14" s="11" t="str">
        <f>"43,8688"</f>
        <v>43,8688</v>
      </c>
      <c r="M14" s="10"/>
    </row>
    <row r="15" spans="1:13">
      <c r="A15" s="13" t="s">
        <v>111</v>
      </c>
      <c r="B15" s="12" t="s">
        <v>542</v>
      </c>
      <c r="C15" s="12" t="s">
        <v>543</v>
      </c>
      <c r="D15" s="12" t="s">
        <v>544</v>
      </c>
      <c r="E15" s="12" t="s">
        <v>760</v>
      </c>
      <c r="F15" s="12" t="s">
        <v>768</v>
      </c>
      <c r="G15" s="23" t="s">
        <v>19</v>
      </c>
      <c r="H15" s="23" t="s">
        <v>20</v>
      </c>
      <c r="I15" s="24" t="s">
        <v>133</v>
      </c>
      <c r="J15" s="13"/>
      <c r="K15" s="13" t="str">
        <f>"62,5"</f>
        <v>62,5</v>
      </c>
      <c r="L15" s="13" t="str">
        <f>"46,4875"</f>
        <v>46,4875</v>
      </c>
      <c r="M15" s="12"/>
    </row>
    <row r="16" spans="1:13">
      <c r="A16" s="15" t="s">
        <v>112</v>
      </c>
      <c r="B16" s="14" t="s">
        <v>374</v>
      </c>
      <c r="C16" s="14" t="s">
        <v>375</v>
      </c>
      <c r="D16" s="14" t="s">
        <v>376</v>
      </c>
      <c r="E16" s="14" t="s">
        <v>760</v>
      </c>
      <c r="F16" s="14" t="s">
        <v>768</v>
      </c>
      <c r="G16" s="26" t="s">
        <v>120</v>
      </c>
      <c r="H16" s="26" t="s">
        <v>251</v>
      </c>
      <c r="I16" s="25" t="s">
        <v>132</v>
      </c>
      <c r="J16" s="15"/>
      <c r="K16" s="15" t="str">
        <f>"52,5"</f>
        <v>52,5</v>
      </c>
      <c r="L16" s="15" t="str">
        <f>"37,4456"</f>
        <v>37,4456</v>
      </c>
      <c r="M16" s="14"/>
    </row>
    <row r="17" spans="1:13">
      <c r="B17" s="5" t="s">
        <v>8</v>
      </c>
    </row>
    <row r="18" spans="1:13" ht="16">
      <c r="A18" s="69" t="s">
        <v>37</v>
      </c>
      <c r="B18" s="69"/>
      <c r="C18" s="69"/>
      <c r="D18" s="69"/>
      <c r="E18" s="69"/>
      <c r="F18" s="69"/>
      <c r="G18" s="69"/>
      <c r="H18" s="69"/>
      <c r="I18" s="69"/>
      <c r="J18" s="69"/>
    </row>
    <row r="19" spans="1:13">
      <c r="A19" s="11" t="s">
        <v>111</v>
      </c>
      <c r="B19" s="10" t="s">
        <v>545</v>
      </c>
      <c r="C19" s="10" t="s">
        <v>546</v>
      </c>
      <c r="D19" s="10" t="s">
        <v>40</v>
      </c>
      <c r="E19" s="10" t="s">
        <v>760</v>
      </c>
      <c r="F19" s="10" t="s">
        <v>768</v>
      </c>
      <c r="G19" s="22" t="s">
        <v>20</v>
      </c>
      <c r="H19" s="22" t="s">
        <v>21</v>
      </c>
      <c r="I19" s="27" t="s">
        <v>136</v>
      </c>
      <c r="J19" s="11"/>
      <c r="K19" s="11" t="str">
        <f>"67,5"</f>
        <v>67,5</v>
      </c>
      <c r="L19" s="11" t="str">
        <f>"43,9999"</f>
        <v>43,9999</v>
      </c>
      <c r="M19" s="10"/>
    </row>
    <row r="20" spans="1:13">
      <c r="A20" s="13" t="s">
        <v>112</v>
      </c>
      <c r="B20" s="12" t="s">
        <v>384</v>
      </c>
      <c r="C20" s="12" t="s">
        <v>385</v>
      </c>
      <c r="D20" s="12" t="s">
        <v>386</v>
      </c>
      <c r="E20" s="12" t="s">
        <v>760</v>
      </c>
      <c r="F20" s="12" t="s">
        <v>768</v>
      </c>
      <c r="G20" s="23" t="s">
        <v>19</v>
      </c>
      <c r="H20" s="23" t="s">
        <v>133</v>
      </c>
      <c r="I20" s="24" t="s">
        <v>116</v>
      </c>
      <c r="J20" s="13"/>
      <c r="K20" s="13" t="str">
        <f>"65,0"</f>
        <v>65,0</v>
      </c>
      <c r="L20" s="13" t="str">
        <f>"42,4028"</f>
        <v>42,4028</v>
      </c>
      <c r="M20" s="12"/>
    </row>
    <row r="21" spans="1:13">
      <c r="A21" s="13" t="s">
        <v>214</v>
      </c>
      <c r="B21" s="12" t="s">
        <v>269</v>
      </c>
      <c r="C21" s="12" t="s">
        <v>270</v>
      </c>
      <c r="D21" s="12" t="s">
        <v>40</v>
      </c>
      <c r="E21" s="12" t="s">
        <v>760</v>
      </c>
      <c r="F21" s="12" t="s">
        <v>768</v>
      </c>
      <c r="G21" s="23" t="s">
        <v>19</v>
      </c>
      <c r="H21" s="23" t="s">
        <v>133</v>
      </c>
      <c r="I21" s="24" t="s">
        <v>21</v>
      </c>
      <c r="J21" s="13"/>
      <c r="K21" s="13" t="str">
        <f>"65,0"</f>
        <v>65,0</v>
      </c>
      <c r="L21" s="13" t="str">
        <f>"42,3702"</f>
        <v>42,3702</v>
      </c>
      <c r="M21" s="12"/>
    </row>
    <row r="22" spans="1:13">
      <c r="A22" s="13" t="s">
        <v>213</v>
      </c>
      <c r="B22" s="12" t="s">
        <v>547</v>
      </c>
      <c r="C22" s="12" t="s">
        <v>548</v>
      </c>
      <c r="D22" s="12" t="s">
        <v>162</v>
      </c>
      <c r="E22" s="12" t="s">
        <v>760</v>
      </c>
      <c r="F22" s="12" t="s">
        <v>768</v>
      </c>
      <c r="G22" s="24" t="s">
        <v>121</v>
      </c>
      <c r="H22" s="24" t="s">
        <v>343</v>
      </c>
      <c r="I22" s="24" t="s">
        <v>343</v>
      </c>
      <c r="J22" s="13"/>
      <c r="K22" s="13" t="str">
        <f>"0.00"</f>
        <v>0.00</v>
      </c>
      <c r="L22" s="13" t="str">
        <f>"0,0000"</f>
        <v>0,0000</v>
      </c>
      <c r="M22" s="12"/>
    </row>
    <row r="23" spans="1:13">
      <c r="A23" s="15" t="s">
        <v>111</v>
      </c>
      <c r="B23" s="14" t="s">
        <v>545</v>
      </c>
      <c r="C23" s="14" t="s">
        <v>674</v>
      </c>
      <c r="D23" s="14" t="s">
        <v>40</v>
      </c>
      <c r="E23" s="14" t="s">
        <v>763</v>
      </c>
      <c r="F23" s="14" t="s">
        <v>768</v>
      </c>
      <c r="G23" s="26" t="s">
        <v>20</v>
      </c>
      <c r="H23" s="26" t="s">
        <v>21</v>
      </c>
      <c r="I23" s="25" t="s">
        <v>136</v>
      </c>
      <c r="J23" s="15"/>
      <c r="K23" s="15" t="str">
        <f>"67,5"</f>
        <v>67,5</v>
      </c>
      <c r="L23" s="15" t="str">
        <f>"48,9719"</f>
        <v>48,9719</v>
      </c>
      <c r="M23" s="14"/>
    </row>
    <row r="24" spans="1:13">
      <c r="B24" s="5" t="s">
        <v>8</v>
      </c>
    </row>
    <row r="25" spans="1:13" ht="16">
      <c r="A25" s="69" t="s">
        <v>47</v>
      </c>
      <c r="B25" s="69"/>
      <c r="C25" s="69"/>
      <c r="D25" s="69"/>
      <c r="E25" s="69"/>
      <c r="F25" s="69"/>
      <c r="G25" s="69"/>
      <c r="H25" s="69"/>
      <c r="I25" s="69"/>
      <c r="J25" s="69"/>
    </row>
    <row r="26" spans="1:13">
      <c r="A26" s="9" t="s">
        <v>111</v>
      </c>
      <c r="B26" s="8" t="s">
        <v>549</v>
      </c>
      <c r="C26" s="8" t="s">
        <v>550</v>
      </c>
      <c r="D26" s="8" t="s">
        <v>408</v>
      </c>
      <c r="E26" s="8" t="s">
        <v>760</v>
      </c>
      <c r="F26" s="8" t="s">
        <v>796</v>
      </c>
      <c r="G26" s="20" t="s">
        <v>141</v>
      </c>
      <c r="H26" s="21" t="s">
        <v>116</v>
      </c>
      <c r="I26" s="21" t="s">
        <v>116</v>
      </c>
      <c r="J26" s="9"/>
      <c r="K26" s="9" t="str">
        <f>"72,5"</f>
        <v>72,5</v>
      </c>
      <c r="L26" s="9" t="str">
        <f>"45,3814"</f>
        <v>45,3814</v>
      </c>
      <c r="M26" s="8"/>
    </row>
    <row r="27" spans="1:13">
      <c r="B27" s="5" t="s">
        <v>8</v>
      </c>
    </row>
    <row r="28" spans="1:13" ht="16">
      <c r="A28" s="69" t="s">
        <v>175</v>
      </c>
      <c r="B28" s="69"/>
      <c r="C28" s="69"/>
      <c r="D28" s="69"/>
      <c r="E28" s="69"/>
      <c r="F28" s="69"/>
      <c r="G28" s="69"/>
      <c r="H28" s="69"/>
      <c r="I28" s="69"/>
      <c r="J28" s="69"/>
    </row>
    <row r="29" spans="1:13">
      <c r="A29" s="11" t="s">
        <v>111</v>
      </c>
      <c r="B29" s="10" t="s">
        <v>484</v>
      </c>
      <c r="C29" s="10" t="s">
        <v>651</v>
      </c>
      <c r="D29" s="10" t="s">
        <v>486</v>
      </c>
      <c r="E29" s="10" t="s">
        <v>762</v>
      </c>
      <c r="F29" s="10" t="s">
        <v>768</v>
      </c>
      <c r="G29" s="22" t="s">
        <v>121</v>
      </c>
      <c r="H29" s="22" t="s">
        <v>132</v>
      </c>
      <c r="I29" s="27" t="s">
        <v>19</v>
      </c>
      <c r="J29" s="11"/>
      <c r="K29" s="11" t="str">
        <f>"55,0"</f>
        <v>55,0</v>
      </c>
      <c r="L29" s="11" t="str">
        <f>"32,3537"</f>
        <v>32,3537</v>
      </c>
      <c r="M29" s="10" t="s">
        <v>672</v>
      </c>
    </row>
    <row r="30" spans="1:13">
      <c r="A30" s="15" t="s">
        <v>111</v>
      </c>
      <c r="B30" s="14" t="s">
        <v>551</v>
      </c>
      <c r="C30" s="14" t="s">
        <v>675</v>
      </c>
      <c r="D30" s="14" t="s">
        <v>552</v>
      </c>
      <c r="E30" s="14" t="s">
        <v>763</v>
      </c>
      <c r="F30" s="14" t="s">
        <v>768</v>
      </c>
      <c r="G30" s="26" t="s">
        <v>19</v>
      </c>
      <c r="H30" s="25" t="s">
        <v>133</v>
      </c>
      <c r="I30" s="25" t="s">
        <v>133</v>
      </c>
      <c r="J30" s="15"/>
      <c r="K30" s="15" t="str">
        <f>"60,0"</f>
        <v>60,0</v>
      </c>
      <c r="L30" s="15" t="str">
        <f>"35,6177"</f>
        <v>35,6177</v>
      </c>
      <c r="M30" s="14"/>
    </row>
    <row r="31" spans="1:13">
      <c r="B31" s="5" t="s">
        <v>8</v>
      </c>
    </row>
    <row r="32" spans="1:13">
      <c r="B32" s="5" t="s">
        <v>8</v>
      </c>
    </row>
    <row r="33" spans="2:6">
      <c r="B33" s="5" t="s">
        <v>8</v>
      </c>
    </row>
    <row r="34" spans="2:6" ht="18">
      <c r="B34" s="7" t="s">
        <v>7</v>
      </c>
      <c r="C34" s="7"/>
      <c r="F34" s="3"/>
    </row>
    <row r="35" spans="2:6" ht="16">
      <c r="B35" s="16" t="s">
        <v>94</v>
      </c>
      <c r="C35" s="16"/>
      <c r="F35" s="3"/>
    </row>
    <row r="36" spans="2:6" ht="14">
      <c r="B36" s="17"/>
      <c r="C36" s="18" t="s">
        <v>101</v>
      </c>
      <c r="F36" s="3"/>
    </row>
    <row r="37" spans="2:6" ht="14">
      <c r="B37" s="19" t="s">
        <v>95</v>
      </c>
      <c r="C37" s="19" t="s">
        <v>96</v>
      </c>
      <c r="D37" s="19" t="s">
        <v>97</v>
      </c>
      <c r="E37" s="19" t="s">
        <v>325</v>
      </c>
      <c r="F37" s="19" t="s">
        <v>514</v>
      </c>
    </row>
    <row r="38" spans="2:6">
      <c r="B38" s="5" t="s">
        <v>542</v>
      </c>
      <c r="C38" s="5" t="s">
        <v>101</v>
      </c>
      <c r="D38" s="6" t="s">
        <v>202</v>
      </c>
      <c r="E38" s="6" t="s">
        <v>20</v>
      </c>
      <c r="F38" s="6" t="s">
        <v>553</v>
      </c>
    </row>
    <row r="39" spans="2:6">
      <c r="B39" s="5" t="s">
        <v>534</v>
      </c>
      <c r="C39" s="5" t="s">
        <v>101</v>
      </c>
      <c r="D39" s="6" t="s">
        <v>100</v>
      </c>
      <c r="E39" s="6" t="s">
        <v>19</v>
      </c>
      <c r="F39" s="6" t="s">
        <v>554</v>
      </c>
    </row>
    <row r="40" spans="2:6">
      <c r="B40" s="5" t="s">
        <v>549</v>
      </c>
      <c r="C40" s="5" t="s">
        <v>101</v>
      </c>
      <c r="D40" s="6" t="s">
        <v>105</v>
      </c>
      <c r="E40" s="6" t="s">
        <v>141</v>
      </c>
      <c r="F40" s="6" t="s">
        <v>555</v>
      </c>
    </row>
  </sheetData>
  <mergeCells count="17">
    <mergeCell ref="A28:J28"/>
    <mergeCell ref="A5:J5"/>
    <mergeCell ref="A8:J8"/>
    <mergeCell ref="A13:J13"/>
    <mergeCell ref="A18:J18"/>
    <mergeCell ref="A25:J25"/>
    <mergeCell ref="A1:M2"/>
    <mergeCell ref="A3:A4"/>
    <mergeCell ref="C3:C4"/>
    <mergeCell ref="D3:D4"/>
    <mergeCell ref="E3:E4"/>
    <mergeCell ref="F3:F4"/>
    <mergeCell ref="G3:J3"/>
    <mergeCell ref="B3:B4"/>
    <mergeCell ref="K3:K4"/>
    <mergeCell ref="L3:L4"/>
    <mergeCell ref="M3:M4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14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19.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9.83203125" style="5" customWidth="1"/>
    <col min="7" max="9" width="4.5" style="6" customWidth="1"/>
    <col min="10" max="10" width="4.83203125" style="6" customWidth="1"/>
    <col min="11" max="11" width="10.5" style="6" bestFit="1" customWidth="1"/>
    <col min="12" max="12" width="7.5" style="6" bestFit="1" customWidth="1"/>
    <col min="13" max="13" width="22.83203125" style="5" customWidth="1"/>
    <col min="14" max="16384" width="9.1640625" style="3"/>
  </cols>
  <sheetData>
    <row r="1" spans="1:13" s="2" customFormat="1" ht="29" customHeight="1">
      <c r="A1" s="52" t="s">
        <v>697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756</v>
      </c>
      <c r="H3" s="46"/>
      <c r="I3" s="46"/>
      <c r="J3" s="46"/>
      <c r="K3" s="46" t="s">
        <v>333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37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11" t="s">
        <v>111</v>
      </c>
      <c r="B6" s="10" t="s">
        <v>522</v>
      </c>
      <c r="C6" s="10" t="s">
        <v>523</v>
      </c>
      <c r="D6" s="10" t="s">
        <v>524</v>
      </c>
      <c r="E6" s="10" t="s">
        <v>760</v>
      </c>
      <c r="F6" s="10" t="s">
        <v>773</v>
      </c>
      <c r="G6" s="22" t="s">
        <v>21</v>
      </c>
      <c r="H6" s="27" t="s">
        <v>136</v>
      </c>
      <c r="I6" s="27" t="s">
        <v>136</v>
      </c>
      <c r="J6" s="11"/>
      <c r="K6" s="11" t="str">
        <f>"67,5"</f>
        <v>67,5</v>
      </c>
      <c r="L6" s="11" t="str">
        <f>"45,2216"</f>
        <v>45,2216</v>
      </c>
      <c r="M6" s="10"/>
    </row>
    <row r="7" spans="1:13">
      <c r="A7" s="15" t="s">
        <v>112</v>
      </c>
      <c r="B7" s="14" t="s">
        <v>269</v>
      </c>
      <c r="C7" s="14" t="s">
        <v>270</v>
      </c>
      <c r="D7" s="14" t="s">
        <v>40</v>
      </c>
      <c r="E7" s="14" t="s">
        <v>760</v>
      </c>
      <c r="F7" s="14" t="s">
        <v>768</v>
      </c>
      <c r="G7" s="26" t="s">
        <v>19</v>
      </c>
      <c r="H7" s="26" t="s">
        <v>133</v>
      </c>
      <c r="I7" s="25" t="s">
        <v>21</v>
      </c>
      <c r="J7" s="15"/>
      <c r="K7" s="15" t="str">
        <f>"65,0"</f>
        <v>65,0</v>
      </c>
      <c r="L7" s="15" t="str">
        <f>"42,3702"</f>
        <v>42,3702</v>
      </c>
      <c r="M7" s="14"/>
    </row>
    <row r="8" spans="1:13">
      <c r="B8" s="5" t="s">
        <v>8</v>
      </c>
    </row>
    <row r="9" spans="1:13" ht="16">
      <c r="A9" s="63" t="s">
        <v>47</v>
      </c>
      <c r="B9" s="63"/>
      <c r="C9" s="63"/>
      <c r="D9" s="63"/>
      <c r="E9" s="63"/>
      <c r="F9" s="63"/>
      <c r="G9" s="63"/>
      <c r="H9" s="63"/>
      <c r="I9" s="63"/>
      <c r="J9" s="63"/>
    </row>
    <row r="10" spans="1:13">
      <c r="A10" s="9" t="s">
        <v>111</v>
      </c>
      <c r="B10" s="8" t="s">
        <v>525</v>
      </c>
      <c r="C10" s="8" t="s">
        <v>526</v>
      </c>
      <c r="D10" s="8" t="s">
        <v>527</v>
      </c>
      <c r="E10" s="8" t="s">
        <v>760</v>
      </c>
      <c r="F10" s="8" t="s">
        <v>768</v>
      </c>
      <c r="G10" s="20" t="s">
        <v>133</v>
      </c>
      <c r="H10" s="20" t="s">
        <v>136</v>
      </c>
      <c r="I10" s="20" t="s">
        <v>141</v>
      </c>
      <c r="J10" s="21" t="s">
        <v>528</v>
      </c>
      <c r="K10" s="9" t="str">
        <f>"72,5"</f>
        <v>72,5</v>
      </c>
      <c r="L10" s="9" t="str">
        <f>"45,0769"</f>
        <v>45,0769</v>
      </c>
      <c r="M10" s="8" t="s">
        <v>671</v>
      </c>
    </row>
    <row r="11" spans="1:13">
      <c r="B11" s="5" t="s">
        <v>8</v>
      </c>
    </row>
    <row r="12" spans="1:13" ht="16">
      <c r="A12" s="63" t="s">
        <v>175</v>
      </c>
      <c r="B12" s="63"/>
      <c r="C12" s="63"/>
      <c r="D12" s="63"/>
      <c r="E12" s="63"/>
      <c r="F12" s="63"/>
      <c r="G12" s="63"/>
      <c r="H12" s="63"/>
      <c r="I12" s="63"/>
      <c r="J12" s="63"/>
    </row>
    <row r="13" spans="1:13">
      <c r="A13" s="9" t="s">
        <v>111</v>
      </c>
      <c r="B13" s="8" t="s">
        <v>512</v>
      </c>
      <c r="C13" s="8" t="s">
        <v>677</v>
      </c>
      <c r="D13" s="8" t="s">
        <v>513</v>
      </c>
      <c r="E13" s="8" t="s">
        <v>761</v>
      </c>
      <c r="F13" s="8" t="s">
        <v>768</v>
      </c>
      <c r="G13" s="20" t="s">
        <v>119</v>
      </c>
      <c r="H13" s="20" t="s">
        <v>121</v>
      </c>
      <c r="I13" s="20" t="s">
        <v>132</v>
      </c>
      <c r="J13" s="9"/>
      <c r="K13" s="9" t="str">
        <f>"55,0"</f>
        <v>55,0</v>
      </c>
      <c r="L13" s="9" t="str">
        <f>"37,9845"</f>
        <v>37,9845</v>
      </c>
      <c r="M13" s="8" t="s">
        <v>676</v>
      </c>
    </row>
    <row r="14" spans="1:13">
      <c r="B14" s="5" t="s">
        <v>8</v>
      </c>
    </row>
  </sheetData>
  <mergeCells count="14">
    <mergeCell ref="A9:J9"/>
    <mergeCell ref="A12:J12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U17"/>
  <sheetViews>
    <sheetView workbookViewId="0">
      <selection sqref="A1:U2"/>
    </sheetView>
  </sheetViews>
  <sheetFormatPr baseColWidth="10" defaultColWidth="9.1640625" defaultRowHeight="13"/>
  <cols>
    <col min="1" max="1" width="7.5" style="5" bestFit="1" customWidth="1"/>
    <col min="2" max="2" width="16.66406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9.8320312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28" bestFit="1" customWidth="1"/>
    <col min="20" max="20" width="8.5" style="6" bestFit="1" customWidth="1"/>
    <col min="21" max="21" width="21.1640625" style="5" bestFit="1" customWidth="1"/>
    <col min="22" max="16384" width="9.1640625" style="3"/>
  </cols>
  <sheetData>
    <row r="1" spans="1:21" s="2" customFormat="1" ht="29" customHeight="1">
      <c r="A1" s="52" t="s">
        <v>728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</row>
    <row r="2" spans="1:21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9"/>
    </row>
    <row r="3" spans="1:21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9</v>
      </c>
      <c r="H3" s="46"/>
      <c r="I3" s="46"/>
      <c r="J3" s="46"/>
      <c r="K3" s="46" t="s">
        <v>10</v>
      </c>
      <c r="L3" s="46"/>
      <c r="M3" s="46"/>
      <c r="N3" s="46"/>
      <c r="O3" s="46" t="s">
        <v>11</v>
      </c>
      <c r="P3" s="46"/>
      <c r="Q3" s="46"/>
      <c r="R3" s="46"/>
      <c r="S3" s="66" t="s">
        <v>1</v>
      </c>
      <c r="T3" s="46" t="s">
        <v>3</v>
      </c>
      <c r="U3" s="48" t="s">
        <v>2</v>
      </c>
    </row>
    <row r="4" spans="1:21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67"/>
      <c r="T4" s="47"/>
      <c r="U4" s="49"/>
    </row>
    <row r="5" spans="1:21" ht="16">
      <c r="A5" s="50" t="s">
        <v>25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9" t="s">
        <v>213</v>
      </c>
      <c r="B6" s="8" t="s">
        <v>233</v>
      </c>
      <c r="C6" s="8" t="s">
        <v>685</v>
      </c>
      <c r="D6" s="8" t="s">
        <v>234</v>
      </c>
      <c r="E6" s="8" t="s">
        <v>763</v>
      </c>
      <c r="F6" s="8" t="s">
        <v>779</v>
      </c>
      <c r="G6" s="20" t="s">
        <v>62</v>
      </c>
      <c r="H6" s="9"/>
      <c r="I6" s="9"/>
      <c r="J6" s="9"/>
      <c r="K6" s="21" t="s">
        <v>145</v>
      </c>
      <c r="L6" s="21" t="s">
        <v>145</v>
      </c>
      <c r="M6" s="21" t="s">
        <v>145</v>
      </c>
      <c r="N6" s="9"/>
      <c r="O6" s="21"/>
      <c r="P6" s="9"/>
      <c r="Q6" s="9"/>
      <c r="R6" s="9"/>
      <c r="S6" s="29">
        <v>0</v>
      </c>
      <c r="T6" s="9" t="str">
        <f>"0,0000"</f>
        <v>0,0000</v>
      </c>
      <c r="U6" s="8"/>
    </row>
    <row r="7" spans="1:21">
      <c r="B7" s="5" t="s">
        <v>8</v>
      </c>
    </row>
    <row r="8" spans="1:21" ht="16">
      <c r="A8" s="63" t="s">
        <v>175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</row>
    <row r="9" spans="1:21">
      <c r="A9" s="9" t="s">
        <v>111</v>
      </c>
      <c r="B9" s="8" t="s">
        <v>235</v>
      </c>
      <c r="C9" s="8" t="s">
        <v>686</v>
      </c>
      <c r="D9" s="8" t="s">
        <v>236</v>
      </c>
      <c r="E9" s="8" t="s">
        <v>763</v>
      </c>
      <c r="F9" s="8" t="s">
        <v>768</v>
      </c>
      <c r="G9" s="20" t="s">
        <v>91</v>
      </c>
      <c r="H9" s="21" t="s">
        <v>61</v>
      </c>
      <c r="I9" s="21" t="s">
        <v>41</v>
      </c>
      <c r="J9" s="9"/>
      <c r="K9" s="20" t="s">
        <v>72</v>
      </c>
      <c r="L9" s="20" t="s">
        <v>145</v>
      </c>
      <c r="M9" s="21" t="s">
        <v>30</v>
      </c>
      <c r="N9" s="9"/>
      <c r="O9" s="20" t="s">
        <v>91</v>
      </c>
      <c r="P9" s="20" t="s">
        <v>41</v>
      </c>
      <c r="Q9" s="20" t="s">
        <v>51</v>
      </c>
      <c r="R9" s="9"/>
      <c r="S9" s="29" t="str">
        <f>"545,0"</f>
        <v>545,0</v>
      </c>
      <c r="T9" s="9" t="str">
        <f>"341,9267"</f>
        <v>341,9267</v>
      </c>
      <c r="U9" s="8" t="s">
        <v>684</v>
      </c>
    </row>
    <row r="10" spans="1:21">
      <c r="B10" s="5" t="s">
        <v>8</v>
      </c>
    </row>
    <row r="11" spans="1:21" ht="16">
      <c r="A11" s="63" t="s">
        <v>73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</row>
    <row r="12" spans="1:21">
      <c r="A12" s="11" t="s">
        <v>111</v>
      </c>
      <c r="B12" s="10" t="s">
        <v>237</v>
      </c>
      <c r="C12" s="10" t="s">
        <v>238</v>
      </c>
      <c r="D12" s="10" t="s">
        <v>239</v>
      </c>
      <c r="E12" s="10" t="s">
        <v>760</v>
      </c>
      <c r="F12" s="10" t="s">
        <v>768</v>
      </c>
      <c r="G12" s="22" t="s">
        <v>63</v>
      </c>
      <c r="H12" s="22" t="s">
        <v>77</v>
      </c>
      <c r="I12" s="22" t="s">
        <v>66</v>
      </c>
      <c r="J12" s="11"/>
      <c r="K12" s="22" t="s">
        <v>145</v>
      </c>
      <c r="L12" s="22" t="s">
        <v>30</v>
      </c>
      <c r="M12" s="27" t="s">
        <v>34</v>
      </c>
      <c r="N12" s="11"/>
      <c r="O12" s="22" t="s">
        <v>77</v>
      </c>
      <c r="P12" s="22" t="s">
        <v>66</v>
      </c>
      <c r="Q12" s="22" t="s">
        <v>240</v>
      </c>
      <c r="R12" s="11"/>
      <c r="S12" s="30" t="str">
        <f>"632,5"</f>
        <v>632,5</v>
      </c>
      <c r="T12" s="11" t="str">
        <f>"373,1750"</f>
        <v>373,1750</v>
      </c>
      <c r="U12" s="10"/>
    </row>
    <row r="13" spans="1:21">
      <c r="A13" s="15" t="s">
        <v>112</v>
      </c>
      <c r="B13" s="14" t="s">
        <v>241</v>
      </c>
      <c r="C13" s="14" t="s">
        <v>242</v>
      </c>
      <c r="D13" s="14" t="s">
        <v>82</v>
      </c>
      <c r="E13" s="14" t="s">
        <v>760</v>
      </c>
      <c r="F13" s="14" t="s">
        <v>768</v>
      </c>
      <c r="G13" s="26" t="s">
        <v>61</v>
      </c>
      <c r="H13" s="26" t="s">
        <v>51</v>
      </c>
      <c r="I13" s="26" t="s">
        <v>77</v>
      </c>
      <c r="J13" s="15"/>
      <c r="K13" s="26" t="s">
        <v>72</v>
      </c>
      <c r="L13" s="26" t="s">
        <v>145</v>
      </c>
      <c r="M13" s="26" t="s">
        <v>30</v>
      </c>
      <c r="N13" s="15"/>
      <c r="O13" s="26" t="s">
        <v>63</v>
      </c>
      <c r="P13" s="26" t="s">
        <v>52</v>
      </c>
      <c r="Q13" s="26" t="s">
        <v>240</v>
      </c>
      <c r="R13" s="15"/>
      <c r="S13" s="31" t="str">
        <f>"622,5"</f>
        <v>622,5</v>
      </c>
      <c r="T13" s="15" t="str">
        <f>"375,9278"</f>
        <v>375,9278</v>
      </c>
      <c r="U13" s="14"/>
    </row>
    <row r="14" spans="1:21">
      <c r="B14" s="5" t="s">
        <v>8</v>
      </c>
    </row>
    <row r="15" spans="1:21" ht="16">
      <c r="A15" s="63" t="s">
        <v>243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</row>
    <row r="16" spans="1:21">
      <c r="A16" s="9" t="s">
        <v>111</v>
      </c>
      <c r="B16" s="8" t="s">
        <v>244</v>
      </c>
      <c r="C16" s="8" t="s">
        <v>687</v>
      </c>
      <c r="D16" s="8" t="s">
        <v>245</v>
      </c>
      <c r="E16" s="8" t="s">
        <v>763</v>
      </c>
      <c r="F16" s="8" t="s">
        <v>768</v>
      </c>
      <c r="G16" s="20" t="s">
        <v>41</v>
      </c>
      <c r="H16" s="20" t="s">
        <v>63</v>
      </c>
      <c r="I16" s="21" t="s">
        <v>44</v>
      </c>
      <c r="J16" s="9"/>
      <c r="K16" s="20" t="s">
        <v>34</v>
      </c>
      <c r="L16" s="20" t="s">
        <v>64</v>
      </c>
      <c r="M16" s="21" t="s">
        <v>35</v>
      </c>
      <c r="N16" s="9"/>
      <c r="O16" s="20" t="s">
        <v>61</v>
      </c>
      <c r="P16" s="20" t="s">
        <v>62</v>
      </c>
      <c r="Q16" s="20" t="s">
        <v>63</v>
      </c>
      <c r="R16" s="9"/>
      <c r="S16" s="29" t="str">
        <f>"600,0"</f>
        <v>600,0</v>
      </c>
      <c r="T16" s="9" t="str">
        <f>"343,7400"</f>
        <v>343,7400</v>
      </c>
      <c r="U16" s="8" t="s">
        <v>684</v>
      </c>
    </row>
    <row r="17" spans="2:2">
      <c r="B17" s="5" t="s">
        <v>8</v>
      </c>
    </row>
  </sheetData>
  <mergeCells count="17">
    <mergeCell ref="A8:R8"/>
    <mergeCell ref="A11:R11"/>
    <mergeCell ref="A15:R15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U14"/>
  <sheetViews>
    <sheetView workbookViewId="0">
      <selection activeCell="E13" sqref="E13"/>
    </sheetView>
  </sheetViews>
  <sheetFormatPr baseColWidth="10" defaultColWidth="9.1640625" defaultRowHeight="13"/>
  <cols>
    <col min="1" max="1" width="7.5" style="5" bestFit="1" customWidth="1"/>
    <col min="2" max="2" width="20.66406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7" width="5.5" style="6" customWidth="1"/>
    <col min="18" max="18" width="4.83203125" style="6" customWidth="1"/>
    <col min="19" max="19" width="7.83203125" style="6" bestFit="1" customWidth="1"/>
    <col min="20" max="20" width="8.5" style="6" bestFit="1" customWidth="1"/>
    <col min="21" max="21" width="21.1640625" style="5" bestFit="1" customWidth="1"/>
    <col min="22" max="16384" width="9.1640625" style="3"/>
  </cols>
  <sheetData>
    <row r="1" spans="1:21" s="2" customFormat="1" ht="29" customHeight="1">
      <c r="A1" s="52" t="s">
        <v>729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5"/>
    </row>
    <row r="2" spans="1:21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9"/>
    </row>
    <row r="3" spans="1:21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9</v>
      </c>
      <c r="H3" s="46"/>
      <c r="I3" s="46"/>
      <c r="J3" s="46"/>
      <c r="K3" s="46" t="s">
        <v>10</v>
      </c>
      <c r="L3" s="46"/>
      <c r="M3" s="46"/>
      <c r="N3" s="46"/>
      <c r="O3" s="46" t="s">
        <v>11</v>
      </c>
      <c r="P3" s="46"/>
      <c r="Q3" s="46"/>
      <c r="R3" s="46"/>
      <c r="S3" s="46" t="s">
        <v>1</v>
      </c>
      <c r="T3" s="46" t="s">
        <v>3</v>
      </c>
      <c r="U3" s="48" t="s">
        <v>2</v>
      </c>
    </row>
    <row r="4" spans="1:21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">
        <v>1</v>
      </c>
      <c r="P4" s="4">
        <v>2</v>
      </c>
      <c r="Q4" s="4">
        <v>3</v>
      </c>
      <c r="R4" s="4" t="s">
        <v>4</v>
      </c>
      <c r="S4" s="47"/>
      <c r="T4" s="47"/>
      <c r="U4" s="49"/>
    </row>
    <row r="5" spans="1:21" ht="16">
      <c r="A5" s="50" t="s">
        <v>175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</row>
    <row r="6" spans="1:21">
      <c r="A6" s="11" t="s">
        <v>111</v>
      </c>
      <c r="B6" s="10" t="s">
        <v>215</v>
      </c>
      <c r="C6" s="10" t="s">
        <v>216</v>
      </c>
      <c r="D6" s="10" t="s">
        <v>217</v>
      </c>
      <c r="E6" s="10" t="s">
        <v>760</v>
      </c>
      <c r="F6" s="10" t="s">
        <v>775</v>
      </c>
      <c r="G6" s="22" t="s">
        <v>52</v>
      </c>
      <c r="H6" s="22" t="s">
        <v>46</v>
      </c>
      <c r="I6" s="22" t="s">
        <v>218</v>
      </c>
      <c r="J6" s="11"/>
      <c r="K6" s="22" t="s">
        <v>219</v>
      </c>
      <c r="L6" s="22" t="s">
        <v>30</v>
      </c>
      <c r="M6" s="27" t="s">
        <v>34</v>
      </c>
      <c r="N6" s="11"/>
      <c r="O6" s="22" t="s">
        <v>44</v>
      </c>
      <c r="P6" s="22" t="s">
        <v>52</v>
      </c>
      <c r="Q6" s="22" t="s">
        <v>45</v>
      </c>
      <c r="R6" s="11"/>
      <c r="S6" s="11" t="str">
        <f>"645,0"</f>
        <v>645,0</v>
      </c>
      <c r="T6" s="11" t="str">
        <f>"396,4815"</f>
        <v>396,4815</v>
      </c>
      <c r="U6" s="10"/>
    </row>
    <row r="7" spans="1:21">
      <c r="A7" s="15" t="s">
        <v>112</v>
      </c>
      <c r="B7" s="14" t="s">
        <v>220</v>
      </c>
      <c r="C7" s="14" t="s">
        <v>221</v>
      </c>
      <c r="D7" s="14" t="s">
        <v>222</v>
      </c>
      <c r="E7" s="14" t="s">
        <v>760</v>
      </c>
      <c r="F7" s="14" t="s">
        <v>768</v>
      </c>
      <c r="G7" s="25" t="s">
        <v>63</v>
      </c>
      <c r="H7" s="26" t="s">
        <v>63</v>
      </c>
      <c r="I7" s="26" t="s">
        <v>77</v>
      </c>
      <c r="J7" s="15"/>
      <c r="K7" s="26" t="s">
        <v>53</v>
      </c>
      <c r="L7" s="26" t="s">
        <v>54</v>
      </c>
      <c r="M7" s="25" t="s">
        <v>171</v>
      </c>
      <c r="N7" s="15"/>
      <c r="O7" s="26" t="s">
        <v>63</v>
      </c>
      <c r="P7" s="26" t="s">
        <v>223</v>
      </c>
      <c r="Q7" s="26" t="s">
        <v>45</v>
      </c>
      <c r="R7" s="15"/>
      <c r="S7" s="15" t="str">
        <f>"620,0"</f>
        <v>620,0</v>
      </c>
      <c r="T7" s="15" t="str">
        <f>"377,3320"</f>
        <v>377,3320</v>
      </c>
      <c r="U7" s="14" t="s">
        <v>688</v>
      </c>
    </row>
    <row r="8" spans="1:21">
      <c r="B8" s="5" t="s">
        <v>8</v>
      </c>
    </row>
    <row r="9" spans="1:21" ht="16">
      <c r="A9" s="63" t="s">
        <v>73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</row>
    <row r="10" spans="1:21">
      <c r="A10" s="9" t="s">
        <v>111</v>
      </c>
      <c r="B10" s="8" t="s">
        <v>224</v>
      </c>
      <c r="C10" s="8" t="s">
        <v>225</v>
      </c>
      <c r="D10" s="8" t="s">
        <v>226</v>
      </c>
      <c r="E10" s="8" t="s">
        <v>760</v>
      </c>
      <c r="F10" s="8" t="s">
        <v>775</v>
      </c>
      <c r="G10" s="20" t="s">
        <v>193</v>
      </c>
      <c r="H10" s="20" t="s">
        <v>227</v>
      </c>
      <c r="I10" s="9"/>
      <c r="J10" s="9"/>
      <c r="K10" s="20" t="s">
        <v>91</v>
      </c>
      <c r="L10" s="21" t="s">
        <v>61</v>
      </c>
      <c r="M10" s="9"/>
      <c r="N10" s="9"/>
      <c r="O10" s="20" t="s">
        <v>228</v>
      </c>
      <c r="P10" s="20" t="s">
        <v>88</v>
      </c>
      <c r="Q10" s="21" t="s">
        <v>229</v>
      </c>
      <c r="R10" s="9"/>
      <c r="S10" s="9" t="str">
        <f>"780,0"</f>
        <v>780,0</v>
      </c>
      <c r="T10" s="9" t="str">
        <f>"459,6540"</f>
        <v>459,6540</v>
      </c>
      <c r="U10" s="8"/>
    </row>
    <row r="11" spans="1:21">
      <c r="B11" s="5" t="s">
        <v>8</v>
      </c>
    </row>
    <row r="12" spans="1:21" ht="16">
      <c r="A12" s="63" t="s">
        <v>84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</row>
    <row r="13" spans="1:21">
      <c r="A13" s="9" t="s">
        <v>111</v>
      </c>
      <c r="B13" s="8" t="s">
        <v>230</v>
      </c>
      <c r="C13" s="8" t="s">
        <v>231</v>
      </c>
      <c r="D13" s="8" t="s">
        <v>232</v>
      </c>
      <c r="E13" s="8" t="s">
        <v>760</v>
      </c>
      <c r="F13" s="8" t="s">
        <v>768</v>
      </c>
      <c r="G13" s="20" t="s">
        <v>77</v>
      </c>
      <c r="H13" s="20" t="s">
        <v>46</v>
      </c>
      <c r="I13" s="20" t="s">
        <v>195</v>
      </c>
      <c r="J13" s="9"/>
      <c r="K13" s="20" t="s">
        <v>29</v>
      </c>
      <c r="L13" s="20" t="s">
        <v>30</v>
      </c>
      <c r="M13" s="21" t="s">
        <v>171</v>
      </c>
      <c r="N13" s="9"/>
      <c r="O13" s="20" t="s">
        <v>44</v>
      </c>
      <c r="P13" s="20" t="s">
        <v>52</v>
      </c>
      <c r="Q13" s="20" t="s">
        <v>46</v>
      </c>
      <c r="R13" s="9"/>
      <c r="S13" s="9" t="str">
        <f>"655,0"</f>
        <v>655,0</v>
      </c>
      <c r="T13" s="9" t="str">
        <f>"368,8305"</f>
        <v>368,8305</v>
      </c>
      <c r="U13" s="8"/>
    </row>
    <row r="14" spans="1:21">
      <c r="B14" s="5" t="s">
        <v>8</v>
      </c>
    </row>
  </sheetData>
  <mergeCells count="16">
    <mergeCell ref="A9:R9"/>
    <mergeCell ref="A12:R12"/>
    <mergeCell ref="B3:B4"/>
    <mergeCell ref="S3:S4"/>
    <mergeCell ref="T3:T4"/>
    <mergeCell ref="U3:U4"/>
    <mergeCell ref="A5:R5"/>
    <mergeCell ref="A1:U2"/>
    <mergeCell ref="A3:A4"/>
    <mergeCell ref="C3:C4"/>
    <mergeCell ref="D3:D4"/>
    <mergeCell ref="E3:E4"/>
    <mergeCell ref="F3:F4"/>
    <mergeCell ref="G3:J3"/>
    <mergeCell ref="K3:N3"/>
    <mergeCell ref="O3:R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7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15.3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4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16.33203125" style="5" bestFit="1" customWidth="1"/>
    <col min="18" max="16384" width="9.1640625" style="3"/>
  </cols>
  <sheetData>
    <row r="1" spans="1:17" s="2" customFormat="1" ht="29" customHeight="1">
      <c r="A1" s="52" t="s">
        <v>699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1:17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10</v>
      </c>
      <c r="H3" s="46"/>
      <c r="I3" s="46"/>
      <c r="J3" s="46"/>
      <c r="K3" s="46" t="s">
        <v>11</v>
      </c>
      <c r="L3" s="46"/>
      <c r="M3" s="46"/>
      <c r="N3" s="46"/>
      <c r="O3" s="46" t="s">
        <v>1</v>
      </c>
      <c r="P3" s="46" t="s">
        <v>3</v>
      </c>
      <c r="Q3" s="48" t="s">
        <v>2</v>
      </c>
    </row>
    <row r="4" spans="1:17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7"/>
      <c r="P4" s="47"/>
      <c r="Q4" s="49"/>
    </row>
    <row r="5" spans="1:17" ht="16">
      <c r="A5" s="50" t="s">
        <v>12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7">
      <c r="A6" s="9" t="s">
        <v>111</v>
      </c>
      <c r="B6" s="8" t="s">
        <v>457</v>
      </c>
      <c r="C6" s="8" t="s">
        <v>458</v>
      </c>
      <c r="D6" s="8" t="s">
        <v>459</v>
      </c>
      <c r="E6" s="8" t="s">
        <v>760</v>
      </c>
      <c r="F6" s="8" t="s">
        <v>768</v>
      </c>
      <c r="G6" s="20" t="s">
        <v>133</v>
      </c>
      <c r="H6" s="20" t="s">
        <v>136</v>
      </c>
      <c r="I6" s="20" t="s">
        <v>116</v>
      </c>
      <c r="J6" s="9"/>
      <c r="K6" s="20" t="s">
        <v>34</v>
      </c>
      <c r="L6" s="20" t="s">
        <v>31</v>
      </c>
      <c r="M6" s="20" t="s">
        <v>422</v>
      </c>
      <c r="N6" s="9"/>
      <c r="O6" s="9" t="str">
        <f>"237,5"</f>
        <v>237,5</v>
      </c>
      <c r="P6" s="9" t="str">
        <f>"242,6538"</f>
        <v>242,6538</v>
      </c>
      <c r="Q6" s="8" t="s">
        <v>671</v>
      </c>
    </row>
    <row r="7" spans="1:17">
      <c r="B7" s="5" t="s">
        <v>8</v>
      </c>
    </row>
  </sheetData>
  <mergeCells count="13">
    <mergeCell ref="A5:N5"/>
    <mergeCell ref="B3:B4"/>
    <mergeCell ref="A1:Q2"/>
    <mergeCell ref="A3:A4"/>
    <mergeCell ref="C3:C4"/>
    <mergeCell ref="D3:D4"/>
    <mergeCell ref="E3:E4"/>
    <mergeCell ref="F3:F4"/>
    <mergeCell ref="G3:J3"/>
    <mergeCell ref="K3:N3"/>
    <mergeCell ref="O3:O4"/>
    <mergeCell ref="P3:P4"/>
    <mergeCell ref="Q3:Q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Q15"/>
  <sheetViews>
    <sheetView workbookViewId="0">
      <selection sqref="A1:Q2"/>
    </sheetView>
  </sheetViews>
  <sheetFormatPr baseColWidth="10" defaultColWidth="9.1640625" defaultRowHeight="13"/>
  <cols>
    <col min="1" max="1" width="7.5" style="5" bestFit="1" customWidth="1"/>
    <col min="2" max="2" width="20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3" width="5.5" style="6" customWidth="1"/>
    <col min="14" max="14" width="4.83203125" style="6" customWidth="1"/>
    <col min="15" max="15" width="7.83203125" style="6" bestFit="1" customWidth="1"/>
    <col min="16" max="16" width="8.5" style="6" bestFit="1" customWidth="1"/>
    <col min="17" max="17" width="20.5" style="5" bestFit="1" customWidth="1"/>
    <col min="18" max="16384" width="9.1640625" style="3"/>
  </cols>
  <sheetData>
    <row r="1" spans="1:17" s="2" customFormat="1" ht="29" customHeight="1">
      <c r="A1" s="52" t="s">
        <v>700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5"/>
    </row>
    <row r="2" spans="1:17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9"/>
    </row>
    <row r="3" spans="1:17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10</v>
      </c>
      <c r="H3" s="46"/>
      <c r="I3" s="46"/>
      <c r="J3" s="46"/>
      <c r="K3" s="46" t="s">
        <v>11</v>
      </c>
      <c r="L3" s="46"/>
      <c r="M3" s="46"/>
      <c r="N3" s="46"/>
      <c r="O3" s="46" t="s">
        <v>1</v>
      </c>
      <c r="P3" s="46" t="s">
        <v>3</v>
      </c>
      <c r="Q3" s="48" t="s">
        <v>2</v>
      </c>
    </row>
    <row r="4" spans="1:17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">
        <v>1</v>
      </c>
      <c r="L4" s="4">
        <v>2</v>
      </c>
      <c r="M4" s="4">
        <v>3</v>
      </c>
      <c r="N4" s="4" t="s">
        <v>4</v>
      </c>
      <c r="O4" s="47"/>
      <c r="P4" s="47"/>
      <c r="Q4" s="49"/>
    </row>
    <row r="5" spans="1:17" ht="16">
      <c r="A5" s="50" t="s">
        <v>37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7">
      <c r="A6" s="11" t="s">
        <v>111</v>
      </c>
      <c r="B6" s="10" t="s">
        <v>496</v>
      </c>
      <c r="C6" s="10" t="s">
        <v>497</v>
      </c>
      <c r="D6" s="10" t="s">
        <v>498</v>
      </c>
      <c r="E6" s="10" t="s">
        <v>762</v>
      </c>
      <c r="F6" s="10" t="s">
        <v>780</v>
      </c>
      <c r="G6" s="27" t="s">
        <v>116</v>
      </c>
      <c r="H6" s="22" t="s">
        <v>117</v>
      </c>
      <c r="I6" s="27" t="s">
        <v>118</v>
      </c>
      <c r="J6" s="11"/>
      <c r="K6" s="22" t="s">
        <v>179</v>
      </c>
      <c r="L6" s="22" t="s">
        <v>29</v>
      </c>
      <c r="M6" s="27" t="s">
        <v>72</v>
      </c>
      <c r="N6" s="11"/>
      <c r="O6" s="11" t="str">
        <f>"210,0"</f>
        <v>210,0</v>
      </c>
      <c r="P6" s="11" t="str">
        <f>"142,4850"</f>
        <v>142,4850</v>
      </c>
      <c r="Q6" s="10" t="s">
        <v>499</v>
      </c>
    </row>
    <row r="7" spans="1:17">
      <c r="A7" s="13" t="s">
        <v>111</v>
      </c>
      <c r="B7" s="12" t="s">
        <v>500</v>
      </c>
      <c r="C7" s="12" t="s">
        <v>501</v>
      </c>
      <c r="D7" s="12" t="s">
        <v>502</v>
      </c>
      <c r="E7" s="12" t="s">
        <v>760</v>
      </c>
      <c r="F7" s="12" t="s">
        <v>768</v>
      </c>
      <c r="G7" s="23" t="s">
        <v>22</v>
      </c>
      <c r="H7" s="23" t="s">
        <v>32</v>
      </c>
      <c r="I7" s="24" t="s">
        <v>23</v>
      </c>
      <c r="J7" s="13"/>
      <c r="K7" s="23" t="s">
        <v>65</v>
      </c>
      <c r="L7" s="23" t="s">
        <v>35</v>
      </c>
      <c r="M7" s="23" t="s">
        <v>83</v>
      </c>
      <c r="N7" s="13"/>
      <c r="O7" s="13" t="str">
        <f>"285,0"</f>
        <v>285,0</v>
      </c>
      <c r="P7" s="13" t="str">
        <f>"194,1135"</f>
        <v>194,1135</v>
      </c>
      <c r="Q7" s="12" t="s">
        <v>680</v>
      </c>
    </row>
    <row r="8" spans="1:17">
      <c r="A8" s="15" t="s">
        <v>111</v>
      </c>
      <c r="B8" s="14" t="s">
        <v>503</v>
      </c>
      <c r="C8" s="14" t="s">
        <v>679</v>
      </c>
      <c r="D8" s="14" t="s">
        <v>378</v>
      </c>
      <c r="E8" s="14" t="s">
        <v>765</v>
      </c>
      <c r="F8" s="14" t="s">
        <v>768</v>
      </c>
      <c r="G8" s="26" t="s">
        <v>16</v>
      </c>
      <c r="H8" s="26" t="s">
        <v>71</v>
      </c>
      <c r="I8" s="25" t="s">
        <v>127</v>
      </c>
      <c r="J8" s="15"/>
      <c r="K8" s="26" t="s">
        <v>32</v>
      </c>
      <c r="L8" s="26" t="s">
        <v>179</v>
      </c>
      <c r="M8" s="25" t="s">
        <v>70</v>
      </c>
      <c r="N8" s="15"/>
      <c r="O8" s="15" t="str">
        <f>"215,0"</f>
        <v>215,0</v>
      </c>
      <c r="P8" s="15" t="str">
        <f>"254,2783"</f>
        <v>254,2783</v>
      </c>
      <c r="Q8" s="14"/>
    </row>
    <row r="9" spans="1:17">
      <c r="B9" s="5" t="s">
        <v>8</v>
      </c>
    </row>
    <row r="10" spans="1:17" ht="16">
      <c r="A10" s="63" t="s">
        <v>47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7">
      <c r="A11" s="9" t="s">
        <v>111</v>
      </c>
      <c r="B11" s="8" t="s">
        <v>504</v>
      </c>
      <c r="C11" s="8" t="s">
        <v>505</v>
      </c>
      <c r="D11" s="8" t="s">
        <v>506</v>
      </c>
      <c r="E11" s="8" t="s">
        <v>760</v>
      </c>
      <c r="F11" s="8" t="s">
        <v>768</v>
      </c>
      <c r="G11" s="20" t="s">
        <v>145</v>
      </c>
      <c r="H11" s="20" t="s">
        <v>34</v>
      </c>
      <c r="I11" s="20" t="s">
        <v>64</v>
      </c>
      <c r="J11" s="9"/>
      <c r="K11" s="20" t="s">
        <v>62</v>
      </c>
      <c r="L11" s="20" t="s">
        <v>63</v>
      </c>
      <c r="M11" s="20" t="s">
        <v>52</v>
      </c>
      <c r="N11" s="9"/>
      <c r="O11" s="9" t="str">
        <f>"395,0"</f>
        <v>395,0</v>
      </c>
      <c r="P11" s="9" t="str">
        <f>"253,6295"</f>
        <v>253,6295</v>
      </c>
      <c r="Q11" s="8" t="s">
        <v>78</v>
      </c>
    </row>
    <row r="12" spans="1:17">
      <c r="B12" s="5" t="s">
        <v>8</v>
      </c>
    </row>
    <row r="13" spans="1:17" ht="16">
      <c r="A13" s="63" t="s">
        <v>175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</row>
    <row r="14" spans="1:17">
      <c r="A14" s="9" t="s">
        <v>111</v>
      </c>
      <c r="B14" s="8" t="s">
        <v>507</v>
      </c>
      <c r="C14" s="8" t="s">
        <v>508</v>
      </c>
      <c r="D14" s="8" t="s">
        <v>509</v>
      </c>
      <c r="E14" s="8" t="s">
        <v>760</v>
      </c>
      <c r="F14" s="8" t="s">
        <v>775</v>
      </c>
      <c r="G14" s="20" t="s">
        <v>145</v>
      </c>
      <c r="H14" s="20" t="s">
        <v>171</v>
      </c>
      <c r="I14" s="21" t="s">
        <v>64</v>
      </c>
      <c r="J14" s="9"/>
      <c r="K14" s="20" t="s">
        <v>61</v>
      </c>
      <c r="L14" s="20" t="s">
        <v>77</v>
      </c>
      <c r="M14" s="20" t="s">
        <v>46</v>
      </c>
      <c r="N14" s="9"/>
      <c r="O14" s="9" t="str">
        <f>"402,5"</f>
        <v>402,5</v>
      </c>
      <c r="P14" s="9" t="str">
        <f>"249,0670"</f>
        <v>249,0670</v>
      </c>
      <c r="Q14" s="8"/>
    </row>
    <row r="15" spans="1:17">
      <c r="B15" s="5" t="s">
        <v>8</v>
      </c>
    </row>
  </sheetData>
  <mergeCells count="15">
    <mergeCell ref="A10:N10"/>
    <mergeCell ref="A13:N13"/>
    <mergeCell ref="B3:B4"/>
    <mergeCell ref="O3:O4"/>
    <mergeCell ref="P3:P4"/>
    <mergeCell ref="Q3:Q4"/>
    <mergeCell ref="A5:N5"/>
    <mergeCell ref="A1:Q2"/>
    <mergeCell ref="A3:A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M10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8.83203125" style="5" bestFit="1" customWidth="1"/>
    <col min="3" max="3" width="26.3320312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52" t="s">
        <v>701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9</v>
      </c>
      <c r="H3" s="46"/>
      <c r="I3" s="46"/>
      <c r="J3" s="46"/>
      <c r="K3" s="46" t="s">
        <v>333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464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111</v>
      </c>
      <c r="B6" s="8" t="s">
        <v>465</v>
      </c>
      <c r="C6" s="8" t="s">
        <v>466</v>
      </c>
      <c r="D6" s="8" t="s">
        <v>182</v>
      </c>
      <c r="E6" s="8" t="s">
        <v>760</v>
      </c>
      <c r="F6" s="8" t="s">
        <v>768</v>
      </c>
      <c r="G6" s="20" t="s">
        <v>16</v>
      </c>
      <c r="H6" s="20" t="s">
        <v>126</v>
      </c>
      <c r="I6" s="20" t="s">
        <v>71</v>
      </c>
      <c r="J6" s="9"/>
      <c r="K6" s="9" t="str">
        <f>"95,0"</f>
        <v>95,0</v>
      </c>
      <c r="L6" s="9" t="str">
        <f>"81,3295"</f>
        <v>81,3295</v>
      </c>
      <c r="M6" s="8" t="s">
        <v>681</v>
      </c>
    </row>
    <row r="7" spans="1:13">
      <c r="B7" s="5" t="s">
        <v>8</v>
      </c>
    </row>
    <row r="8" spans="1:13" ht="16">
      <c r="A8" s="63" t="s">
        <v>37</v>
      </c>
      <c r="B8" s="63"/>
      <c r="C8" s="63"/>
      <c r="D8" s="63"/>
      <c r="E8" s="63"/>
      <c r="F8" s="63"/>
      <c r="G8" s="63"/>
      <c r="H8" s="63"/>
      <c r="I8" s="63"/>
      <c r="J8" s="63"/>
    </row>
    <row r="9" spans="1:13">
      <c r="A9" s="9" t="s">
        <v>111</v>
      </c>
      <c r="B9" s="8" t="s">
        <v>494</v>
      </c>
      <c r="C9" s="8" t="s">
        <v>495</v>
      </c>
      <c r="D9" s="8" t="s">
        <v>386</v>
      </c>
      <c r="E9" s="8" t="s">
        <v>760</v>
      </c>
      <c r="F9" s="8" t="s">
        <v>768</v>
      </c>
      <c r="G9" s="20" t="s">
        <v>65</v>
      </c>
      <c r="H9" s="20" t="s">
        <v>83</v>
      </c>
      <c r="I9" s="20" t="s">
        <v>36</v>
      </c>
      <c r="J9" s="9"/>
      <c r="K9" s="9" t="str">
        <f>"180,0"</f>
        <v>180,0</v>
      </c>
      <c r="L9" s="9" t="str">
        <f>"121,9320"</f>
        <v>121,9320</v>
      </c>
      <c r="M9" s="8"/>
    </row>
    <row r="10" spans="1:13">
      <c r="B10" s="5" t="s">
        <v>8</v>
      </c>
    </row>
  </sheetData>
  <mergeCells count="13">
    <mergeCell ref="A8:J8"/>
    <mergeCell ref="B3:B4"/>
    <mergeCell ref="K3:K4"/>
    <mergeCell ref="L3:L4"/>
    <mergeCell ref="M3:M4"/>
    <mergeCell ref="A5:J5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M7"/>
  <sheetViews>
    <sheetView workbookViewId="0">
      <selection sqref="A1:M2"/>
    </sheetView>
  </sheetViews>
  <sheetFormatPr baseColWidth="10" defaultColWidth="9.1640625" defaultRowHeight="13"/>
  <cols>
    <col min="1" max="1" width="7.5" style="5" bestFit="1" customWidth="1"/>
    <col min="2" max="2" width="14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7" width="4.5" style="6" customWidth="1"/>
    <col min="8" max="9" width="5.5" style="6" customWidth="1"/>
    <col min="10" max="10" width="4.83203125" style="6" customWidth="1"/>
    <col min="11" max="11" width="10.5" style="6" bestFit="1" customWidth="1"/>
    <col min="12" max="12" width="8.5" style="6" bestFit="1" customWidth="1"/>
    <col min="13" max="13" width="15.5" style="5" bestFit="1" customWidth="1"/>
    <col min="14" max="16384" width="9.1640625" style="3"/>
  </cols>
  <sheetData>
    <row r="1" spans="1:13" s="2" customFormat="1" ht="29" customHeight="1">
      <c r="A1" s="52" t="s">
        <v>702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3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3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9</v>
      </c>
      <c r="H3" s="46"/>
      <c r="I3" s="46"/>
      <c r="J3" s="46"/>
      <c r="K3" s="46" t="s">
        <v>333</v>
      </c>
      <c r="L3" s="46" t="s">
        <v>3</v>
      </c>
      <c r="M3" s="48" t="s">
        <v>2</v>
      </c>
    </row>
    <row r="4" spans="1:13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47"/>
      <c r="L4" s="47"/>
      <c r="M4" s="49"/>
    </row>
    <row r="5" spans="1:13" ht="16">
      <c r="A5" s="50" t="s">
        <v>12</v>
      </c>
      <c r="B5" s="50"/>
      <c r="C5" s="51"/>
      <c r="D5" s="51"/>
      <c r="E5" s="51"/>
      <c r="F5" s="51"/>
      <c r="G5" s="51"/>
      <c r="H5" s="51"/>
      <c r="I5" s="51"/>
      <c r="J5" s="51"/>
    </row>
    <row r="6" spans="1:13">
      <c r="A6" s="9" t="s">
        <v>111</v>
      </c>
      <c r="B6" s="8" t="s">
        <v>493</v>
      </c>
      <c r="C6" s="8" t="s">
        <v>682</v>
      </c>
      <c r="D6" s="8" t="s">
        <v>150</v>
      </c>
      <c r="E6" s="8" t="s">
        <v>761</v>
      </c>
      <c r="F6" s="8" t="s">
        <v>768</v>
      </c>
      <c r="G6" s="20" t="s">
        <v>126</v>
      </c>
      <c r="H6" s="20" t="s">
        <v>22</v>
      </c>
      <c r="I6" s="21" t="s">
        <v>179</v>
      </c>
      <c r="J6" s="9"/>
      <c r="K6" s="9" t="str">
        <f>"105,0"</f>
        <v>105,0</v>
      </c>
      <c r="L6" s="9" t="str">
        <f>"120,9353"</f>
        <v>120,9353</v>
      </c>
      <c r="M6" s="8"/>
    </row>
    <row r="7" spans="1:13">
      <c r="B7" s="5" t="s">
        <v>8</v>
      </c>
    </row>
  </sheetData>
  <mergeCells count="12">
    <mergeCell ref="A5:J5"/>
    <mergeCell ref="B3:B4"/>
    <mergeCell ref="A1:M2"/>
    <mergeCell ref="A3:A4"/>
    <mergeCell ref="C3:C4"/>
    <mergeCell ref="D3:D4"/>
    <mergeCell ref="E3:E4"/>
    <mergeCell ref="F3:F4"/>
    <mergeCell ref="G3:J3"/>
    <mergeCell ref="K3:K4"/>
    <mergeCell ref="L3:L4"/>
    <mergeCell ref="M3:M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O77"/>
  <sheetViews>
    <sheetView topLeftCell="A20" zoomScaleNormal="100" workbookViewId="0">
      <selection activeCell="E61" sqref="E61"/>
    </sheetView>
  </sheetViews>
  <sheetFormatPr baseColWidth="10" defaultColWidth="9.1640625" defaultRowHeight="13"/>
  <cols>
    <col min="1" max="1" width="7.5" style="5" bestFit="1" customWidth="1"/>
    <col min="2" max="2" width="19.83203125" style="5" bestFit="1" customWidth="1"/>
    <col min="3" max="3" width="28.5" style="5" bestFit="1" customWidth="1"/>
    <col min="4" max="4" width="21.5" style="5" bestFit="1" customWidth="1"/>
    <col min="5" max="5" width="10.5" style="5" bestFit="1" customWidth="1"/>
    <col min="6" max="6" width="15.5" style="5" bestFit="1" customWidth="1"/>
    <col min="7" max="9" width="5.5" style="6" customWidth="1"/>
    <col min="10" max="10" width="4.83203125" style="6" customWidth="1"/>
    <col min="11" max="11" width="10.5" style="28" bestFit="1" customWidth="1"/>
    <col min="12" max="12" width="8.5" style="6" bestFit="1" customWidth="1"/>
    <col min="13" max="13" width="28.5" style="5" bestFit="1" customWidth="1"/>
    <col min="14" max="16384" width="9.1640625" style="3"/>
  </cols>
  <sheetData>
    <row r="1" spans="1:15" s="2" customFormat="1" ht="29" customHeight="1">
      <c r="A1" s="52" t="s">
        <v>714</v>
      </c>
      <c r="B1" s="53"/>
      <c r="C1" s="54"/>
      <c r="D1" s="54"/>
      <c r="E1" s="54"/>
      <c r="F1" s="54"/>
      <c r="G1" s="54"/>
      <c r="H1" s="54"/>
      <c r="I1" s="54"/>
      <c r="J1" s="54"/>
      <c r="K1" s="54"/>
      <c r="L1" s="54"/>
      <c r="M1" s="55"/>
    </row>
    <row r="2" spans="1:15" s="2" customFormat="1" ht="62" customHeight="1" thickBot="1">
      <c r="A2" s="56"/>
      <c r="B2" s="57"/>
      <c r="C2" s="58"/>
      <c r="D2" s="58"/>
      <c r="E2" s="58"/>
      <c r="F2" s="58"/>
      <c r="G2" s="58"/>
      <c r="H2" s="58"/>
      <c r="I2" s="58"/>
      <c r="J2" s="58"/>
      <c r="K2" s="58"/>
      <c r="L2" s="58"/>
      <c r="M2" s="59"/>
    </row>
    <row r="3" spans="1:15" s="1" customFormat="1" ht="12.75" customHeight="1">
      <c r="A3" s="60" t="s">
        <v>801</v>
      </c>
      <c r="B3" s="64" t="s">
        <v>0</v>
      </c>
      <c r="C3" s="62" t="s">
        <v>757</v>
      </c>
      <c r="D3" s="62" t="s">
        <v>5</v>
      </c>
      <c r="E3" s="46" t="s">
        <v>758</v>
      </c>
      <c r="F3" s="46" t="s">
        <v>6</v>
      </c>
      <c r="G3" s="46" t="s">
        <v>10</v>
      </c>
      <c r="H3" s="46"/>
      <c r="I3" s="46"/>
      <c r="J3" s="46"/>
      <c r="K3" s="66" t="s">
        <v>333</v>
      </c>
      <c r="L3" s="46" t="s">
        <v>3</v>
      </c>
      <c r="M3" s="48" t="s">
        <v>2</v>
      </c>
    </row>
    <row r="4" spans="1:15" s="1" customFormat="1" ht="21" customHeight="1" thickBot="1">
      <c r="A4" s="61"/>
      <c r="B4" s="65"/>
      <c r="C4" s="47"/>
      <c r="D4" s="47"/>
      <c r="E4" s="47"/>
      <c r="F4" s="47"/>
      <c r="G4" s="4">
        <v>1</v>
      </c>
      <c r="H4" s="4">
        <v>2</v>
      </c>
      <c r="I4" s="4">
        <v>3</v>
      </c>
      <c r="J4" s="4" t="s">
        <v>4</v>
      </c>
      <c r="K4" s="67"/>
      <c r="L4" s="47"/>
      <c r="M4" s="49"/>
    </row>
    <row r="5" spans="1:15" ht="16">
      <c r="A5" s="50" t="s">
        <v>247</v>
      </c>
      <c r="B5" s="50"/>
      <c r="C5" s="51"/>
      <c r="D5" s="51"/>
      <c r="E5" s="51"/>
      <c r="F5" s="51"/>
      <c r="G5" s="51"/>
      <c r="H5" s="51"/>
      <c r="I5" s="51"/>
      <c r="J5" s="51"/>
    </row>
    <row r="6" spans="1:15">
      <c r="A6" s="11" t="s">
        <v>111</v>
      </c>
      <c r="B6" s="10" t="s">
        <v>337</v>
      </c>
      <c r="C6" s="10" t="s">
        <v>338</v>
      </c>
      <c r="D6" s="10" t="s">
        <v>339</v>
      </c>
      <c r="E6" s="10" t="s">
        <v>760</v>
      </c>
      <c r="F6" s="10" t="s">
        <v>768</v>
      </c>
      <c r="G6" s="22" t="s">
        <v>19</v>
      </c>
      <c r="H6" s="22" t="s">
        <v>20</v>
      </c>
      <c r="I6" s="27" t="s">
        <v>133</v>
      </c>
      <c r="J6" s="11"/>
      <c r="K6" s="30" t="str">
        <f>"62,5"</f>
        <v>62,5</v>
      </c>
      <c r="L6" s="11" t="str">
        <f>"78,6125"</f>
        <v>78,6125</v>
      </c>
      <c r="M6" s="10" t="s">
        <v>747</v>
      </c>
    </row>
    <row r="7" spans="1:15">
      <c r="A7" s="13" t="s">
        <v>112</v>
      </c>
      <c r="B7" s="12" t="s">
        <v>340</v>
      </c>
      <c r="C7" s="12" t="s">
        <v>341</v>
      </c>
      <c r="D7" s="12" t="s">
        <v>342</v>
      </c>
      <c r="E7" s="12" t="s">
        <v>760</v>
      </c>
      <c r="F7" s="12" t="s">
        <v>781</v>
      </c>
      <c r="G7" s="23" t="s">
        <v>132</v>
      </c>
      <c r="H7" s="24" t="s">
        <v>343</v>
      </c>
      <c r="I7" s="24" t="s">
        <v>343</v>
      </c>
      <c r="J7" s="13"/>
      <c r="K7" s="32" t="str">
        <f>"55,0"</f>
        <v>55,0</v>
      </c>
      <c r="L7" s="13" t="str">
        <f>"70,2295"</f>
        <v>70,2295</v>
      </c>
      <c r="M7" s="12" t="s">
        <v>344</v>
      </c>
    </row>
    <row r="8" spans="1:15">
      <c r="A8" s="15" t="s">
        <v>214</v>
      </c>
      <c r="B8" s="14" t="s">
        <v>345</v>
      </c>
      <c r="C8" s="14" t="s">
        <v>346</v>
      </c>
      <c r="D8" s="14" t="s">
        <v>347</v>
      </c>
      <c r="E8" s="14" t="s">
        <v>760</v>
      </c>
      <c r="F8" s="14" t="s">
        <v>775</v>
      </c>
      <c r="G8" s="26" t="s">
        <v>120</v>
      </c>
      <c r="H8" s="25" t="s">
        <v>121</v>
      </c>
      <c r="I8" s="25" t="s">
        <v>121</v>
      </c>
      <c r="J8" s="15"/>
      <c r="K8" s="31" t="str">
        <f>"47,5"</f>
        <v>47,5</v>
      </c>
      <c r="L8" s="15" t="str">
        <f>"59,2135"</f>
        <v>59,2135</v>
      </c>
      <c r="M8" s="14" t="s">
        <v>751</v>
      </c>
    </row>
    <row r="9" spans="1:15">
      <c r="B9" s="5" t="s">
        <v>8</v>
      </c>
    </row>
    <row r="10" spans="1:15" ht="16">
      <c r="A10" s="63" t="s">
        <v>113</v>
      </c>
      <c r="B10" s="63"/>
      <c r="C10" s="63"/>
      <c r="D10" s="63"/>
      <c r="E10" s="63"/>
      <c r="F10" s="63"/>
      <c r="G10" s="63"/>
      <c r="H10" s="63"/>
      <c r="I10" s="63"/>
      <c r="J10" s="63"/>
    </row>
    <row r="11" spans="1:15">
      <c r="A11" s="9" t="s">
        <v>111</v>
      </c>
      <c r="B11" s="8" t="s">
        <v>348</v>
      </c>
      <c r="C11" s="8" t="s">
        <v>349</v>
      </c>
      <c r="D11" s="8" t="s">
        <v>350</v>
      </c>
      <c r="E11" s="8" t="s">
        <v>762</v>
      </c>
      <c r="F11" s="8" t="s">
        <v>768</v>
      </c>
      <c r="G11" s="20" t="s">
        <v>132</v>
      </c>
      <c r="H11" s="21" t="s">
        <v>19</v>
      </c>
      <c r="I11" s="9"/>
      <c r="J11" s="9"/>
      <c r="K11" s="29" t="str">
        <f>"55,0"</f>
        <v>55,0</v>
      </c>
      <c r="L11" s="9" t="str">
        <f>"65,1695"</f>
        <v>65,1695</v>
      </c>
      <c r="M11" s="8" t="s">
        <v>752</v>
      </c>
    </row>
    <row r="12" spans="1:15" ht="14" thickBot="1">
      <c r="B12" s="5" t="s">
        <v>8</v>
      </c>
    </row>
    <row r="13" spans="1:15" ht="16">
      <c r="A13" s="50" t="s">
        <v>137</v>
      </c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6"/>
      <c r="N13" s="6"/>
      <c r="O13" s="5"/>
    </row>
    <row r="14" spans="1:15">
      <c r="A14" s="9" t="s">
        <v>111</v>
      </c>
      <c r="B14" s="8" t="s">
        <v>577</v>
      </c>
      <c r="C14" s="8" t="s">
        <v>578</v>
      </c>
      <c r="D14" s="8" t="s">
        <v>579</v>
      </c>
      <c r="E14" s="8" t="s">
        <v>760</v>
      </c>
      <c r="F14" s="8" t="s">
        <v>782</v>
      </c>
      <c r="G14" s="20" t="s">
        <v>119</v>
      </c>
      <c r="H14" s="21" t="s">
        <v>121</v>
      </c>
      <c r="I14" s="20" t="s">
        <v>251</v>
      </c>
      <c r="J14" s="9"/>
      <c r="K14" s="9" t="s">
        <v>517</v>
      </c>
      <c r="L14" s="9" t="str">
        <f>"4341,3660"</f>
        <v>4341,3660</v>
      </c>
      <c r="M14" s="8"/>
    </row>
    <row r="15" spans="1:15">
      <c r="B15" s="5" t="s">
        <v>8</v>
      </c>
      <c r="K15" s="6"/>
      <c r="M15" s="6"/>
      <c r="N15" s="6"/>
      <c r="O15" s="5"/>
    </row>
    <row r="16" spans="1:15" ht="16">
      <c r="A16" s="63" t="s">
        <v>113</v>
      </c>
      <c r="B16" s="63"/>
      <c r="C16" s="63"/>
      <c r="D16" s="63"/>
      <c r="E16" s="63"/>
      <c r="F16" s="63"/>
      <c r="G16" s="63"/>
      <c r="H16" s="63"/>
      <c r="I16" s="63"/>
      <c r="J16" s="63"/>
    </row>
    <row r="17" spans="1:13">
      <c r="A17" s="9" t="s">
        <v>111</v>
      </c>
      <c r="B17" s="8" t="s">
        <v>352</v>
      </c>
      <c r="C17" s="8" t="s">
        <v>715</v>
      </c>
      <c r="D17" s="8" t="s">
        <v>353</v>
      </c>
      <c r="E17" s="8" t="s">
        <v>759</v>
      </c>
      <c r="F17" s="8" t="s">
        <v>768</v>
      </c>
      <c r="G17" s="20" t="s">
        <v>133</v>
      </c>
      <c r="H17" s="20" t="s">
        <v>136</v>
      </c>
      <c r="I17" s="20" t="s">
        <v>141</v>
      </c>
      <c r="J17" s="9"/>
      <c r="K17" s="29" t="str">
        <f>"72,5"</f>
        <v>72,5</v>
      </c>
      <c r="L17" s="9" t="str">
        <f>"68,5632"</f>
        <v>68,5632</v>
      </c>
      <c r="M17" s="8" t="s">
        <v>354</v>
      </c>
    </row>
    <row r="18" spans="1:13">
      <c r="B18" s="5" t="s">
        <v>8</v>
      </c>
    </row>
    <row r="19" spans="1:13" ht="16">
      <c r="A19" s="63" t="s">
        <v>12</v>
      </c>
      <c r="B19" s="63"/>
      <c r="C19" s="63"/>
      <c r="D19" s="63"/>
      <c r="E19" s="63"/>
      <c r="F19" s="63"/>
      <c r="G19" s="63"/>
      <c r="H19" s="63"/>
      <c r="I19" s="63"/>
      <c r="J19" s="63"/>
    </row>
    <row r="20" spans="1:13">
      <c r="A20" s="11" t="s">
        <v>111</v>
      </c>
      <c r="B20" s="10" t="s">
        <v>355</v>
      </c>
      <c r="C20" s="10" t="s">
        <v>356</v>
      </c>
      <c r="D20" s="10" t="s">
        <v>357</v>
      </c>
      <c r="E20" s="10" t="s">
        <v>762</v>
      </c>
      <c r="F20" s="10" t="s">
        <v>768</v>
      </c>
      <c r="G20" s="22" t="s">
        <v>18</v>
      </c>
      <c r="H20" s="22" t="s">
        <v>358</v>
      </c>
      <c r="I20" s="27" t="s">
        <v>23</v>
      </c>
      <c r="J20" s="11"/>
      <c r="K20" s="30" t="str">
        <f>"112,5"</f>
        <v>112,5</v>
      </c>
      <c r="L20" s="11" t="str">
        <f>"86,9512"</f>
        <v>86,9512</v>
      </c>
      <c r="M20" s="10" t="s">
        <v>752</v>
      </c>
    </row>
    <row r="21" spans="1:13">
      <c r="A21" s="13" t="s">
        <v>112</v>
      </c>
      <c r="B21" s="12" t="s">
        <v>359</v>
      </c>
      <c r="C21" s="12" t="s">
        <v>360</v>
      </c>
      <c r="D21" s="12" t="s">
        <v>361</v>
      </c>
      <c r="E21" s="12" t="s">
        <v>762</v>
      </c>
      <c r="F21" s="12" t="s">
        <v>768</v>
      </c>
      <c r="G21" s="23" t="s">
        <v>71</v>
      </c>
      <c r="H21" s="24" t="s">
        <v>17</v>
      </c>
      <c r="I21" s="24" t="s">
        <v>17</v>
      </c>
      <c r="J21" s="13"/>
      <c r="K21" s="32" t="str">
        <f>"95,0"</f>
        <v>95,0</v>
      </c>
      <c r="L21" s="13" t="str">
        <f>"75,3540"</f>
        <v>75,3540</v>
      </c>
      <c r="M21" s="12"/>
    </row>
    <row r="22" spans="1:13">
      <c r="A22" s="13" t="s">
        <v>213</v>
      </c>
      <c r="B22" s="12" t="s">
        <v>362</v>
      </c>
      <c r="C22" s="12" t="s">
        <v>363</v>
      </c>
      <c r="D22" s="12" t="s">
        <v>364</v>
      </c>
      <c r="E22" s="12" t="s">
        <v>762</v>
      </c>
      <c r="F22" s="12" t="s">
        <v>768</v>
      </c>
      <c r="G22" s="24" t="s">
        <v>23</v>
      </c>
      <c r="H22" s="24" t="s">
        <v>23</v>
      </c>
      <c r="I22" s="24" t="s">
        <v>23</v>
      </c>
      <c r="J22" s="13"/>
      <c r="K22" s="32">
        <v>0</v>
      </c>
      <c r="L22" s="13" t="str">
        <f>"0,0000"</f>
        <v>0,0000</v>
      </c>
      <c r="M22" s="12"/>
    </row>
    <row r="23" spans="1:13">
      <c r="A23" s="15" t="s">
        <v>111</v>
      </c>
      <c r="B23" s="14" t="s">
        <v>365</v>
      </c>
      <c r="C23" s="14" t="s">
        <v>366</v>
      </c>
      <c r="D23" s="14" t="s">
        <v>367</v>
      </c>
      <c r="E23" s="14" t="s">
        <v>760</v>
      </c>
      <c r="F23" s="14" t="s">
        <v>768</v>
      </c>
      <c r="G23" s="26" t="s">
        <v>32</v>
      </c>
      <c r="H23" s="25" t="s">
        <v>23</v>
      </c>
      <c r="I23" s="25" t="s">
        <v>23</v>
      </c>
      <c r="J23" s="15"/>
      <c r="K23" s="31" t="str">
        <f>"110,0"</f>
        <v>110,0</v>
      </c>
      <c r="L23" s="15" t="str">
        <f>"86,4820"</f>
        <v>86,4820</v>
      </c>
      <c r="M23" s="14" t="s">
        <v>742</v>
      </c>
    </row>
    <row r="24" spans="1:13">
      <c r="B24" s="5" t="s">
        <v>8</v>
      </c>
    </row>
    <row r="25" spans="1:13" ht="16">
      <c r="A25" s="63" t="s">
        <v>25</v>
      </c>
      <c r="B25" s="63"/>
      <c r="C25" s="63"/>
      <c r="D25" s="63"/>
      <c r="E25" s="63"/>
      <c r="F25" s="63"/>
      <c r="G25" s="63"/>
      <c r="H25" s="63"/>
      <c r="I25" s="63"/>
      <c r="J25" s="63"/>
    </row>
    <row r="26" spans="1:13">
      <c r="A26" s="11" t="s">
        <v>111</v>
      </c>
      <c r="B26" s="10" t="s">
        <v>368</v>
      </c>
      <c r="C26" s="10" t="s">
        <v>369</v>
      </c>
      <c r="D26" s="10" t="s">
        <v>370</v>
      </c>
      <c r="E26" s="10" t="s">
        <v>760</v>
      </c>
      <c r="F26" s="10" t="s">
        <v>768</v>
      </c>
      <c r="G26" s="22" t="s">
        <v>145</v>
      </c>
      <c r="H26" s="27" t="s">
        <v>54</v>
      </c>
      <c r="I26" s="27" t="s">
        <v>54</v>
      </c>
      <c r="J26" s="11"/>
      <c r="K26" s="30" t="str">
        <f>"140,0"</f>
        <v>140,0</v>
      </c>
      <c r="L26" s="11" t="str">
        <f>"101,7940"</f>
        <v>101,7940</v>
      </c>
      <c r="M26" s="10" t="s">
        <v>688</v>
      </c>
    </row>
    <row r="27" spans="1:13">
      <c r="A27" s="13" t="s">
        <v>112</v>
      </c>
      <c r="B27" s="12" t="s">
        <v>371</v>
      </c>
      <c r="C27" s="12" t="s">
        <v>372</v>
      </c>
      <c r="D27" s="12" t="s">
        <v>373</v>
      </c>
      <c r="E27" s="12" t="s">
        <v>760</v>
      </c>
      <c r="F27" s="12" t="s">
        <v>768</v>
      </c>
      <c r="G27" s="24" t="s">
        <v>70</v>
      </c>
      <c r="H27" s="23" t="s">
        <v>70</v>
      </c>
      <c r="I27" s="24" t="s">
        <v>29</v>
      </c>
      <c r="J27" s="13"/>
      <c r="K27" s="32" t="str">
        <f>"125,0"</f>
        <v>125,0</v>
      </c>
      <c r="L27" s="13" t="str">
        <f>"89,9125"</f>
        <v>89,9125</v>
      </c>
      <c r="M27" s="12" t="s">
        <v>752</v>
      </c>
    </row>
    <row r="28" spans="1:13">
      <c r="A28" s="15" t="s">
        <v>214</v>
      </c>
      <c r="B28" s="14" t="s">
        <v>374</v>
      </c>
      <c r="C28" s="14" t="s">
        <v>375</v>
      </c>
      <c r="D28" s="14" t="s">
        <v>376</v>
      </c>
      <c r="E28" s="14" t="s">
        <v>760</v>
      </c>
      <c r="F28" s="14" t="s">
        <v>768</v>
      </c>
      <c r="G28" s="26" t="s">
        <v>22</v>
      </c>
      <c r="H28" s="25" t="s">
        <v>358</v>
      </c>
      <c r="I28" s="25" t="s">
        <v>358</v>
      </c>
      <c r="J28" s="15"/>
      <c r="K28" s="31" t="str">
        <f>"105,0"</f>
        <v>105,0</v>
      </c>
      <c r="L28" s="15" t="str">
        <f>"77,3535"</f>
        <v>77,3535</v>
      </c>
      <c r="M28" s="14"/>
    </row>
    <row r="29" spans="1:13">
      <c r="B29" s="5" t="s">
        <v>8</v>
      </c>
    </row>
    <row r="30" spans="1:13" ht="16">
      <c r="A30" s="63" t="s">
        <v>37</v>
      </c>
      <c r="B30" s="63"/>
      <c r="C30" s="63"/>
      <c r="D30" s="63"/>
      <c r="E30" s="63"/>
      <c r="F30" s="63"/>
      <c r="G30" s="63"/>
      <c r="H30" s="63"/>
      <c r="I30" s="63"/>
      <c r="J30" s="63"/>
    </row>
    <row r="31" spans="1:13">
      <c r="A31" s="11" t="s">
        <v>111</v>
      </c>
      <c r="B31" s="10" t="s">
        <v>377</v>
      </c>
      <c r="C31" s="10" t="s">
        <v>716</v>
      </c>
      <c r="D31" s="10" t="s">
        <v>378</v>
      </c>
      <c r="E31" s="10" t="s">
        <v>759</v>
      </c>
      <c r="F31" s="10" t="s">
        <v>775</v>
      </c>
      <c r="G31" s="22" t="s">
        <v>34</v>
      </c>
      <c r="H31" s="22" t="s">
        <v>43</v>
      </c>
      <c r="I31" s="27" t="s">
        <v>64</v>
      </c>
      <c r="J31" s="11"/>
      <c r="K31" s="30" t="str">
        <f>"155,0"</f>
        <v>155,0</v>
      </c>
      <c r="L31" s="11" t="str">
        <f>"107,8335"</f>
        <v>107,8335</v>
      </c>
      <c r="M31" s="10"/>
    </row>
    <row r="32" spans="1:13">
      <c r="A32" s="13" t="s">
        <v>112</v>
      </c>
      <c r="B32" s="12" t="s">
        <v>379</v>
      </c>
      <c r="C32" s="12" t="s">
        <v>717</v>
      </c>
      <c r="D32" s="12" t="s">
        <v>380</v>
      </c>
      <c r="E32" s="12" t="s">
        <v>759</v>
      </c>
      <c r="F32" s="12" t="s">
        <v>768</v>
      </c>
      <c r="G32" s="24" t="s">
        <v>179</v>
      </c>
      <c r="H32" s="23" t="s">
        <v>29</v>
      </c>
      <c r="I32" s="24" t="s">
        <v>30</v>
      </c>
      <c r="J32" s="13"/>
      <c r="K32" s="32" t="str">
        <f>"130,0"</f>
        <v>130,0</v>
      </c>
      <c r="L32" s="13" t="str">
        <f>"88,8940"</f>
        <v>88,8940</v>
      </c>
      <c r="M32" s="12"/>
    </row>
    <row r="33" spans="1:13">
      <c r="A33" s="13" t="s">
        <v>111</v>
      </c>
      <c r="B33" s="12" t="s">
        <v>381</v>
      </c>
      <c r="C33" s="12" t="s">
        <v>382</v>
      </c>
      <c r="D33" s="12" t="s">
        <v>383</v>
      </c>
      <c r="E33" s="12" t="s">
        <v>760</v>
      </c>
      <c r="F33" s="12" t="s">
        <v>774</v>
      </c>
      <c r="G33" s="23" t="s">
        <v>34</v>
      </c>
      <c r="H33" s="23" t="s">
        <v>43</v>
      </c>
      <c r="I33" s="24" t="s">
        <v>64</v>
      </c>
      <c r="J33" s="13"/>
      <c r="K33" s="32" t="str">
        <f>"155,0"</f>
        <v>155,0</v>
      </c>
      <c r="L33" s="13" t="str">
        <f>"105,8185"</f>
        <v>105,8185</v>
      </c>
      <c r="M33" s="12"/>
    </row>
    <row r="34" spans="1:13">
      <c r="A34" s="13" t="s">
        <v>112</v>
      </c>
      <c r="B34" s="12" t="s">
        <v>384</v>
      </c>
      <c r="C34" s="12" t="s">
        <v>385</v>
      </c>
      <c r="D34" s="12" t="s">
        <v>386</v>
      </c>
      <c r="E34" s="12" t="s">
        <v>760</v>
      </c>
      <c r="F34" s="12" t="s">
        <v>768</v>
      </c>
      <c r="G34" s="23" t="s">
        <v>43</v>
      </c>
      <c r="H34" s="24" t="s">
        <v>293</v>
      </c>
      <c r="I34" s="24" t="s">
        <v>293</v>
      </c>
      <c r="J34" s="13"/>
      <c r="K34" s="32" t="str">
        <f>"155,0"</f>
        <v>155,0</v>
      </c>
      <c r="L34" s="13" t="str">
        <f>"104,9970"</f>
        <v>104,9970</v>
      </c>
      <c r="M34" s="12"/>
    </row>
    <row r="35" spans="1:13">
      <c r="A35" s="13" t="s">
        <v>214</v>
      </c>
      <c r="B35" s="12" t="s">
        <v>269</v>
      </c>
      <c r="C35" s="12" t="s">
        <v>270</v>
      </c>
      <c r="D35" s="12" t="s">
        <v>40</v>
      </c>
      <c r="E35" s="12" t="s">
        <v>760</v>
      </c>
      <c r="F35" s="12" t="s">
        <v>768</v>
      </c>
      <c r="G35" s="23" t="s">
        <v>43</v>
      </c>
      <c r="H35" s="13"/>
      <c r="I35" s="13"/>
      <c r="J35" s="13"/>
      <c r="K35" s="32" t="str">
        <f>"155,0"</f>
        <v>155,0</v>
      </c>
      <c r="L35" s="13" t="str">
        <f>"104,9195"</f>
        <v>104,9195</v>
      </c>
      <c r="M35" s="12"/>
    </row>
    <row r="36" spans="1:13">
      <c r="A36" s="13" t="s">
        <v>334</v>
      </c>
      <c r="B36" s="12" t="s">
        <v>387</v>
      </c>
      <c r="C36" s="12" t="s">
        <v>388</v>
      </c>
      <c r="D36" s="12" t="s">
        <v>389</v>
      </c>
      <c r="E36" s="12" t="s">
        <v>760</v>
      </c>
      <c r="F36" s="12" t="s">
        <v>768</v>
      </c>
      <c r="G36" s="23" t="s">
        <v>29</v>
      </c>
      <c r="H36" s="24" t="s">
        <v>145</v>
      </c>
      <c r="I36" s="24" t="s">
        <v>145</v>
      </c>
      <c r="J36" s="13"/>
      <c r="K36" s="32" t="str">
        <f>"130,0"</f>
        <v>130,0</v>
      </c>
      <c r="L36" s="13" t="str">
        <f>"89,1020"</f>
        <v>89,1020</v>
      </c>
      <c r="M36" s="12"/>
    </row>
    <row r="37" spans="1:13">
      <c r="A37" s="13" t="s">
        <v>335</v>
      </c>
      <c r="B37" s="12" t="s">
        <v>390</v>
      </c>
      <c r="C37" s="12" t="s">
        <v>391</v>
      </c>
      <c r="D37" s="12" t="s">
        <v>273</v>
      </c>
      <c r="E37" s="12" t="s">
        <v>760</v>
      </c>
      <c r="F37" s="12" t="s">
        <v>775</v>
      </c>
      <c r="G37" s="24" t="s">
        <v>267</v>
      </c>
      <c r="H37" s="23" t="s">
        <v>29</v>
      </c>
      <c r="I37" s="24" t="s">
        <v>30</v>
      </c>
      <c r="J37" s="13"/>
      <c r="K37" s="32" t="str">
        <f>"130,0"</f>
        <v>130,0</v>
      </c>
      <c r="L37" s="13" t="str">
        <f>"87,8020"</f>
        <v>87,8020</v>
      </c>
      <c r="M37" s="12"/>
    </row>
    <row r="38" spans="1:13">
      <c r="A38" s="15" t="s">
        <v>336</v>
      </c>
      <c r="B38" s="14" t="s">
        <v>392</v>
      </c>
      <c r="C38" s="14" t="s">
        <v>393</v>
      </c>
      <c r="D38" s="14" t="s">
        <v>394</v>
      </c>
      <c r="E38" s="14" t="s">
        <v>760</v>
      </c>
      <c r="F38" s="14" t="s">
        <v>768</v>
      </c>
      <c r="G38" s="26" t="s">
        <v>70</v>
      </c>
      <c r="H38" s="25" t="s">
        <v>267</v>
      </c>
      <c r="I38" s="25" t="s">
        <v>267</v>
      </c>
      <c r="J38" s="15"/>
      <c r="K38" s="31" t="str">
        <f>"125,0"</f>
        <v>125,0</v>
      </c>
      <c r="L38" s="15" t="str">
        <f>"87,4875"</f>
        <v>87,4875</v>
      </c>
      <c r="M38" s="14"/>
    </row>
    <row r="39" spans="1:13">
      <c r="B39" s="5" t="s">
        <v>8</v>
      </c>
    </row>
    <row r="40" spans="1:13" ht="16">
      <c r="A40" s="63" t="s">
        <v>47</v>
      </c>
      <c r="B40" s="63"/>
      <c r="C40" s="63"/>
      <c r="D40" s="63"/>
      <c r="E40" s="63"/>
      <c r="F40" s="63"/>
      <c r="G40" s="63"/>
      <c r="H40" s="63"/>
      <c r="I40" s="63"/>
      <c r="J40" s="63"/>
    </row>
    <row r="41" spans="1:13">
      <c r="A41" s="11" t="s">
        <v>111</v>
      </c>
      <c r="B41" s="10" t="s">
        <v>395</v>
      </c>
      <c r="C41" s="10" t="s">
        <v>396</v>
      </c>
      <c r="D41" s="10" t="s">
        <v>397</v>
      </c>
      <c r="E41" s="10" t="s">
        <v>762</v>
      </c>
      <c r="F41" s="10" t="s">
        <v>783</v>
      </c>
      <c r="G41" s="22" t="s">
        <v>179</v>
      </c>
      <c r="H41" s="27" t="s">
        <v>267</v>
      </c>
      <c r="I41" s="27" t="s">
        <v>267</v>
      </c>
      <c r="J41" s="11"/>
      <c r="K41" s="30" t="str">
        <f>"120,0"</f>
        <v>120,0</v>
      </c>
      <c r="L41" s="11" t="str">
        <f>"79,8120"</f>
        <v>79,8120</v>
      </c>
      <c r="M41" s="10"/>
    </row>
    <row r="42" spans="1:13">
      <c r="A42" s="13" t="s">
        <v>111</v>
      </c>
      <c r="B42" s="12" t="s">
        <v>398</v>
      </c>
      <c r="C42" s="12" t="s">
        <v>399</v>
      </c>
      <c r="D42" s="12" t="s">
        <v>400</v>
      </c>
      <c r="E42" s="12" t="s">
        <v>760</v>
      </c>
      <c r="F42" s="12" t="s">
        <v>784</v>
      </c>
      <c r="G42" s="24" t="s">
        <v>83</v>
      </c>
      <c r="H42" s="23" t="s">
        <v>83</v>
      </c>
      <c r="I42" s="24" t="s">
        <v>36</v>
      </c>
      <c r="J42" s="13"/>
      <c r="K42" s="32" t="str">
        <f>"175,0"</f>
        <v>175,0</v>
      </c>
      <c r="L42" s="13" t="str">
        <f>"113,7325"</f>
        <v>113,7325</v>
      </c>
      <c r="M42" s="12"/>
    </row>
    <row r="43" spans="1:13">
      <c r="A43" s="13" t="s">
        <v>112</v>
      </c>
      <c r="B43" s="12" t="s">
        <v>401</v>
      </c>
      <c r="C43" s="12" t="s">
        <v>402</v>
      </c>
      <c r="D43" s="12" t="s">
        <v>403</v>
      </c>
      <c r="E43" s="12" t="s">
        <v>760</v>
      </c>
      <c r="F43" s="12" t="s">
        <v>768</v>
      </c>
      <c r="G43" s="23" t="s">
        <v>145</v>
      </c>
      <c r="H43" s="23" t="s">
        <v>30</v>
      </c>
      <c r="I43" s="24" t="s">
        <v>34</v>
      </c>
      <c r="J43" s="13"/>
      <c r="K43" s="32" t="str">
        <f>"145,0"</f>
        <v>145,0</v>
      </c>
      <c r="L43" s="13" t="str">
        <f>"95,8450"</f>
        <v>95,8450</v>
      </c>
      <c r="M43" s="12" t="s">
        <v>354</v>
      </c>
    </row>
    <row r="44" spans="1:13">
      <c r="A44" s="13" t="s">
        <v>213</v>
      </c>
      <c r="B44" s="12" t="s">
        <v>404</v>
      </c>
      <c r="C44" s="12" t="s">
        <v>405</v>
      </c>
      <c r="D44" s="12" t="s">
        <v>406</v>
      </c>
      <c r="E44" s="12" t="s">
        <v>760</v>
      </c>
      <c r="F44" s="12" t="s">
        <v>768</v>
      </c>
      <c r="G44" s="24" t="s">
        <v>179</v>
      </c>
      <c r="H44" s="24" t="s">
        <v>179</v>
      </c>
      <c r="I44" s="24" t="s">
        <v>179</v>
      </c>
      <c r="J44" s="13"/>
      <c r="K44" s="32">
        <v>0</v>
      </c>
      <c r="L44" s="13" t="str">
        <f>"0,0000"</f>
        <v>0,0000</v>
      </c>
      <c r="M44" s="12"/>
    </row>
    <row r="45" spans="1:13">
      <c r="A45" s="15" t="s">
        <v>111</v>
      </c>
      <c r="B45" s="14" t="s">
        <v>407</v>
      </c>
      <c r="C45" s="14" t="s">
        <v>718</v>
      </c>
      <c r="D45" s="14" t="s">
        <v>408</v>
      </c>
      <c r="E45" s="14" t="s">
        <v>761</v>
      </c>
      <c r="F45" s="14" t="s">
        <v>775</v>
      </c>
      <c r="G45" s="25" t="s">
        <v>267</v>
      </c>
      <c r="H45" s="26" t="s">
        <v>72</v>
      </c>
      <c r="I45" s="25" t="s">
        <v>145</v>
      </c>
      <c r="J45" s="15"/>
      <c r="K45" s="31" t="str">
        <f>"135,0"</f>
        <v>135,0</v>
      </c>
      <c r="L45" s="15" t="str">
        <f>"94,8710"</f>
        <v>94,8710</v>
      </c>
      <c r="M45" s="14"/>
    </row>
    <row r="46" spans="1:13">
      <c r="B46" s="5" t="s">
        <v>8</v>
      </c>
    </row>
    <row r="47" spans="1:13" ht="16">
      <c r="A47" s="63" t="s">
        <v>175</v>
      </c>
      <c r="B47" s="63"/>
      <c r="C47" s="63"/>
      <c r="D47" s="63"/>
      <c r="E47" s="63"/>
      <c r="F47" s="63"/>
      <c r="G47" s="63"/>
      <c r="H47" s="63"/>
      <c r="I47" s="63"/>
      <c r="J47" s="63"/>
    </row>
    <row r="48" spans="1:13">
      <c r="A48" s="11" t="s">
        <v>111</v>
      </c>
      <c r="B48" s="10" t="s">
        <v>409</v>
      </c>
      <c r="C48" s="10" t="s">
        <v>410</v>
      </c>
      <c r="D48" s="10" t="s">
        <v>411</v>
      </c>
      <c r="E48" s="10" t="s">
        <v>762</v>
      </c>
      <c r="F48" s="10" t="s">
        <v>768</v>
      </c>
      <c r="G48" s="22" t="s">
        <v>268</v>
      </c>
      <c r="H48" s="22" t="s">
        <v>145</v>
      </c>
      <c r="I48" s="27" t="s">
        <v>54</v>
      </c>
      <c r="J48" s="11"/>
      <c r="K48" s="30" t="str">
        <f>"140,0"</f>
        <v>140,0</v>
      </c>
      <c r="L48" s="11" t="str">
        <f>"85,3020"</f>
        <v>85,3020</v>
      </c>
      <c r="M48" s="10" t="s">
        <v>752</v>
      </c>
    </row>
    <row r="49" spans="1:13">
      <c r="A49" s="15" t="s">
        <v>111</v>
      </c>
      <c r="B49" s="14" t="s">
        <v>412</v>
      </c>
      <c r="C49" s="14" t="s">
        <v>413</v>
      </c>
      <c r="D49" s="14" t="s">
        <v>414</v>
      </c>
      <c r="E49" s="14" t="s">
        <v>760</v>
      </c>
      <c r="F49" s="14" t="s">
        <v>768</v>
      </c>
      <c r="G49" s="25" t="s">
        <v>29</v>
      </c>
      <c r="H49" s="26" t="s">
        <v>72</v>
      </c>
      <c r="I49" s="26" t="s">
        <v>145</v>
      </c>
      <c r="J49" s="15"/>
      <c r="K49" s="31" t="str">
        <f>"140,0"</f>
        <v>140,0</v>
      </c>
      <c r="L49" s="15" t="str">
        <f>"86,4780"</f>
        <v>86,4780</v>
      </c>
      <c r="M49" s="14" t="s">
        <v>659</v>
      </c>
    </row>
    <row r="50" spans="1:13">
      <c r="B50" s="5" t="s">
        <v>8</v>
      </c>
    </row>
    <row r="51" spans="1:13" ht="16">
      <c r="A51" s="63" t="s">
        <v>73</v>
      </c>
      <c r="B51" s="63"/>
      <c r="C51" s="63"/>
      <c r="D51" s="63"/>
      <c r="E51" s="63"/>
      <c r="F51" s="63"/>
      <c r="G51" s="63"/>
      <c r="H51" s="63"/>
      <c r="I51" s="63"/>
      <c r="J51" s="63"/>
    </row>
    <row r="52" spans="1:13">
      <c r="A52" s="9" t="s">
        <v>111</v>
      </c>
      <c r="B52" s="8" t="s">
        <v>415</v>
      </c>
      <c r="C52" s="8" t="s">
        <v>416</v>
      </c>
      <c r="D52" s="8" t="s">
        <v>417</v>
      </c>
      <c r="E52" s="8" t="s">
        <v>760</v>
      </c>
      <c r="F52" s="8" t="s">
        <v>768</v>
      </c>
      <c r="G52" s="20" t="s">
        <v>145</v>
      </c>
      <c r="H52" s="21" t="s">
        <v>64</v>
      </c>
      <c r="I52" s="21" t="s">
        <v>64</v>
      </c>
      <c r="J52" s="9"/>
      <c r="K52" s="29" t="str">
        <f>"140,0"</f>
        <v>140,0</v>
      </c>
      <c r="L52" s="9" t="str">
        <f>"83,2720"</f>
        <v>83,2720</v>
      </c>
      <c r="M52" s="8" t="s">
        <v>753</v>
      </c>
    </row>
    <row r="53" spans="1:13">
      <c r="B53" s="5" t="s">
        <v>8</v>
      </c>
    </row>
    <row r="54" spans="1:13" ht="16">
      <c r="A54" s="63" t="s">
        <v>243</v>
      </c>
      <c r="B54" s="63"/>
      <c r="C54" s="63"/>
      <c r="D54" s="63"/>
      <c r="E54" s="63"/>
      <c r="F54" s="63"/>
      <c r="G54" s="63"/>
      <c r="H54" s="63"/>
      <c r="I54" s="63"/>
      <c r="J54" s="63"/>
    </row>
    <row r="55" spans="1:13">
      <c r="A55" s="11" t="s">
        <v>111</v>
      </c>
      <c r="B55" s="10" t="s">
        <v>319</v>
      </c>
      <c r="C55" s="10" t="s">
        <v>418</v>
      </c>
      <c r="D55" s="10" t="s">
        <v>320</v>
      </c>
      <c r="E55" s="10" t="s">
        <v>760</v>
      </c>
      <c r="F55" s="10" t="s">
        <v>768</v>
      </c>
      <c r="G55" s="27" t="s">
        <v>91</v>
      </c>
      <c r="H55" s="22" t="s">
        <v>91</v>
      </c>
      <c r="I55" s="27" t="s">
        <v>183</v>
      </c>
      <c r="J55" s="11"/>
      <c r="K55" s="30" t="str">
        <f>"190,0"</f>
        <v>190,0</v>
      </c>
      <c r="L55" s="11" t="str">
        <f>"109,9150"</f>
        <v>109,9150</v>
      </c>
      <c r="M55" s="10"/>
    </row>
    <row r="56" spans="1:13">
      <c r="A56" s="13" t="s">
        <v>112</v>
      </c>
      <c r="B56" s="12" t="s">
        <v>419</v>
      </c>
      <c r="C56" s="12" t="s">
        <v>420</v>
      </c>
      <c r="D56" s="12" t="s">
        <v>421</v>
      </c>
      <c r="E56" s="12" t="s">
        <v>760</v>
      </c>
      <c r="F56" s="12" t="s">
        <v>768</v>
      </c>
      <c r="G56" s="23" t="s">
        <v>171</v>
      </c>
      <c r="H56" s="23" t="s">
        <v>31</v>
      </c>
      <c r="I56" s="23" t="s">
        <v>422</v>
      </c>
      <c r="J56" s="13"/>
      <c r="K56" s="32" t="str">
        <f>"162,5"</f>
        <v>162,5</v>
      </c>
      <c r="L56" s="13" t="str">
        <f>"93,3237"</f>
        <v>93,3237</v>
      </c>
      <c r="M56" s="12" t="s">
        <v>752</v>
      </c>
    </row>
    <row r="57" spans="1:13">
      <c r="A57" s="15" t="s">
        <v>111</v>
      </c>
      <c r="B57" s="14" t="s">
        <v>319</v>
      </c>
      <c r="C57" s="14" t="s">
        <v>719</v>
      </c>
      <c r="D57" s="14" t="s">
        <v>320</v>
      </c>
      <c r="E57" s="14" t="s">
        <v>763</v>
      </c>
      <c r="F57" s="14" t="s">
        <v>768</v>
      </c>
      <c r="G57" s="25" t="s">
        <v>91</v>
      </c>
      <c r="H57" s="26" t="s">
        <v>91</v>
      </c>
      <c r="I57" s="25" t="s">
        <v>183</v>
      </c>
      <c r="J57" s="15"/>
      <c r="K57" s="31" t="str">
        <f>"190,0"</f>
        <v>190,0</v>
      </c>
      <c r="L57" s="15" t="str">
        <f>"111,4538"</f>
        <v>111,4538</v>
      </c>
      <c r="M57" s="14"/>
    </row>
    <row r="58" spans="1:13">
      <c r="B58" s="5" t="s">
        <v>8</v>
      </c>
    </row>
    <row r="59" spans="1:13" ht="16">
      <c r="A59" s="63" t="s">
        <v>84</v>
      </c>
      <c r="B59" s="63"/>
      <c r="C59" s="63"/>
      <c r="D59" s="63"/>
      <c r="E59" s="63"/>
      <c r="F59" s="63"/>
      <c r="G59" s="63"/>
      <c r="H59" s="63"/>
      <c r="I59" s="63"/>
      <c r="J59" s="63"/>
    </row>
    <row r="60" spans="1:13">
      <c r="A60" s="9" t="s">
        <v>111</v>
      </c>
      <c r="B60" s="8" t="s">
        <v>423</v>
      </c>
      <c r="C60" s="8" t="s">
        <v>424</v>
      </c>
      <c r="D60" s="8" t="s">
        <v>425</v>
      </c>
      <c r="E60" s="8" t="s">
        <v>760</v>
      </c>
      <c r="F60" s="8" t="s">
        <v>775</v>
      </c>
      <c r="G60" s="20" t="s">
        <v>170</v>
      </c>
      <c r="H60" s="21" t="s">
        <v>62</v>
      </c>
      <c r="I60" s="21" t="s">
        <v>62</v>
      </c>
      <c r="J60" s="9"/>
      <c r="K60" s="29" t="str">
        <f>"195,0"</f>
        <v>195,0</v>
      </c>
      <c r="L60" s="9" t="str">
        <f>"110,0385"</f>
        <v>110,0385</v>
      </c>
      <c r="M60" s="8"/>
    </row>
    <row r="61" spans="1:13">
      <c r="B61" s="5" t="s">
        <v>8</v>
      </c>
    </row>
    <row r="62" spans="1:13">
      <c r="B62" s="5" t="s">
        <v>8</v>
      </c>
    </row>
    <row r="63" spans="1:13">
      <c r="B63" s="5" t="s">
        <v>8</v>
      </c>
    </row>
    <row r="64" spans="1:13" ht="18">
      <c r="B64" s="7" t="s">
        <v>7</v>
      </c>
      <c r="C64" s="7"/>
      <c r="F64" s="3"/>
    </row>
    <row r="65" spans="2:6" ht="16">
      <c r="B65" s="16" t="s">
        <v>197</v>
      </c>
      <c r="C65" s="16"/>
      <c r="F65" s="3"/>
    </row>
    <row r="66" spans="2:6" ht="14">
      <c r="B66" s="17"/>
      <c r="C66" s="18" t="s">
        <v>101</v>
      </c>
      <c r="F66" s="3"/>
    </row>
    <row r="67" spans="2:6" ht="14">
      <c r="B67" s="19" t="s">
        <v>95</v>
      </c>
      <c r="C67" s="19" t="s">
        <v>96</v>
      </c>
      <c r="D67" s="19" t="s">
        <v>663</v>
      </c>
      <c r="E67" s="19" t="s">
        <v>325</v>
      </c>
      <c r="F67" s="19" t="s">
        <v>99</v>
      </c>
    </row>
    <row r="68" spans="2:6">
      <c r="B68" s="5" t="s">
        <v>337</v>
      </c>
      <c r="C68" s="5" t="s">
        <v>101</v>
      </c>
      <c r="D68" s="6" t="s">
        <v>328</v>
      </c>
      <c r="E68" s="6" t="s">
        <v>20</v>
      </c>
      <c r="F68" s="6" t="s">
        <v>426</v>
      </c>
    </row>
    <row r="69" spans="2:6">
      <c r="B69" s="5" t="s">
        <v>340</v>
      </c>
      <c r="C69" s="5" t="s">
        <v>101</v>
      </c>
      <c r="D69" s="6" t="s">
        <v>328</v>
      </c>
      <c r="E69" s="6" t="s">
        <v>132</v>
      </c>
      <c r="F69" s="6" t="s">
        <v>427</v>
      </c>
    </row>
    <row r="70" spans="2:6">
      <c r="B70" s="5" t="s">
        <v>345</v>
      </c>
      <c r="C70" s="5" t="s">
        <v>101</v>
      </c>
      <c r="D70" s="6" t="s">
        <v>328</v>
      </c>
      <c r="E70" s="6" t="s">
        <v>120</v>
      </c>
      <c r="F70" s="6" t="s">
        <v>428</v>
      </c>
    </row>
    <row r="72" spans="2:6" ht="16">
      <c r="B72" s="16" t="s">
        <v>94</v>
      </c>
      <c r="C72" s="16"/>
    </row>
    <row r="73" spans="2:6" ht="14">
      <c r="B73" s="17"/>
      <c r="C73" s="18" t="s">
        <v>101</v>
      </c>
    </row>
    <row r="74" spans="2:6" ht="14">
      <c r="B74" s="19" t="s">
        <v>95</v>
      </c>
      <c r="C74" s="19" t="s">
        <v>96</v>
      </c>
      <c r="D74" s="19" t="s">
        <v>663</v>
      </c>
      <c r="E74" s="19" t="s">
        <v>325</v>
      </c>
      <c r="F74" s="19" t="s">
        <v>99</v>
      </c>
    </row>
    <row r="75" spans="2:6">
      <c r="B75" s="5" t="s">
        <v>398</v>
      </c>
      <c r="C75" s="5" t="s">
        <v>101</v>
      </c>
      <c r="D75" s="6" t="s">
        <v>105</v>
      </c>
      <c r="E75" s="6" t="s">
        <v>83</v>
      </c>
      <c r="F75" s="6" t="s">
        <v>429</v>
      </c>
    </row>
    <row r="76" spans="2:6">
      <c r="B76" s="5" t="s">
        <v>423</v>
      </c>
      <c r="C76" s="5" t="s">
        <v>101</v>
      </c>
      <c r="D76" s="6" t="s">
        <v>102</v>
      </c>
      <c r="E76" s="6" t="s">
        <v>170</v>
      </c>
      <c r="F76" s="6" t="s">
        <v>430</v>
      </c>
    </row>
    <row r="77" spans="2:6">
      <c r="B77" s="5" t="s">
        <v>319</v>
      </c>
      <c r="C77" s="5" t="s">
        <v>101</v>
      </c>
      <c r="D77" s="6" t="s">
        <v>246</v>
      </c>
      <c r="E77" s="6" t="s">
        <v>91</v>
      </c>
      <c r="F77" s="6" t="s">
        <v>431</v>
      </c>
    </row>
  </sheetData>
  <mergeCells count="23">
    <mergeCell ref="A40:J40"/>
    <mergeCell ref="A47:J47"/>
    <mergeCell ref="A51:J51"/>
    <mergeCell ref="A54:J54"/>
    <mergeCell ref="A59:J59"/>
    <mergeCell ref="A25:J25"/>
    <mergeCell ref="A30:J30"/>
    <mergeCell ref="K3:K4"/>
    <mergeCell ref="L3:L4"/>
    <mergeCell ref="M3:M4"/>
    <mergeCell ref="A5:J5"/>
    <mergeCell ref="B3:B4"/>
    <mergeCell ref="A10:J10"/>
    <mergeCell ref="A16:J16"/>
    <mergeCell ref="A19:J19"/>
    <mergeCell ref="A13:L13"/>
    <mergeCell ref="A1:M2"/>
    <mergeCell ref="A3:A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26</vt:i4>
      </vt:variant>
    </vt:vector>
  </HeadingPairs>
  <TitlesOfParts>
    <vt:vector size="26" baseType="lpstr">
      <vt:lpstr>IPL ПЛ без экипировки ДК</vt:lpstr>
      <vt:lpstr>IPL ПЛ без экипировки</vt:lpstr>
      <vt:lpstr>IPL ПЛ в бинтах ДК</vt:lpstr>
      <vt:lpstr>IPL ПЛ в бинтах</vt:lpstr>
      <vt:lpstr>IPL Двоеборье без экип ДК</vt:lpstr>
      <vt:lpstr>IPL Двоеборье без экип</vt:lpstr>
      <vt:lpstr>IPL Присед без экипировки ДК</vt:lpstr>
      <vt:lpstr>IPL Присед без экипировки</vt:lpstr>
      <vt:lpstr>IPL Жим без экипировки ДК</vt:lpstr>
      <vt:lpstr>IPL Жим без экипировки</vt:lpstr>
      <vt:lpstr>IPL Жим однослой ДК</vt:lpstr>
      <vt:lpstr>IPL Жим однослой</vt:lpstr>
      <vt:lpstr>СПР Жим софт однопетельная ДК</vt:lpstr>
      <vt:lpstr>СПР Жим софт однопетельная</vt:lpstr>
      <vt:lpstr>СПР Жим софт многопетельная ДК</vt:lpstr>
      <vt:lpstr>СПР Жим софт многопетельная</vt:lpstr>
      <vt:lpstr>СПР Жим СФО</vt:lpstr>
      <vt:lpstr>IPL Тяга без экипировки ДК</vt:lpstr>
      <vt:lpstr>IPL Тяга без экипировки</vt:lpstr>
      <vt:lpstr>IPL Тяга многослой ДК</vt:lpstr>
      <vt:lpstr>IPL Тяга многослой</vt:lpstr>
      <vt:lpstr>СПР Пауэрспорт ДК</vt:lpstr>
      <vt:lpstr>СПР Пауэрспорт</vt:lpstr>
      <vt:lpstr>СПР Жим стоя</vt:lpstr>
      <vt:lpstr>СПР Подъем на бицепс ДК</vt:lpstr>
      <vt:lpstr>СПР Подъем на бицепс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Екатерина Шевелева</cp:lastModifiedBy>
  <cp:lastPrinted>2015-07-16T19:10:53Z</cp:lastPrinted>
  <dcterms:created xsi:type="dcterms:W3CDTF">2002-06-16T13:36:44Z</dcterms:created>
  <dcterms:modified xsi:type="dcterms:W3CDTF">2021-03-24T18:56:14Z</dcterms:modified>
</cp:coreProperties>
</file>