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3" documentId="8_{EC4FA2F3-B5CD-42F7-8A32-E52A54BD2145}" xr6:coauthVersionLast="46" xr6:coauthVersionMax="46" xr10:uidLastSave="{94649452-D413-4D37-833B-FDB3F46C90B1}"/>
  <bookViews>
    <workbookView xWindow="-75" yWindow="0" windowWidth="28785" windowHeight="7710" tabRatio="922" xr2:uid="{00000000-000D-0000-FFFF-FFFF00000000}"/>
  </bookViews>
  <sheets>
    <sheet name="AWPC б_э ПЛ" sheetId="16" r:id="rId1"/>
    <sheet name="AWPC Класс. ПЛ" sheetId="15" r:id="rId2"/>
    <sheet name="AWPC стр. под.на биц" sheetId="7" r:id="rId3"/>
    <sheet name="AWPC б_э жим" sheetId="14" r:id="rId4"/>
    <sheet name="AWPC 1 слой жим" sheetId="12" r:id="rId5"/>
    <sheet name="AWPC б_э тяга" sheetId="8" r:id="rId6"/>
    <sheet name="AWPC ст. софт эк. жим" sheetId="11" r:id="rId7"/>
    <sheet name="WPC класс. ПЛ" sheetId="21" r:id="rId8"/>
    <sheet name="WPC б_э ПЛ" sheetId="22" r:id="rId9"/>
    <sheet name="WPC 1 слой ПЛ" sheetId="20" r:id="rId10"/>
    <sheet name="WPC б_э жим" sheetId="19" r:id="rId11"/>
    <sheet name="WPC 1 слой жим" sheetId="18" r:id="rId12"/>
    <sheet name="WPC ст. софт эк. жим" sheetId="17" r:id="rId13"/>
    <sheet name="WPC жим стоя" sheetId="13" r:id="rId14"/>
    <sheet name="WPC 1 слой тяга" sheetId="9" r:id="rId15"/>
    <sheet name="WPC б_э тяга" sheetId="10" r:id="rId16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8" i="22" l="1"/>
  <c r="Q8" i="22"/>
  <c r="R7" i="22"/>
  <c r="Q7" i="22"/>
  <c r="R5" i="22"/>
  <c r="Q5" i="22"/>
  <c r="R4" i="22"/>
  <c r="Q4" i="22"/>
  <c r="R6" i="21"/>
  <c r="Q6" i="21"/>
  <c r="R4" i="21"/>
  <c r="Q4" i="21"/>
  <c r="R4" i="20"/>
  <c r="Q4" i="20"/>
  <c r="J25" i="19"/>
  <c r="I25" i="19"/>
  <c r="J23" i="19"/>
  <c r="I23" i="19"/>
  <c r="J22" i="19"/>
  <c r="I22" i="19"/>
  <c r="J20" i="19"/>
  <c r="I20" i="19"/>
  <c r="J18" i="19"/>
  <c r="I18" i="19"/>
  <c r="J17" i="19"/>
  <c r="I17" i="19"/>
  <c r="J16" i="19"/>
  <c r="I16" i="19"/>
  <c r="J15" i="19"/>
  <c r="I15" i="19"/>
  <c r="J13" i="19"/>
  <c r="I13" i="19"/>
  <c r="J11" i="19"/>
  <c r="I11" i="19"/>
  <c r="J10" i="19"/>
  <c r="I10" i="19"/>
  <c r="J8" i="19"/>
  <c r="I8" i="19"/>
  <c r="J6" i="19"/>
  <c r="I6" i="19"/>
  <c r="J5" i="19"/>
  <c r="I5" i="19"/>
  <c r="J4" i="19"/>
  <c r="I4" i="19"/>
  <c r="J4" i="18"/>
  <c r="I4" i="18"/>
  <c r="J6" i="17"/>
  <c r="I6" i="17"/>
  <c r="J4" i="17"/>
  <c r="I4" i="17"/>
  <c r="R24" i="16"/>
  <c r="Q24" i="16"/>
  <c r="R22" i="16"/>
  <c r="Q22" i="16"/>
  <c r="R20" i="16"/>
  <c r="Q20" i="16"/>
  <c r="R19" i="16"/>
  <c r="Q19" i="16"/>
  <c r="R18" i="16"/>
  <c r="Q18" i="16"/>
  <c r="R16" i="16"/>
  <c r="Q16" i="16"/>
  <c r="R14" i="16"/>
  <c r="Q14" i="16"/>
  <c r="R12" i="16"/>
  <c r="Q12" i="16"/>
  <c r="R11" i="16"/>
  <c r="Q11" i="16"/>
  <c r="Q10" i="16"/>
  <c r="R8" i="16"/>
  <c r="Q8" i="16"/>
  <c r="R6" i="16"/>
  <c r="Q6" i="16"/>
  <c r="R4" i="16"/>
  <c r="Q4" i="16"/>
  <c r="R11" i="15"/>
  <c r="Q11" i="15"/>
  <c r="R9" i="15"/>
  <c r="Q9" i="15"/>
  <c r="R7" i="15"/>
  <c r="Q7" i="15"/>
  <c r="R6" i="15"/>
  <c r="Q6" i="15"/>
  <c r="R4" i="15"/>
  <c r="Q4" i="15"/>
  <c r="J72" i="14"/>
  <c r="I72" i="14"/>
  <c r="J70" i="14"/>
  <c r="I70" i="14"/>
  <c r="J69" i="14"/>
  <c r="I69" i="14"/>
  <c r="J68" i="14"/>
  <c r="I68" i="14"/>
  <c r="J67" i="14"/>
  <c r="I67" i="14"/>
  <c r="J65" i="14"/>
  <c r="I65" i="14"/>
  <c r="J64" i="14"/>
  <c r="I64" i="14"/>
  <c r="J63" i="14"/>
  <c r="I63" i="14"/>
  <c r="J62" i="14"/>
  <c r="I62" i="14"/>
  <c r="J61" i="14"/>
  <c r="I61" i="14"/>
  <c r="J59" i="14"/>
  <c r="I59" i="14"/>
  <c r="J58" i="14"/>
  <c r="I58" i="14"/>
  <c r="J57" i="14"/>
  <c r="I57" i="14"/>
  <c r="J56" i="14"/>
  <c r="I56" i="14"/>
  <c r="J54" i="14"/>
  <c r="I54" i="14"/>
  <c r="J53" i="14"/>
  <c r="I53" i="14"/>
  <c r="J52" i="14"/>
  <c r="I52" i="14"/>
  <c r="J51" i="14"/>
  <c r="I51" i="14"/>
  <c r="J50" i="14"/>
  <c r="I50" i="14"/>
  <c r="J49" i="14"/>
  <c r="I49" i="14"/>
  <c r="J48" i="14"/>
  <c r="I48" i="14"/>
  <c r="J47" i="14"/>
  <c r="I47" i="14"/>
  <c r="J45" i="14"/>
  <c r="I45" i="14"/>
  <c r="J44" i="14"/>
  <c r="I44" i="14"/>
  <c r="J43" i="14"/>
  <c r="I43" i="14"/>
  <c r="J42" i="14"/>
  <c r="I42" i="14"/>
  <c r="J41" i="14"/>
  <c r="I41" i="14"/>
  <c r="J40" i="14"/>
  <c r="I40" i="14"/>
  <c r="J39" i="14"/>
  <c r="I39" i="14"/>
  <c r="J38" i="14"/>
  <c r="I38" i="14"/>
  <c r="J36" i="14"/>
  <c r="I36" i="14"/>
  <c r="J35" i="14"/>
  <c r="I35" i="14"/>
  <c r="J34" i="14"/>
  <c r="I34" i="14"/>
  <c r="J33" i="14"/>
  <c r="I33" i="14"/>
  <c r="J32" i="14"/>
  <c r="I32" i="14"/>
  <c r="J31" i="14"/>
  <c r="I31" i="14"/>
  <c r="J30" i="14"/>
  <c r="I30" i="14"/>
  <c r="J29" i="14"/>
  <c r="I29" i="14"/>
  <c r="J28" i="14"/>
  <c r="I28" i="14"/>
  <c r="J27" i="14"/>
  <c r="I27" i="14"/>
  <c r="J25" i="14"/>
  <c r="I25" i="14"/>
  <c r="J24" i="14"/>
  <c r="I24" i="14"/>
  <c r="J23" i="14"/>
  <c r="I23" i="14"/>
  <c r="J21" i="14"/>
  <c r="I21" i="14"/>
  <c r="J19" i="14"/>
  <c r="I19" i="14"/>
  <c r="J17" i="14"/>
  <c r="I17" i="14"/>
  <c r="J16" i="14"/>
  <c r="I16" i="14"/>
  <c r="J15" i="14"/>
  <c r="I15" i="14"/>
  <c r="J13" i="14"/>
  <c r="I13" i="14"/>
  <c r="J12" i="14"/>
  <c r="I12" i="14"/>
  <c r="J10" i="14"/>
  <c r="I10" i="14"/>
  <c r="J9" i="14"/>
  <c r="I9" i="14"/>
  <c r="J6" i="14"/>
  <c r="I6" i="14"/>
  <c r="J4" i="14"/>
  <c r="I4" i="14"/>
  <c r="J4" i="13"/>
  <c r="I4" i="13"/>
  <c r="J4" i="12"/>
  <c r="I4" i="12"/>
  <c r="J12" i="11"/>
  <c r="I12" i="11"/>
  <c r="J8" i="11"/>
  <c r="I8" i="11"/>
  <c r="J6" i="11"/>
  <c r="I6" i="11"/>
  <c r="J4" i="11"/>
  <c r="I4" i="11"/>
  <c r="J7" i="10"/>
  <c r="I7" i="10"/>
  <c r="J6" i="10"/>
  <c r="I6" i="10"/>
  <c r="J4" i="10"/>
  <c r="I4" i="10"/>
  <c r="J4" i="9"/>
  <c r="I4" i="9"/>
  <c r="J27" i="8"/>
  <c r="I27" i="8"/>
  <c r="J25" i="8"/>
  <c r="I25" i="8"/>
  <c r="J24" i="8"/>
  <c r="I24" i="8"/>
  <c r="J23" i="8"/>
  <c r="I23" i="8"/>
  <c r="J22" i="8"/>
  <c r="I22" i="8"/>
  <c r="J19" i="8"/>
  <c r="I19" i="8"/>
  <c r="J17" i="8"/>
  <c r="I17" i="8"/>
  <c r="J16" i="8"/>
  <c r="I16" i="8"/>
  <c r="J15" i="8"/>
  <c r="I15" i="8"/>
  <c r="J13" i="8"/>
  <c r="I13" i="8"/>
  <c r="J11" i="8"/>
  <c r="I11" i="8"/>
  <c r="J10" i="8"/>
  <c r="I10" i="8"/>
  <c r="J9" i="8"/>
  <c r="I9" i="8"/>
  <c r="J8" i="8"/>
  <c r="I8" i="8"/>
  <c r="J6" i="8"/>
  <c r="I6" i="8"/>
  <c r="J4" i="8"/>
  <c r="I4" i="8"/>
  <c r="J33" i="7"/>
  <c r="I33" i="7"/>
  <c r="J31" i="7"/>
  <c r="I31" i="7"/>
  <c r="J29" i="7"/>
  <c r="I29" i="7"/>
  <c r="J28" i="7"/>
  <c r="I28" i="7"/>
  <c r="J27" i="7"/>
  <c r="I27" i="7"/>
  <c r="J25" i="7"/>
  <c r="I25" i="7"/>
  <c r="J24" i="7"/>
  <c r="I24" i="7"/>
  <c r="J22" i="7"/>
  <c r="I22" i="7"/>
  <c r="J21" i="7"/>
  <c r="I21" i="7"/>
  <c r="J20" i="7"/>
  <c r="I20" i="7"/>
  <c r="J19" i="7"/>
  <c r="I19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9" i="7"/>
  <c r="I9" i="7"/>
  <c r="J7" i="7"/>
  <c r="I7" i="7"/>
  <c r="J5" i="7"/>
  <c r="I5" i="7"/>
  <c r="J4" i="7"/>
  <c r="I4" i="7"/>
</calcChain>
</file>

<file path=xl/sharedStrings.xml><?xml version="1.0" encoding="utf-8"?>
<sst xmlns="http://schemas.openxmlformats.org/spreadsheetml/2006/main" count="1563" uniqueCount="559">
  <si>
    <t>Возрастная группа
Дата рождения/Возраст</t>
  </si>
  <si>
    <t>1. Сергеева Виктория</t>
  </si>
  <si>
    <t>Открытая (08.12.1982)/38</t>
  </si>
  <si>
    <t>67,20</t>
  </si>
  <si>
    <t>25,0</t>
  </si>
  <si>
    <t>30,0</t>
  </si>
  <si>
    <t>40,0</t>
  </si>
  <si>
    <t>45,0</t>
  </si>
  <si>
    <t xml:space="preserve"> </t>
  </si>
  <si>
    <t>50,0</t>
  </si>
  <si>
    <t>60,0</t>
  </si>
  <si>
    <t>70,0</t>
  </si>
  <si>
    <t>80,0</t>
  </si>
  <si>
    <t>ВЕСОВАЯ КАТЕГОРИЯ   90</t>
  </si>
  <si>
    <t xml:space="preserve">Москва </t>
  </si>
  <si>
    <t>90,0</t>
  </si>
  <si>
    <t>95,0</t>
  </si>
  <si>
    <t>ВЕСОВАЯ КАТЕГОРИЯ   100</t>
  </si>
  <si>
    <t>1. Медведев Данила</t>
  </si>
  <si>
    <t>91,30</t>
  </si>
  <si>
    <t>85,0</t>
  </si>
  <si>
    <t>100,0</t>
  </si>
  <si>
    <t>1. Толмачева Ольга</t>
  </si>
  <si>
    <t>70,50</t>
  </si>
  <si>
    <t>65,0</t>
  </si>
  <si>
    <t>72,5</t>
  </si>
  <si>
    <t>77,5</t>
  </si>
  <si>
    <t>1. Раткевич Илья</t>
  </si>
  <si>
    <t>73,60</t>
  </si>
  <si>
    <t>110,0</t>
  </si>
  <si>
    <t>120,0</t>
  </si>
  <si>
    <t>130,0</t>
  </si>
  <si>
    <t>140,0</t>
  </si>
  <si>
    <t>150,0</t>
  </si>
  <si>
    <t>160,0</t>
  </si>
  <si>
    <t>145,0</t>
  </si>
  <si>
    <t>ВЕСОВАЯ КАТЕГОРИЯ   125</t>
  </si>
  <si>
    <t>222,5</t>
  </si>
  <si>
    <t>225,0</t>
  </si>
  <si>
    <t>Очки</t>
  </si>
  <si>
    <t>Тренер</t>
  </si>
  <si>
    <t>ВЕСОВАЯ КАТЕГОРИЯ   56</t>
  </si>
  <si>
    <t>1. Вереникина Мария</t>
  </si>
  <si>
    <t>Открытая (14.10.1985)/35</t>
  </si>
  <si>
    <t>55,60</t>
  </si>
  <si>
    <t>57,5</t>
  </si>
  <si>
    <t>ВЕСОВАЯ КАТЕГОРИЯ   75</t>
  </si>
  <si>
    <t>Открытая (24.02.1983)/37</t>
  </si>
  <si>
    <t>75,00</t>
  </si>
  <si>
    <t>75,0</t>
  </si>
  <si>
    <t>1. Никитченко Сергей</t>
  </si>
  <si>
    <t>71,20</t>
  </si>
  <si>
    <t>ВЕСОВАЯ КАТЕГОРИЯ   82.5</t>
  </si>
  <si>
    <t>1. Чориев Данияр</t>
  </si>
  <si>
    <t>Открытая (18.12.1986)/34</t>
  </si>
  <si>
    <t>81,90</t>
  </si>
  <si>
    <t>82,5</t>
  </si>
  <si>
    <t>1. Варзаков Станислав</t>
  </si>
  <si>
    <t>79,60</t>
  </si>
  <si>
    <t>ВЕСОВАЯ КАТЕГОРИЯ   110</t>
  </si>
  <si>
    <t>1. Киреев Дмитрий</t>
  </si>
  <si>
    <t>108,10</t>
  </si>
  <si>
    <t>Рек</t>
  </si>
  <si>
    <t>ВЕСОВАЯ КАТЕГОРИЯ   67.5</t>
  </si>
  <si>
    <t>1. Каткова Софья</t>
  </si>
  <si>
    <t>Юниорки 20 - 23 (12.03.1999)/21</t>
  </si>
  <si>
    <t>64,80</t>
  </si>
  <si>
    <t>27,5</t>
  </si>
  <si>
    <t>ВЕСОВАЯ КАТЕГОРИЯ   60</t>
  </si>
  <si>
    <t>1. Пашалиев Закир</t>
  </si>
  <si>
    <t>Юноши 18 - 19 (13.09.2002)/18</t>
  </si>
  <si>
    <t>58,00</t>
  </si>
  <si>
    <t>47,5</t>
  </si>
  <si>
    <t>1. Бондаренко Егор</t>
  </si>
  <si>
    <t>Юноши 16 - 17 (02.12.2004)/16</t>
  </si>
  <si>
    <t>61,70</t>
  </si>
  <si>
    <t>Юноши 18 - 19 (13.07.2001)/19</t>
  </si>
  <si>
    <t>62,5</t>
  </si>
  <si>
    <t>1. Кочетков Ярослав</t>
  </si>
  <si>
    <t>Юниоры 20 - 23 (04.04.1999)/21</t>
  </si>
  <si>
    <t>69,70</t>
  </si>
  <si>
    <t>52,5</t>
  </si>
  <si>
    <t>55,0</t>
  </si>
  <si>
    <t>1. Носов Павел</t>
  </si>
  <si>
    <t>Открытая (29.12.1983)/37</t>
  </si>
  <si>
    <t>71,60</t>
  </si>
  <si>
    <t>2. Карпов Иван</t>
  </si>
  <si>
    <t>Открытая (09.12.1987)/33</t>
  </si>
  <si>
    <t>73,80</t>
  </si>
  <si>
    <t>3. Хохлов Станислав</t>
  </si>
  <si>
    <t>Ветераны 40 - 44 (10.09.1978)/42</t>
  </si>
  <si>
    <t>1. Ильченко Василий</t>
  </si>
  <si>
    <t>Ветераны 55 - 59 (13.05.1963)/57</t>
  </si>
  <si>
    <t>1. Аузяк Сергей</t>
  </si>
  <si>
    <t>Юниоры 20 - 23 (28.08.1997)/23</t>
  </si>
  <si>
    <t>79,00</t>
  </si>
  <si>
    <t>1. Фомин Роман</t>
  </si>
  <si>
    <t>Открытая (21.09.1978)/42</t>
  </si>
  <si>
    <t>80,00</t>
  </si>
  <si>
    <t>2. Бодренков Павел</t>
  </si>
  <si>
    <t>Открытая (21.10.1991)/29</t>
  </si>
  <si>
    <t>77,80</t>
  </si>
  <si>
    <t>1. Мусаев Исмаил</t>
  </si>
  <si>
    <t>Ветераны 50 - 54 (23.12.1969)/51</t>
  </si>
  <si>
    <t>78,70</t>
  </si>
  <si>
    <t>1. Машошин Евгений</t>
  </si>
  <si>
    <t>Открытая (03.12.1983)/37</t>
  </si>
  <si>
    <t>89,60</t>
  </si>
  <si>
    <t>2. Ракитин Евгений</t>
  </si>
  <si>
    <t>Открытая (15.11.1982)/38</t>
  </si>
  <si>
    <t>86,00</t>
  </si>
  <si>
    <t>Юноши 18 - 19 (26.03.2001)/19</t>
  </si>
  <si>
    <t>67,5</t>
  </si>
  <si>
    <t>1. Дударь Игорь</t>
  </si>
  <si>
    <t>Открытая (13.09.1984)/36</t>
  </si>
  <si>
    <t>98,90</t>
  </si>
  <si>
    <t>1. Медведев Владимир</t>
  </si>
  <si>
    <t>Ветераны 45 - 49 (15.02.1975)/45</t>
  </si>
  <si>
    <t>99,30</t>
  </si>
  <si>
    <t>1. корнишин Игорь</t>
  </si>
  <si>
    <t>Ветераны 55 - 59 (08.01.1964)/57</t>
  </si>
  <si>
    <t>110,70</t>
  </si>
  <si>
    <t>ВЕСОВАЯ КАТЕГОРИЯ   140</t>
  </si>
  <si>
    <t>1. Левшин Владимир</t>
  </si>
  <si>
    <t>Открытая (07.10.1985)/35</t>
  </si>
  <si>
    <t>127,50</t>
  </si>
  <si>
    <t>ВЕСОВАЯ КАТЕГОРИЯ   52</t>
  </si>
  <si>
    <t>1. Енина Елена</t>
  </si>
  <si>
    <t>Открытая (10.05.1989)/31</t>
  </si>
  <si>
    <t>52,00</t>
  </si>
  <si>
    <t>122,5</t>
  </si>
  <si>
    <t>127,5</t>
  </si>
  <si>
    <t>132,5</t>
  </si>
  <si>
    <t>1. Уганина Ольга</t>
  </si>
  <si>
    <t>Ветераны 40 - 44 (28.04.1979)/41</t>
  </si>
  <si>
    <t>55,70</t>
  </si>
  <si>
    <t>147,5</t>
  </si>
  <si>
    <t>1. Крылова Софья</t>
  </si>
  <si>
    <t>Девушки 18 - 19 (19.06.2002)/18</t>
  </si>
  <si>
    <t>67,10</t>
  </si>
  <si>
    <t>117,5</t>
  </si>
  <si>
    <t>125,0</t>
  </si>
  <si>
    <t>1. Ничкова Анастасия</t>
  </si>
  <si>
    <t>Открытая (24.05.1996)/24</t>
  </si>
  <si>
    <t>62,80</t>
  </si>
  <si>
    <t>2. Грибунова Мария</t>
  </si>
  <si>
    <t>Открытая (06.03.1981)/39</t>
  </si>
  <si>
    <t>66,30</t>
  </si>
  <si>
    <t>115,0</t>
  </si>
  <si>
    <t>1. Раскачнова Ирина</t>
  </si>
  <si>
    <t>Ветераны 45 - 49 (20.03.1973)/47</t>
  </si>
  <si>
    <t>63,90</t>
  </si>
  <si>
    <t>1. Хохлов Станислав</t>
  </si>
  <si>
    <t>155,0</t>
  </si>
  <si>
    <t>177,5</t>
  </si>
  <si>
    <t>1. Шубич Максим</t>
  </si>
  <si>
    <t>Юниоры 20 - 23 (10.09.1999)/21</t>
  </si>
  <si>
    <t>79,30</t>
  </si>
  <si>
    <t>170,0</t>
  </si>
  <si>
    <t>1. Седов Кирилл</t>
  </si>
  <si>
    <t>Открытая (14.09.1991)/29</t>
  </si>
  <si>
    <t>79,70</t>
  </si>
  <si>
    <t>175,0</t>
  </si>
  <si>
    <t>185,0</t>
  </si>
  <si>
    <t>190,0</t>
  </si>
  <si>
    <t>2. Киреев Денис</t>
  </si>
  <si>
    <t>Открытая (02.02.1988)/33</t>
  </si>
  <si>
    <t>80,80</t>
  </si>
  <si>
    <t>1. Волков Максим</t>
  </si>
  <si>
    <t>Открытая (31.08.1993)/27</t>
  </si>
  <si>
    <t>88,20</t>
  </si>
  <si>
    <t>200,0</t>
  </si>
  <si>
    <t>210,0</t>
  </si>
  <si>
    <t>-. Калачев Никита</t>
  </si>
  <si>
    <t>Открытая (02.09.1986)/34</t>
  </si>
  <si>
    <t>89,70</t>
  </si>
  <si>
    <t>1. Филимонов Алексей</t>
  </si>
  <si>
    <t>Открытая (12.09.1987)/33</t>
  </si>
  <si>
    <t>95,30</t>
  </si>
  <si>
    <t>235,0</t>
  </si>
  <si>
    <t>245,0</t>
  </si>
  <si>
    <t>250,0</t>
  </si>
  <si>
    <t>2. Красновский Андрей</t>
  </si>
  <si>
    <t>Открытая (23.07.1987)/33</t>
  </si>
  <si>
    <t>95,70</t>
  </si>
  <si>
    <t>202,5</t>
  </si>
  <si>
    <t>205,0</t>
  </si>
  <si>
    <t>3. Есаян Николай</t>
  </si>
  <si>
    <t>Открытая (17.08.1994)/26</t>
  </si>
  <si>
    <t>96,60</t>
  </si>
  <si>
    <t>4. Носенко Сергей</t>
  </si>
  <si>
    <t>Открытая (16.06.1982)/38</t>
  </si>
  <si>
    <t>97,20</t>
  </si>
  <si>
    <t>1. Корзинкин Вадим</t>
  </si>
  <si>
    <t>Открытая (26.03.1983)/37</t>
  </si>
  <si>
    <t>122,60</t>
  </si>
  <si>
    <t>240,0</t>
  </si>
  <si>
    <t>265,0</t>
  </si>
  <si>
    <t>285,0</t>
  </si>
  <si>
    <t>1. Фокин Денис</t>
  </si>
  <si>
    <t>Открытая (04.09.1987)/33</t>
  </si>
  <si>
    <t>95,90</t>
  </si>
  <si>
    <t>220,0</t>
  </si>
  <si>
    <t>230,0</t>
  </si>
  <si>
    <t>1. Стародубова Дарья</t>
  </si>
  <si>
    <t>Девушки 16 - 17 (27.09.2004)/16</t>
  </si>
  <si>
    <t>80,90</t>
  </si>
  <si>
    <t>180,0</t>
  </si>
  <si>
    <t>1. Мисиюк Вячеслав</t>
  </si>
  <si>
    <t>Открытая (11.11.1984)/36</t>
  </si>
  <si>
    <t>88,10</t>
  </si>
  <si>
    <t>1. Корниленко Александр</t>
  </si>
  <si>
    <t>Ветераны 45 - 49 (27.09.1975)/45</t>
  </si>
  <si>
    <t>89,40</t>
  </si>
  <si>
    <t>1. Смурова Дарья</t>
  </si>
  <si>
    <t>Открытая (28.12.1996)/24</t>
  </si>
  <si>
    <t>54,20</t>
  </si>
  <si>
    <t>1. Лымарева Елена</t>
  </si>
  <si>
    <t>Ветераны 50 - 54 (20.04.1966)/54</t>
  </si>
  <si>
    <t>72,00</t>
  </si>
  <si>
    <t>1. Сметанкин Алексей</t>
  </si>
  <si>
    <t>Юноши 13 - 15 (26.09.2008)/12</t>
  </si>
  <si>
    <t>76,10</t>
  </si>
  <si>
    <t>-. Чуб Игорь</t>
  </si>
  <si>
    <t>Открытая (19.06.1996)/24</t>
  </si>
  <si>
    <t>87,80</t>
  </si>
  <si>
    <t>1. Петров Алексей</t>
  </si>
  <si>
    <t>Ветераны 45 - 49 (25.03.1975)/45</t>
  </si>
  <si>
    <t>136,60</t>
  </si>
  <si>
    <t>1. Селянин Дмитрий</t>
  </si>
  <si>
    <t>Юноши 13 - 15 (10.11.2005)/15</t>
  </si>
  <si>
    <t>55,30</t>
  </si>
  <si>
    <t>1. Барейшин Алексей</t>
  </si>
  <si>
    <t>Открытая (27.10.1981)/39</t>
  </si>
  <si>
    <t>103,10</t>
  </si>
  <si>
    <t>ВЕСОВАЯ КАТЕГОРИЯ   44</t>
  </si>
  <si>
    <t>1. Грибахо Оксана</t>
  </si>
  <si>
    <t>Открытая (13.12.1990)/30</t>
  </si>
  <si>
    <t>44,00</t>
  </si>
  <si>
    <t>1. Антонова Екатерина</t>
  </si>
  <si>
    <t>Юниорки 20 - 23 (06.12.2000)/20</t>
  </si>
  <si>
    <t>-. Фомина Маргарита</t>
  </si>
  <si>
    <t>Открытая (28.09.1989)/31</t>
  </si>
  <si>
    <t>51,10</t>
  </si>
  <si>
    <t>42,5</t>
  </si>
  <si>
    <t>2. Мартынова Дарья</t>
  </si>
  <si>
    <t>Открытая (20.01.1989)/32</t>
  </si>
  <si>
    <t>53,70</t>
  </si>
  <si>
    <t>37,5</t>
  </si>
  <si>
    <t>1. Лоскутова Галина</t>
  </si>
  <si>
    <t>Открытая (17.05.1987)/33</t>
  </si>
  <si>
    <t>1. Зоненко Татьяна</t>
  </si>
  <si>
    <t>Юниорки 20 - 23 (24.02.1998)/22</t>
  </si>
  <si>
    <t>72,40</t>
  </si>
  <si>
    <t>Ветераны 40 - 44 (17.06.1980)/40</t>
  </si>
  <si>
    <t>1. Финкельбаум Марк</t>
  </si>
  <si>
    <t>Юноши 13 - 15 (25.04.2008)/12</t>
  </si>
  <si>
    <t>48,50</t>
  </si>
  <si>
    <t>22,5</t>
  </si>
  <si>
    <t>102,5</t>
  </si>
  <si>
    <t>105,0</t>
  </si>
  <si>
    <t>1. Ивкин Роман</t>
  </si>
  <si>
    <t>Юноши 13 - 15 (17.11.2006)/14</t>
  </si>
  <si>
    <t>63,50</t>
  </si>
  <si>
    <t xml:space="preserve">Ивкин Сергей </t>
  </si>
  <si>
    <t>1. Рощин Александр</t>
  </si>
  <si>
    <t>Открытая (01.07.1988)/32</t>
  </si>
  <si>
    <t>66,10</t>
  </si>
  <si>
    <t>2. Колесников Василий</t>
  </si>
  <si>
    <t>Открытая (17.02.1994)/26</t>
  </si>
  <si>
    <t>65,70</t>
  </si>
  <si>
    <t>87,5</t>
  </si>
  <si>
    <t>97,5</t>
  </si>
  <si>
    <t>107,5</t>
  </si>
  <si>
    <t>1. Соковцев Михаил</t>
  </si>
  <si>
    <t>Юноши 18 - 19 (25.09.2001)/19</t>
  </si>
  <si>
    <t>73,70</t>
  </si>
  <si>
    <t>112,5</t>
  </si>
  <si>
    <t>2. Леонов Евгений</t>
  </si>
  <si>
    <t>Юниоры 20 - 23 (07.03.1997)/23</t>
  </si>
  <si>
    <t>73,00</t>
  </si>
  <si>
    <t>3. Степанов Александр</t>
  </si>
  <si>
    <t>Юниоры 20 - 23 (18.01.2000)/21</t>
  </si>
  <si>
    <t>74,10</t>
  </si>
  <si>
    <t>1. Некрасов Сергей</t>
  </si>
  <si>
    <t>Открытая (14.12.1965)/55</t>
  </si>
  <si>
    <t>72,60</t>
  </si>
  <si>
    <t>2. Крылов Михаил</t>
  </si>
  <si>
    <t>Открытая (18.11.1982)/38</t>
  </si>
  <si>
    <t>73,30</t>
  </si>
  <si>
    <t>3. Бельцев Иван</t>
  </si>
  <si>
    <t>Открытая (24.08.1988)/32</t>
  </si>
  <si>
    <t>73,50</t>
  </si>
  <si>
    <t>4. Смирнов Вадим</t>
  </si>
  <si>
    <t>Открытая (26.10.1995)/25</t>
  </si>
  <si>
    <t>74,50</t>
  </si>
  <si>
    <t>1. Ткаченко Виталий</t>
  </si>
  <si>
    <t>Ветераны 40 - 44 (01.12.1980)/40</t>
  </si>
  <si>
    <t>74,30</t>
  </si>
  <si>
    <t>135,0</t>
  </si>
  <si>
    <t>137,5</t>
  </si>
  <si>
    <t>Ветераны 55 - 59 (14.12.1965)/55</t>
  </si>
  <si>
    <t>1. Алимов Артем</t>
  </si>
  <si>
    <t>Юноши 16 - 17 (25.09.2004)/16</t>
  </si>
  <si>
    <t>81,80</t>
  </si>
  <si>
    <t xml:space="preserve">Туляков Никита </t>
  </si>
  <si>
    <t>1. Куликов Юрий</t>
  </si>
  <si>
    <t>Юниоры 20 - 23 (25.07.1997)/23</t>
  </si>
  <si>
    <t>2. Седов Кирилл</t>
  </si>
  <si>
    <t>3. Шишков Иван</t>
  </si>
  <si>
    <t>Открытая (06.04.1996)/24</t>
  </si>
  <si>
    <t>80,30</t>
  </si>
  <si>
    <t>4. Бочаров Евгений</t>
  </si>
  <si>
    <t>Открытая (27.11.1987)/33</t>
  </si>
  <si>
    <t>79,40</t>
  </si>
  <si>
    <t>Ветераны 40 - 44 (15.05.1980)/40</t>
  </si>
  <si>
    <t>2. Аушев Александр</t>
  </si>
  <si>
    <t>Ветераны 40 - 44 (09.01.1981)/40</t>
  </si>
  <si>
    <t>81,60</t>
  </si>
  <si>
    <t>1. Страмцов Тимофей</t>
  </si>
  <si>
    <t>Юниоры 20 - 23 (05.02.1999)/22</t>
  </si>
  <si>
    <t>84,20</t>
  </si>
  <si>
    <t>152,5</t>
  </si>
  <si>
    <t>2. Бочко Матвей</t>
  </si>
  <si>
    <t>Юниоры 20 - 23 (19.05.1998)/22</t>
  </si>
  <si>
    <t>90,00</t>
  </si>
  <si>
    <t>1. Григорьянц Роман</t>
  </si>
  <si>
    <t>Открытая (17.05.1983)/37</t>
  </si>
  <si>
    <t>89,10</t>
  </si>
  <si>
    <t>165,0</t>
  </si>
  <si>
    <t>2. Щербинин Михаил</t>
  </si>
  <si>
    <t>Открытая (04.05.1984)/36</t>
  </si>
  <si>
    <t>88,70</t>
  </si>
  <si>
    <t>3. Никонов Денис</t>
  </si>
  <si>
    <t>Открытая (21.03.1982)/38</t>
  </si>
  <si>
    <t>88,30</t>
  </si>
  <si>
    <t>4. Леонтьев Владимир</t>
  </si>
  <si>
    <t>Открытая (07.09.1989)/31</t>
  </si>
  <si>
    <t>87,40</t>
  </si>
  <si>
    <t>-. Шатов Антон</t>
  </si>
  <si>
    <t>Открытая (05.04.1986)/34</t>
  </si>
  <si>
    <t>86,50</t>
  </si>
  <si>
    <t>1. Андреев Дмитрий</t>
  </si>
  <si>
    <t>Ветераны 40 - 44 (16.11.1980)/40</t>
  </si>
  <si>
    <t>2. Камшилин Дмитрий</t>
  </si>
  <si>
    <t>Открытая (20.06.1984)/36</t>
  </si>
  <si>
    <t>94,60</t>
  </si>
  <si>
    <t>3. Сухов Евгений</t>
  </si>
  <si>
    <t>Открытая (20.02.1981)/39</t>
  </si>
  <si>
    <t>96,00</t>
  </si>
  <si>
    <t>4. Буров Евгений</t>
  </si>
  <si>
    <t>Открытая (04.11.1990)/30</t>
  </si>
  <si>
    <t>97,70</t>
  </si>
  <si>
    <t>162,5</t>
  </si>
  <si>
    <t>1. Спиркин Евгений</t>
  </si>
  <si>
    <t>Открытая (14.11.1987)/33</t>
  </si>
  <si>
    <t>108,90</t>
  </si>
  <si>
    <t>167,5</t>
  </si>
  <si>
    <t>177,0</t>
  </si>
  <si>
    <t>2. Козлов Владислав</t>
  </si>
  <si>
    <t>Открытая (10.02.1997)/24</t>
  </si>
  <si>
    <t>105,50</t>
  </si>
  <si>
    <t>1. Орехов Валентин</t>
  </si>
  <si>
    <t>Ветераны 40 - 44 (10.01.1977)/44</t>
  </si>
  <si>
    <t>Ветераны 50 - 54 (25.08.1969)/51</t>
  </si>
  <si>
    <t>1. Яковенко Владимир</t>
  </si>
  <si>
    <t>Ветераны 60 - 64 (27.03.1959)/61</t>
  </si>
  <si>
    <t>109,50</t>
  </si>
  <si>
    <t>1. Задыхин Максим</t>
  </si>
  <si>
    <t>Юниоры 20 - 23 (19.04.1997)/23</t>
  </si>
  <si>
    <t>122,20</t>
  </si>
  <si>
    <t>172,5</t>
  </si>
  <si>
    <t>1. Яскин Роман</t>
  </si>
  <si>
    <t>Ветераны 40 - 44 (06.04.1976)/44</t>
  </si>
  <si>
    <t>118,90</t>
  </si>
  <si>
    <t>142,5</t>
  </si>
  <si>
    <t>1. Бычков Игорь</t>
  </si>
  <si>
    <t>Ветераны 50 - 54 (18.06.1970)/50</t>
  </si>
  <si>
    <t>113,00</t>
  </si>
  <si>
    <t>1. Чубаров Владимир</t>
  </si>
  <si>
    <t>Ветераны 55 - 59 (03.04.1964)/56</t>
  </si>
  <si>
    <t>134,40</t>
  </si>
  <si>
    <t>182,5</t>
  </si>
  <si>
    <t>Приседание</t>
  </si>
  <si>
    <t>Сумма</t>
  </si>
  <si>
    <t>1. Бобрышев Кирилл</t>
  </si>
  <si>
    <t>Открытая (06.05.1995)/25</t>
  </si>
  <si>
    <t>70,90</t>
  </si>
  <si>
    <t>215,0</t>
  </si>
  <si>
    <t>1. Нижельский Виктор</t>
  </si>
  <si>
    <t>Юниоры 20 - 23 (28.04.1999)/21</t>
  </si>
  <si>
    <t>1. Малолетнев Владимир</t>
  </si>
  <si>
    <t>Открытая (13.09.1982)/38</t>
  </si>
  <si>
    <t>81,20</t>
  </si>
  <si>
    <t>1. Каторов Сергей</t>
  </si>
  <si>
    <t>Ветераны 40 - 44 (29.03.1980)/40</t>
  </si>
  <si>
    <t>86,10</t>
  </si>
  <si>
    <t>ВЕСОВАЯ КАТЕГОРИЯ   140+</t>
  </si>
  <si>
    <t>1. Попов Артем</t>
  </si>
  <si>
    <t>Открытая (24.07.1988)/32</t>
  </si>
  <si>
    <t>145,00</t>
  </si>
  <si>
    <t>1. Иванюк Элеонора</t>
  </si>
  <si>
    <t>Ветераны 50 - 54 (08.10.1970)/50</t>
  </si>
  <si>
    <t>1. Михайлова Надежда</t>
  </si>
  <si>
    <t>Ветераны 40 - 44 (16.01.1981)/40</t>
  </si>
  <si>
    <t>35,0</t>
  </si>
  <si>
    <t>1. Татарская Альбина</t>
  </si>
  <si>
    <t>Открытая (11.02.1992)/29</t>
  </si>
  <si>
    <t>66,00</t>
  </si>
  <si>
    <t>Юноши 13 - 15 (03.08.2005)/15</t>
  </si>
  <si>
    <t>66,70</t>
  </si>
  <si>
    <t>1. Падалка Игорь</t>
  </si>
  <si>
    <t>Юниоры 20 - 23 (01.09.2000)/20</t>
  </si>
  <si>
    <t>66,50</t>
  </si>
  <si>
    <t>1. Павлов Сергей</t>
  </si>
  <si>
    <t>Открытая (27.02.1991)/29</t>
  </si>
  <si>
    <t>1. Томчак Андрей</t>
  </si>
  <si>
    <t>Юноши 16 - 17 (01.03.2003)/17</t>
  </si>
  <si>
    <t>1. Родиков Евгений</t>
  </si>
  <si>
    <t>Юноши 16 - 17 (19.02.2004)/16</t>
  </si>
  <si>
    <t>82,00</t>
  </si>
  <si>
    <t>1. Топоров Кирилл</t>
  </si>
  <si>
    <t>Юниоры 20 - 23 (27.07.1999)/21</t>
  </si>
  <si>
    <t>89,20</t>
  </si>
  <si>
    <t>1. Змунчиле Михаил</t>
  </si>
  <si>
    <t>Открытая (25.05.1983)/37</t>
  </si>
  <si>
    <t>197,5</t>
  </si>
  <si>
    <t>247,5</t>
  </si>
  <si>
    <t>1. Данилин Александр</t>
  </si>
  <si>
    <t>Ветераны 60 - 64 (01.01.1958)/63</t>
  </si>
  <si>
    <t>88,90</t>
  </si>
  <si>
    <t>1. Завьялов Дмитрий</t>
  </si>
  <si>
    <t>Открытая (21.10.1981)/39</t>
  </si>
  <si>
    <t>98,50</t>
  </si>
  <si>
    <t>1. Демчук Дмитрий</t>
  </si>
  <si>
    <t>Открытая (28.12.1993)/27</t>
  </si>
  <si>
    <t>120,10</t>
  </si>
  <si>
    <t>1. Тографулина Татьяна</t>
  </si>
  <si>
    <t>Девушки 18 - 19 (14.08.2001)/19</t>
  </si>
  <si>
    <t>67,50</t>
  </si>
  <si>
    <t>1. Раков Иван</t>
  </si>
  <si>
    <t>Открытая (31.05.1992)/28</t>
  </si>
  <si>
    <t>96,20</t>
  </si>
  <si>
    <t>275,0</t>
  </si>
  <si>
    <t>300,0</t>
  </si>
  <si>
    <t>1. Шайситдиков Назар</t>
  </si>
  <si>
    <t>Юноши 13 - 15 (17.06.2005)/15</t>
  </si>
  <si>
    <t>59,00</t>
  </si>
  <si>
    <t>92,5</t>
  </si>
  <si>
    <t xml:space="preserve">Суфиянов А.Р. </t>
  </si>
  <si>
    <t>1. Лялякичева Татьяна</t>
  </si>
  <si>
    <t>Открытая (21.03.1978)/42</t>
  </si>
  <si>
    <t>1. Мухортова Нина</t>
  </si>
  <si>
    <t>Ветераны 50 - 54 (16.09.1966)/54</t>
  </si>
  <si>
    <t>64,10</t>
  </si>
  <si>
    <t>1. Жильцова Кира</t>
  </si>
  <si>
    <t>Ветераны 75 - 79 (24.04.1944)/76</t>
  </si>
  <si>
    <t>65,50</t>
  </si>
  <si>
    <t xml:space="preserve">Петров Александр </t>
  </si>
  <si>
    <t>1. Павлюченко Данил</t>
  </si>
  <si>
    <t>Юноши 18 - 19 (19.07.2001)/19</t>
  </si>
  <si>
    <t>78,80</t>
  </si>
  <si>
    <t>1. Бурцев Дмитрий</t>
  </si>
  <si>
    <t>Ветераны 40 - 44 (21.02.1977)/43</t>
  </si>
  <si>
    <t>77,10</t>
  </si>
  <si>
    <t>1. Ветров Владимир</t>
  </si>
  <si>
    <t>Ветераны 55 - 59 (02.09.1964)/56</t>
  </si>
  <si>
    <t>85,50</t>
  </si>
  <si>
    <t>1. Костоломов Дмитрий</t>
  </si>
  <si>
    <t>Открытая (12.12.1991)/29</t>
  </si>
  <si>
    <t>95,00</t>
  </si>
  <si>
    <t>1. Молотиевский Анатолий</t>
  </si>
  <si>
    <t>Ветераны 45 - 49 (10.05.1975)/45</t>
  </si>
  <si>
    <t>90,40</t>
  </si>
  <si>
    <t>1. Дон Вадим</t>
  </si>
  <si>
    <t>Ветераны 55 - 59 (17.06.1962)/58</t>
  </si>
  <si>
    <t>90,90</t>
  </si>
  <si>
    <t>1. Петров Александр</t>
  </si>
  <si>
    <t>Ветераны 60 - 64 (17.07.1960)/60</t>
  </si>
  <si>
    <t>93,60</t>
  </si>
  <si>
    <t>1. Сизов Владимир</t>
  </si>
  <si>
    <t>Ветераны 55 - 59 (18.10.1963)/57</t>
  </si>
  <si>
    <t>107,30</t>
  </si>
  <si>
    <t>1. Лазарев Денис</t>
  </si>
  <si>
    <t>Юноши 16 - 17 (02.09.2003)/17</t>
  </si>
  <si>
    <t>116,40</t>
  </si>
  <si>
    <t>1. Геворкян Антон</t>
  </si>
  <si>
    <t>Открытая (12.06.1992)/28</t>
  </si>
  <si>
    <t>118,00</t>
  </si>
  <si>
    <t>195,0</t>
  </si>
  <si>
    <t>1. Жильцов Игорь</t>
  </si>
  <si>
    <t>Ветераны 50 - 54 (14.08.1970)/50</t>
  </si>
  <si>
    <t>127,90</t>
  </si>
  <si>
    <t>255,0</t>
  </si>
  <si>
    <t>272,5</t>
  </si>
  <si>
    <t>157,5</t>
  </si>
  <si>
    <t>1. Ефремочкин Николай</t>
  </si>
  <si>
    <t>Открытая (08.09.1994)/26</t>
  </si>
  <si>
    <t>89,90</t>
  </si>
  <si>
    <t>1. Мартин Янек</t>
  </si>
  <si>
    <t>Открытая (14.04.1986)/34</t>
  </si>
  <si>
    <t>102,20</t>
  </si>
  <si>
    <t>260,0</t>
  </si>
  <si>
    <t>270,0</t>
  </si>
  <si>
    <t>290,0</t>
  </si>
  <si>
    <t>Открытая (27.09.2004)/16</t>
  </si>
  <si>
    <t>1. Тишков Александр</t>
  </si>
  <si>
    <t>Юниоры 20 - 23 (01.02.1998)/23</t>
  </si>
  <si>
    <t>76,80</t>
  </si>
  <si>
    <t>1. Масалов Иван</t>
  </si>
  <si>
    <t>Открытая (08.03.1991)/29</t>
  </si>
  <si>
    <t>77,50</t>
  </si>
  <si>
    <t>вес</t>
  </si>
  <si>
    <t>Город</t>
  </si>
  <si>
    <t>имя</t>
  </si>
  <si>
    <t>Жим</t>
  </si>
  <si>
    <t xml:space="preserve"> тяга</t>
  </si>
  <si>
    <t xml:space="preserve">Жим </t>
  </si>
  <si>
    <t>тяга</t>
  </si>
  <si>
    <t>жим</t>
  </si>
  <si>
    <t>итог</t>
  </si>
  <si>
    <t>сумма</t>
  </si>
  <si>
    <t>0</t>
  </si>
  <si>
    <t xml:space="preserve">. Язин </t>
  </si>
  <si>
    <t>Звенигород</t>
  </si>
  <si>
    <t>Надым</t>
  </si>
  <si>
    <t>Майский</t>
  </si>
  <si>
    <t>Нахабино</t>
  </si>
  <si>
    <t>Смоленск</t>
  </si>
  <si>
    <t>Чехов</t>
  </si>
  <si>
    <t>Красногорск</t>
  </si>
  <si>
    <t>Истра</t>
  </si>
  <si>
    <t>Новомосковск</t>
  </si>
  <si>
    <t>Знаменск</t>
  </si>
  <si>
    <t>Курск</t>
  </si>
  <si>
    <t>Нефтекамск</t>
  </si>
  <si>
    <t>Пересвет</t>
  </si>
  <si>
    <t>Сергиев Посад</t>
  </si>
  <si>
    <t>Московский</t>
  </si>
  <si>
    <t>Ростов-на-Дону</t>
  </si>
  <si>
    <t>Новосибирск</t>
  </si>
  <si>
    <t>Нижневартовск</t>
  </si>
  <si>
    <t>Рязань</t>
  </si>
  <si>
    <t>Калуга</t>
  </si>
  <si>
    <t>Подольск</t>
  </si>
  <si>
    <t>Щёлково</t>
  </si>
  <si>
    <t>Тула</t>
  </si>
  <si>
    <t>Можайск</t>
  </si>
  <si>
    <t>Комсомольск-на-Амуре</t>
  </si>
  <si>
    <t>Реутов</t>
  </si>
  <si>
    <t>Воскресенск</t>
  </si>
  <si>
    <t>Жуковский</t>
  </si>
  <si>
    <t>Наро-Фоминск</t>
  </si>
  <si>
    <t>Брянск</t>
  </si>
  <si>
    <t>Ставрополь</t>
  </si>
  <si>
    <t>Серпухов</t>
  </si>
  <si>
    <t xml:space="preserve">Домодедово </t>
  </si>
  <si>
    <t>Клин</t>
  </si>
  <si>
    <t>Дорогобуж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</si>
</sst>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0" fillId="0" borderId="4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0" fillId="0" borderId="5" xfId="0" applyNumberFormat="1" applyFont="1" applyBorder="1" applyAlignment="1">
      <alignment horizontal="center"/>
    </xf>
    <xf numFmtId="49" fontId="0" fillId="0" borderId="5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left"/>
    </xf>
    <xf numFmtId="49" fontId="0" fillId="0" borderId="9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 indent="1"/>
    </xf>
    <xf numFmtId="49" fontId="6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 indent="1"/>
    </xf>
    <xf numFmtId="49" fontId="4" fillId="0" borderId="9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H24"/>
  <sheetViews>
    <sheetView tabSelected="1" zoomScaleNormal="100" workbookViewId="0">
      <selection sqref="A1:A2"/>
    </sheetView>
  </sheetViews>
  <sheetFormatPr defaultColWidth="9.140625" defaultRowHeight="12.75" x14ac:dyDescent="0.2"/>
  <cols>
    <col min="1" max="1" width="24.7109375" style="16" customWidth="1"/>
    <col min="2" max="2" width="29.85546875" style="16" customWidth="1"/>
    <col min="3" max="3" width="6.5703125" style="16" bestFit="1" customWidth="1"/>
    <col min="4" max="4" width="11" style="16" bestFit="1" customWidth="1"/>
    <col min="5" max="7" width="5.5703125" style="17" customWidth="1"/>
    <col min="8" max="8" width="4.5703125" style="17" customWidth="1"/>
    <col min="9" max="11" width="5.5703125" style="17" customWidth="1"/>
    <col min="12" max="12" width="4.5703125" style="17" customWidth="1"/>
    <col min="13" max="15" width="5.5703125" style="17" customWidth="1"/>
    <col min="16" max="16" width="4.5703125" style="17" customWidth="1"/>
    <col min="17" max="17" width="7.7109375" style="1" customWidth="1"/>
    <col min="18" max="18" width="8.5703125" style="18" customWidth="1"/>
    <col min="19" max="19" width="8.28515625" style="16" customWidth="1"/>
    <col min="20" max="1022" width="9.140625" style="17"/>
  </cols>
  <sheetData>
    <row r="1" spans="1:19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383</v>
      </c>
      <c r="F1" s="38"/>
      <c r="G1" s="38"/>
      <c r="H1" s="38"/>
      <c r="I1" s="38" t="s">
        <v>515</v>
      </c>
      <c r="J1" s="38"/>
      <c r="K1" s="38"/>
      <c r="L1" s="38"/>
      <c r="M1" s="38" t="s">
        <v>516</v>
      </c>
      <c r="N1" s="38"/>
      <c r="O1" s="38"/>
      <c r="P1" s="38"/>
      <c r="Q1" s="37" t="s">
        <v>520</v>
      </c>
      <c r="R1" s="37" t="s">
        <v>39</v>
      </c>
      <c r="S1" s="39" t="s">
        <v>40</v>
      </c>
    </row>
    <row r="2" spans="1:19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19">
        <v>1</v>
      </c>
      <c r="J2" s="19">
        <v>2</v>
      </c>
      <c r="K2" s="19">
        <v>3</v>
      </c>
      <c r="L2" s="19" t="s">
        <v>62</v>
      </c>
      <c r="M2" s="19">
        <v>1</v>
      </c>
      <c r="N2" s="19">
        <v>2</v>
      </c>
      <c r="O2" s="19">
        <v>3</v>
      </c>
      <c r="P2" s="19" t="s">
        <v>62</v>
      </c>
      <c r="Q2" s="37"/>
      <c r="R2" s="37"/>
      <c r="S2" s="39"/>
    </row>
    <row r="3" spans="1:19" ht="15" x14ac:dyDescent="0.2">
      <c r="A3" s="34" t="s">
        <v>126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9" x14ac:dyDescent="0.2">
      <c r="A4" s="5" t="s">
        <v>401</v>
      </c>
      <c r="B4" s="5" t="s">
        <v>402</v>
      </c>
      <c r="C4" s="5" t="s">
        <v>243</v>
      </c>
      <c r="D4" s="5" t="s">
        <v>14</v>
      </c>
      <c r="E4" s="4" t="s">
        <v>49</v>
      </c>
      <c r="F4" s="12" t="s">
        <v>56</v>
      </c>
      <c r="G4" s="12" t="s">
        <v>56</v>
      </c>
      <c r="H4" s="12"/>
      <c r="I4" s="4" t="s">
        <v>244</v>
      </c>
      <c r="J4" s="4" t="s">
        <v>7</v>
      </c>
      <c r="K4" s="4" t="s">
        <v>9</v>
      </c>
      <c r="L4" s="12"/>
      <c r="M4" s="4" t="s">
        <v>260</v>
      </c>
      <c r="N4" s="12" t="s">
        <v>148</v>
      </c>
      <c r="O4" s="12"/>
      <c r="P4" s="12"/>
      <c r="Q4" s="3" t="str">
        <f>"230,0"</f>
        <v>230,0</v>
      </c>
      <c r="R4" s="20" t="str">
        <f>"291,8677"</f>
        <v>291,8677</v>
      </c>
      <c r="S4" s="5" t="s">
        <v>8</v>
      </c>
    </row>
    <row r="5" spans="1:19" ht="15" x14ac:dyDescent="0.2">
      <c r="A5" s="33" t="s">
        <v>41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9" x14ac:dyDescent="0.2">
      <c r="A6" s="5" t="s">
        <v>403</v>
      </c>
      <c r="B6" s="5" t="s">
        <v>404</v>
      </c>
      <c r="C6" s="5" t="s">
        <v>135</v>
      </c>
      <c r="D6" s="5" t="s">
        <v>14</v>
      </c>
      <c r="E6" s="4" t="s">
        <v>11</v>
      </c>
      <c r="F6" s="4" t="s">
        <v>49</v>
      </c>
      <c r="G6" s="4" t="s">
        <v>12</v>
      </c>
      <c r="H6" s="12"/>
      <c r="I6" s="12" t="s">
        <v>405</v>
      </c>
      <c r="J6" s="4" t="s">
        <v>405</v>
      </c>
      <c r="K6" s="12" t="s">
        <v>6</v>
      </c>
      <c r="L6" s="12"/>
      <c r="M6" s="4" t="s">
        <v>49</v>
      </c>
      <c r="N6" s="12" t="s">
        <v>12</v>
      </c>
      <c r="O6" s="12" t="s">
        <v>12</v>
      </c>
      <c r="P6" s="12"/>
      <c r="Q6" s="3" t="str">
        <f>"190,0"</f>
        <v>190,0</v>
      </c>
      <c r="R6" s="20" t="str">
        <f>"199,1960"</f>
        <v>199,1960</v>
      </c>
      <c r="S6" s="5" t="s">
        <v>8</v>
      </c>
    </row>
    <row r="7" spans="1:19" ht="15" x14ac:dyDescent="0.2">
      <c r="A7" s="33" t="s">
        <v>63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9" x14ac:dyDescent="0.2">
      <c r="A8" s="5" t="s">
        <v>406</v>
      </c>
      <c r="B8" s="5" t="s">
        <v>407</v>
      </c>
      <c r="C8" s="5" t="s">
        <v>408</v>
      </c>
      <c r="D8" s="5" t="s">
        <v>14</v>
      </c>
      <c r="E8" s="12" t="s">
        <v>300</v>
      </c>
      <c r="F8" s="4" t="s">
        <v>300</v>
      </c>
      <c r="G8" s="4" t="s">
        <v>136</v>
      </c>
      <c r="H8" s="12"/>
      <c r="I8" s="4" t="s">
        <v>12</v>
      </c>
      <c r="J8" s="4" t="s">
        <v>271</v>
      </c>
      <c r="K8" s="12" t="s">
        <v>15</v>
      </c>
      <c r="L8" s="12"/>
      <c r="M8" s="4" t="s">
        <v>357</v>
      </c>
      <c r="N8" s="4" t="s">
        <v>162</v>
      </c>
      <c r="O8" s="4" t="s">
        <v>207</v>
      </c>
      <c r="P8" s="12"/>
      <c r="Q8" s="3" t="str">
        <f>"415,0"</f>
        <v>415,0</v>
      </c>
      <c r="R8" s="20" t="str">
        <f>"379,9740"</f>
        <v>379,9740</v>
      </c>
      <c r="S8" s="5" t="s">
        <v>8</v>
      </c>
    </row>
    <row r="9" spans="1:19" ht="15" x14ac:dyDescent="0.2">
      <c r="A9" s="33" t="s">
        <v>63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9" x14ac:dyDescent="0.2">
      <c r="A10" s="8" t="s">
        <v>523</v>
      </c>
      <c r="B10" s="8" t="s">
        <v>409</v>
      </c>
      <c r="C10" s="8" t="s">
        <v>410</v>
      </c>
      <c r="D10" s="8" t="s">
        <v>529</v>
      </c>
      <c r="E10" s="15" t="s">
        <v>31</v>
      </c>
      <c r="F10" s="15" t="s">
        <v>31</v>
      </c>
      <c r="G10" s="15" t="s">
        <v>31</v>
      </c>
      <c r="H10" s="15"/>
      <c r="I10" s="40">
        <v>0</v>
      </c>
      <c r="J10" s="40">
        <v>0</v>
      </c>
      <c r="K10" s="40">
        <v>0</v>
      </c>
      <c r="L10" s="15"/>
      <c r="M10" s="40">
        <v>0</v>
      </c>
      <c r="N10" s="40">
        <v>0</v>
      </c>
      <c r="O10" s="40">
        <v>0</v>
      </c>
      <c r="P10" s="15"/>
      <c r="Q10" s="6" t="str">
        <f>"0.00"</f>
        <v>0.00</v>
      </c>
      <c r="R10" s="21"/>
      <c r="S10" s="8" t="s">
        <v>8</v>
      </c>
    </row>
    <row r="11" spans="1:19" x14ac:dyDescent="0.2">
      <c r="A11" s="22" t="s">
        <v>411</v>
      </c>
      <c r="B11" s="22" t="s">
        <v>412</v>
      </c>
      <c r="C11" s="22" t="s">
        <v>413</v>
      </c>
      <c r="D11" s="22" t="s">
        <v>554</v>
      </c>
      <c r="E11" s="23" t="s">
        <v>21</v>
      </c>
      <c r="F11" s="23" t="s">
        <v>29</v>
      </c>
      <c r="G11" s="32" t="s">
        <v>30</v>
      </c>
      <c r="H11" s="32"/>
      <c r="I11" s="23" t="s">
        <v>21</v>
      </c>
      <c r="J11" s="32" t="s">
        <v>277</v>
      </c>
      <c r="K11" s="32" t="s">
        <v>277</v>
      </c>
      <c r="L11" s="32"/>
      <c r="M11" s="32" t="s">
        <v>30</v>
      </c>
      <c r="N11" s="23" t="s">
        <v>30</v>
      </c>
      <c r="O11" s="23" t="s">
        <v>33</v>
      </c>
      <c r="P11" s="32"/>
      <c r="Q11" s="24" t="str">
        <f>"360,0"</f>
        <v>360,0</v>
      </c>
      <c r="R11" s="25" t="str">
        <f>"272,8980"</f>
        <v>272,8980</v>
      </c>
      <c r="S11" s="22" t="s">
        <v>8</v>
      </c>
    </row>
    <row r="12" spans="1:19" x14ac:dyDescent="0.2">
      <c r="A12" s="11" t="s">
        <v>414</v>
      </c>
      <c r="B12" s="11" t="s">
        <v>415</v>
      </c>
      <c r="C12" s="11" t="s">
        <v>147</v>
      </c>
      <c r="D12" s="11" t="s">
        <v>14</v>
      </c>
      <c r="E12" s="10" t="s">
        <v>29</v>
      </c>
      <c r="F12" s="14" t="s">
        <v>277</v>
      </c>
      <c r="G12" s="14" t="s">
        <v>277</v>
      </c>
      <c r="H12" s="14"/>
      <c r="I12" s="10" t="s">
        <v>20</v>
      </c>
      <c r="J12" s="10" t="s">
        <v>271</v>
      </c>
      <c r="K12" s="14" t="s">
        <v>15</v>
      </c>
      <c r="L12" s="14"/>
      <c r="M12" s="10" t="s">
        <v>32</v>
      </c>
      <c r="N12" s="10" t="s">
        <v>35</v>
      </c>
      <c r="O12" s="10" t="s">
        <v>33</v>
      </c>
      <c r="P12" s="14"/>
      <c r="Q12" s="9" t="str">
        <f>"347,5"</f>
        <v>347,5</v>
      </c>
      <c r="R12" s="26" t="str">
        <f>"264,1000"</f>
        <v>264,1000</v>
      </c>
      <c r="S12" s="11" t="s">
        <v>8</v>
      </c>
    </row>
    <row r="13" spans="1:19" ht="15" x14ac:dyDescent="0.2">
      <c r="A13" s="33" t="s">
        <v>46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9" x14ac:dyDescent="0.2">
      <c r="A14" s="5" t="s">
        <v>416</v>
      </c>
      <c r="B14" s="5" t="s">
        <v>417</v>
      </c>
      <c r="C14" s="5" t="s">
        <v>219</v>
      </c>
      <c r="D14" s="5" t="s">
        <v>14</v>
      </c>
      <c r="E14" s="4" t="s">
        <v>132</v>
      </c>
      <c r="F14" s="12" t="s">
        <v>299</v>
      </c>
      <c r="G14" s="4" t="s">
        <v>32</v>
      </c>
      <c r="H14" s="12"/>
      <c r="I14" s="4" t="s">
        <v>26</v>
      </c>
      <c r="J14" s="4" t="s">
        <v>12</v>
      </c>
      <c r="K14" s="12" t="s">
        <v>56</v>
      </c>
      <c r="L14" s="12"/>
      <c r="M14" s="4" t="s">
        <v>153</v>
      </c>
      <c r="N14" s="4" t="s">
        <v>353</v>
      </c>
      <c r="O14" s="4" t="s">
        <v>357</v>
      </c>
      <c r="P14" s="12"/>
      <c r="Q14" s="3" t="str">
        <f>"387,5"</f>
        <v>387,5</v>
      </c>
      <c r="R14" s="20" t="str">
        <f>"275,2025"</f>
        <v>275,2025</v>
      </c>
      <c r="S14" s="5" t="s">
        <v>8</v>
      </c>
    </row>
    <row r="15" spans="1:19" ht="15" x14ac:dyDescent="0.2">
      <c r="A15" s="33" t="s">
        <v>52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9" x14ac:dyDescent="0.2">
      <c r="A16" s="5" t="s">
        <v>418</v>
      </c>
      <c r="B16" s="5" t="s">
        <v>419</v>
      </c>
      <c r="C16" s="5" t="s">
        <v>420</v>
      </c>
      <c r="D16" s="5" t="s">
        <v>14</v>
      </c>
      <c r="E16" s="12" t="s">
        <v>29</v>
      </c>
      <c r="F16" s="4" t="s">
        <v>148</v>
      </c>
      <c r="G16" s="4" t="s">
        <v>140</v>
      </c>
      <c r="H16" s="12"/>
      <c r="I16" s="4" t="s">
        <v>16</v>
      </c>
      <c r="J16" s="4" t="s">
        <v>272</v>
      </c>
      <c r="K16" s="12" t="s">
        <v>21</v>
      </c>
      <c r="L16" s="12"/>
      <c r="M16" s="4" t="s">
        <v>31</v>
      </c>
      <c r="N16" s="12" t="s">
        <v>299</v>
      </c>
      <c r="O16" s="12" t="s">
        <v>299</v>
      </c>
      <c r="P16" s="12"/>
      <c r="Q16" s="3" t="str">
        <f>"345,0"</f>
        <v>345,0</v>
      </c>
      <c r="R16" s="20" t="str">
        <f>"223,2667"</f>
        <v>223,2667</v>
      </c>
      <c r="S16" s="5" t="s">
        <v>8</v>
      </c>
    </row>
    <row r="17" spans="1:19" ht="15" x14ac:dyDescent="0.2">
      <c r="A17" s="33" t="s">
        <v>13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9" x14ac:dyDescent="0.2">
      <c r="A18" s="8" t="s">
        <v>421</v>
      </c>
      <c r="B18" s="8" t="s">
        <v>422</v>
      </c>
      <c r="C18" s="8" t="s">
        <v>423</v>
      </c>
      <c r="D18" s="8" t="s">
        <v>14</v>
      </c>
      <c r="E18" s="15" t="s">
        <v>34</v>
      </c>
      <c r="F18" s="7" t="s">
        <v>158</v>
      </c>
      <c r="G18" s="7" t="s">
        <v>207</v>
      </c>
      <c r="H18" s="15"/>
      <c r="I18" s="7" t="s">
        <v>32</v>
      </c>
      <c r="J18" s="7" t="s">
        <v>33</v>
      </c>
      <c r="K18" s="15" t="s">
        <v>34</v>
      </c>
      <c r="L18" s="15"/>
      <c r="M18" s="7" t="s">
        <v>388</v>
      </c>
      <c r="N18" s="7" t="s">
        <v>203</v>
      </c>
      <c r="O18" s="15" t="s">
        <v>179</v>
      </c>
      <c r="P18" s="15"/>
      <c r="Q18" s="6" t="str">
        <f>"560,0"</f>
        <v>560,0</v>
      </c>
      <c r="R18" s="21" t="str">
        <f>"344,3440"</f>
        <v>344,3440</v>
      </c>
      <c r="S18" s="8" t="s">
        <v>8</v>
      </c>
    </row>
    <row r="19" spans="1:19" x14ac:dyDescent="0.2">
      <c r="A19" s="22" t="s">
        <v>424</v>
      </c>
      <c r="B19" s="22" t="s">
        <v>425</v>
      </c>
      <c r="C19" s="22" t="s">
        <v>328</v>
      </c>
      <c r="D19" s="22" t="s">
        <v>14</v>
      </c>
      <c r="E19" s="23" t="s">
        <v>158</v>
      </c>
      <c r="F19" s="23" t="s">
        <v>164</v>
      </c>
      <c r="G19" s="23" t="s">
        <v>426</v>
      </c>
      <c r="H19" s="32"/>
      <c r="I19" s="23" t="s">
        <v>141</v>
      </c>
      <c r="J19" s="32" t="s">
        <v>32</v>
      </c>
      <c r="K19" s="32" t="s">
        <v>32</v>
      </c>
      <c r="L19" s="32"/>
      <c r="M19" s="23" t="s">
        <v>38</v>
      </c>
      <c r="N19" s="23" t="s">
        <v>196</v>
      </c>
      <c r="O19" s="23" t="s">
        <v>427</v>
      </c>
      <c r="P19" s="32"/>
      <c r="Q19" s="24" t="str">
        <f>"570,0"</f>
        <v>570,0</v>
      </c>
      <c r="R19" s="25" t="str">
        <f>"350,7210"</f>
        <v>350,7210</v>
      </c>
      <c r="S19" s="22" t="s">
        <v>8</v>
      </c>
    </row>
    <row r="20" spans="1:19" x14ac:dyDescent="0.2">
      <c r="A20" s="11" t="s">
        <v>428</v>
      </c>
      <c r="B20" s="11" t="s">
        <v>429</v>
      </c>
      <c r="C20" s="11" t="s">
        <v>430</v>
      </c>
      <c r="D20" s="11" t="s">
        <v>14</v>
      </c>
      <c r="E20" s="14" t="s">
        <v>16</v>
      </c>
      <c r="F20" s="14" t="s">
        <v>260</v>
      </c>
      <c r="G20" s="10" t="s">
        <v>260</v>
      </c>
      <c r="H20" s="14"/>
      <c r="I20" s="10" t="s">
        <v>15</v>
      </c>
      <c r="J20" s="14" t="s">
        <v>260</v>
      </c>
      <c r="K20" s="14" t="s">
        <v>260</v>
      </c>
      <c r="L20" s="14"/>
      <c r="M20" s="10" t="s">
        <v>30</v>
      </c>
      <c r="N20" s="10" t="s">
        <v>299</v>
      </c>
      <c r="O20" s="10" t="s">
        <v>33</v>
      </c>
      <c r="P20" s="14"/>
      <c r="Q20" s="9" t="str">
        <f>"345,0"</f>
        <v>345,0</v>
      </c>
      <c r="R20" s="26" t="str">
        <f>"302,0154"</f>
        <v>302,0154</v>
      </c>
      <c r="S20" s="11" t="s">
        <v>8</v>
      </c>
    </row>
    <row r="21" spans="1:19" ht="15" x14ac:dyDescent="0.2">
      <c r="A21" s="33" t="s">
        <v>17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9" x14ac:dyDescent="0.2">
      <c r="A22" s="5" t="s">
        <v>431</v>
      </c>
      <c r="B22" s="5" t="s">
        <v>432</v>
      </c>
      <c r="C22" s="5" t="s">
        <v>433</v>
      </c>
      <c r="D22" s="5" t="s">
        <v>14</v>
      </c>
      <c r="E22" s="4" t="s">
        <v>158</v>
      </c>
      <c r="F22" s="12" t="s">
        <v>207</v>
      </c>
      <c r="G22" s="12" t="s">
        <v>163</v>
      </c>
      <c r="H22" s="12"/>
      <c r="I22" s="4" t="s">
        <v>141</v>
      </c>
      <c r="J22" s="4" t="s">
        <v>31</v>
      </c>
      <c r="K22" s="12" t="s">
        <v>132</v>
      </c>
      <c r="L22" s="12"/>
      <c r="M22" s="4" t="s">
        <v>207</v>
      </c>
      <c r="N22" s="4" t="s">
        <v>164</v>
      </c>
      <c r="O22" s="4" t="s">
        <v>171</v>
      </c>
      <c r="P22" s="12"/>
      <c r="Q22" s="3" t="str">
        <f>"500,0"</f>
        <v>500,0</v>
      </c>
      <c r="R22" s="20" t="str">
        <f>"292,5250"</f>
        <v>292,5250</v>
      </c>
      <c r="S22" s="5" t="s">
        <v>8</v>
      </c>
    </row>
    <row r="23" spans="1:19" ht="15" x14ac:dyDescent="0.2">
      <c r="A23" s="33" t="s">
        <v>36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9" x14ac:dyDescent="0.2">
      <c r="A24" s="5" t="s">
        <v>434</v>
      </c>
      <c r="B24" s="5" t="s">
        <v>435</v>
      </c>
      <c r="C24" s="5" t="s">
        <v>436</v>
      </c>
      <c r="D24" s="5" t="s">
        <v>14</v>
      </c>
      <c r="E24" s="4" t="s">
        <v>207</v>
      </c>
      <c r="F24" s="12" t="s">
        <v>163</v>
      </c>
      <c r="G24" s="12" t="s">
        <v>163</v>
      </c>
      <c r="H24" s="12"/>
      <c r="I24" s="4" t="s">
        <v>30</v>
      </c>
      <c r="J24" s="4" t="s">
        <v>131</v>
      </c>
      <c r="K24" s="12" t="s">
        <v>299</v>
      </c>
      <c r="L24" s="12"/>
      <c r="M24" s="4" t="s">
        <v>33</v>
      </c>
      <c r="N24" s="12" t="s">
        <v>34</v>
      </c>
      <c r="O24" s="4" t="s">
        <v>158</v>
      </c>
      <c r="P24" s="12"/>
      <c r="Q24" s="3" t="str">
        <f>"477,5"</f>
        <v>477,5</v>
      </c>
      <c r="R24" s="20" t="str">
        <f>"263,0309"</f>
        <v>263,0309</v>
      </c>
      <c r="S24" s="5" t="s">
        <v>8</v>
      </c>
    </row>
  </sheetData>
  <mergeCells count="19">
    <mergeCell ref="A1:A2"/>
    <mergeCell ref="B1:B2"/>
    <mergeCell ref="C1:C2"/>
    <mergeCell ref="D1:D2"/>
    <mergeCell ref="E1:H1"/>
    <mergeCell ref="I1:L1"/>
    <mergeCell ref="M1:P1"/>
    <mergeCell ref="Q1:Q2"/>
    <mergeCell ref="R1:R2"/>
    <mergeCell ref="S1:S2"/>
    <mergeCell ref="A15:P15"/>
    <mergeCell ref="A17:P17"/>
    <mergeCell ref="A21:P21"/>
    <mergeCell ref="A23:P23"/>
    <mergeCell ref="A3:P3"/>
    <mergeCell ref="A5:P5"/>
    <mergeCell ref="A7:P7"/>
    <mergeCell ref="A9:P9"/>
    <mergeCell ref="A13:P1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H4"/>
  <sheetViews>
    <sheetView zoomScaleNormal="100" zoomScalePageLayoutView="60" workbookViewId="0">
      <selection activeCell="Q1" sqref="Q1:Q2"/>
    </sheetView>
  </sheetViews>
  <sheetFormatPr defaultColWidth="9.140625" defaultRowHeight="12.75" x14ac:dyDescent="0.2"/>
  <cols>
    <col min="1" max="1" width="14.5703125" style="16" bestFit="1" customWidth="1"/>
    <col min="2" max="2" width="25.140625" style="16" customWidth="1"/>
    <col min="3" max="3" width="5.5703125" style="16" bestFit="1" customWidth="1"/>
    <col min="4" max="4" width="8" style="16" bestFit="1" customWidth="1"/>
    <col min="5" max="7" width="5.5703125" style="17" customWidth="1"/>
    <col min="8" max="8" width="4.5703125" style="17" customWidth="1"/>
    <col min="9" max="11" width="5.5703125" style="17" customWidth="1"/>
    <col min="12" max="12" width="4.5703125" style="17" customWidth="1"/>
    <col min="13" max="15" width="5.5703125" style="17" customWidth="1"/>
    <col min="16" max="16" width="4.5703125" style="17" customWidth="1"/>
    <col min="17" max="17" width="7.7109375" style="1" customWidth="1"/>
    <col min="18" max="18" width="8.5703125" style="18" customWidth="1"/>
    <col min="19" max="19" width="8.28515625" style="16" customWidth="1"/>
    <col min="20" max="1022" width="9.140625" style="17"/>
  </cols>
  <sheetData>
    <row r="1" spans="1:19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383</v>
      </c>
      <c r="F1" s="38"/>
      <c r="G1" s="38"/>
      <c r="H1" s="38"/>
      <c r="I1" s="38" t="s">
        <v>515</v>
      </c>
      <c r="J1" s="38"/>
      <c r="K1" s="38"/>
      <c r="L1" s="38"/>
      <c r="M1" s="38" t="s">
        <v>516</v>
      </c>
      <c r="N1" s="38"/>
      <c r="O1" s="38"/>
      <c r="P1" s="38"/>
      <c r="Q1" s="37" t="s">
        <v>384</v>
      </c>
      <c r="R1" s="37" t="s">
        <v>39</v>
      </c>
      <c r="S1" s="39" t="s">
        <v>40</v>
      </c>
    </row>
    <row r="2" spans="1:19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19">
        <v>1</v>
      </c>
      <c r="J2" s="19">
        <v>2</v>
      </c>
      <c r="K2" s="19">
        <v>3</v>
      </c>
      <c r="L2" s="19" t="s">
        <v>62</v>
      </c>
      <c r="M2" s="19">
        <v>1</v>
      </c>
      <c r="N2" s="19">
        <v>2</v>
      </c>
      <c r="O2" s="19">
        <v>3</v>
      </c>
      <c r="P2" s="19" t="s">
        <v>62</v>
      </c>
      <c r="Q2" s="37"/>
      <c r="R2" s="37"/>
      <c r="S2" s="39"/>
    </row>
    <row r="3" spans="1:19" ht="15" x14ac:dyDescent="0.2">
      <c r="A3" s="34" t="s">
        <v>17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9" x14ac:dyDescent="0.2">
      <c r="A4" s="5" t="s">
        <v>199</v>
      </c>
      <c r="B4" s="5" t="s">
        <v>200</v>
      </c>
      <c r="C4" s="5" t="s">
        <v>201</v>
      </c>
      <c r="D4" s="5" t="s">
        <v>14</v>
      </c>
      <c r="E4" s="4" t="s">
        <v>493</v>
      </c>
      <c r="F4" s="4" t="s">
        <v>197</v>
      </c>
      <c r="G4" s="4" t="s">
        <v>494</v>
      </c>
      <c r="H4" s="12"/>
      <c r="I4" s="4" t="s">
        <v>495</v>
      </c>
      <c r="J4" s="4" t="s">
        <v>329</v>
      </c>
      <c r="K4" s="4" t="s">
        <v>158</v>
      </c>
      <c r="L4" s="12"/>
      <c r="M4" s="4" t="s">
        <v>202</v>
      </c>
      <c r="N4" s="4" t="s">
        <v>203</v>
      </c>
      <c r="O4" s="4" t="s">
        <v>179</v>
      </c>
      <c r="P4" s="12"/>
      <c r="Q4" s="3" t="str">
        <f>"677,5"</f>
        <v>677,5</v>
      </c>
      <c r="R4" s="20" t="str">
        <f>"401,2494"</f>
        <v>401,2494</v>
      </c>
      <c r="S4" s="5" t="s">
        <v>8</v>
      </c>
    </row>
  </sheetData>
  <mergeCells count="11">
    <mergeCell ref="Q1:Q2"/>
    <mergeCell ref="R1:R2"/>
    <mergeCell ref="S1:S2"/>
    <mergeCell ref="A3:P3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H25"/>
  <sheetViews>
    <sheetView zoomScaleNormal="100" zoomScalePageLayoutView="60" workbookViewId="0">
      <selection activeCell="A19" sqref="A19:H19"/>
    </sheetView>
  </sheetViews>
  <sheetFormatPr defaultColWidth="9.140625" defaultRowHeight="12.75" x14ac:dyDescent="0.2"/>
  <cols>
    <col min="1" max="1" width="24.7109375" style="16" customWidth="1"/>
    <col min="2" max="2" width="29.85546875" style="16" customWidth="1"/>
    <col min="3" max="3" width="7.5703125" style="16" customWidth="1"/>
    <col min="4" max="4" width="12.42578125" style="16" bestFit="1" customWidth="1"/>
    <col min="5" max="7" width="5.5703125" style="17" customWidth="1"/>
    <col min="8" max="8" width="4.5703125" style="17" customWidth="1"/>
    <col min="9" max="9" width="7.7109375" style="1" customWidth="1"/>
    <col min="10" max="10" width="8.5703125" style="18" customWidth="1"/>
    <col min="11" max="11" width="17.710937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515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63</v>
      </c>
      <c r="B3" s="34"/>
      <c r="C3" s="34"/>
      <c r="D3" s="34"/>
      <c r="E3" s="34"/>
      <c r="F3" s="34"/>
      <c r="G3" s="34"/>
      <c r="H3" s="34"/>
    </row>
    <row r="4" spans="1:11" x14ac:dyDescent="0.2">
      <c r="A4" s="8" t="s">
        <v>450</v>
      </c>
      <c r="B4" s="8" t="s">
        <v>451</v>
      </c>
      <c r="C4" s="8" t="s">
        <v>439</v>
      </c>
      <c r="D4" s="8" t="s">
        <v>555</v>
      </c>
      <c r="E4" s="7" t="s">
        <v>20</v>
      </c>
      <c r="F4" s="7" t="s">
        <v>448</v>
      </c>
      <c r="G4" s="15" t="s">
        <v>16</v>
      </c>
      <c r="H4" s="15"/>
      <c r="I4" s="6" t="str">
        <f>"92,5"</f>
        <v>92,5</v>
      </c>
      <c r="J4" s="21" t="str">
        <f>"83,2454"</f>
        <v>83,2454</v>
      </c>
      <c r="K4" s="8" t="s">
        <v>8</v>
      </c>
    </row>
    <row r="5" spans="1:11" x14ac:dyDescent="0.2">
      <c r="A5" s="22" t="s">
        <v>452</v>
      </c>
      <c r="B5" s="22" t="s">
        <v>453</v>
      </c>
      <c r="C5" s="22" t="s">
        <v>454</v>
      </c>
      <c r="D5" s="22" t="s">
        <v>554</v>
      </c>
      <c r="E5" s="23" t="s">
        <v>49</v>
      </c>
      <c r="F5" s="23" t="s">
        <v>12</v>
      </c>
      <c r="G5" s="32" t="s">
        <v>56</v>
      </c>
      <c r="H5" s="32"/>
      <c r="I5" s="24" t="str">
        <f>"80,0"</f>
        <v>80,0</v>
      </c>
      <c r="J5" s="25" t="str">
        <f>"90,2855"</f>
        <v>90,2855</v>
      </c>
      <c r="K5" s="22" t="s">
        <v>8</v>
      </c>
    </row>
    <row r="6" spans="1:11" x14ac:dyDescent="0.2">
      <c r="A6" s="11" t="s">
        <v>455</v>
      </c>
      <c r="B6" s="11" t="s">
        <v>456</v>
      </c>
      <c r="C6" s="11" t="s">
        <v>457</v>
      </c>
      <c r="D6" s="11" t="s">
        <v>556</v>
      </c>
      <c r="E6" s="10" t="s">
        <v>405</v>
      </c>
      <c r="F6" s="10" t="s">
        <v>6</v>
      </c>
      <c r="G6" s="14" t="s">
        <v>244</v>
      </c>
      <c r="H6" s="14"/>
      <c r="I6" s="9" t="str">
        <f>"40,0"</f>
        <v>40,0</v>
      </c>
      <c r="J6" s="26" t="str">
        <f>"69,1193"</f>
        <v>69,1193</v>
      </c>
      <c r="K6" s="11" t="s">
        <v>458</v>
      </c>
    </row>
    <row r="7" spans="1:11" ht="15" x14ac:dyDescent="0.2">
      <c r="A7" s="33" t="s">
        <v>52</v>
      </c>
      <c r="B7" s="33"/>
      <c r="C7" s="33"/>
      <c r="D7" s="33"/>
      <c r="E7" s="33"/>
      <c r="F7" s="33"/>
      <c r="G7" s="33"/>
      <c r="H7" s="33"/>
    </row>
    <row r="8" spans="1:11" x14ac:dyDescent="0.2">
      <c r="A8" s="5" t="s">
        <v>204</v>
      </c>
      <c r="B8" s="5" t="s">
        <v>205</v>
      </c>
      <c r="C8" s="5" t="s">
        <v>206</v>
      </c>
      <c r="D8" s="5" t="s">
        <v>14</v>
      </c>
      <c r="E8" s="4" t="s">
        <v>16</v>
      </c>
      <c r="F8" s="4" t="s">
        <v>21</v>
      </c>
      <c r="G8" s="12" t="s">
        <v>260</v>
      </c>
      <c r="H8" s="12"/>
      <c r="I8" s="3" t="str">
        <f>"100,0"</f>
        <v>100,0</v>
      </c>
      <c r="J8" s="20" t="str">
        <f>"79,6150"</f>
        <v>79,6150</v>
      </c>
      <c r="K8" s="5" t="s">
        <v>8</v>
      </c>
    </row>
    <row r="9" spans="1:11" ht="15" x14ac:dyDescent="0.2">
      <c r="A9" s="33" t="s">
        <v>52</v>
      </c>
      <c r="B9" s="33"/>
      <c r="C9" s="33"/>
      <c r="D9" s="33"/>
      <c r="E9" s="33"/>
      <c r="F9" s="33"/>
      <c r="G9" s="33"/>
      <c r="H9" s="33"/>
    </row>
    <row r="10" spans="1:11" x14ac:dyDescent="0.2">
      <c r="A10" s="8" t="s">
        <v>459</v>
      </c>
      <c r="B10" s="8" t="s">
        <v>460</v>
      </c>
      <c r="C10" s="8" t="s">
        <v>461</v>
      </c>
      <c r="D10" s="8" t="s">
        <v>554</v>
      </c>
      <c r="E10" s="7" t="s">
        <v>15</v>
      </c>
      <c r="F10" s="7" t="s">
        <v>21</v>
      </c>
      <c r="G10" s="15" t="s">
        <v>29</v>
      </c>
      <c r="H10" s="15"/>
      <c r="I10" s="6" t="str">
        <f>"100,0"</f>
        <v>100,0</v>
      </c>
      <c r="J10" s="21" t="str">
        <f>"66,4600"</f>
        <v>66,4600</v>
      </c>
      <c r="K10" s="8" t="s">
        <v>8</v>
      </c>
    </row>
    <row r="11" spans="1:11" x14ac:dyDescent="0.2">
      <c r="A11" s="11" t="s">
        <v>462</v>
      </c>
      <c r="B11" s="11" t="s">
        <v>463</v>
      </c>
      <c r="C11" s="11" t="s">
        <v>464</v>
      </c>
      <c r="D11" s="11" t="s">
        <v>14</v>
      </c>
      <c r="E11" s="10" t="s">
        <v>30</v>
      </c>
      <c r="F11" s="10" t="s">
        <v>141</v>
      </c>
      <c r="G11" s="10" t="s">
        <v>31</v>
      </c>
      <c r="H11" s="14"/>
      <c r="I11" s="9" t="str">
        <f>"130,0"</f>
        <v>130,0</v>
      </c>
      <c r="J11" s="26" t="str">
        <f>"90,4568"</f>
        <v>90,4568</v>
      </c>
      <c r="K11" s="11" t="s">
        <v>8</v>
      </c>
    </row>
    <row r="12" spans="1:11" ht="15" x14ac:dyDescent="0.2">
      <c r="A12" s="33" t="s">
        <v>13</v>
      </c>
      <c r="B12" s="33"/>
      <c r="C12" s="33"/>
      <c r="D12" s="33"/>
      <c r="E12" s="33"/>
      <c r="F12" s="33"/>
      <c r="G12" s="33"/>
      <c r="H12" s="33"/>
    </row>
    <row r="13" spans="1:11" x14ac:dyDescent="0.2">
      <c r="A13" s="5" t="s">
        <v>465</v>
      </c>
      <c r="B13" s="5" t="s">
        <v>466</v>
      </c>
      <c r="C13" s="5" t="s">
        <v>467</v>
      </c>
      <c r="D13" s="5" t="s">
        <v>556</v>
      </c>
      <c r="E13" s="4" t="s">
        <v>31</v>
      </c>
      <c r="F13" s="4" t="s">
        <v>300</v>
      </c>
      <c r="G13" s="12" t="s">
        <v>32</v>
      </c>
      <c r="H13" s="12"/>
      <c r="I13" s="3" t="str">
        <f>"137,5"</f>
        <v>137,5</v>
      </c>
      <c r="J13" s="20" t="str">
        <f>"107,9947"</f>
        <v>107,9947</v>
      </c>
      <c r="K13" s="5" t="s">
        <v>8</v>
      </c>
    </row>
    <row r="14" spans="1:11" ht="15" x14ac:dyDescent="0.2">
      <c r="A14" s="33" t="s">
        <v>17</v>
      </c>
      <c r="B14" s="33"/>
      <c r="C14" s="33"/>
      <c r="D14" s="33"/>
      <c r="E14" s="33"/>
      <c r="F14" s="33"/>
      <c r="G14" s="33"/>
      <c r="H14" s="33"/>
    </row>
    <row r="15" spans="1:11" x14ac:dyDescent="0.2">
      <c r="A15" s="8" t="s">
        <v>468</v>
      </c>
      <c r="B15" s="8" t="s">
        <v>469</v>
      </c>
      <c r="C15" s="8" t="s">
        <v>470</v>
      </c>
      <c r="D15" s="8" t="s">
        <v>531</v>
      </c>
      <c r="E15" s="7" t="s">
        <v>32</v>
      </c>
      <c r="F15" s="7" t="s">
        <v>35</v>
      </c>
      <c r="G15" s="15" t="s">
        <v>33</v>
      </c>
      <c r="H15" s="15"/>
      <c r="I15" s="6" t="str">
        <f>"145,0"</f>
        <v>145,0</v>
      </c>
      <c r="J15" s="21" t="str">
        <f>"86,2605"</f>
        <v>86,2605</v>
      </c>
      <c r="K15" s="8" t="s">
        <v>8</v>
      </c>
    </row>
    <row r="16" spans="1:11" x14ac:dyDescent="0.2">
      <c r="A16" s="22" t="s">
        <v>471</v>
      </c>
      <c r="B16" s="22" t="s">
        <v>472</v>
      </c>
      <c r="C16" s="22" t="s">
        <v>473</v>
      </c>
      <c r="D16" s="22" t="s">
        <v>556</v>
      </c>
      <c r="E16" s="23" t="s">
        <v>30</v>
      </c>
      <c r="F16" s="23" t="s">
        <v>141</v>
      </c>
      <c r="G16" s="32" t="s">
        <v>31</v>
      </c>
      <c r="H16" s="32"/>
      <c r="I16" s="24" t="str">
        <f>"125,0"</f>
        <v>125,0</v>
      </c>
      <c r="J16" s="25" t="str">
        <f>"80,4965"</f>
        <v>80,4965</v>
      </c>
      <c r="K16" s="22" t="s">
        <v>8</v>
      </c>
    </row>
    <row r="17" spans="1:11" x14ac:dyDescent="0.2">
      <c r="A17" s="22" t="s">
        <v>474</v>
      </c>
      <c r="B17" s="22" t="s">
        <v>475</v>
      </c>
      <c r="C17" s="22" t="s">
        <v>476</v>
      </c>
      <c r="D17" s="22" t="s">
        <v>556</v>
      </c>
      <c r="E17" s="23" t="s">
        <v>11</v>
      </c>
      <c r="F17" s="23" t="s">
        <v>49</v>
      </c>
      <c r="G17" s="23" t="s">
        <v>12</v>
      </c>
      <c r="H17" s="32"/>
      <c r="I17" s="24" t="str">
        <f>"80,0"</f>
        <v>80,0</v>
      </c>
      <c r="J17" s="25" t="str">
        <f>"62,8510"</f>
        <v>62,8510</v>
      </c>
      <c r="K17" s="22" t="s">
        <v>8</v>
      </c>
    </row>
    <row r="18" spans="1:11" x14ac:dyDescent="0.2">
      <c r="A18" s="11" t="s">
        <v>477</v>
      </c>
      <c r="B18" s="11" t="s">
        <v>478</v>
      </c>
      <c r="C18" s="11" t="s">
        <v>479</v>
      </c>
      <c r="D18" s="11" t="s">
        <v>556</v>
      </c>
      <c r="E18" s="10" t="s">
        <v>162</v>
      </c>
      <c r="F18" s="10" t="s">
        <v>163</v>
      </c>
      <c r="G18" s="10" t="s">
        <v>164</v>
      </c>
      <c r="H18" s="14"/>
      <c r="I18" s="9" t="str">
        <f>"190,0"</f>
        <v>190,0</v>
      </c>
      <c r="J18" s="26" t="str">
        <f>"152,5818"</f>
        <v>152,5818</v>
      </c>
      <c r="K18" s="11" t="s">
        <v>8</v>
      </c>
    </row>
    <row r="19" spans="1:11" ht="15" x14ac:dyDescent="0.2">
      <c r="A19" s="33" t="s">
        <v>59</v>
      </c>
      <c r="B19" s="33"/>
      <c r="C19" s="33"/>
      <c r="D19" s="33"/>
      <c r="E19" s="33"/>
      <c r="F19" s="33"/>
      <c r="G19" s="33"/>
      <c r="H19" s="33"/>
    </row>
    <row r="20" spans="1:11" x14ac:dyDescent="0.2">
      <c r="A20" s="5" t="s">
        <v>480</v>
      </c>
      <c r="B20" s="5" t="s">
        <v>481</v>
      </c>
      <c r="C20" s="5" t="s">
        <v>482</v>
      </c>
      <c r="D20" s="5" t="s">
        <v>556</v>
      </c>
      <c r="E20" s="12" t="s">
        <v>21</v>
      </c>
      <c r="F20" s="4" t="s">
        <v>21</v>
      </c>
      <c r="G20" s="12" t="s">
        <v>29</v>
      </c>
      <c r="H20" s="12"/>
      <c r="I20" s="3" t="str">
        <f>"100,0"</f>
        <v>100,0</v>
      </c>
      <c r="J20" s="20" t="str">
        <f>"71,8512"</f>
        <v>71,8512</v>
      </c>
      <c r="K20" s="5" t="s">
        <v>8</v>
      </c>
    </row>
    <row r="21" spans="1:11" ht="15" x14ac:dyDescent="0.2">
      <c r="A21" s="33" t="s">
        <v>36</v>
      </c>
      <c r="B21" s="33"/>
      <c r="C21" s="33"/>
      <c r="D21" s="33"/>
      <c r="E21" s="33"/>
      <c r="F21" s="33"/>
      <c r="G21" s="33"/>
      <c r="H21" s="33"/>
    </row>
    <row r="22" spans="1:11" x14ac:dyDescent="0.2">
      <c r="A22" s="8" t="s">
        <v>483</v>
      </c>
      <c r="B22" s="8" t="s">
        <v>484</v>
      </c>
      <c r="C22" s="8" t="s">
        <v>485</v>
      </c>
      <c r="D22" s="8" t="s">
        <v>14</v>
      </c>
      <c r="E22" s="7" t="s">
        <v>148</v>
      </c>
      <c r="F22" s="7" t="s">
        <v>30</v>
      </c>
      <c r="G22" s="7" t="s">
        <v>141</v>
      </c>
      <c r="H22" s="15"/>
      <c r="I22" s="6" t="str">
        <f>"125,0"</f>
        <v>125,0</v>
      </c>
      <c r="J22" s="21" t="str">
        <f>"69,3375"</f>
        <v>69,3375</v>
      </c>
      <c r="K22" s="8" t="s">
        <v>8</v>
      </c>
    </row>
    <row r="23" spans="1:11" x14ac:dyDescent="0.2">
      <c r="A23" s="11" t="s">
        <v>486</v>
      </c>
      <c r="B23" s="11" t="s">
        <v>487</v>
      </c>
      <c r="C23" s="11" t="s">
        <v>488</v>
      </c>
      <c r="D23" s="11" t="s">
        <v>14</v>
      </c>
      <c r="E23" s="10" t="s">
        <v>163</v>
      </c>
      <c r="F23" s="10" t="s">
        <v>164</v>
      </c>
      <c r="G23" s="10" t="s">
        <v>489</v>
      </c>
      <c r="H23" s="14"/>
      <c r="I23" s="9" t="str">
        <f>"195,0"</f>
        <v>195,0</v>
      </c>
      <c r="J23" s="26" t="str">
        <f>"107,8350"</f>
        <v>107,8350</v>
      </c>
      <c r="K23" s="11" t="s">
        <v>8</v>
      </c>
    </row>
    <row r="24" spans="1:11" ht="15" x14ac:dyDescent="0.2">
      <c r="A24" s="33" t="s">
        <v>122</v>
      </c>
      <c r="B24" s="33"/>
      <c r="C24" s="33"/>
      <c r="D24" s="33"/>
      <c r="E24" s="33"/>
      <c r="F24" s="33"/>
      <c r="G24" s="33"/>
      <c r="H24" s="33"/>
    </row>
    <row r="25" spans="1:11" x14ac:dyDescent="0.2">
      <c r="A25" s="5" t="s">
        <v>490</v>
      </c>
      <c r="B25" s="5" t="s">
        <v>491</v>
      </c>
      <c r="C25" s="5" t="s">
        <v>492</v>
      </c>
      <c r="D25" s="5" t="s">
        <v>556</v>
      </c>
      <c r="E25" s="4" t="s">
        <v>141</v>
      </c>
      <c r="F25" s="4" t="s">
        <v>31</v>
      </c>
      <c r="G25" s="4" t="s">
        <v>32</v>
      </c>
      <c r="H25" s="12"/>
      <c r="I25" s="3" t="str">
        <f>"140,0"</f>
        <v>140,0</v>
      </c>
      <c r="J25" s="20" t="str">
        <f>"85,8124"</f>
        <v>85,8124</v>
      </c>
      <c r="K25" s="5" t="s">
        <v>8</v>
      </c>
    </row>
  </sheetData>
  <mergeCells count="16">
    <mergeCell ref="I1:I2"/>
    <mergeCell ref="J1:J2"/>
    <mergeCell ref="K1:K2"/>
    <mergeCell ref="A1:A2"/>
    <mergeCell ref="B1:B2"/>
    <mergeCell ref="C1:C2"/>
    <mergeCell ref="D1:D2"/>
    <mergeCell ref="E1:H1"/>
    <mergeCell ref="A19:H19"/>
    <mergeCell ref="A21:H21"/>
    <mergeCell ref="A24:H24"/>
    <mergeCell ref="A3:H3"/>
    <mergeCell ref="A7:H7"/>
    <mergeCell ref="A9:H9"/>
    <mergeCell ref="A12:H12"/>
    <mergeCell ref="A14:H1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H4"/>
  <sheetViews>
    <sheetView zoomScaleNormal="100" workbookViewId="0">
      <selection activeCell="D16" sqref="D16"/>
    </sheetView>
  </sheetViews>
  <sheetFormatPr defaultColWidth="9.140625" defaultRowHeight="12.75" x14ac:dyDescent="0.2"/>
  <cols>
    <col min="1" max="1" width="24.7109375" style="16" customWidth="1"/>
    <col min="2" max="2" width="27.7109375" style="16" customWidth="1"/>
    <col min="3" max="3" width="6.85546875" style="16" customWidth="1"/>
    <col min="4" max="4" width="11.28515625" style="16" bestFit="1" customWidth="1"/>
    <col min="5" max="8" width="4.5703125" style="17" customWidth="1"/>
    <col min="9" max="9" width="7.7109375" style="1" customWidth="1"/>
    <col min="10" max="10" width="7.5703125" style="18" customWidth="1"/>
    <col min="11" max="11" width="14.570312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515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68</v>
      </c>
      <c r="B3" s="34"/>
      <c r="C3" s="34"/>
      <c r="D3" s="34"/>
      <c r="E3" s="34"/>
      <c r="F3" s="34"/>
      <c r="G3" s="34"/>
      <c r="H3" s="34"/>
    </row>
    <row r="4" spans="1:11" x14ac:dyDescent="0.2">
      <c r="A4" s="5" t="s">
        <v>445</v>
      </c>
      <c r="B4" s="5" t="s">
        <v>446</v>
      </c>
      <c r="C4" s="5" t="s">
        <v>447</v>
      </c>
      <c r="D4" s="5" t="s">
        <v>535</v>
      </c>
      <c r="E4" s="4" t="s">
        <v>271</v>
      </c>
      <c r="F4" s="12" t="s">
        <v>448</v>
      </c>
      <c r="G4" s="12" t="s">
        <v>448</v>
      </c>
      <c r="H4" s="12"/>
      <c r="I4" s="3" t="str">
        <f>"87,5"</f>
        <v>87,5</v>
      </c>
      <c r="J4" s="20" t="str">
        <f>"74,0819"</f>
        <v>74,0819</v>
      </c>
      <c r="K4" s="5" t="s">
        <v>449</v>
      </c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H6"/>
  <sheetViews>
    <sheetView zoomScaleNormal="100" workbookViewId="0">
      <selection activeCell="D10" sqref="D10"/>
    </sheetView>
  </sheetViews>
  <sheetFormatPr defaultColWidth="9.140625" defaultRowHeight="12.75" x14ac:dyDescent="0.2"/>
  <cols>
    <col min="1" max="1" width="24.7109375" style="16" customWidth="1"/>
    <col min="2" max="2" width="29" style="16" customWidth="1"/>
    <col min="3" max="3" width="6.42578125" style="16" customWidth="1"/>
    <col min="4" max="4" width="8" style="16" bestFit="1" customWidth="1"/>
    <col min="5" max="7" width="5.5703125" style="17" customWidth="1"/>
    <col min="8" max="8" width="4.5703125" style="17" customWidth="1"/>
    <col min="9" max="9" width="7.7109375" style="1" customWidth="1"/>
    <col min="10" max="10" width="8.5703125" style="18" customWidth="1"/>
    <col min="11" max="11" width="8.2851562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517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63</v>
      </c>
      <c r="B3" s="34"/>
      <c r="C3" s="34"/>
      <c r="D3" s="34"/>
      <c r="E3" s="34"/>
      <c r="F3" s="34"/>
      <c r="G3" s="34"/>
      <c r="H3" s="34"/>
    </row>
    <row r="4" spans="1:11" x14ac:dyDescent="0.2">
      <c r="A4" s="5" t="s">
        <v>437</v>
      </c>
      <c r="B4" s="5" t="s">
        <v>438</v>
      </c>
      <c r="C4" s="5" t="s">
        <v>439</v>
      </c>
      <c r="D4" s="5" t="s">
        <v>557</v>
      </c>
      <c r="E4" s="4" t="s">
        <v>31</v>
      </c>
      <c r="F4" s="12" t="s">
        <v>375</v>
      </c>
      <c r="G4" s="12" t="s">
        <v>375</v>
      </c>
      <c r="H4" s="12"/>
      <c r="I4" s="3" t="str">
        <f>"130,0"</f>
        <v>130,0</v>
      </c>
      <c r="J4" s="20" t="str">
        <f>"116,9935"</f>
        <v>116,9935</v>
      </c>
      <c r="K4" s="5" t="s">
        <v>8</v>
      </c>
    </row>
    <row r="5" spans="1:11" ht="15" x14ac:dyDescent="0.2">
      <c r="A5" s="33" t="s">
        <v>17</v>
      </c>
      <c r="B5" s="33"/>
      <c r="C5" s="33"/>
      <c r="D5" s="33"/>
      <c r="E5" s="33"/>
      <c r="F5" s="33"/>
      <c r="G5" s="33"/>
      <c r="H5" s="33"/>
    </row>
    <row r="6" spans="1:11" x14ac:dyDescent="0.2">
      <c r="A6" s="5" t="s">
        <v>440</v>
      </c>
      <c r="B6" s="5" t="s">
        <v>441</v>
      </c>
      <c r="C6" s="5" t="s">
        <v>442</v>
      </c>
      <c r="D6" s="5" t="s">
        <v>14</v>
      </c>
      <c r="E6" s="4" t="s">
        <v>181</v>
      </c>
      <c r="F6" s="4" t="s">
        <v>443</v>
      </c>
      <c r="G6" s="4" t="s">
        <v>444</v>
      </c>
      <c r="H6" s="12"/>
      <c r="I6" s="3" t="str">
        <f>"300,0"</f>
        <v>300,0</v>
      </c>
      <c r="J6" s="20" t="str">
        <f>"177,4200"</f>
        <v>177,4200</v>
      </c>
      <c r="K6" s="5" t="s">
        <v>8</v>
      </c>
    </row>
  </sheetData>
  <mergeCells count="10">
    <mergeCell ref="I1:I2"/>
    <mergeCell ref="J1:J2"/>
    <mergeCell ref="K1:K2"/>
    <mergeCell ref="A3:H3"/>
    <mergeCell ref="A5:H5"/>
    <mergeCell ref="A1:A2"/>
    <mergeCell ref="B1:B2"/>
    <mergeCell ref="C1:C2"/>
    <mergeCell ref="D1:D2"/>
    <mergeCell ref="E1:H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H4"/>
  <sheetViews>
    <sheetView zoomScaleNormal="100" workbookViewId="0">
      <selection activeCell="E15" sqref="E15"/>
    </sheetView>
  </sheetViews>
  <sheetFormatPr defaultColWidth="9.140625" defaultRowHeight="12.75" x14ac:dyDescent="0.2"/>
  <cols>
    <col min="1" max="1" width="24.7109375" style="16" customWidth="1"/>
    <col min="2" max="2" width="25.140625" style="16" customWidth="1"/>
    <col min="3" max="3" width="7.28515625" style="16" customWidth="1"/>
    <col min="4" max="4" width="8" style="16" bestFit="1" customWidth="1"/>
    <col min="5" max="8" width="4.5703125" style="17" customWidth="1"/>
    <col min="9" max="9" width="7.7109375" style="1" customWidth="1"/>
    <col min="10" max="10" width="7.5703125" style="18" customWidth="1"/>
    <col min="11" max="11" width="8.2851562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515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59</v>
      </c>
      <c r="B3" s="34"/>
      <c r="C3" s="34"/>
      <c r="D3" s="34"/>
      <c r="E3" s="34"/>
      <c r="F3" s="34"/>
      <c r="G3" s="34"/>
      <c r="H3" s="34"/>
    </row>
    <row r="4" spans="1:11" x14ac:dyDescent="0.2">
      <c r="A4" s="5" t="s">
        <v>232</v>
      </c>
      <c r="B4" s="5" t="s">
        <v>233</v>
      </c>
      <c r="C4" s="5" t="s">
        <v>234</v>
      </c>
      <c r="D4" s="5" t="s">
        <v>14</v>
      </c>
      <c r="E4" s="4" t="s">
        <v>11</v>
      </c>
      <c r="F4" s="4" t="s">
        <v>12</v>
      </c>
      <c r="G4" s="4" t="s">
        <v>16</v>
      </c>
      <c r="H4" s="12"/>
      <c r="I4" s="3" t="str">
        <f>"95,0"</f>
        <v>95,0</v>
      </c>
      <c r="J4" s="20" t="str">
        <f>"54,5680"</f>
        <v>54,5680</v>
      </c>
      <c r="K4" s="5" t="s">
        <v>8</v>
      </c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H4"/>
  <sheetViews>
    <sheetView zoomScaleNormal="100" workbookViewId="0">
      <selection activeCell="I4" sqref="I4"/>
    </sheetView>
  </sheetViews>
  <sheetFormatPr defaultColWidth="9.140625" defaultRowHeight="12.75" x14ac:dyDescent="0.2"/>
  <cols>
    <col min="1" max="1" width="24.7109375" style="16" customWidth="1"/>
    <col min="2" max="2" width="25.140625" style="16" customWidth="1"/>
    <col min="3" max="3" width="5.5703125" style="16" bestFit="1" customWidth="1"/>
    <col min="4" max="4" width="8" style="16" bestFit="1" customWidth="1"/>
    <col min="5" max="7" width="5.5703125" style="17" customWidth="1"/>
    <col min="8" max="8" width="4.5703125" style="17" customWidth="1"/>
    <col min="9" max="9" width="7.7109375" style="1" customWidth="1"/>
    <col min="10" max="10" width="8.5703125" style="18" customWidth="1"/>
    <col min="11" max="11" width="8.2851562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518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17</v>
      </c>
      <c r="B3" s="34"/>
      <c r="C3" s="34"/>
      <c r="D3" s="34"/>
      <c r="E3" s="34"/>
      <c r="F3" s="34"/>
      <c r="G3" s="34"/>
      <c r="H3" s="34"/>
    </row>
    <row r="4" spans="1:11" x14ac:dyDescent="0.2">
      <c r="A4" s="5" t="s">
        <v>199</v>
      </c>
      <c r="B4" s="5" t="s">
        <v>200</v>
      </c>
      <c r="C4" s="5" t="s">
        <v>201</v>
      </c>
      <c r="D4" s="5" t="s">
        <v>14</v>
      </c>
      <c r="E4" s="4" t="s">
        <v>202</v>
      </c>
      <c r="F4" s="4" t="s">
        <v>203</v>
      </c>
      <c r="G4" s="4" t="s">
        <v>179</v>
      </c>
      <c r="H4" s="12"/>
      <c r="I4" s="3" t="str">
        <f>"235,0"</f>
        <v>235,0</v>
      </c>
      <c r="J4" s="20" t="str">
        <f>"139,1787"</f>
        <v>139,1787</v>
      </c>
      <c r="K4" s="5" t="s">
        <v>8</v>
      </c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H7"/>
  <sheetViews>
    <sheetView zoomScaleNormal="100" workbookViewId="0">
      <selection activeCell="B15" sqref="B15"/>
    </sheetView>
  </sheetViews>
  <sheetFormatPr defaultColWidth="9.140625" defaultRowHeight="12.75" x14ac:dyDescent="0.2"/>
  <cols>
    <col min="1" max="1" width="24.7109375" style="16" customWidth="1"/>
    <col min="2" max="2" width="29.85546875" style="16" customWidth="1"/>
    <col min="3" max="3" width="7.140625" style="16" customWidth="1"/>
    <col min="4" max="4" width="10.28515625" style="16" bestFit="1" customWidth="1"/>
    <col min="5" max="7" width="5.5703125" style="17" customWidth="1"/>
    <col min="8" max="8" width="4.5703125" style="17" customWidth="1"/>
    <col min="9" max="9" width="7.7109375" style="1" customWidth="1"/>
    <col min="10" max="10" width="8.5703125" style="18" customWidth="1"/>
    <col min="11" max="11" width="8.2851562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516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52</v>
      </c>
      <c r="B3" s="34"/>
      <c r="C3" s="34"/>
      <c r="D3" s="34"/>
      <c r="E3" s="34"/>
      <c r="F3" s="34"/>
      <c r="G3" s="34"/>
      <c r="H3" s="34"/>
    </row>
    <row r="4" spans="1:11" x14ac:dyDescent="0.2">
      <c r="A4" s="5" t="s">
        <v>204</v>
      </c>
      <c r="B4" s="5" t="s">
        <v>205</v>
      </c>
      <c r="C4" s="5" t="s">
        <v>206</v>
      </c>
      <c r="D4" s="5" t="s">
        <v>14</v>
      </c>
      <c r="E4" s="4" t="s">
        <v>158</v>
      </c>
      <c r="F4" s="4" t="s">
        <v>207</v>
      </c>
      <c r="G4" s="4" t="s">
        <v>163</v>
      </c>
      <c r="H4" s="12"/>
      <c r="I4" s="3" t="str">
        <f>"185,0"</f>
        <v>185,0</v>
      </c>
      <c r="J4" s="20" t="str">
        <f>"147,2878"</f>
        <v>147,2878</v>
      </c>
      <c r="K4" s="5" t="s">
        <v>8</v>
      </c>
    </row>
    <row r="5" spans="1:11" ht="15" x14ac:dyDescent="0.2">
      <c r="A5" s="33" t="s">
        <v>13</v>
      </c>
      <c r="B5" s="33"/>
      <c r="C5" s="33"/>
      <c r="D5" s="33"/>
      <c r="E5" s="33"/>
      <c r="F5" s="33"/>
      <c r="G5" s="33"/>
      <c r="H5" s="33"/>
    </row>
    <row r="6" spans="1:11" x14ac:dyDescent="0.2">
      <c r="A6" s="8" t="s">
        <v>208</v>
      </c>
      <c r="B6" s="8" t="s">
        <v>209</v>
      </c>
      <c r="C6" s="8" t="s">
        <v>210</v>
      </c>
      <c r="D6" s="8" t="s">
        <v>558</v>
      </c>
      <c r="E6" s="7" t="s">
        <v>196</v>
      </c>
      <c r="F6" s="7" t="s">
        <v>181</v>
      </c>
      <c r="G6" s="15" t="s">
        <v>197</v>
      </c>
      <c r="H6" s="15"/>
      <c r="I6" s="6" t="str">
        <f>"250,0"</f>
        <v>250,0</v>
      </c>
      <c r="J6" s="21" t="str">
        <f>"154,8125"</f>
        <v>154,8125</v>
      </c>
      <c r="K6" s="8" t="s">
        <v>8</v>
      </c>
    </row>
    <row r="7" spans="1:11" x14ac:dyDescent="0.2">
      <c r="A7" s="11" t="s">
        <v>211</v>
      </c>
      <c r="B7" s="11" t="s">
        <v>212</v>
      </c>
      <c r="C7" s="11" t="s">
        <v>213</v>
      </c>
      <c r="D7" s="11" t="s">
        <v>14</v>
      </c>
      <c r="E7" s="10" t="s">
        <v>171</v>
      </c>
      <c r="F7" s="10" t="s">
        <v>185</v>
      </c>
      <c r="G7" s="14"/>
      <c r="H7" s="14"/>
      <c r="I7" s="9" t="str">
        <f>"202,5"</f>
        <v>202,5</v>
      </c>
      <c r="J7" s="26" t="str">
        <f>"131,2055"</f>
        <v>131,2055</v>
      </c>
      <c r="K7" s="11" t="s">
        <v>8</v>
      </c>
    </row>
  </sheetData>
  <mergeCells count="10">
    <mergeCell ref="I1:I2"/>
    <mergeCell ref="J1:J2"/>
    <mergeCell ref="K1:K2"/>
    <mergeCell ref="A3:H3"/>
    <mergeCell ref="A5:H5"/>
    <mergeCell ref="A1:A2"/>
    <mergeCell ref="B1:B2"/>
    <mergeCell ref="C1:C2"/>
    <mergeCell ref="D1:D2"/>
    <mergeCell ref="E1:H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H35"/>
  <sheetViews>
    <sheetView zoomScaleNormal="100" workbookViewId="0">
      <selection activeCell="F12" sqref="F12"/>
    </sheetView>
  </sheetViews>
  <sheetFormatPr defaultColWidth="9.140625" defaultRowHeight="12.75" x14ac:dyDescent="0.2"/>
  <cols>
    <col min="1" max="1" width="24.7109375" style="16" customWidth="1"/>
    <col min="2" max="2" width="29.85546875" style="16" customWidth="1"/>
    <col min="3" max="3" width="6.5703125" style="16" bestFit="1" customWidth="1"/>
    <col min="4" max="4" width="11" style="16" bestFit="1" customWidth="1"/>
    <col min="5" max="7" width="5.5703125" style="17" customWidth="1"/>
    <col min="8" max="8" width="4.5703125" style="17" customWidth="1"/>
    <col min="9" max="11" width="5.5703125" style="17" customWidth="1"/>
    <col min="12" max="12" width="4.5703125" style="17" customWidth="1"/>
    <col min="13" max="15" width="5.5703125" style="17" customWidth="1"/>
    <col min="16" max="16" width="4.5703125" style="17" customWidth="1"/>
    <col min="17" max="17" width="7.7109375" style="1" customWidth="1"/>
    <col min="18" max="18" width="8.5703125" style="18" customWidth="1"/>
    <col min="19" max="19" width="8.28515625" style="16" customWidth="1"/>
    <col min="20" max="1022" width="9.140625" style="17"/>
  </cols>
  <sheetData>
    <row r="1" spans="1:19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383</v>
      </c>
      <c r="F1" s="38"/>
      <c r="G1" s="38"/>
      <c r="H1" s="38"/>
      <c r="I1" s="38" t="s">
        <v>517</v>
      </c>
      <c r="J1" s="38"/>
      <c r="K1" s="38"/>
      <c r="L1" s="38"/>
      <c r="M1" s="38" t="s">
        <v>518</v>
      </c>
      <c r="N1" s="38"/>
      <c r="O1" s="38"/>
      <c r="P1" s="38"/>
      <c r="Q1" s="37" t="s">
        <v>520</v>
      </c>
      <c r="R1" s="37" t="s">
        <v>39</v>
      </c>
      <c r="S1" s="39" t="s">
        <v>40</v>
      </c>
    </row>
    <row r="2" spans="1:19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19">
        <v>1</v>
      </c>
      <c r="J2" s="19">
        <v>2</v>
      </c>
      <c r="K2" s="19">
        <v>3</v>
      </c>
      <c r="L2" s="19" t="s">
        <v>62</v>
      </c>
      <c r="M2" s="19">
        <v>1</v>
      </c>
      <c r="N2" s="19">
        <v>2</v>
      </c>
      <c r="O2" s="19">
        <v>3</v>
      </c>
      <c r="P2" s="19" t="s">
        <v>62</v>
      </c>
      <c r="Q2" s="37"/>
      <c r="R2" s="37"/>
      <c r="S2" s="39"/>
    </row>
    <row r="3" spans="1:19" ht="15" x14ac:dyDescent="0.2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9" x14ac:dyDescent="0.2">
      <c r="A4" s="5" t="s">
        <v>385</v>
      </c>
      <c r="B4" s="5" t="s">
        <v>386</v>
      </c>
      <c r="C4" s="5" t="s">
        <v>387</v>
      </c>
      <c r="D4" s="5" t="s">
        <v>14</v>
      </c>
      <c r="E4" s="4" t="s">
        <v>162</v>
      </c>
      <c r="F4" s="4" t="s">
        <v>207</v>
      </c>
      <c r="G4" s="12" t="s">
        <v>163</v>
      </c>
      <c r="H4" s="12"/>
      <c r="I4" s="4" t="s">
        <v>31</v>
      </c>
      <c r="J4" s="4" t="s">
        <v>299</v>
      </c>
      <c r="K4" s="4" t="s">
        <v>32</v>
      </c>
      <c r="L4" s="12"/>
      <c r="M4" s="4" t="s">
        <v>186</v>
      </c>
      <c r="N4" s="4" t="s">
        <v>172</v>
      </c>
      <c r="O4" s="4" t="s">
        <v>388</v>
      </c>
      <c r="P4" s="12"/>
      <c r="Q4" s="3" t="str">
        <f>"535,0"</f>
        <v>535,0</v>
      </c>
      <c r="R4" s="20" t="str">
        <f>"384,5848"</f>
        <v>384,5848</v>
      </c>
      <c r="S4" s="5" t="s">
        <v>8</v>
      </c>
    </row>
    <row r="5" spans="1:19" ht="15" x14ac:dyDescent="0.2">
      <c r="A5" s="33" t="s">
        <v>52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9" x14ac:dyDescent="0.2">
      <c r="A6" s="8" t="s">
        <v>389</v>
      </c>
      <c r="B6" s="8" t="s">
        <v>390</v>
      </c>
      <c r="C6" s="8" t="s">
        <v>314</v>
      </c>
      <c r="D6" s="8" t="s">
        <v>524</v>
      </c>
      <c r="E6" s="7" t="s">
        <v>31</v>
      </c>
      <c r="F6" s="7" t="s">
        <v>35</v>
      </c>
      <c r="G6" s="15" t="s">
        <v>34</v>
      </c>
      <c r="H6" s="15"/>
      <c r="I6" s="7" t="s">
        <v>12</v>
      </c>
      <c r="J6" s="7" t="s">
        <v>20</v>
      </c>
      <c r="K6" s="15" t="s">
        <v>15</v>
      </c>
      <c r="L6" s="15"/>
      <c r="M6" s="15" t="s">
        <v>163</v>
      </c>
      <c r="N6" s="7" t="s">
        <v>163</v>
      </c>
      <c r="O6" s="7" t="s">
        <v>164</v>
      </c>
      <c r="P6" s="15"/>
      <c r="Q6" s="6" t="str">
        <f>"420,0"</f>
        <v>420,0</v>
      </c>
      <c r="R6" s="21" t="str">
        <f>"277,7040"</f>
        <v>277,7040</v>
      </c>
      <c r="S6" s="8" t="s">
        <v>8</v>
      </c>
    </row>
    <row r="7" spans="1:19" x14ac:dyDescent="0.2">
      <c r="A7" s="11" t="s">
        <v>391</v>
      </c>
      <c r="B7" s="11" t="s">
        <v>392</v>
      </c>
      <c r="C7" s="11" t="s">
        <v>393</v>
      </c>
      <c r="D7" s="11" t="s">
        <v>14</v>
      </c>
      <c r="E7" s="14" t="s">
        <v>30</v>
      </c>
      <c r="F7" s="10" t="s">
        <v>30</v>
      </c>
      <c r="G7" s="10" t="s">
        <v>32</v>
      </c>
      <c r="H7" s="14"/>
      <c r="I7" s="10" t="s">
        <v>12</v>
      </c>
      <c r="J7" s="10" t="s">
        <v>15</v>
      </c>
      <c r="K7" s="10" t="s">
        <v>16</v>
      </c>
      <c r="L7" s="14"/>
      <c r="M7" s="14" t="s">
        <v>32</v>
      </c>
      <c r="N7" s="14" t="s">
        <v>35</v>
      </c>
      <c r="O7" s="10" t="s">
        <v>35</v>
      </c>
      <c r="P7" s="14"/>
      <c r="Q7" s="9" t="str">
        <f>"380,0"</f>
        <v>380,0</v>
      </c>
      <c r="R7" s="26" t="str">
        <f>"247,4940"</f>
        <v>247,4940</v>
      </c>
      <c r="S7" s="11" t="s">
        <v>8</v>
      </c>
    </row>
    <row r="8" spans="1:19" ht="15" x14ac:dyDescent="0.2">
      <c r="A8" s="33" t="s">
        <v>13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9" x14ac:dyDescent="0.2">
      <c r="A9" s="5" t="s">
        <v>394</v>
      </c>
      <c r="B9" s="5" t="s">
        <v>395</v>
      </c>
      <c r="C9" s="5" t="s">
        <v>396</v>
      </c>
      <c r="D9" s="5" t="s">
        <v>14</v>
      </c>
      <c r="E9" s="4" t="s">
        <v>21</v>
      </c>
      <c r="F9" s="4" t="s">
        <v>30</v>
      </c>
      <c r="G9" s="4" t="s">
        <v>31</v>
      </c>
      <c r="H9" s="12"/>
      <c r="I9" s="4" t="s">
        <v>21</v>
      </c>
      <c r="J9" s="4" t="s">
        <v>29</v>
      </c>
      <c r="K9" s="4" t="s">
        <v>148</v>
      </c>
      <c r="L9" s="12"/>
      <c r="M9" s="4" t="s">
        <v>31</v>
      </c>
      <c r="N9" s="4" t="s">
        <v>33</v>
      </c>
      <c r="O9" s="12" t="s">
        <v>329</v>
      </c>
      <c r="P9" s="12"/>
      <c r="Q9" s="3" t="str">
        <f>"395,0"</f>
        <v>395,0</v>
      </c>
      <c r="R9" s="20" t="str">
        <f>"247,9415"</f>
        <v>247,9415</v>
      </c>
      <c r="S9" s="5" t="s">
        <v>8</v>
      </c>
    </row>
    <row r="10" spans="1:19" ht="15" x14ac:dyDescent="0.2">
      <c r="A10" s="33" t="s">
        <v>397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9" x14ac:dyDescent="0.2">
      <c r="A11" s="5" t="s">
        <v>398</v>
      </c>
      <c r="B11" s="5" t="s">
        <v>399</v>
      </c>
      <c r="C11" s="5" t="s">
        <v>400</v>
      </c>
      <c r="D11" s="5" t="s">
        <v>14</v>
      </c>
      <c r="E11" s="4" t="s">
        <v>164</v>
      </c>
      <c r="F11" s="4" t="s">
        <v>185</v>
      </c>
      <c r="G11" s="4" t="s">
        <v>172</v>
      </c>
      <c r="H11" s="12"/>
      <c r="I11" s="4" t="s">
        <v>153</v>
      </c>
      <c r="J11" s="4" t="s">
        <v>329</v>
      </c>
      <c r="K11" s="12" t="s">
        <v>158</v>
      </c>
      <c r="L11" s="12"/>
      <c r="M11" s="4" t="s">
        <v>172</v>
      </c>
      <c r="N11" s="4" t="s">
        <v>38</v>
      </c>
      <c r="O11" s="4" t="s">
        <v>196</v>
      </c>
      <c r="P11" s="12"/>
      <c r="Q11" s="3" t="str">
        <f>"615,0"</f>
        <v>615,0</v>
      </c>
      <c r="R11" s="20" t="str">
        <f>"324,1204"</f>
        <v>324,1204</v>
      </c>
      <c r="S11" s="5" t="s">
        <v>8</v>
      </c>
    </row>
    <row r="21" spans="1:3" ht="18" x14ac:dyDescent="0.25">
      <c r="A21" s="27"/>
      <c r="B21" s="27"/>
    </row>
    <row r="22" spans="1:3" ht="15" x14ac:dyDescent="0.2">
      <c r="A22" s="28"/>
      <c r="B22" s="28"/>
    </row>
    <row r="23" spans="1:3" ht="14.25" x14ac:dyDescent="0.2">
      <c r="A23" s="29"/>
      <c r="B23" s="30"/>
    </row>
    <row r="24" spans="1:3" ht="15" x14ac:dyDescent="0.2">
      <c r="A24" s="13"/>
      <c r="B24" s="13"/>
      <c r="C24" s="13"/>
    </row>
    <row r="25" spans="1:3" x14ac:dyDescent="0.2">
      <c r="A25" s="31"/>
    </row>
    <row r="27" spans="1:3" ht="14.25" x14ac:dyDescent="0.2">
      <c r="A27" s="29"/>
      <c r="B27" s="30"/>
    </row>
    <row r="28" spans="1:3" ht="15" x14ac:dyDescent="0.2">
      <c r="A28" s="13"/>
      <c r="B28" s="13"/>
      <c r="C28" s="13"/>
    </row>
    <row r="29" spans="1:3" x14ac:dyDescent="0.2">
      <c r="A29" s="31"/>
    </row>
    <row r="30" spans="1:3" x14ac:dyDescent="0.2">
      <c r="A30" s="31"/>
    </row>
    <row r="31" spans="1:3" x14ac:dyDescent="0.2">
      <c r="A31" s="31"/>
    </row>
    <row r="33" spans="1:3" ht="14.25" x14ac:dyDescent="0.2">
      <c r="A33" s="29"/>
      <c r="B33" s="30"/>
    </row>
    <row r="34" spans="1:3" ht="15" x14ac:dyDescent="0.2">
      <c r="A34" s="13"/>
      <c r="B34" s="13"/>
      <c r="C34" s="13"/>
    </row>
    <row r="35" spans="1:3" x14ac:dyDescent="0.2">
      <c r="A35" s="31"/>
    </row>
  </sheetData>
  <mergeCells count="14">
    <mergeCell ref="A3:P3"/>
    <mergeCell ref="A5:P5"/>
    <mergeCell ref="A8:P8"/>
    <mergeCell ref="A10:P10"/>
    <mergeCell ref="I1:L1"/>
    <mergeCell ref="M1:P1"/>
    <mergeCell ref="Q1:Q2"/>
    <mergeCell ref="R1:R2"/>
    <mergeCell ref="S1:S2"/>
    <mergeCell ref="A1:A2"/>
    <mergeCell ref="B1:B2"/>
    <mergeCell ref="C1:C2"/>
    <mergeCell ref="D1:D2"/>
    <mergeCell ref="E1:H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H33"/>
  <sheetViews>
    <sheetView zoomScaleNormal="100" workbookViewId="0">
      <selection activeCell="A32" sqref="A32:H32"/>
    </sheetView>
  </sheetViews>
  <sheetFormatPr defaultColWidth="9.140625" defaultRowHeight="12.75" x14ac:dyDescent="0.2"/>
  <cols>
    <col min="1" max="1" width="24.7109375" style="16" customWidth="1"/>
    <col min="2" max="2" width="29.85546875" style="16" customWidth="1"/>
    <col min="3" max="3" width="6.5703125" style="16" bestFit="1" customWidth="1"/>
    <col min="4" max="4" width="13.42578125" style="16" bestFit="1" customWidth="1"/>
    <col min="5" max="8" width="4.5703125" style="17" customWidth="1"/>
    <col min="9" max="9" width="7.7109375" style="1" customWidth="1"/>
    <col min="10" max="10" width="7.5703125" style="18" customWidth="1"/>
    <col min="11" max="11" width="8.2851562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519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63</v>
      </c>
      <c r="B3" s="34"/>
      <c r="C3" s="34"/>
      <c r="D3" s="34"/>
      <c r="E3" s="34"/>
      <c r="F3" s="34"/>
      <c r="G3" s="34"/>
      <c r="H3" s="34"/>
    </row>
    <row r="4" spans="1:11" x14ac:dyDescent="0.2">
      <c r="A4" s="8" t="s">
        <v>64</v>
      </c>
      <c r="B4" s="8" t="s">
        <v>65</v>
      </c>
      <c r="C4" s="8" t="s">
        <v>66</v>
      </c>
      <c r="D4" s="8" t="s">
        <v>14</v>
      </c>
      <c r="E4" s="7" t="s">
        <v>4</v>
      </c>
      <c r="F4" s="15" t="s">
        <v>5</v>
      </c>
      <c r="G4" s="15" t="s">
        <v>5</v>
      </c>
      <c r="H4" s="15"/>
      <c r="I4" s="6" t="str">
        <f>"25,0"</f>
        <v>25,0</v>
      </c>
      <c r="J4" s="21" t="str">
        <f>"23,2225"</f>
        <v>23,2225</v>
      </c>
      <c r="K4" s="8" t="s">
        <v>8</v>
      </c>
    </row>
    <row r="5" spans="1:11" x14ac:dyDescent="0.2">
      <c r="A5" s="11" t="s">
        <v>1</v>
      </c>
      <c r="B5" s="11" t="s">
        <v>2</v>
      </c>
      <c r="C5" s="11" t="s">
        <v>3</v>
      </c>
      <c r="D5" s="11" t="s">
        <v>525</v>
      </c>
      <c r="E5" s="10" t="s">
        <v>4</v>
      </c>
      <c r="F5" s="14" t="s">
        <v>67</v>
      </c>
      <c r="G5" s="14" t="s">
        <v>67</v>
      </c>
      <c r="H5" s="14"/>
      <c r="I5" s="9" t="str">
        <f>"25,0"</f>
        <v>25,0</v>
      </c>
      <c r="J5" s="26" t="str">
        <f>"22,5700"</f>
        <v>22,5700</v>
      </c>
      <c r="K5" s="11" t="s">
        <v>8</v>
      </c>
    </row>
    <row r="6" spans="1:11" ht="15" x14ac:dyDescent="0.2">
      <c r="A6" s="33" t="s">
        <v>68</v>
      </c>
      <c r="B6" s="33"/>
      <c r="C6" s="33"/>
      <c r="D6" s="33"/>
      <c r="E6" s="33"/>
      <c r="F6" s="33"/>
      <c r="G6" s="33"/>
      <c r="H6" s="33"/>
    </row>
    <row r="7" spans="1:11" x14ac:dyDescent="0.2">
      <c r="A7" s="5" t="s">
        <v>69</v>
      </c>
      <c r="B7" s="5" t="s">
        <v>70</v>
      </c>
      <c r="C7" s="5" t="s">
        <v>71</v>
      </c>
      <c r="D7" s="5" t="s">
        <v>526</v>
      </c>
      <c r="E7" s="12" t="s">
        <v>7</v>
      </c>
      <c r="F7" s="4" t="s">
        <v>72</v>
      </c>
      <c r="G7" s="12" t="s">
        <v>9</v>
      </c>
      <c r="H7" s="12"/>
      <c r="I7" s="3" t="str">
        <f>"47,5"</f>
        <v>47,5</v>
      </c>
      <c r="J7" s="20" t="str">
        <f>"40,9070"</f>
        <v>40,9070</v>
      </c>
      <c r="K7" s="5" t="s">
        <v>8</v>
      </c>
    </row>
    <row r="8" spans="1:11" ht="15" x14ac:dyDescent="0.2">
      <c r="A8" s="33" t="s">
        <v>63</v>
      </c>
      <c r="B8" s="33"/>
      <c r="C8" s="33"/>
      <c r="D8" s="33"/>
      <c r="E8" s="33"/>
      <c r="F8" s="33"/>
      <c r="G8" s="33"/>
      <c r="H8" s="33"/>
    </row>
    <row r="9" spans="1:11" x14ac:dyDescent="0.2">
      <c r="A9" s="5" t="s">
        <v>73</v>
      </c>
      <c r="B9" s="5" t="s">
        <v>74</v>
      </c>
      <c r="C9" s="5" t="s">
        <v>75</v>
      </c>
      <c r="D9" s="5" t="s">
        <v>527</v>
      </c>
      <c r="E9" s="12" t="s">
        <v>7</v>
      </c>
      <c r="F9" s="4" t="s">
        <v>7</v>
      </c>
      <c r="G9" s="12"/>
      <c r="H9" s="12"/>
      <c r="I9" s="3" t="str">
        <f>"45,0"</f>
        <v>45,0</v>
      </c>
      <c r="J9" s="20" t="str">
        <f>"36,4927"</f>
        <v>36,4927</v>
      </c>
      <c r="K9" s="5" t="s">
        <v>8</v>
      </c>
    </row>
    <row r="10" spans="1:11" ht="15" x14ac:dyDescent="0.2">
      <c r="A10" s="33" t="s">
        <v>46</v>
      </c>
      <c r="B10" s="33"/>
      <c r="C10" s="33"/>
      <c r="D10" s="33"/>
      <c r="E10" s="33"/>
      <c r="F10" s="33"/>
      <c r="G10" s="33"/>
      <c r="H10" s="33"/>
    </row>
    <row r="11" spans="1:11" x14ac:dyDescent="0.2">
      <c r="A11" s="8" t="s">
        <v>27</v>
      </c>
      <c r="B11" s="8" t="s">
        <v>76</v>
      </c>
      <c r="C11" s="8" t="s">
        <v>28</v>
      </c>
      <c r="D11" s="8" t="s">
        <v>14</v>
      </c>
      <c r="E11" s="7" t="s">
        <v>45</v>
      </c>
      <c r="F11" s="15" t="s">
        <v>77</v>
      </c>
      <c r="G11" s="15" t="s">
        <v>77</v>
      </c>
      <c r="H11" s="15"/>
      <c r="I11" s="6" t="str">
        <f>"57,5"</f>
        <v>57,5</v>
      </c>
      <c r="J11" s="21" t="str">
        <f>"40,1523"</f>
        <v>40,1523</v>
      </c>
      <c r="K11" s="8" t="s">
        <v>8</v>
      </c>
    </row>
    <row r="12" spans="1:11" x14ac:dyDescent="0.2">
      <c r="A12" s="22" t="s">
        <v>78</v>
      </c>
      <c r="B12" s="22" t="s">
        <v>79</v>
      </c>
      <c r="C12" s="22" t="s">
        <v>80</v>
      </c>
      <c r="D12" s="22" t="s">
        <v>14</v>
      </c>
      <c r="E12" s="23" t="s">
        <v>72</v>
      </c>
      <c r="F12" s="23" t="s">
        <v>81</v>
      </c>
      <c r="G12" s="32" t="s">
        <v>82</v>
      </c>
      <c r="H12" s="32"/>
      <c r="I12" s="24" t="str">
        <f>"52,5"</f>
        <v>52,5</v>
      </c>
      <c r="J12" s="25" t="str">
        <f>"38,2620"</f>
        <v>38,2620</v>
      </c>
      <c r="K12" s="22" t="s">
        <v>8</v>
      </c>
    </row>
    <row r="13" spans="1:11" x14ac:dyDescent="0.2">
      <c r="A13" s="22" t="s">
        <v>83</v>
      </c>
      <c r="B13" s="22" t="s">
        <v>84</v>
      </c>
      <c r="C13" s="22" t="s">
        <v>85</v>
      </c>
      <c r="D13" s="22" t="s">
        <v>14</v>
      </c>
      <c r="E13" s="23" t="s">
        <v>45</v>
      </c>
      <c r="F13" s="23" t="s">
        <v>10</v>
      </c>
      <c r="G13" s="32" t="s">
        <v>77</v>
      </c>
      <c r="H13" s="32"/>
      <c r="I13" s="24" t="str">
        <f>"60,0"</f>
        <v>60,0</v>
      </c>
      <c r="J13" s="25" t="str">
        <f>"42,7950"</f>
        <v>42,7950</v>
      </c>
      <c r="K13" s="22" t="s">
        <v>8</v>
      </c>
    </row>
    <row r="14" spans="1:11" x14ac:dyDescent="0.2">
      <c r="A14" s="22" t="s">
        <v>86</v>
      </c>
      <c r="B14" s="22" t="s">
        <v>87</v>
      </c>
      <c r="C14" s="22" t="s">
        <v>88</v>
      </c>
      <c r="D14" s="22" t="s">
        <v>14</v>
      </c>
      <c r="E14" s="23" t="s">
        <v>82</v>
      </c>
      <c r="F14" s="23" t="s">
        <v>45</v>
      </c>
      <c r="G14" s="23" t="s">
        <v>10</v>
      </c>
      <c r="H14" s="32"/>
      <c r="I14" s="24" t="str">
        <f>"60,0"</f>
        <v>60,0</v>
      </c>
      <c r="J14" s="25" t="str">
        <f>"41,8110"</f>
        <v>41,8110</v>
      </c>
      <c r="K14" s="22" t="s">
        <v>8</v>
      </c>
    </row>
    <row r="15" spans="1:11" x14ac:dyDescent="0.2">
      <c r="A15" s="22" t="s">
        <v>89</v>
      </c>
      <c r="B15" s="22" t="s">
        <v>47</v>
      </c>
      <c r="C15" s="22" t="s">
        <v>48</v>
      </c>
      <c r="D15" s="22" t="s">
        <v>528</v>
      </c>
      <c r="E15" s="23" t="s">
        <v>9</v>
      </c>
      <c r="F15" s="23" t="s">
        <v>45</v>
      </c>
      <c r="G15" s="32" t="s">
        <v>10</v>
      </c>
      <c r="H15" s="32"/>
      <c r="I15" s="24" t="str">
        <f>"57,5"</f>
        <v>57,5</v>
      </c>
      <c r="J15" s="25" t="str">
        <f>"39,5916"</f>
        <v>39,5916</v>
      </c>
      <c r="K15" s="22" t="s">
        <v>8</v>
      </c>
    </row>
    <row r="16" spans="1:11" x14ac:dyDescent="0.2">
      <c r="A16" s="22" t="s">
        <v>50</v>
      </c>
      <c r="B16" s="22" t="s">
        <v>90</v>
      </c>
      <c r="C16" s="22" t="s">
        <v>51</v>
      </c>
      <c r="D16" s="22" t="s">
        <v>14</v>
      </c>
      <c r="E16" s="23" t="s">
        <v>10</v>
      </c>
      <c r="F16" s="23" t="s">
        <v>77</v>
      </c>
      <c r="G16" s="32"/>
      <c r="H16" s="32"/>
      <c r="I16" s="24" t="str">
        <f>"62,5"</f>
        <v>62,5</v>
      </c>
      <c r="J16" s="25" t="str">
        <f>"45,6737"</f>
        <v>45,6737</v>
      </c>
      <c r="K16" s="22" t="s">
        <v>8</v>
      </c>
    </row>
    <row r="17" spans="1:11" x14ac:dyDescent="0.2">
      <c r="A17" s="11" t="s">
        <v>91</v>
      </c>
      <c r="B17" s="11" t="s">
        <v>92</v>
      </c>
      <c r="C17" s="11" t="s">
        <v>88</v>
      </c>
      <c r="D17" s="11" t="s">
        <v>14</v>
      </c>
      <c r="E17" s="10" t="s">
        <v>81</v>
      </c>
      <c r="F17" s="14" t="s">
        <v>82</v>
      </c>
      <c r="G17" s="10" t="s">
        <v>82</v>
      </c>
      <c r="H17" s="14"/>
      <c r="I17" s="9" t="str">
        <f>"55,0"</f>
        <v>55,0</v>
      </c>
      <c r="J17" s="26" t="str">
        <f>"48,5983"</f>
        <v>48,5983</v>
      </c>
      <c r="K17" s="11" t="s">
        <v>8</v>
      </c>
    </row>
    <row r="18" spans="1:11" ht="15" x14ac:dyDescent="0.2">
      <c r="A18" s="33" t="s">
        <v>52</v>
      </c>
      <c r="B18" s="33"/>
      <c r="C18" s="33"/>
      <c r="D18" s="33"/>
      <c r="E18" s="33"/>
      <c r="F18" s="33"/>
      <c r="G18" s="33"/>
      <c r="H18" s="33"/>
    </row>
    <row r="19" spans="1:11" x14ac:dyDescent="0.2">
      <c r="A19" s="8" t="s">
        <v>93</v>
      </c>
      <c r="B19" s="8" t="s">
        <v>94</v>
      </c>
      <c r="C19" s="8" t="s">
        <v>95</v>
      </c>
      <c r="D19" s="8" t="s">
        <v>529</v>
      </c>
      <c r="E19" s="7" t="s">
        <v>45</v>
      </c>
      <c r="F19" s="7" t="s">
        <v>10</v>
      </c>
      <c r="G19" s="15" t="s">
        <v>77</v>
      </c>
      <c r="H19" s="15"/>
      <c r="I19" s="6" t="str">
        <f>"60,0"</f>
        <v>60,0</v>
      </c>
      <c r="J19" s="21" t="str">
        <f>"39,8100"</f>
        <v>39,8100</v>
      </c>
      <c r="K19" s="8" t="s">
        <v>8</v>
      </c>
    </row>
    <row r="20" spans="1:11" x14ac:dyDescent="0.2">
      <c r="A20" s="22" t="s">
        <v>96</v>
      </c>
      <c r="B20" s="22" t="s">
        <v>97</v>
      </c>
      <c r="C20" s="22" t="s">
        <v>98</v>
      </c>
      <c r="D20" s="22" t="s">
        <v>14</v>
      </c>
      <c r="E20" s="23" t="s">
        <v>10</v>
      </c>
      <c r="F20" s="23" t="s">
        <v>77</v>
      </c>
      <c r="G20" s="23" t="s">
        <v>24</v>
      </c>
      <c r="H20" s="32"/>
      <c r="I20" s="24" t="str">
        <f>"65,0"</f>
        <v>65,0</v>
      </c>
      <c r="J20" s="25" t="str">
        <f>"42,7570"</f>
        <v>42,7570</v>
      </c>
      <c r="K20" s="22" t="s">
        <v>8</v>
      </c>
    </row>
    <row r="21" spans="1:11" x14ac:dyDescent="0.2">
      <c r="A21" s="22" t="s">
        <v>99</v>
      </c>
      <c r="B21" s="22" t="s">
        <v>100</v>
      </c>
      <c r="C21" s="22" t="s">
        <v>101</v>
      </c>
      <c r="D21" s="22" t="s">
        <v>14</v>
      </c>
      <c r="E21" s="23" t="s">
        <v>72</v>
      </c>
      <c r="F21" s="23" t="s">
        <v>81</v>
      </c>
      <c r="G21" s="23" t="s">
        <v>82</v>
      </c>
      <c r="H21" s="32"/>
      <c r="I21" s="24" t="str">
        <f>"55,0"</f>
        <v>55,0</v>
      </c>
      <c r="J21" s="25" t="str">
        <f>"36,8830"</f>
        <v>36,8830</v>
      </c>
      <c r="K21" s="22" t="s">
        <v>8</v>
      </c>
    </row>
    <row r="22" spans="1:11" x14ac:dyDescent="0.2">
      <c r="A22" s="11" t="s">
        <v>102</v>
      </c>
      <c r="B22" s="11" t="s">
        <v>103</v>
      </c>
      <c r="C22" s="11" t="s">
        <v>104</v>
      </c>
      <c r="D22" s="11" t="s">
        <v>530</v>
      </c>
      <c r="E22" s="10" t="s">
        <v>6</v>
      </c>
      <c r="F22" s="10" t="s">
        <v>7</v>
      </c>
      <c r="G22" s="10" t="s">
        <v>9</v>
      </c>
      <c r="H22" s="14"/>
      <c r="I22" s="9" t="str">
        <f>"50,0"</f>
        <v>50,0</v>
      </c>
      <c r="J22" s="26" t="str">
        <f>"38,1492"</f>
        <v>38,1492</v>
      </c>
      <c r="K22" s="11" t="s">
        <v>8</v>
      </c>
    </row>
    <row r="23" spans="1:11" ht="15" x14ac:dyDescent="0.2">
      <c r="A23" s="33" t="s">
        <v>13</v>
      </c>
      <c r="B23" s="33"/>
      <c r="C23" s="33"/>
      <c r="D23" s="33"/>
      <c r="E23" s="33"/>
      <c r="F23" s="33"/>
      <c r="G23" s="33"/>
      <c r="H23" s="33"/>
    </row>
    <row r="24" spans="1:11" x14ac:dyDescent="0.2">
      <c r="A24" s="8" t="s">
        <v>105</v>
      </c>
      <c r="B24" s="8" t="s">
        <v>106</v>
      </c>
      <c r="C24" s="8" t="s">
        <v>107</v>
      </c>
      <c r="D24" s="8" t="s">
        <v>14</v>
      </c>
      <c r="E24" s="15" t="s">
        <v>9</v>
      </c>
      <c r="F24" s="7" t="s">
        <v>82</v>
      </c>
      <c r="G24" s="7" t="s">
        <v>10</v>
      </c>
      <c r="H24" s="15"/>
      <c r="I24" s="6" t="str">
        <f>"60,0"</f>
        <v>60,0</v>
      </c>
      <c r="J24" s="21" t="str">
        <f>"36,8010"</f>
        <v>36,8010</v>
      </c>
      <c r="K24" s="8" t="s">
        <v>8</v>
      </c>
    </row>
    <row r="25" spans="1:11" x14ac:dyDescent="0.2">
      <c r="A25" s="11" t="s">
        <v>108</v>
      </c>
      <c r="B25" s="11" t="s">
        <v>109</v>
      </c>
      <c r="C25" s="11" t="s">
        <v>110</v>
      </c>
      <c r="D25" s="11" t="s">
        <v>531</v>
      </c>
      <c r="E25" s="10" t="s">
        <v>9</v>
      </c>
      <c r="F25" s="10" t="s">
        <v>82</v>
      </c>
      <c r="G25" s="14" t="s">
        <v>10</v>
      </c>
      <c r="H25" s="14"/>
      <c r="I25" s="9" t="str">
        <f>"55,0"</f>
        <v>55,0</v>
      </c>
      <c r="J25" s="26" t="str">
        <f>"34,5455"</f>
        <v>34,5455</v>
      </c>
      <c r="K25" s="11" t="s">
        <v>8</v>
      </c>
    </row>
    <row r="26" spans="1:11" ht="15" x14ac:dyDescent="0.2">
      <c r="A26" s="33" t="s">
        <v>17</v>
      </c>
      <c r="B26" s="33"/>
      <c r="C26" s="33"/>
      <c r="D26" s="33"/>
      <c r="E26" s="33"/>
      <c r="F26" s="33"/>
      <c r="G26" s="33"/>
      <c r="H26" s="33"/>
    </row>
    <row r="27" spans="1:11" x14ac:dyDescent="0.2">
      <c r="A27" s="8" t="s">
        <v>18</v>
      </c>
      <c r="B27" s="8" t="s">
        <v>111</v>
      </c>
      <c r="C27" s="8" t="s">
        <v>19</v>
      </c>
      <c r="D27" s="8" t="s">
        <v>14</v>
      </c>
      <c r="E27" s="7" t="s">
        <v>112</v>
      </c>
      <c r="F27" s="15" t="s">
        <v>25</v>
      </c>
      <c r="G27" s="7" t="s">
        <v>25</v>
      </c>
      <c r="H27" s="15"/>
      <c r="I27" s="6" t="str">
        <f>"72,5"</f>
        <v>72,5</v>
      </c>
      <c r="J27" s="21" t="str">
        <f>"44,0148"</f>
        <v>44,0148</v>
      </c>
      <c r="K27" s="8" t="s">
        <v>8</v>
      </c>
    </row>
    <row r="28" spans="1:11" x14ac:dyDescent="0.2">
      <c r="A28" s="22" t="s">
        <v>113</v>
      </c>
      <c r="B28" s="22" t="s">
        <v>114</v>
      </c>
      <c r="C28" s="22" t="s">
        <v>115</v>
      </c>
      <c r="D28" s="22" t="s">
        <v>14</v>
      </c>
      <c r="E28" s="23" t="s">
        <v>82</v>
      </c>
      <c r="F28" s="23" t="s">
        <v>10</v>
      </c>
      <c r="G28" s="32" t="s">
        <v>77</v>
      </c>
      <c r="H28" s="32"/>
      <c r="I28" s="24" t="str">
        <f>"60,0"</f>
        <v>60,0</v>
      </c>
      <c r="J28" s="25" t="str">
        <f>"35,0430"</f>
        <v>35,0430</v>
      </c>
      <c r="K28" s="22" t="s">
        <v>8</v>
      </c>
    </row>
    <row r="29" spans="1:11" x14ac:dyDescent="0.2">
      <c r="A29" s="11" t="s">
        <v>116</v>
      </c>
      <c r="B29" s="11" t="s">
        <v>117</v>
      </c>
      <c r="C29" s="11" t="s">
        <v>118</v>
      </c>
      <c r="D29" s="11" t="s">
        <v>527</v>
      </c>
      <c r="E29" s="10" t="s">
        <v>9</v>
      </c>
      <c r="F29" s="10" t="s">
        <v>82</v>
      </c>
      <c r="G29" s="10" t="s">
        <v>10</v>
      </c>
      <c r="H29" s="14"/>
      <c r="I29" s="9" t="str">
        <f>"60,0"</f>
        <v>60,0</v>
      </c>
      <c r="J29" s="26" t="str">
        <f>"36,9071"</f>
        <v>36,9071</v>
      </c>
      <c r="K29" s="11" t="s">
        <v>8</v>
      </c>
    </row>
    <row r="30" spans="1:11" ht="15" x14ac:dyDescent="0.2">
      <c r="A30" s="33" t="s">
        <v>36</v>
      </c>
      <c r="B30" s="33"/>
      <c r="C30" s="33"/>
      <c r="D30" s="33"/>
      <c r="E30" s="33"/>
      <c r="F30" s="33"/>
      <c r="G30" s="33"/>
      <c r="H30" s="33"/>
    </row>
    <row r="31" spans="1:11" x14ac:dyDescent="0.2">
      <c r="A31" s="5" t="s">
        <v>119</v>
      </c>
      <c r="B31" s="5" t="s">
        <v>120</v>
      </c>
      <c r="C31" s="5" t="s">
        <v>121</v>
      </c>
      <c r="D31" s="5" t="s">
        <v>14</v>
      </c>
      <c r="E31" s="4" t="s">
        <v>6</v>
      </c>
      <c r="F31" s="4" t="s">
        <v>7</v>
      </c>
      <c r="G31" s="4" t="s">
        <v>72</v>
      </c>
      <c r="H31" s="12"/>
      <c r="I31" s="3" t="str">
        <f>"47,5"</f>
        <v>47,5</v>
      </c>
      <c r="J31" s="20" t="str">
        <f>"33,8222"</f>
        <v>33,8222</v>
      </c>
      <c r="K31" s="5" t="s">
        <v>8</v>
      </c>
    </row>
    <row r="32" spans="1:11" ht="15" x14ac:dyDescent="0.2">
      <c r="A32" s="33" t="s">
        <v>122</v>
      </c>
      <c r="B32" s="33"/>
      <c r="C32" s="33"/>
      <c r="D32" s="33"/>
      <c r="E32" s="33"/>
      <c r="F32" s="33"/>
      <c r="G32" s="33"/>
      <c r="H32" s="33"/>
    </row>
    <row r="33" spans="1:11" x14ac:dyDescent="0.2">
      <c r="A33" s="5" t="s">
        <v>123</v>
      </c>
      <c r="B33" s="5" t="s">
        <v>124</v>
      </c>
      <c r="C33" s="5" t="s">
        <v>125</v>
      </c>
      <c r="D33" s="5" t="s">
        <v>532</v>
      </c>
      <c r="E33" s="4" t="s">
        <v>77</v>
      </c>
      <c r="F33" s="4" t="s">
        <v>112</v>
      </c>
      <c r="G33" s="12" t="s">
        <v>25</v>
      </c>
      <c r="H33" s="12"/>
      <c r="I33" s="3" t="str">
        <f>"67,5"</f>
        <v>67,5</v>
      </c>
      <c r="J33" s="20" t="str">
        <f>"36,6403"</f>
        <v>36,6403</v>
      </c>
      <c r="K33" s="5" t="s">
        <v>8</v>
      </c>
    </row>
  </sheetData>
  <mergeCells count="17">
    <mergeCell ref="I1:I2"/>
    <mergeCell ref="J1:J2"/>
    <mergeCell ref="K1:K2"/>
    <mergeCell ref="A1:A2"/>
    <mergeCell ref="B1:B2"/>
    <mergeCell ref="C1:C2"/>
    <mergeCell ref="D1:D2"/>
    <mergeCell ref="E1:H1"/>
    <mergeCell ref="A23:H23"/>
    <mergeCell ref="A26:H26"/>
    <mergeCell ref="A30:H30"/>
    <mergeCell ref="A32:H32"/>
    <mergeCell ref="A3:H3"/>
    <mergeCell ref="A6:H6"/>
    <mergeCell ref="A8:H8"/>
    <mergeCell ref="A10:H10"/>
    <mergeCell ref="A18:H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H72"/>
  <sheetViews>
    <sheetView zoomScaleNormal="100" workbookViewId="0">
      <selection activeCell="A3" sqref="A3:H3"/>
    </sheetView>
  </sheetViews>
  <sheetFormatPr defaultColWidth="9.140625" defaultRowHeight="12.75" x14ac:dyDescent="0.2"/>
  <cols>
    <col min="1" max="1" width="24.7109375" style="16" customWidth="1"/>
    <col min="2" max="2" width="29.85546875" style="16" customWidth="1"/>
    <col min="3" max="3" width="6.85546875" style="16" customWidth="1"/>
    <col min="4" max="4" width="14.5703125" style="16" bestFit="1" customWidth="1"/>
    <col min="5" max="8" width="5.5703125" style="17" customWidth="1"/>
    <col min="9" max="9" width="7.7109375" style="1" customWidth="1"/>
    <col min="10" max="10" width="8.5703125" style="18" customWidth="1"/>
    <col min="11" max="11" width="1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517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235</v>
      </c>
      <c r="B3" s="34"/>
      <c r="C3" s="34"/>
      <c r="D3" s="34"/>
      <c r="E3" s="34"/>
      <c r="F3" s="34"/>
      <c r="G3" s="34"/>
      <c r="H3" s="34"/>
    </row>
    <row r="4" spans="1:11" x14ac:dyDescent="0.2">
      <c r="A4" s="5" t="s">
        <v>236</v>
      </c>
      <c r="B4" s="5" t="s">
        <v>237</v>
      </c>
      <c r="C4" s="5" t="s">
        <v>238</v>
      </c>
      <c r="D4" s="5" t="s">
        <v>529</v>
      </c>
      <c r="E4" s="4" t="s">
        <v>9</v>
      </c>
      <c r="F4" s="4" t="s">
        <v>81</v>
      </c>
      <c r="G4" s="12" t="s">
        <v>82</v>
      </c>
      <c r="H4" s="12"/>
      <c r="I4" s="3" t="str">
        <f>"52,5"</f>
        <v>52,5</v>
      </c>
      <c r="J4" s="20" t="str">
        <f>"66,0450"</f>
        <v>66,0450</v>
      </c>
      <c r="K4" s="5" t="s">
        <v>8</v>
      </c>
    </row>
    <row r="5" spans="1:11" ht="15" x14ac:dyDescent="0.2">
      <c r="A5" s="33" t="s">
        <v>126</v>
      </c>
      <c r="B5" s="33"/>
      <c r="C5" s="33"/>
      <c r="D5" s="33"/>
      <c r="E5" s="33"/>
      <c r="F5" s="33"/>
      <c r="G5" s="33"/>
      <c r="H5" s="33"/>
    </row>
    <row r="6" spans="1:11" x14ac:dyDescent="0.2">
      <c r="A6" s="8" t="s">
        <v>239</v>
      </c>
      <c r="B6" s="8" t="s">
        <v>240</v>
      </c>
      <c r="C6" s="8" t="s">
        <v>129</v>
      </c>
      <c r="D6" s="8" t="s">
        <v>14</v>
      </c>
      <c r="E6" s="7" t="s">
        <v>45</v>
      </c>
      <c r="F6" s="7" t="s">
        <v>10</v>
      </c>
      <c r="G6" s="15" t="s">
        <v>77</v>
      </c>
      <c r="H6" s="15"/>
      <c r="I6" s="6" t="str">
        <f>"60,0"</f>
        <v>60,0</v>
      </c>
      <c r="J6" s="21" t="str">
        <f>"66,4560"</f>
        <v>66,4560</v>
      </c>
      <c r="K6" s="8" t="s">
        <v>8</v>
      </c>
    </row>
    <row r="7" spans="1:11" x14ac:dyDescent="0.2">
      <c r="A7" s="11" t="s">
        <v>241</v>
      </c>
      <c r="B7" s="11" t="s">
        <v>242</v>
      </c>
      <c r="C7" s="11" t="s">
        <v>243</v>
      </c>
      <c r="D7" s="11" t="s">
        <v>14</v>
      </c>
      <c r="E7" s="14" t="s">
        <v>244</v>
      </c>
      <c r="F7" s="14" t="s">
        <v>244</v>
      </c>
      <c r="G7" s="14" t="s">
        <v>244</v>
      </c>
      <c r="H7" s="14"/>
      <c r="I7" s="9" t="s">
        <v>522</v>
      </c>
      <c r="J7" s="26" t="s">
        <v>522</v>
      </c>
      <c r="K7" s="11" t="s">
        <v>8</v>
      </c>
    </row>
    <row r="8" spans="1:11" ht="15" x14ac:dyDescent="0.2">
      <c r="A8" s="33" t="s">
        <v>41</v>
      </c>
      <c r="B8" s="33"/>
      <c r="C8" s="33"/>
      <c r="D8" s="33"/>
      <c r="E8" s="33"/>
      <c r="F8" s="33"/>
      <c r="G8" s="33"/>
      <c r="H8" s="33"/>
    </row>
    <row r="9" spans="1:11" x14ac:dyDescent="0.2">
      <c r="A9" s="8" t="s">
        <v>42</v>
      </c>
      <c r="B9" s="8" t="s">
        <v>43</v>
      </c>
      <c r="C9" s="8" t="s">
        <v>44</v>
      </c>
      <c r="D9" s="8" t="s">
        <v>14</v>
      </c>
      <c r="E9" s="7" t="s">
        <v>25</v>
      </c>
      <c r="F9" s="15" t="s">
        <v>26</v>
      </c>
      <c r="G9" s="7" t="s">
        <v>26</v>
      </c>
      <c r="H9" s="15"/>
      <c r="I9" s="6" t="str">
        <f>"77,5"</f>
        <v>77,5</v>
      </c>
      <c r="J9" s="21" t="str">
        <f>"81,3750"</f>
        <v>81,3750</v>
      </c>
      <c r="K9" s="8" t="s">
        <v>8</v>
      </c>
    </row>
    <row r="10" spans="1:11" x14ac:dyDescent="0.2">
      <c r="A10" s="11" t="s">
        <v>245</v>
      </c>
      <c r="B10" s="11" t="s">
        <v>246</v>
      </c>
      <c r="C10" s="11" t="s">
        <v>247</v>
      </c>
      <c r="D10" s="11" t="s">
        <v>14</v>
      </c>
      <c r="E10" s="10" t="s">
        <v>248</v>
      </c>
      <c r="F10" s="14" t="s">
        <v>6</v>
      </c>
      <c r="G10" s="14" t="s">
        <v>6</v>
      </c>
      <c r="H10" s="14"/>
      <c r="I10" s="9" t="str">
        <f>"37,5"</f>
        <v>37,5</v>
      </c>
      <c r="J10" s="26" t="str">
        <f>"40,4850"</f>
        <v>40,4850</v>
      </c>
      <c r="K10" s="11" t="s">
        <v>8</v>
      </c>
    </row>
    <row r="11" spans="1:11" ht="15" x14ac:dyDescent="0.2">
      <c r="A11" s="33" t="s">
        <v>63</v>
      </c>
      <c r="B11" s="33"/>
      <c r="C11" s="33"/>
      <c r="D11" s="33"/>
      <c r="E11" s="33"/>
      <c r="F11" s="33"/>
      <c r="G11" s="33"/>
      <c r="H11" s="33"/>
    </row>
    <row r="12" spans="1:11" x14ac:dyDescent="0.2">
      <c r="A12" s="8" t="s">
        <v>64</v>
      </c>
      <c r="B12" s="8" t="s">
        <v>65</v>
      </c>
      <c r="C12" s="8" t="s">
        <v>66</v>
      </c>
      <c r="D12" s="8" t="s">
        <v>14</v>
      </c>
      <c r="E12" s="7" t="s">
        <v>6</v>
      </c>
      <c r="F12" s="7" t="s">
        <v>7</v>
      </c>
      <c r="G12" s="7" t="s">
        <v>9</v>
      </c>
      <c r="H12" s="15"/>
      <c r="I12" s="6" t="str">
        <f>"50,0"</f>
        <v>50,0</v>
      </c>
      <c r="J12" s="21" t="str">
        <f>"46,4450"</f>
        <v>46,4450</v>
      </c>
      <c r="K12" s="8" t="s">
        <v>8</v>
      </c>
    </row>
    <row r="13" spans="1:11" x14ac:dyDescent="0.2">
      <c r="A13" s="11" t="s">
        <v>249</v>
      </c>
      <c r="B13" s="11" t="s">
        <v>250</v>
      </c>
      <c r="C13" s="11" t="s">
        <v>151</v>
      </c>
      <c r="D13" s="11" t="s">
        <v>533</v>
      </c>
      <c r="E13" s="10" t="s">
        <v>81</v>
      </c>
      <c r="F13" s="14" t="s">
        <v>45</v>
      </c>
      <c r="G13" s="14" t="s">
        <v>45</v>
      </c>
      <c r="H13" s="14"/>
      <c r="I13" s="9" t="str">
        <f>"52,5"</f>
        <v>52,5</v>
      </c>
      <c r="J13" s="26" t="str">
        <f>"49,3080"</f>
        <v>49,3080</v>
      </c>
      <c r="K13" s="11" t="s">
        <v>8</v>
      </c>
    </row>
    <row r="14" spans="1:11" ht="15" x14ac:dyDescent="0.2">
      <c r="A14" s="33" t="s">
        <v>46</v>
      </c>
      <c r="B14" s="33"/>
      <c r="C14" s="33"/>
      <c r="D14" s="33"/>
      <c r="E14" s="33"/>
      <c r="F14" s="33"/>
      <c r="G14" s="33"/>
      <c r="H14" s="33"/>
    </row>
    <row r="15" spans="1:11" x14ac:dyDescent="0.2">
      <c r="A15" s="8" t="s">
        <v>251</v>
      </c>
      <c r="B15" s="8" t="s">
        <v>252</v>
      </c>
      <c r="C15" s="8" t="s">
        <v>253</v>
      </c>
      <c r="D15" s="8" t="s">
        <v>14</v>
      </c>
      <c r="E15" s="7" t="s">
        <v>6</v>
      </c>
      <c r="F15" s="7" t="s">
        <v>7</v>
      </c>
      <c r="G15" s="15" t="s">
        <v>9</v>
      </c>
      <c r="H15" s="15"/>
      <c r="I15" s="6" t="str">
        <f>"45,0"</f>
        <v>45,0</v>
      </c>
      <c r="J15" s="21" t="str">
        <f>"38,5335"</f>
        <v>38,5335</v>
      </c>
      <c r="K15" s="8" t="s">
        <v>8</v>
      </c>
    </row>
    <row r="16" spans="1:11" x14ac:dyDescent="0.2">
      <c r="A16" s="22" t="s">
        <v>22</v>
      </c>
      <c r="B16" s="22" t="s">
        <v>254</v>
      </c>
      <c r="C16" s="22" t="s">
        <v>23</v>
      </c>
      <c r="D16" s="22" t="s">
        <v>534</v>
      </c>
      <c r="E16" s="23" t="s">
        <v>10</v>
      </c>
      <c r="F16" s="23" t="s">
        <v>24</v>
      </c>
      <c r="G16" s="32" t="s">
        <v>112</v>
      </c>
      <c r="H16" s="32"/>
      <c r="I16" s="24" t="str">
        <f>"65,0"</f>
        <v>65,0</v>
      </c>
      <c r="J16" s="25" t="str">
        <f>"56,6898"</f>
        <v>56,6898</v>
      </c>
      <c r="K16" s="22" t="s">
        <v>8</v>
      </c>
    </row>
    <row r="17" spans="1:11" x14ac:dyDescent="0.2">
      <c r="A17" s="11" t="s">
        <v>217</v>
      </c>
      <c r="B17" s="11" t="s">
        <v>218</v>
      </c>
      <c r="C17" s="11" t="s">
        <v>219</v>
      </c>
      <c r="D17" s="11" t="s">
        <v>14</v>
      </c>
      <c r="E17" s="10" t="s">
        <v>11</v>
      </c>
      <c r="F17" s="10" t="s">
        <v>49</v>
      </c>
      <c r="G17" s="14" t="s">
        <v>12</v>
      </c>
      <c r="H17" s="14"/>
      <c r="I17" s="9" t="str">
        <f>"75,0"</f>
        <v>75,0</v>
      </c>
      <c r="J17" s="26" t="str">
        <f>"77,6174"</f>
        <v>77,6174</v>
      </c>
      <c r="K17" s="11" t="s">
        <v>8</v>
      </c>
    </row>
    <row r="18" spans="1:11" ht="15" x14ac:dyDescent="0.2">
      <c r="A18" s="33" t="s">
        <v>126</v>
      </c>
      <c r="B18" s="33"/>
      <c r="C18" s="33"/>
      <c r="D18" s="33"/>
      <c r="E18" s="33"/>
      <c r="F18" s="33"/>
      <c r="G18" s="33"/>
      <c r="H18" s="33"/>
    </row>
    <row r="19" spans="1:11" x14ac:dyDescent="0.2">
      <c r="A19" s="5" t="s">
        <v>255</v>
      </c>
      <c r="B19" s="5" t="s">
        <v>256</v>
      </c>
      <c r="C19" s="5" t="s">
        <v>257</v>
      </c>
      <c r="D19" s="5" t="s">
        <v>14</v>
      </c>
      <c r="E19" s="4" t="s">
        <v>258</v>
      </c>
      <c r="F19" s="4" t="s">
        <v>4</v>
      </c>
      <c r="G19" s="12" t="s">
        <v>67</v>
      </c>
      <c r="H19" s="12"/>
      <c r="I19" s="3" t="str">
        <f>"25,0"</f>
        <v>25,0</v>
      </c>
      <c r="J19" s="20" t="str">
        <f>"26,1475"</f>
        <v>26,1475</v>
      </c>
      <c r="K19" s="5" t="s">
        <v>8</v>
      </c>
    </row>
    <row r="20" spans="1:11" ht="15" x14ac:dyDescent="0.2">
      <c r="A20" s="33" t="s">
        <v>41</v>
      </c>
      <c r="B20" s="33"/>
      <c r="C20" s="33"/>
      <c r="D20" s="33"/>
      <c r="E20" s="33"/>
      <c r="F20" s="33"/>
      <c r="G20" s="33"/>
      <c r="H20" s="33"/>
    </row>
    <row r="21" spans="1:11" x14ac:dyDescent="0.2">
      <c r="A21" s="5" t="s">
        <v>229</v>
      </c>
      <c r="B21" s="5" t="s">
        <v>230</v>
      </c>
      <c r="C21" s="5" t="s">
        <v>231</v>
      </c>
      <c r="D21" s="5" t="s">
        <v>535</v>
      </c>
      <c r="E21" s="4" t="s">
        <v>16</v>
      </c>
      <c r="F21" s="4" t="s">
        <v>259</v>
      </c>
      <c r="G21" s="12" t="s">
        <v>260</v>
      </c>
      <c r="H21" s="12"/>
      <c r="I21" s="3" t="str">
        <f>"102,5"</f>
        <v>102,5</v>
      </c>
      <c r="J21" s="20" t="str">
        <f>"92,6959"</f>
        <v>92,6959</v>
      </c>
      <c r="K21" s="5" t="s">
        <v>8</v>
      </c>
    </row>
    <row r="22" spans="1:11" ht="15" x14ac:dyDescent="0.2">
      <c r="A22" s="33" t="s">
        <v>63</v>
      </c>
      <c r="B22" s="33"/>
      <c r="C22" s="33"/>
      <c r="D22" s="33"/>
      <c r="E22" s="33"/>
      <c r="F22" s="33"/>
      <c r="G22" s="33"/>
      <c r="H22" s="33"/>
    </row>
    <row r="23" spans="1:11" x14ac:dyDescent="0.2">
      <c r="A23" s="8" t="s">
        <v>261</v>
      </c>
      <c r="B23" s="8" t="s">
        <v>262</v>
      </c>
      <c r="C23" s="8" t="s">
        <v>263</v>
      </c>
      <c r="D23" s="8" t="s">
        <v>536</v>
      </c>
      <c r="E23" s="15" t="s">
        <v>11</v>
      </c>
      <c r="F23" s="7" t="s">
        <v>11</v>
      </c>
      <c r="G23" s="15" t="s">
        <v>12</v>
      </c>
      <c r="H23" s="15"/>
      <c r="I23" s="6" t="str">
        <f>"70,0"</f>
        <v>70,0</v>
      </c>
      <c r="J23" s="21" t="str">
        <f>"55,2755"</f>
        <v>55,2755</v>
      </c>
      <c r="K23" s="8" t="s">
        <v>264</v>
      </c>
    </row>
    <row r="24" spans="1:11" x14ac:dyDescent="0.2">
      <c r="A24" s="22" t="s">
        <v>265</v>
      </c>
      <c r="B24" s="22" t="s">
        <v>266</v>
      </c>
      <c r="C24" s="22" t="s">
        <v>267</v>
      </c>
      <c r="D24" s="22" t="s">
        <v>529</v>
      </c>
      <c r="E24" s="23" t="s">
        <v>148</v>
      </c>
      <c r="F24" s="23" t="s">
        <v>30</v>
      </c>
      <c r="G24" s="23" t="s">
        <v>141</v>
      </c>
      <c r="H24" s="32"/>
      <c r="I24" s="24" t="str">
        <f>"125,0"</f>
        <v>125,0</v>
      </c>
      <c r="J24" s="25" t="str">
        <f>"95,2500"</f>
        <v>95,2500</v>
      </c>
      <c r="K24" s="22" t="s">
        <v>8</v>
      </c>
    </row>
    <row r="25" spans="1:11" x14ac:dyDescent="0.2">
      <c r="A25" s="11" t="s">
        <v>268</v>
      </c>
      <c r="B25" s="11" t="s">
        <v>269</v>
      </c>
      <c r="C25" s="11" t="s">
        <v>270</v>
      </c>
      <c r="D25" s="11" t="s">
        <v>14</v>
      </c>
      <c r="E25" s="10" t="s">
        <v>271</v>
      </c>
      <c r="F25" s="10" t="s">
        <v>272</v>
      </c>
      <c r="G25" s="14" t="s">
        <v>273</v>
      </c>
      <c r="H25" s="14"/>
      <c r="I25" s="9" t="str">
        <f>"97,5"</f>
        <v>97,5</v>
      </c>
      <c r="J25" s="26" t="str">
        <f>"74,6850"</f>
        <v>74,6850</v>
      </c>
      <c r="K25" s="11" t="s">
        <v>8</v>
      </c>
    </row>
    <row r="26" spans="1:11" ht="15" x14ac:dyDescent="0.2">
      <c r="A26" s="33" t="s">
        <v>46</v>
      </c>
      <c r="B26" s="33"/>
      <c r="C26" s="33"/>
      <c r="D26" s="33"/>
      <c r="E26" s="33"/>
      <c r="F26" s="33"/>
      <c r="G26" s="33"/>
      <c r="H26" s="33"/>
    </row>
    <row r="27" spans="1:11" x14ac:dyDescent="0.2">
      <c r="A27" s="8" t="s">
        <v>274</v>
      </c>
      <c r="B27" s="8" t="s">
        <v>275</v>
      </c>
      <c r="C27" s="8" t="s">
        <v>276</v>
      </c>
      <c r="D27" s="8" t="s">
        <v>14</v>
      </c>
      <c r="E27" s="7" t="s">
        <v>273</v>
      </c>
      <c r="F27" s="7" t="s">
        <v>277</v>
      </c>
      <c r="G27" s="7" t="s">
        <v>140</v>
      </c>
      <c r="H27" s="15"/>
      <c r="I27" s="6" t="str">
        <f>"117,5"</f>
        <v>117,5</v>
      </c>
      <c r="J27" s="21" t="str">
        <f>"81,9621"</f>
        <v>81,9621</v>
      </c>
      <c r="K27" s="8" t="s">
        <v>8</v>
      </c>
    </row>
    <row r="28" spans="1:11" x14ac:dyDescent="0.2">
      <c r="A28" s="22" t="s">
        <v>78</v>
      </c>
      <c r="B28" s="22" t="s">
        <v>79</v>
      </c>
      <c r="C28" s="22" t="s">
        <v>80</v>
      </c>
      <c r="D28" s="22" t="s">
        <v>14</v>
      </c>
      <c r="E28" s="23" t="s">
        <v>140</v>
      </c>
      <c r="F28" s="23" t="s">
        <v>130</v>
      </c>
      <c r="G28" s="23" t="s">
        <v>141</v>
      </c>
      <c r="H28" s="32"/>
      <c r="I28" s="24" t="str">
        <f>"125,0"</f>
        <v>125,0</v>
      </c>
      <c r="J28" s="25" t="str">
        <f>"91,1000"</f>
        <v>91,1000</v>
      </c>
      <c r="K28" s="22" t="s">
        <v>8</v>
      </c>
    </row>
    <row r="29" spans="1:11" x14ac:dyDescent="0.2">
      <c r="A29" s="22" t="s">
        <v>278</v>
      </c>
      <c r="B29" s="22" t="s">
        <v>279</v>
      </c>
      <c r="C29" s="22" t="s">
        <v>280</v>
      </c>
      <c r="D29" s="22" t="s">
        <v>14</v>
      </c>
      <c r="E29" s="23" t="s">
        <v>140</v>
      </c>
      <c r="F29" s="23" t="s">
        <v>30</v>
      </c>
      <c r="G29" s="32" t="s">
        <v>141</v>
      </c>
      <c r="H29" s="32"/>
      <c r="I29" s="24" t="str">
        <f>"120,0"</f>
        <v>120,0</v>
      </c>
      <c r="J29" s="25" t="str">
        <f>"84,3180"</f>
        <v>84,3180</v>
      </c>
      <c r="K29" s="22" t="s">
        <v>8</v>
      </c>
    </row>
    <row r="30" spans="1:11" x14ac:dyDescent="0.2">
      <c r="A30" s="22" t="s">
        <v>281</v>
      </c>
      <c r="B30" s="22" t="s">
        <v>282</v>
      </c>
      <c r="C30" s="22" t="s">
        <v>283</v>
      </c>
      <c r="D30" s="22" t="s">
        <v>14</v>
      </c>
      <c r="E30" s="32" t="s">
        <v>260</v>
      </c>
      <c r="F30" s="23" t="s">
        <v>260</v>
      </c>
      <c r="G30" s="32" t="s">
        <v>140</v>
      </c>
      <c r="H30" s="32"/>
      <c r="I30" s="24" t="str">
        <f>"105,0"</f>
        <v>105,0</v>
      </c>
      <c r="J30" s="25" t="str">
        <f>"72,9435"</f>
        <v>72,9435</v>
      </c>
      <c r="K30" s="22" t="s">
        <v>8</v>
      </c>
    </row>
    <row r="31" spans="1:11" x14ac:dyDescent="0.2">
      <c r="A31" s="22" t="s">
        <v>284</v>
      </c>
      <c r="B31" s="22" t="s">
        <v>285</v>
      </c>
      <c r="C31" s="22" t="s">
        <v>286</v>
      </c>
      <c r="D31" s="22" t="s">
        <v>14</v>
      </c>
      <c r="E31" s="23" t="s">
        <v>30</v>
      </c>
      <c r="F31" s="23" t="s">
        <v>141</v>
      </c>
      <c r="G31" s="23" t="s">
        <v>31</v>
      </c>
      <c r="H31" s="32"/>
      <c r="I31" s="24" t="str">
        <f>"130,0"</f>
        <v>130,0</v>
      </c>
      <c r="J31" s="25" t="str">
        <f>"91,7345"</f>
        <v>91,7345</v>
      </c>
      <c r="K31" s="22" t="s">
        <v>8</v>
      </c>
    </row>
    <row r="32" spans="1:11" x14ac:dyDescent="0.2">
      <c r="A32" s="22" t="s">
        <v>287</v>
      </c>
      <c r="B32" s="22" t="s">
        <v>288</v>
      </c>
      <c r="C32" s="22" t="s">
        <v>289</v>
      </c>
      <c r="D32" s="22" t="s">
        <v>537</v>
      </c>
      <c r="E32" s="23" t="s">
        <v>29</v>
      </c>
      <c r="F32" s="32" t="s">
        <v>140</v>
      </c>
      <c r="G32" s="23" t="s">
        <v>140</v>
      </c>
      <c r="H32" s="32"/>
      <c r="I32" s="24" t="str">
        <f>"117,5"</f>
        <v>117,5</v>
      </c>
      <c r="J32" s="25" t="str">
        <f>"82,3029"</f>
        <v>82,3029</v>
      </c>
      <c r="K32" s="22" t="s">
        <v>8</v>
      </c>
    </row>
    <row r="33" spans="1:11" x14ac:dyDescent="0.2">
      <c r="A33" s="22" t="s">
        <v>290</v>
      </c>
      <c r="B33" s="22" t="s">
        <v>291</v>
      </c>
      <c r="C33" s="22" t="s">
        <v>292</v>
      </c>
      <c r="D33" s="22" t="s">
        <v>538</v>
      </c>
      <c r="E33" s="32" t="s">
        <v>29</v>
      </c>
      <c r="F33" s="32" t="s">
        <v>29</v>
      </c>
      <c r="G33" s="23" t="s">
        <v>140</v>
      </c>
      <c r="H33" s="32"/>
      <c r="I33" s="24" t="str">
        <f>"117,5"</f>
        <v>117,5</v>
      </c>
      <c r="J33" s="25" t="str">
        <f>"82,1325"</f>
        <v>82,1325</v>
      </c>
      <c r="K33" s="22" t="s">
        <v>8</v>
      </c>
    </row>
    <row r="34" spans="1:11" x14ac:dyDescent="0.2">
      <c r="A34" s="22" t="s">
        <v>293</v>
      </c>
      <c r="B34" s="22" t="s">
        <v>294</v>
      </c>
      <c r="C34" s="22" t="s">
        <v>295</v>
      </c>
      <c r="D34" s="22" t="s">
        <v>14</v>
      </c>
      <c r="E34" s="32" t="s">
        <v>21</v>
      </c>
      <c r="F34" s="23" t="s">
        <v>29</v>
      </c>
      <c r="G34" s="23" t="s">
        <v>140</v>
      </c>
      <c r="H34" s="32"/>
      <c r="I34" s="24" t="str">
        <f>"117,5"</f>
        <v>117,5</v>
      </c>
      <c r="J34" s="25" t="str">
        <f>"81,3041"</f>
        <v>81,3041</v>
      </c>
      <c r="K34" s="22" t="s">
        <v>8</v>
      </c>
    </row>
    <row r="35" spans="1:11" x14ac:dyDescent="0.2">
      <c r="A35" s="22" t="s">
        <v>296</v>
      </c>
      <c r="B35" s="22" t="s">
        <v>297</v>
      </c>
      <c r="C35" s="22" t="s">
        <v>298</v>
      </c>
      <c r="D35" s="22" t="s">
        <v>539</v>
      </c>
      <c r="E35" s="23" t="s">
        <v>299</v>
      </c>
      <c r="F35" s="32" t="s">
        <v>300</v>
      </c>
      <c r="G35" s="32" t="s">
        <v>300</v>
      </c>
      <c r="H35" s="32"/>
      <c r="I35" s="24" t="str">
        <f>"135,0"</f>
        <v>135,0</v>
      </c>
      <c r="J35" s="25" t="str">
        <f>"93,6023"</f>
        <v>93,6023</v>
      </c>
      <c r="K35" s="22" t="s">
        <v>8</v>
      </c>
    </row>
    <row r="36" spans="1:11" x14ac:dyDescent="0.2">
      <c r="A36" s="11" t="s">
        <v>284</v>
      </c>
      <c r="B36" s="11" t="s">
        <v>301</v>
      </c>
      <c r="C36" s="11" t="s">
        <v>286</v>
      </c>
      <c r="D36" s="11" t="s">
        <v>14</v>
      </c>
      <c r="E36" s="10" t="s">
        <v>30</v>
      </c>
      <c r="F36" s="10" t="s">
        <v>141</v>
      </c>
      <c r="G36" s="10" t="s">
        <v>31</v>
      </c>
      <c r="H36" s="14"/>
      <c r="I36" s="9" t="str">
        <f>"130,0"</f>
        <v>130,0</v>
      </c>
      <c r="J36" s="26" t="str">
        <f>"112,3748"</f>
        <v>112,3748</v>
      </c>
      <c r="K36" s="11" t="s">
        <v>8</v>
      </c>
    </row>
    <row r="37" spans="1:11" ht="15" x14ac:dyDescent="0.2">
      <c r="A37" s="33" t="s">
        <v>52</v>
      </c>
      <c r="B37" s="33"/>
      <c r="C37" s="33"/>
      <c r="D37" s="33"/>
      <c r="E37" s="33"/>
      <c r="F37" s="33"/>
      <c r="G37" s="33"/>
      <c r="H37" s="33"/>
    </row>
    <row r="38" spans="1:11" x14ac:dyDescent="0.2">
      <c r="A38" s="8" t="s">
        <v>302</v>
      </c>
      <c r="B38" s="8" t="s">
        <v>303</v>
      </c>
      <c r="C38" s="8" t="s">
        <v>304</v>
      </c>
      <c r="D38" s="8" t="s">
        <v>14</v>
      </c>
      <c r="E38" s="7" t="s">
        <v>15</v>
      </c>
      <c r="F38" s="7" t="s">
        <v>272</v>
      </c>
      <c r="G38" s="15" t="s">
        <v>259</v>
      </c>
      <c r="H38" s="15"/>
      <c r="I38" s="6" t="str">
        <f>"97,5"</f>
        <v>97,5</v>
      </c>
      <c r="J38" s="21" t="str">
        <f>"63,1995"</f>
        <v>63,1995</v>
      </c>
      <c r="K38" s="8" t="s">
        <v>305</v>
      </c>
    </row>
    <row r="39" spans="1:11" x14ac:dyDescent="0.2">
      <c r="A39" s="22" t="s">
        <v>306</v>
      </c>
      <c r="B39" s="22" t="s">
        <v>307</v>
      </c>
      <c r="C39" s="22" t="s">
        <v>58</v>
      </c>
      <c r="D39" s="22" t="s">
        <v>540</v>
      </c>
      <c r="E39" s="23" t="s">
        <v>32</v>
      </c>
      <c r="F39" s="23" t="s">
        <v>35</v>
      </c>
      <c r="G39" s="32" t="s">
        <v>33</v>
      </c>
      <c r="H39" s="32"/>
      <c r="I39" s="24" t="str">
        <f>"145,0"</f>
        <v>145,0</v>
      </c>
      <c r="J39" s="25" t="str">
        <f>"95,7072"</f>
        <v>95,7072</v>
      </c>
      <c r="K39" s="22" t="s">
        <v>8</v>
      </c>
    </row>
    <row r="40" spans="1:11" x14ac:dyDescent="0.2">
      <c r="A40" s="22" t="s">
        <v>53</v>
      </c>
      <c r="B40" s="22" t="s">
        <v>54</v>
      </c>
      <c r="C40" s="22" t="s">
        <v>55</v>
      </c>
      <c r="D40" s="22" t="s">
        <v>14</v>
      </c>
      <c r="E40" s="23" t="s">
        <v>131</v>
      </c>
      <c r="F40" s="23" t="s">
        <v>132</v>
      </c>
      <c r="G40" s="23" t="s">
        <v>300</v>
      </c>
      <c r="H40" s="32"/>
      <c r="I40" s="24" t="str">
        <f>"137,5"</f>
        <v>137,5</v>
      </c>
      <c r="J40" s="25" t="str">
        <f>"89,0519"</f>
        <v>89,0519</v>
      </c>
      <c r="K40" s="22" t="s">
        <v>8</v>
      </c>
    </row>
    <row r="41" spans="1:11" x14ac:dyDescent="0.2">
      <c r="A41" s="22" t="s">
        <v>308</v>
      </c>
      <c r="B41" s="22" t="s">
        <v>160</v>
      </c>
      <c r="C41" s="22" t="s">
        <v>161</v>
      </c>
      <c r="D41" s="22" t="s">
        <v>14</v>
      </c>
      <c r="E41" s="32" t="s">
        <v>148</v>
      </c>
      <c r="F41" s="23" t="s">
        <v>148</v>
      </c>
      <c r="G41" s="32" t="s">
        <v>30</v>
      </c>
      <c r="H41" s="32"/>
      <c r="I41" s="24" t="str">
        <f>"115,0"</f>
        <v>115,0</v>
      </c>
      <c r="J41" s="25" t="str">
        <f>"75,8425"</f>
        <v>75,8425</v>
      </c>
      <c r="K41" s="22" t="s">
        <v>8</v>
      </c>
    </row>
    <row r="42" spans="1:11" x14ac:dyDescent="0.2">
      <c r="A42" s="22" t="s">
        <v>309</v>
      </c>
      <c r="B42" s="22" t="s">
        <v>310</v>
      </c>
      <c r="C42" s="22" t="s">
        <v>311</v>
      </c>
      <c r="D42" s="22" t="s">
        <v>529</v>
      </c>
      <c r="E42" s="23" t="s">
        <v>29</v>
      </c>
      <c r="F42" s="32" t="s">
        <v>140</v>
      </c>
      <c r="G42" s="32" t="s">
        <v>140</v>
      </c>
      <c r="H42" s="32"/>
      <c r="I42" s="24" t="str">
        <f>"110,0"</f>
        <v>110,0</v>
      </c>
      <c r="J42" s="25" t="str">
        <f>"72,1765"</f>
        <v>72,1765</v>
      </c>
      <c r="K42" s="22" t="s">
        <v>8</v>
      </c>
    </row>
    <row r="43" spans="1:11" x14ac:dyDescent="0.2">
      <c r="A43" s="22" t="s">
        <v>312</v>
      </c>
      <c r="B43" s="22" t="s">
        <v>313</v>
      </c>
      <c r="C43" s="22" t="s">
        <v>314</v>
      </c>
      <c r="D43" s="22" t="s">
        <v>540</v>
      </c>
      <c r="E43" s="23" t="s">
        <v>271</v>
      </c>
      <c r="F43" s="32" t="s">
        <v>259</v>
      </c>
      <c r="G43" s="32" t="s">
        <v>259</v>
      </c>
      <c r="H43" s="32"/>
      <c r="I43" s="24" t="str">
        <f>"87,5"</f>
        <v>87,5</v>
      </c>
      <c r="J43" s="25" t="str">
        <f>"57,8550"</f>
        <v>57,8550</v>
      </c>
      <c r="K43" s="22" t="s">
        <v>8</v>
      </c>
    </row>
    <row r="44" spans="1:11" x14ac:dyDescent="0.2">
      <c r="A44" s="22" t="s">
        <v>57</v>
      </c>
      <c r="B44" s="22" t="s">
        <v>315</v>
      </c>
      <c r="C44" s="22" t="s">
        <v>58</v>
      </c>
      <c r="D44" s="22" t="s">
        <v>541</v>
      </c>
      <c r="E44" s="23" t="s">
        <v>131</v>
      </c>
      <c r="F44" s="23" t="s">
        <v>35</v>
      </c>
      <c r="G44" s="32" t="s">
        <v>33</v>
      </c>
      <c r="H44" s="32"/>
      <c r="I44" s="24" t="str">
        <f>"145,0"</f>
        <v>145,0</v>
      </c>
      <c r="J44" s="25" t="str">
        <f>"95,7072"</f>
        <v>95,7072</v>
      </c>
      <c r="K44" s="22" t="s">
        <v>8</v>
      </c>
    </row>
    <row r="45" spans="1:11" x14ac:dyDescent="0.2">
      <c r="A45" s="11" t="s">
        <v>316</v>
      </c>
      <c r="B45" s="11" t="s">
        <v>317</v>
      </c>
      <c r="C45" s="11" t="s">
        <v>318</v>
      </c>
      <c r="D45" s="11" t="s">
        <v>14</v>
      </c>
      <c r="E45" s="10" t="s">
        <v>131</v>
      </c>
      <c r="F45" s="10" t="s">
        <v>132</v>
      </c>
      <c r="G45" s="10" t="s">
        <v>299</v>
      </c>
      <c r="H45" s="14"/>
      <c r="I45" s="9" t="str">
        <f>"135,0"</f>
        <v>135,0</v>
      </c>
      <c r="J45" s="26" t="str">
        <f>"87,6487"</f>
        <v>87,6487</v>
      </c>
      <c r="K45" s="11" t="s">
        <v>8</v>
      </c>
    </row>
    <row r="46" spans="1:11" ht="15" x14ac:dyDescent="0.2">
      <c r="A46" s="33" t="s">
        <v>13</v>
      </c>
      <c r="B46" s="33"/>
      <c r="C46" s="33"/>
      <c r="D46" s="33"/>
      <c r="E46" s="33"/>
      <c r="F46" s="33"/>
      <c r="G46" s="33"/>
      <c r="H46" s="33"/>
    </row>
    <row r="47" spans="1:11" x14ac:dyDescent="0.2">
      <c r="A47" s="8" t="s">
        <v>319</v>
      </c>
      <c r="B47" s="8" t="s">
        <v>320</v>
      </c>
      <c r="C47" s="8" t="s">
        <v>321</v>
      </c>
      <c r="D47" s="8" t="s">
        <v>542</v>
      </c>
      <c r="E47" s="7" t="s">
        <v>32</v>
      </c>
      <c r="F47" s="7" t="s">
        <v>322</v>
      </c>
      <c r="G47" s="15" t="s">
        <v>153</v>
      </c>
      <c r="H47" s="15"/>
      <c r="I47" s="6" t="str">
        <f>"152,5"</f>
        <v>152,5</v>
      </c>
      <c r="J47" s="21" t="str">
        <f>"97,0358"</f>
        <v>97,0358</v>
      </c>
      <c r="K47" s="8" t="s">
        <v>8</v>
      </c>
    </row>
    <row r="48" spans="1:11" x14ac:dyDescent="0.2">
      <c r="A48" s="22" t="s">
        <v>323</v>
      </c>
      <c r="B48" s="22" t="s">
        <v>324</v>
      </c>
      <c r="C48" s="22" t="s">
        <v>325</v>
      </c>
      <c r="D48" s="22" t="s">
        <v>14</v>
      </c>
      <c r="E48" s="32" t="s">
        <v>32</v>
      </c>
      <c r="F48" s="23" t="s">
        <v>32</v>
      </c>
      <c r="G48" s="32" t="s">
        <v>35</v>
      </c>
      <c r="H48" s="32"/>
      <c r="I48" s="24" t="str">
        <f>"140,0"</f>
        <v>140,0</v>
      </c>
      <c r="J48" s="25" t="str">
        <f>"85,6590"</f>
        <v>85,6590</v>
      </c>
      <c r="K48" s="22" t="s">
        <v>8</v>
      </c>
    </row>
    <row r="49" spans="1:11" x14ac:dyDescent="0.2">
      <c r="A49" s="22" t="s">
        <v>326</v>
      </c>
      <c r="B49" s="22" t="s">
        <v>327</v>
      </c>
      <c r="C49" s="22" t="s">
        <v>328</v>
      </c>
      <c r="D49" s="22" t="s">
        <v>530</v>
      </c>
      <c r="E49" s="23" t="s">
        <v>329</v>
      </c>
      <c r="F49" s="23" t="s">
        <v>158</v>
      </c>
      <c r="G49" s="32" t="s">
        <v>162</v>
      </c>
      <c r="H49" s="32"/>
      <c r="I49" s="24" t="str">
        <f>"170,0"</f>
        <v>170,0</v>
      </c>
      <c r="J49" s="25" t="str">
        <f>"104,6010"</f>
        <v>104,6010</v>
      </c>
      <c r="K49" s="22" t="s">
        <v>8</v>
      </c>
    </row>
    <row r="50" spans="1:11" x14ac:dyDescent="0.2">
      <c r="A50" s="22" t="s">
        <v>330</v>
      </c>
      <c r="B50" s="22" t="s">
        <v>331</v>
      </c>
      <c r="C50" s="22" t="s">
        <v>332</v>
      </c>
      <c r="D50" s="22" t="s">
        <v>529</v>
      </c>
      <c r="E50" s="23" t="s">
        <v>32</v>
      </c>
      <c r="F50" s="23" t="s">
        <v>136</v>
      </c>
      <c r="G50" s="23" t="s">
        <v>322</v>
      </c>
      <c r="H50" s="32"/>
      <c r="I50" s="24" t="str">
        <f>"152,5"</f>
        <v>152,5</v>
      </c>
      <c r="J50" s="25" t="str">
        <f>"94,0696"</f>
        <v>94,0696</v>
      </c>
      <c r="K50" s="22" t="s">
        <v>8</v>
      </c>
    </row>
    <row r="51" spans="1:11" x14ac:dyDescent="0.2">
      <c r="A51" s="22" t="s">
        <v>333</v>
      </c>
      <c r="B51" s="22" t="s">
        <v>334</v>
      </c>
      <c r="C51" s="22" t="s">
        <v>335</v>
      </c>
      <c r="D51" s="22" t="s">
        <v>530</v>
      </c>
      <c r="E51" s="23" t="s">
        <v>132</v>
      </c>
      <c r="F51" s="23" t="s">
        <v>299</v>
      </c>
      <c r="G51" s="23" t="s">
        <v>32</v>
      </c>
      <c r="H51" s="32"/>
      <c r="I51" s="24" t="str">
        <f>"140,0"</f>
        <v>140,0</v>
      </c>
      <c r="J51" s="25" t="str">
        <f>"86,5830"</f>
        <v>86,5830</v>
      </c>
      <c r="K51" s="22" t="s">
        <v>8</v>
      </c>
    </row>
    <row r="52" spans="1:11" x14ac:dyDescent="0.2">
      <c r="A52" s="22" t="s">
        <v>336</v>
      </c>
      <c r="B52" s="22" t="s">
        <v>337</v>
      </c>
      <c r="C52" s="22" t="s">
        <v>338</v>
      </c>
      <c r="D52" s="22" t="s">
        <v>14</v>
      </c>
      <c r="E52" s="23" t="s">
        <v>141</v>
      </c>
      <c r="F52" s="23" t="s">
        <v>31</v>
      </c>
      <c r="G52" s="32" t="s">
        <v>300</v>
      </c>
      <c r="H52" s="32"/>
      <c r="I52" s="24" t="str">
        <f>"130,0"</f>
        <v>130,0</v>
      </c>
      <c r="J52" s="25" t="str">
        <f>"80,8795"</f>
        <v>80,8795</v>
      </c>
      <c r="K52" s="22" t="s">
        <v>8</v>
      </c>
    </row>
    <row r="53" spans="1:11" x14ac:dyDescent="0.2">
      <c r="A53" s="22" t="s">
        <v>339</v>
      </c>
      <c r="B53" s="22" t="s">
        <v>340</v>
      </c>
      <c r="C53" s="22" t="s">
        <v>341</v>
      </c>
      <c r="D53" s="22" t="s">
        <v>543</v>
      </c>
      <c r="E53" s="32" t="s">
        <v>322</v>
      </c>
      <c r="F53" s="32" t="s">
        <v>322</v>
      </c>
      <c r="G53" s="32" t="s">
        <v>322</v>
      </c>
      <c r="H53" s="32"/>
      <c r="I53" s="24" t="str">
        <f>"0.00"</f>
        <v>0.00</v>
      </c>
      <c r="J53" s="25" t="str">
        <f>"0,0000"</f>
        <v>0,0000</v>
      </c>
      <c r="K53" s="22" t="s">
        <v>8</v>
      </c>
    </row>
    <row r="54" spans="1:11" x14ac:dyDescent="0.2">
      <c r="A54" s="11" t="s">
        <v>342</v>
      </c>
      <c r="B54" s="11" t="s">
        <v>343</v>
      </c>
      <c r="C54" s="11" t="s">
        <v>110</v>
      </c>
      <c r="D54" s="11" t="s">
        <v>544</v>
      </c>
      <c r="E54" s="10" t="s">
        <v>32</v>
      </c>
      <c r="F54" s="10" t="s">
        <v>35</v>
      </c>
      <c r="G54" s="10" t="s">
        <v>33</v>
      </c>
      <c r="H54" s="14"/>
      <c r="I54" s="9" t="str">
        <f>"150,0"</f>
        <v>150,0</v>
      </c>
      <c r="J54" s="26" t="str">
        <f>"94,2150"</f>
        <v>94,2150</v>
      </c>
      <c r="K54" s="11" t="s">
        <v>8</v>
      </c>
    </row>
    <row r="55" spans="1:11" ht="15" x14ac:dyDescent="0.2">
      <c r="A55" s="33" t="s">
        <v>17</v>
      </c>
      <c r="B55" s="33"/>
      <c r="C55" s="33"/>
      <c r="D55" s="33"/>
      <c r="E55" s="33"/>
      <c r="F55" s="33"/>
      <c r="G55" s="33"/>
      <c r="H55" s="33"/>
    </row>
    <row r="56" spans="1:11" x14ac:dyDescent="0.2">
      <c r="A56" s="8" t="s">
        <v>176</v>
      </c>
      <c r="B56" s="8" t="s">
        <v>177</v>
      </c>
      <c r="C56" s="8" t="s">
        <v>178</v>
      </c>
      <c r="D56" s="8" t="s">
        <v>544</v>
      </c>
      <c r="E56" s="15" t="s">
        <v>34</v>
      </c>
      <c r="F56" s="15" t="s">
        <v>329</v>
      </c>
      <c r="G56" s="7" t="s">
        <v>329</v>
      </c>
      <c r="H56" s="15"/>
      <c r="I56" s="6" t="str">
        <f>"165,0"</f>
        <v>165,0</v>
      </c>
      <c r="J56" s="21" t="str">
        <f>"98,0100"</f>
        <v>98,0100</v>
      </c>
      <c r="K56" s="8" t="s">
        <v>8</v>
      </c>
    </row>
    <row r="57" spans="1:11" x14ac:dyDescent="0.2">
      <c r="A57" s="22" t="s">
        <v>344</v>
      </c>
      <c r="B57" s="22" t="s">
        <v>345</v>
      </c>
      <c r="C57" s="22" t="s">
        <v>346</v>
      </c>
      <c r="D57" s="22" t="s">
        <v>14</v>
      </c>
      <c r="E57" s="23" t="s">
        <v>136</v>
      </c>
      <c r="F57" s="23" t="s">
        <v>322</v>
      </c>
      <c r="G57" s="32" t="s">
        <v>153</v>
      </c>
      <c r="H57" s="32"/>
      <c r="I57" s="24" t="str">
        <f>"152,5"</f>
        <v>152,5</v>
      </c>
      <c r="J57" s="25" t="str">
        <f>"90,9129"</f>
        <v>90,9129</v>
      </c>
      <c r="K57" s="22" t="s">
        <v>8</v>
      </c>
    </row>
    <row r="58" spans="1:11" x14ac:dyDescent="0.2">
      <c r="A58" s="22" t="s">
        <v>347</v>
      </c>
      <c r="B58" s="22" t="s">
        <v>348</v>
      </c>
      <c r="C58" s="22" t="s">
        <v>349</v>
      </c>
      <c r="D58" s="22" t="s">
        <v>14</v>
      </c>
      <c r="E58" s="23" t="s">
        <v>31</v>
      </c>
      <c r="F58" s="23" t="s">
        <v>32</v>
      </c>
      <c r="G58" s="23" t="s">
        <v>33</v>
      </c>
      <c r="H58" s="32"/>
      <c r="I58" s="24" t="str">
        <f>"150,0"</f>
        <v>150,0</v>
      </c>
      <c r="J58" s="25" t="str">
        <f>"88,7925"</f>
        <v>88,7925</v>
      </c>
      <c r="K58" s="22" t="s">
        <v>8</v>
      </c>
    </row>
    <row r="59" spans="1:11" x14ac:dyDescent="0.2">
      <c r="A59" s="11" t="s">
        <v>350</v>
      </c>
      <c r="B59" s="11" t="s">
        <v>351</v>
      </c>
      <c r="C59" s="11" t="s">
        <v>352</v>
      </c>
      <c r="D59" s="11" t="s">
        <v>545</v>
      </c>
      <c r="E59" s="10" t="s">
        <v>32</v>
      </c>
      <c r="F59" s="10" t="s">
        <v>33</v>
      </c>
      <c r="G59" s="14" t="s">
        <v>353</v>
      </c>
      <c r="H59" s="14"/>
      <c r="I59" s="9" t="str">
        <f>"150,0"</f>
        <v>150,0</v>
      </c>
      <c r="J59" s="26" t="str">
        <f>"88,0725"</f>
        <v>88,0725</v>
      </c>
      <c r="K59" s="11" t="s">
        <v>8</v>
      </c>
    </row>
    <row r="60" spans="1:11" ht="15" x14ac:dyDescent="0.2">
      <c r="A60" s="33" t="s">
        <v>59</v>
      </c>
      <c r="B60" s="33"/>
      <c r="C60" s="33"/>
      <c r="D60" s="33"/>
      <c r="E60" s="33"/>
      <c r="F60" s="33"/>
      <c r="G60" s="33"/>
      <c r="H60" s="33"/>
    </row>
    <row r="61" spans="1:11" x14ac:dyDescent="0.2">
      <c r="A61" s="8" t="s">
        <v>354</v>
      </c>
      <c r="B61" s="8" t="s">
        <v>355</v>
      </c>
      <c r="C61" s="8" t="s">
        <v>356</v>
      </c>
      <c r="D61" s="8" t="s">
        <v>14</v>
      </c>
      <c r="E61" s="7" t="s">
        <v>357</v>
      </c>
      <c r="F61" s="7" t="s">
        <v>162</v>
      </c>
      <c r="G61" s="15" t="s">
        <v>358</v>
      </c>
      <c r="H61" s="15"/>
      <c r="I61" s="6" t="str">
        <f>"175,0"</f>
        <v>175,0</v>
      </c>
      <c r="J61" s="21" t="str">
        <f>"98,7088"</f>
        <v>98,7088</v>
      </c>
      <c r="K61" s="8" t="s">
        <v>8</v>
      </c>
    </row>
    <row r="62" spans="1:11" x14ac:dyDescent="0.2">
      <c r="A62" s="22" t="s">
        <v>359</v>
      </c>
      <c r="B62" s="22" t="s">
        <v>360</v>
      </c>
      <c r="C62" s="22" t="s">
        <v>361</v>
      </c>
      <c r="D62" s="22" t="s">
        <v>14</v>
      </c>
      <c r="E62" s="23" t="s">
        <v>31</v>
      </c>
      <c r="F62" s="23" t="s">
        <v>32</v>
      </c>
      <c r="G62" s="32" t="s">
        <v>136</v>
      </c>
      <c r="H62" s="32"/>
      <c r="I62" s="24" t="str">
        <f>"140,0"</f>
        <v>140,0</v>
      </c>
      <c r="J62" s="25" t="str">
        <f>"79,7650"</f>
        <v>79,7650</v>
      </c>
      <c r="K62" s="22" t="s">
        <v>8</v>
      </c>
    </row>
    <row r="63" spans="1:11" x14ac:dyDescent="0.2">
      <c r="A63" s="22" t="s">
        <v>362</v>
      </c>
      <c r="B63" s="22" t="s">
        <v>363</v>
      </c>
      <c r="C63" s="22" t="s">
        <v>356</v>
      </c>
      <c r="D63" s="22" t="s">
        <v>546</v>
      </c>
      <c r="E63" s="23" t="s">
        <v>329</v>
      </c>
      <c r="F63" s="32" t="s">
        <v>158</v>
      </c>
      <c r="G63" s="32" t="s">
        <v>158</v>
      </c>
      <c r="H63" s="32"/>
      <c r="I63" s="24" t="str">
        <f>"165,0"</f>
        <v>165,0</v>
      </c>
      <c r="J63" s="25" t="str">
        <f>"97,0702"</f>
        <v>97,0702</v>
      </c>
      <c r="K63" s="22" t="s">
        <v>8</v>
      </c>
    </row>
    <row r="64" spans="1:11" x14ac:dyDescent="0.2">
      <c r="A64" s="22" t="s">
        <v>60</v>
      </c>
      <c r="B64" s="22" t="s">
        <v>364</v>
      </c>
      <c r="C64" s="22" t="s">
        <v>61</v>
      </c>
      <c r="D64" s="22" t="s">
        <v>14</v>
      </c>
      <c r="E64" s="32" t="s">
        <v>34</v>
      </c>
      <c r="F64" s="23" t="s">
        <v>34</v>
      </c>
      <c r="G64" s="32" t="s">
        <v>353</v>
      </c>
      <c r="H64" s="32"/>
      <c r="I64" s="24" t="str">
        <f>"160,0"</f>
        <v>160,0</v>
      </c>
      <c r="J64" s="25" t="str">
        <f>"103,7439"</f>
        <v>103,7439</v>
      </c>
      <c r="K64" s="22" t="s">
        <v>8</v>
      </c>
    </row>
    <row r="65" spans="1:11" x14ac:dyDescent="0.2">
      <c r="A65" s="11" t="s">
        <v>365</v>
      </c>
      <c r="B65" s="11" t="s">
        <v>366</v>
      </c>
      <c r="C65" s="11" t="s">
        <v>367</v>
      </c>
      <c r="D65" s="11" t="s">
        <v>547</v>
      </c>
      <c r="E65" s="10" t="s">
        <v>31</v>
      </c>
      <c r="F65" s="10" t="s">
        <v>299</v>
      </c>
      <c r="G65" s="14"/>
      <c r="H65" s="14"/>
      <c r="I65" s="9" t="str">
        <f>"135,0"</f>
        <v>135,0</v>
      </c>
      <c r="J65" s="26" t="str">
        <f>"103,8597"</f>
        <v>103,8597</v>
      </c>
      <c r="K65" s="11" t="s">
        <v>8</v>
      </c>
    </row>
    <row r="66" spans="1:11" ht="15" x14ac:dyDescent="0.2">
      <c r="A66" s="33" t="s">
        <v>36</v>
      </c>
      <c r="B66" s="33"/>
      <c r="C66" s="33"/>
      <c r="D66" s="33"/>
      <c r="E66" s="33"/>
      <c r="F66" s="33"/>
      <c r="G66" s="33"/>
      <c r="H66" s="33"/>
    </row>
    <row r="67" spans="1:11" x14ac:dyDescent="0.2">
      <c r="A67" s="8" t="s">
        <v>368</v>
      </c>
      <c r="B67" s="8" t="s">
        <v>369</v>
      </c>
      <c r="C67" s="8" t="s">
        <v>370</v>
      </c>
      <c r="D67" s="8" t="s">
        <v>14</v>
      </c>
      <c r="E67" s="7" t="s">
        <v>148</v>
      </c>
      <c r="F67" s="15" t="s">
        <v>140</v>
      </c>
      <c r="G67" s="15"/>
      <c r="H67" s="15"/>
      <c r="I67" s="6" t="str">
        <f>"115,0"</f>
        <v>115,0</v>
      </c>
      <c r="J67" s="21" t="str">
        <f>"63,0948"</f>
        <v>63,0948</v>
      </c>
      <c r="K67" s="8" t="s">
        <v>8</v>
      </c>
    </row>
    <row r="68" spans="1:11" x14ac:dyDescent="0.2">
      <c r="A68" s="22" t="s">
        <v>193</v>
      </c>
      <c r="B68" s="22" t="s">
        <v>194</v>
      </c>
      <c r="C68" s="22" t="s">
        <v>195</v>
      </c>
      <c r="D68" s="22" t="s">
        <v>14</v>
      </c>
      <c r="E68" s="23" t="s">
        <v>371</v>
      </c>
      <c r="F68" s="23" t="s">
        <v>154</v>
      </c>
      <c r="G68" s="23" t="s">
        <v>207</v>
      </c>
      <c r="H68" s="32"/>
      <c r="I68" s="24" t="str">
        <f>"180,0"</f>
        <v>180,0</v>
      </c>
      <c r="J68" s="25" t="str">
        <f>"98,6760"</f>
        <v>98,6760</v>
      </c>
      <c r="K68" s="22" t="s">
        <v>8</v>
      </c>
    </row>
    <row r="69" spans="1:11" x14ac:dyDescent="0.2">
      <c r="A69" s="22" t="s">
        <v>372</v>
      </c>
      <c r="B69" s="22" t="s">
        <v>373</v>
      </c>
      <c r="C69" s="22" t="s">
        <v>374</v>
      </c>
      <c r="D69" s="22" t="s">
        <v>14</v>
      </c>
      <c r="E69" s="23" t="s">
        <v>375</v>
      </c>
      <c r="F69" s="32" t="s">
        <v>136</v>
      </c>
      <c r="G69" s="32" t="s">
        <v>322</v>
      </c>
      <c r="H69" s="32"/>
      <c r="I69" s="24" t="str">
        <f>"142,5"</f>
        <v>142,5</v>
      </c>
      <c r="J69" s="25" t="str">
        <f>"82,0572"</f>
        <v>82,0572</v>
      </c>
      <c r="K69" s="22" t="s">
        <v>8</v>
      </c>
    </row>
    <row r="70" spans="1:11" x14ac:dyDescent="0.2">
      <c r="A70" s="11" t="s">
        <v>376</v>
      </c>
      <c r="B70" s="11" t="s">
        <v>377</v>
      </c>
      <c r="C70" s="11" t="s">
        <v>378</v>
      </c>
      <c r="D70" s="11" t="s">
        <v>14</v>
      </c>
      <c r="E70" s="10" t="s">
        <v>158</v>
      </c>
      <c r="F70" s="14" t="s">
        <v>371</v>
      </c>
      <c r="G70" s="14" t="s">
        <v>371</v>
      </c>
      <c r="H70" s="14"/>
      <c r="I70" s="9" t="str">
        <f>"170,0"</f>
        <v>170,0</v>
      </c>
      <c r="J70" s="26" t="str">
        <f>"107,2975"</f>
        <v>107,2975</v>
      </c>
      <c r="K70" s="11" t="s">
        <v>8</v>
      </c>
    </row>
    <row r="71" spans="1:11" ht="15" x14ac:dyDescent="0.2">
      <c r="A71" s="33" t="s">
        <v>122</v>
      </c>
      <c r="B71" s="33"/>
      <c r="C71" s="33"/>
      <c r="D71" s="33"/>
      <c r="E71" s="33"/>
      <c r="F71" s="33"/>
      <c r="G71" s="33"/>
      <c r="H71" s="33"/>
    </row>
    <row r="72" spans="1:11" x14ac:dyDescent="0.2">
      <c r="A72" s="5" t="s">
        <v>379</v>
      </c>
      <c r="B72" s="5" t="s">
        <v>380</v>
      </c>
      <c r="C72" s="5" t="s">
        <v>381</v>
      </c>
      <c r="D72" s="5" t="s">
        <v>14</v>
      </c>
      <c r="E72" s="4" t="s">
        <v>371</v>
      </c>
      <c r="F72" s="4" t="s">
        <v>154</v>
      </c>
      <c r="G72" s="4" t="s">
        <v>207</v>
      </c>
      <c r="H72" s="4" t="s">
        <v>382</v>
      </c>
      <c r="I72" s="3" t="str">
        <f>"180,0"</f>
        <v>180,0</v>
      </c>
      <c r="J72" s="20" t="str">
        <f>"120,2320"</f>
        <v>120,2320</v>
      </c>
      <c r="K72" s="5" t="s">
        <v>8</v>
      </c>
    </row>
  </sheetData>
  <mergeCells count="23">
    <mergeCell ref="I1:I2"/>
    <mergeCell ref="J1:J2"/>
    <mergeCell ref="K1:K2"/>
    <mergeCell ref="A1:A2"/>
    <mergeCell ref="B1:B2"/>
    <mergeCell ref="C1:C2"/>
    <mergeCell ref="D1:D2"/>
    <mergeCell ref="E1:H1"/>
    <mergeCell ref="A3:H3"/>
    <mergeCell ref="A5:H5"/>
    <mergeCell ref="A8:H8"/>
    <mergeCell ref="A11:H11"/>
    <mergeCell ref="A14:H14"/>
    <mergeCell ref="A18:H18"/>
    <mergeCell ref="A20:H20"/>
    <mergeCell ref="A22:H22"/>
    <mergeCell ref="A26:H26"/>
    <mergeCell ref="A37:H37"/>
    <mergeCell ref="A46:H46"/>
    <mergeCell ref="A55:H55"/>
    <mergeCell ref="A60:H60"/>
    <mergeCell ref="A66:H66"/>
    <mergeCell ref="A71:H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H4"/>
  <sheetViews>
    <sheetView zoomScaleNormal="100" workbookViewId="0">
      <selection activeCell="D6" sqref="D6"/>
    </sheetView>
  </sheetViews>
  <sheetFormatPr defaultColWidth="9.140625" defaultRowHeight="12.75" x14ac:dyDescent="0.2"/>
  <cols>
    <col min="1" max="1" width="24.7109375" style="16" customWidth="1"/>
    <col min="2" max="2" width="27.7109375" style="16" customWidth="1"/>
    <col min="3" max="3" width="5.5703125" style="16" bestFit="1" customWidth="1"/>
    <col min="4" max="4" width="11.28515625" style="16" bestFit="1" customWidth="1"/>
    <col min="5" max="7" width="5.5703125" style="17" customWidth="1"/>
    <col min="8" max="8" width="4.5703125" style="17" customWidth="1"/>
    <col min="9" max="9" width="7.7109375" style="1" customWidth="1"/>
    <col min="10" max="10" width="8.5703125" style="18" customWidth="1"/>
    <col min="11" max="11" width="8.2851562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517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41</v>
      </c>
      <c r="B3" s="34"/>
      <c r="C3" s="34"/>
      <c r="D3" s="34"/>
      <c r="E3" s="34"/>
      <c r="F3" s="34"/>
      <c r="G3" s="34"/>
      <c r="H3" s="34"/>
    </row>
    <row r="4" spans="1:11" x14ac:dyDescent="0.2">
      <c r="A4" s="5" t="s">
        <v>229</v>
      </c>
      <c r="B4" s="5" t="s">
        <v>230</v>
      </c>
      <c r="C4" s="5" t="s">
        <v>231</v>
      </c>
      <c r="D4" s="5" t="s">
        <v>535</v>
      </c>
      <c r="E4" s="4" t="s">
        <v>29</v>
      </c>
      <c r="F4" s="4" t="s">
        <v>30</v>
      </c>
      <c r="G4" s="12" t="s">
        <v>131</v>
      </c>
      <c r="H4" s="12"/>
      <c r="I4" s="3" t="str">
        <f>"120,0"</f>
        <v>120,0</v>
      </c>
      <c r="J4" s="20" t="str">
        <f>"108,5220"</f>
        <v>108,5220</v>
      </c>
      <c r="K4" s="5" t="s">
        <v>8</v>
      </c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H27"/>
  <sheetViews>
    <sheetView zoomScaleNormal="100" workbookViewId="0">
      <selection activeCell="D4" sqref="D4"/>
    </sheetView>
  </sheetViews>
  <sheetFormatPr defaultColWidth="9.140625" defaultRowHeight="12.75" x14ac:dyDescent="0.2"/>
  <cols>
    <col min="1" max="1" width="21.5703125" style="16" bestFit="1" customWidth="1"/>
    <col min="2" max="2" width="29.85546875" style="16" customWidth="1"/>
    <col min="3" max="3" width="6.5703125" style="16" bestFit="1" customWidth="1"/>
    <col min="4" max="4" width="21.7109375" style="16" bestFit="1" customWidth="1"/>
    <col min="5" max="7" width="5.5703125" style="17" customWidth="1"/>
    <col min="8" max="8" width="4.5703125" style="17" customWidth="1"/>
    <col min="9" max="9" width="7.7109375" style="1" customWidth="1"/>
    <col min="10" max="10" width="8.5703125" style="18" customWidth="1"/>
    <col min="11" max="11" width="8.2851562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518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126</v>
      </c>
      <c r="B3" s="34"/>
      <c r="C3" s="34"/>
      <c r="D3" s="34"/>
      <c r="E3" s="34"/>
      <c r="F3" s="34"/>
      <c r="G3" s="34"/>
      <c r="H3" s="34"/>
    </row>
    <row r="4" spans="1:11" x14ac:dyDescent="0.2">
      <c r="A4" s="5" t="s">
        <v>127</v>
      </c>
      <c r="B4" s="5" t="s">
        <v>128</v>
      </c>
      <c r="C4" s="5" t="s">
        <v>129</v>
      </c>
      <c r="D4" s="5" t="s">
        <v>534</v>
      </c>
      <c r="E4" s="4" t="s">
        <v>130</v>
      </c>
      <c r="F4" s="4" t="s">
        <v>131</v>
      </c>
      <c r="G4" s="4" t="s">
        <v>132</v>
      </c>
      <c r="H4" s="12"/>
      <c r="I4" s="3" t="str">
        <f>"132,5"</f>
        <v>132,5</v>
      </c>
      <c r="J4" s="20" t="str">
        <f>"146,7570"</f>
        <v>146,7570</v>
      </c>
      <c r="K4" s="5" t="s">
        <v>8</v>
      </c>
    </row>
    <row r="5" spans="1:11" ht="15" x14ac:dyDescent="0.2">
      <c r="A5" s="33" t="s">
        <v>41</v>
      </c>
      <c r="B5" s="33"/>
      <c r="C5" s="33"/>
      <c r="D5" s="33"/>
      <c r="E5" s="33"/>
      <c r="F5" s="33"/>
      <c r="G5" s="33"/>
      <c r="H5" s="33"/>
    </row>
    <row r="6" spans="1:11" x14ac:dyDescent="0.2">
      <c r="A6" s="5" t="s">
        <v>133</v>
      </c>
      <c r="B6" s="5" t="s">
        <v>134</v>
      </c>
      <c r="C6" s="5" t="s">
        <v>135</v>
      </c>
      <c r="D6" s="5" t="s">
        <v>529</v>
      </c>
      <c r="E6" s="4" t="s">
        <v>32</v>
      </c>
      <c r="F6" s="4" t="s">
        <v>35</v>
      </c>
      <c r="G6" s="4" t="s">
        <v>136</v>
      </c>
      <c r="H6" s="12"/>
      <c r="I6" s="3" t="str">
        <f>"147,5"</f>
        <v>147,5</v>
      </c>
      <c r="J6" s="20" t="str">
        <f>"156,1854"</f>
        <v>156,1854</v>
      </c>
      <c r="K6" s="5" t="s">
        <v>8</v>
      </c>
    </row>
    <row r="7" spans="1:11" ht="15" x14ac:dyDescent="0.2">
      <c r="A7" s="33" t="s">
        <v>63</v>
      </c>
      <c r="B7" s="33"/>
      <c r="C7" s="33"/>
      <c r="D7" s="33"/>
      <c r="E7" s="33"/>
      <c r="F7" s="33"/>
      <c r="G7" s="33"/>
      <c r="H7" s="33"/>
    </row>
    <row r="8" spans="1:11" x14ac:dyDescent="0.2">
      <c r="A8" s="8" t="s">
        <v>137</v>
      </c>
      <c r="B8" s="8" t="s">
        <v>138</v>
      </c>
      <c r="C8" s="8" t="s">
        <v>139</v>
      </c>
      <c r="D8" s="8" t="s">
        <v>14</v>
      </c>
      <c r="E8" s="7" t="s">
        <v>140</v>
      </c>
      <c r="F8" s="7" t="s">
        <v>130</v>
      </c>
      <c r="G8" s="7" t="s">
        <v>141</v>
      </c>
      <c r="H8" s="15"/>
      <c r="I8" s="6" t="str">
        <f>"125,0"</f>
        <v>125,0</v>
      </c>
      <c r="J8" s="21" t="str">
        <f>"112,9813"</f>
        <v>112,9813</v>
      </c>
      <c r="K8" s="8" t="s">
        <v>8</v>
      </c>
    </row>
    <row r="9" spans="1:11" x14ac:dyDescent="0.2">
      <c r="A9" s="22" t="s">
        <v>142</v>
      </c>
      <c r="B9" s="22" t="s">
        <v>143</v>
      </c>
      <c r="C9" s="22" t="s">
        <v>144</v>
      </c>
      <c r="D9" s="22" t="s">
        <v>14</v>
      </c>
      <c r="E9" s="23" t="s">
        <v>29</v>
      </c>
      <c r="F9" s="23" t="s">
        <v>140</v>
      </c>
      <c r="G9" s="32" t="s">
        <v>130</v>
      </c>
      <c r="H9" s="32"/>
      <c r="I9" s="24" t="str">
        <f>"117,5"</f>
        <v>117,5</v>
      </c>
      <c r="J9" s="25" t="str">
        <f>"111,8894"</f>
        <v>111,8894</v>
      </c>
      <c r="K9" s="22" t="s">
        <v>8</v>
      </c>
    </row>
    <row r="10" spans="1:11" x14ac:dyDescent="0.2">
      <c r="A10" s="22" t="s">
        <v>145</v>
      </c>
      <c r="B10" s="22" t="s">
        <v>146</v>
      </c>
      <c r="C10" s="22" t="s">
        <v>147</v>
      </c>
      <c r="D10" s="22" t="s">
        <v>548</v>
      </c>
      <c r="E10" s="23" t="s">
        <v>148</v>
      </c>
      <c r="F10" s="32" t="s">
        <v>141</v>
      </c>
      <c r="G10" s="32" t="s">
        <v>522</v>
      </c>
      <c r="H10" s="32"/>
      <c r="I10" s="24" t="str">
        <f>"115,0"</f>
        <v>115,0</v>
      </c>
      <c r="J10" s="25" t="str">
        <f>"104,9202"</f>
        <v>104,9202</v>
      </c>
      <c r="K10" s="22" t="s">
        <v>8</v>
      </c>
    </row>
    <row r="11" spans="1:11" x14ac:dyDescent="0.2">
      <c r="A11" s="11" t="s">
        <v>149</v>
      </c>
      <c r="B11" s="11" t="s">
        <v>150</v>
      </c>
      <c r="C11" s="11" t="s">
        <v>151</v>
      </c>
      <c r="D11" s="11" t="s">
        <v>14</v>
      </c>
      <c r="E11" s="10" t="s">
        <v>30</v>
      </c>
      <c r="F11" s="10" t="s">
        <v>141</v>
      </c>
      <c r="G11" s="14" t="s">
        <v>31</v>
      </c>
      <c r="H11" s="14"/>
      <c r="I11" s="9" t="str">
        <f>"125,0"</f>
        <v>125,0</v>
      </c>
      <c r="J11" s="26" t="str">
        <f>"127,0268"</f>
        <v>127,0268</v>
      </c>
      <c r="K11" s="11" t="s">
        <v>8</v>
      </c>
    </row>
    <row r="12" spans="1:11" ht="15" x14ac:dyDescent="0.2">
      <c r="A12" s="33" t="s">
        <v>46</v>
      </c>
      <c r="B12" s="33"/>
      <c r="C12" s="33"/>
      <c r="D12" s="33"/>
      <c r="E12" s="33"/>
      <c r="F12" s="33"/>
      <c r="G12" s="33"/>
      <c r="H12" s="33"/>
    </row>
    <row r="13" spans="1:11" x14ac:dyDescent="0.2">
      <c r="A13" s="5" t="s">
        <v>152</v>
      </c>
      <c r="B13" s="5" t="s">
        <v>47</v>
      </c>
      <c r="C13" s="5" t="s">
        <v>48</v>
      </c>
      <c r="D13" s="5" t="s">
        <v>528</v>
      </c>
      <c r="E13" s="4" t="s">
        <v>153</v>
      </c>
      <c r="F13" s="4" t="s">
        <v>154</v>
      </c>
      <c r="G13" s="12"/>
      <c r="H13" s="12"/>
      <c r="I13" s="3" t="str">
        <f>"177,5"</f>
        <v>177,5</v>
      </c>
      <c r="J13" s="20" t="str">
        <f>"122,2176"</f>
        <v>122,2176</v>
      </c>
      <c r="K13" s="5" t="s">
        <v>8</v>
      </c>
    </row>
    <row r="14" spans="1:11" ht="15" x14ac:dyDescent="0.2">
      <c r="A14" s="33" t="s">
        <v>52</v>
      </c>
      <c r="B14" s="33"/>
      <c r="C14" s="33"/>
      <c r="D14" s="33"/>
      <c r="E14" s="33"/>
      <c r="F14" s="33"/>
      <c r="G14" s="33"/>
      <c r="H14" s="33"/>
    </row>
    <row r="15" spans="1:11" x14ac:dyDescent="0.2">
      <c r="A15" s="8" t="s">
        <v>155</v>
      </c>
      <c r="B15" s="8" t="s">
        <v>156</v>
      </c>
      <c r="C15" s="8" t="s">
        <v>157</v>
      </c>
      <c r="D15" s="8" t="s">
        <v>549</v>
      </c>
      <c r="E15" s="7" t="s">
        <v>34</v>
      </c>
      <c r="F15" s="15" t="s">
        <v>158</v>
      </c>
      <c r="G15" s="15" t="s">
        <v>158</v>
      </c>
      <c r="H15" s="15"/>
      <c r="I15" s="6" t="str">
        <f>"160,0"</f>
        <v>160,0</v>
      </c>
      <c r="J15" s="21" t="str">
        <f>"105,8800"</f>
        <v>105,8800</v>
      </c>
      <c r="K15" s="8" t="s">
        <v>8</v>
      </c>
    </row>
    <row r="16" spans="1:11" x14ac:dyDescent="0.2">
      <c r="A16" s="22" t="s">
        <v>159</v>
      </c>
      <c r="B16" s="22" t="s">
        <v>160</v>
      </c>
      <c r="C16" s="22" t="s">
        <v>161</v>
      </c>
      <c r="D16" s="22" t="s">
        <v>14</v>
      </c>
      <c r="E16" s="23" t="s">
        <v>162</v>
      </c>
      <c r="F16" s="23" t="s">
        <v>163</v>
      </c>
      <c r="G16" s="23" t="s">
        <v>164</v>
      </c>
      <c r="H16" s="32"/>
      <c r="I16" s="24" t="str">
        <f>"190,0"</f>
        <v>190,0</v>
      </c>
      <c r="J16" s="25" t="str">
        <f>"125,3050"</f>
        <v>125,3050</v>
      </c>
      <c r="K16" s="22" t="s">
        <v>8</v>
      </c>
    </row>
    <row r="17" spans="1:11" x14ac:dyDescent="0.2">
      <c r="A17" s="11" t="s">
        <v>165</v>
      </c>
      <c r="B17" s="11" t="s">
        <v>166</v>
      </c>
      <c r="C17" s="11" t="s">
        <v>167</v>
      </c>
      <c r="D17" s="11" t="s">
        <v>550</v>
      </c>
      <c r="E17" s="14" t="s">
        <v>162</v>
      </c>
      <c r="F17" s="14" t="s">
        <v>162</v>
      </c>
      <c r="G17" s="10" t="s">
        <v>162</v>
      </c>
      <c r="H17" s="14"/>
      <c r="I17" s="9" t="str">
        <f>"175,0"</f>
        <v>175,0</v>
      </c>
      <c r="J17" s="26" t="str">
        <f>"114,3538"</f>
        <v>114,3538</v>
      </c>
      <c r="K17" s="11" t="s">
        <v>8</v>
      </c>
    </row>
    <row r="18" spans="1:11" ht="15" x14ac:dyDescent="0.2">
      <c r="A18" s="33" t="s">
        <v>13</v>
      </c>
      <c r="B18" s="33"/>
      <c r="C18" s="33"/>
      <c r="D18" s="33"/>
      <c r="E18" s="33"/>
      <c r="F18" s="33"/>
      <c r="G18" s="33"/>
      <c r="H18" s="33"/>
    </row>
    <row r="19" spans="1:11" x14ac:dyDescent="0.2">
      <c r="A19" s="8" t="s">
        <v>168</v>
      </c>
      <c r="B19" s="8" t="s">
        <v>169</v>
      </c>
      <c r="C19" s="8" t="s">
        <v>170</v>
      </c>
      <c r="D19" s="8" t="s">
        <v>551</v>
      </c>
      <c r="E19" s="7" t="s">
        <v>171</v>
      </c>
      <c r="F19" s="7" t="s">
        <v>172</v>
      </c>
      <c r="G19" s="7" t="s">
        <v>37</v>
      </c>
      <c r="H19" s="15"/>
      <c r="I19" s="6" t="str">
        <f>"222,5"</f>
        <v>222,5</v>
      </c>
      <c r="J19" s="21" t="str">
        <f>"137,6941"</f>
        <v>137,6941</v>
      </c>
      <c r="K19" s="8" t="s">
        <v>8</v>
      </c>
    </row>
    <row r="20" spans="1:11" x14ac:dyDescent="0.2">
      <c r="A20" s="11" t="s">
        <v>173</v>
      </c>
      <c r="B20" s="11" t="s">
        <v>174</v>
      </c>
      <c r="C20" s="11" t="s">
        <v>175</v>
      </c>
      <c r="D20" s="11" t="s">
        <v>14</v>
      </c>
      <c r="E20" s="14" t="s">
        <v>171</v>
      </c>
      <c r="F20" s="14" t="s">
        <v>37</v>
      </c>
      <c r="G20" s="14" t="s">
        <v>37</v>
      </c>
      <c r="H20" s="14"/>
      <c r="I20" s="9" t="s">
        <v>522</v>
      </c>
      <c r="J20" s="26" t="s">
        <v>522</v>
      </c>
      <c r="K20" s="11" t="s">
        <v>8</v>
      </c>
    </row>
    <row r="21" spans="1:11" ht="15" x14ac:dyDescent="0.2">
      <c r="A21" s="33" t="s">
        <v>17</v>
      </c>
      <c r="B21" s="33"/>
      <c r="C21" s="33"/>
      <c r="D21" s="33"/>
      <c r="E21" s="33"/>
      <c r="F21" s="33"/>
      <c r="G21" s="33"/>
      <c r="H21" s="33"/>
    </row>
    <row r="22" spans="1:11" x14ac:dyDescent="0.2">
      <c r="A22" s="8" t="s">
        <v>176</v>
      </c>
      <c r="B22" s="8" t="s">
        <v>177</v>
      </c>
      <c r="C22" s="8" t="s">
        <v>178</v>
      </c>
      <c r="D22" s="8" t="s">
        <v>544</v>
      </c>
      <c r="E22" s="7" t="s">
        <v>179</v>
      </c>
      <c r="F22" s="7" t="s">
        <v>180</v>
      </c>
      <c r="G22" s="15" t="s">
        <v>181</v>
      </c>
      <c r="H22" s="15"/>
      <c r="I22" s="6" t="str">
        <f>"245,0"</f>
        <v>245,0</v>
      </c>
      <c r="J22" s="21" t="str">
        <f>"145,5300"</f>
        <v>145,5300</v>
      </c>
      <c r="K22" s="8" t="s">
        <v>8</v>
      </c>
    </row>
    <row r="23" spans="1:11" x14ac:dyDescent="0.2">
      <c r="A23" s="22" t="s">
        <v>182</v>
      </c>
      <c r="B23" s="22" t="s">
        <v>183</v>
      </c>
      <c r="C23" s="22" t="s">
        <v>184</v>
      </c>
      <c r="D23" s="22" t="s">
        <v>14</v>
      </c>
      <c r="E23" s="23" t="s">
        <v>164</v>
      </c>
      <c r="F23" s="32" t="s">
        <v>185</v>
      </c>
      <c r="G23" s="23" t="s">
        <v>186</v>
      </c>
      <c r="H23" s="32"/>
      <c r="I23" s="24" t="str">
        <f>"205,0"</f>
        <v>205,0</v>
      </c>
      <c r="J23" s="25" t="str">
        <f>"121,5343"</f>
        <v>121,5343</v>
      </c>
      <c r="K23" s="22" t="s">
        <v>8</v>
      </c>
    </row>
    <row r="24" spans="1:11" x14ac:dyDescent="0.2">
      <c r="A24" s="22" t="s">
        <v>187</v>
      </c>
      <c r="B24" s="22" t="s">
        <v>188</v>
      </c>
      <c r="C24" s="22" t="s">
        <v>189</v>
      </c>
      <c r="D24" s="22" t="s">
        <v>552</v>
      </c>
      <c r="E24" s="23" t="s">
        <v>164</v>
      </c>
      <c r="F24" s="23" t="s">
        <v>171</v>
      </c>
      <c r="G24" s="32" t="s">
        <v>186</v>
      </c>
      <c r="H24" s="32"/>
      <c r="I24" s="24" t="str">
        <f>"200,0"</f>
        <v>200,0</v>
      </c>
      <c r="J24" s="25" t="str">
        <f>"118,0400"</f>
        <v>118,0400</v>
      </c>
      <c r="K24" s="22" t="s">
        <v>8</v>
      </c>
    </row>
    <row r="25" spans="1:11" x14ac:dyDescent="0.2">
      <c r="A25" s="11" t="s">
        <v>190</v>
      </c>
      <c r="B25" s="11" t="s">
        <v>191</v>
      </c>
      <c r="C25" s="11" t="s">
        <v>192</v>
      </c>
      <c r="D25" s="11" t="s">
        <v>14</v>
      </c>
      <c r="E25" s="14" t="s">
        <v>158</v>
      </c>
      <c r="F25" s="10" t="s">
        <v>154</v>
      </c>
      <c r="G25" s="10" t="s">
        <v>163</v>
      </c>
      <c r="H25" s="14"/>
      <c r="I25" s="9" t="str">
        <f>"185,0"</f>
        <v>185,0</v>
      </c>
      <c r="J25" s="26" t="str">
        <f>"108,8817"</f>
        <v>108,8817</v>
      </c>
      <c r="K25" s="11" t="s">
        <v>8</v>
      </c>
    </row>
    <row r="26" spans="1:11" ht="15" x14ac:dyDescent="0.2">
      <c r="A26" s="33" t="s">
        <v>36</v>
      </c>
      <c r="B26" s="33"/>
      <c r="C26" s="33"/>
      <c r="D26" s="33"/>
      <c r="E26" s="33"/>
      <c r="F26" s="33"/>
      <c r="G26" s="33"/>
      <c r="H26" s="33"/>
    </row>
    <row r="27" spans="1:11" x14ac:dyDescent="0.2">
      <c r="A27" s="5" t="s">
        <v>193</v>
      </c>
      <c r="B27" s="5" t="s">
        <v>194</v>
      </c>
      <c r="C27" s="5" t="s">
        <v>195</v>
      </c>
      <c r="D27" s="5" t="s">
        <v>14</v>
      </c>
      <c r="E27" s="12" t="s">
        <v>196</v>
      </c>
      <c r="F27" s="4" t="s">
        <v>197</v>
      </c>
      <c r="G27" s="4" t="s">
        <v>198</v>
      </c>
      <c r="H27" s="12"/>
      <c r="I27" s="3" t="str">
        <f>"285,0"</f>
        <v>285,0</v>
      </c>
      <c r="J27" s="20" t="str">
        <f>"156,2370"</f>
        <v>156,2370</v>
      </c>
      <c r="K27" s="5" t="s">
        <v>8</v>
      </c>
    </row>
  </sheetData>
  <mergeCells count="16">
    <mergeCell ref="I1:I2"/>
    <mergeCell ref="J1:J2"/>
    <mergeCell ref="K1:K2"/>
    <mergeCell ref="A1:A2"/>
    <mergeCell ref="B1:B2"/>
    <mergeCell ref="C1:C2"/>
    <mergeCell ref="D1:D2"/>
    <mergeCell ref="E1:H1"/>
    <mergeCell ref="A18:H18"/>
    <mergeCell ref="A21:H21"/>
    <mergeCell ref="A26:H26"/>
    <mergeCell ref="A3:H3"/>
    <mergeCell ref="A5:H5"/>
    <mergeCell ref="A7:H7"/>
    <mergeCell ref="A12:H12"/>
    <mergeCell ref="A14:H1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H12"/>
  <sheetViews>
    <sheetView zoomScaleNormal="100" workbookViewId="0">
      <selection activeCell="D4" sqref="D4"/>
    </sheetView>
  </sheetViews>
  <sheetFormatPr defaultColWidth="9.140625" defaultRowHeight="12.75" x14ac:dyDescent="0.2"/>
  <cols>
    <col min="1" max="1" width="24.7109375" style="16" customWidth="1"/>
    <col min="2" max="2" width="29.85546875" style="16" customWidth="1"/>
    <col min="3" max="3" width="8.85546875" style="16" customWidth="1"/>
    <col min="4" max="4" width="8" style="16" bestFit="1" customWidth="1"/>
    <col min="5" max="7" width="5.5703125" style="17" customWidth="1"/>
    <col min="8" max="8" width="4.5703125" style="17" customWidth="1"/>
    <col min="9" max="9" width="7.7109375" style="1" customWidth="1"/>
    <col min="10" max="10" width="8.5703125" style="18" customWidth="1"/>
    <col min="11" max="11" width="8.28515625" style="16" customWidth="1"/>
    <col min="12" max="1022" width="9.140625" style="17"/>
  </cols>
  <sheetData>
    <row r="1" spans="1:11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517</v>
      </c>
      <c r="F1" s="38"/>
      <c r="G1" s="38"/>
      <c r="H1" s="38"/>
      <c r="I1" s="37" t="s">
        <v>520</v>
      </c>
      <c r="J1" s="37" t="s">
        <v>39</v>
      </c>
      <c r="K1" s="39" t="s">
        <v>40</v>
      </c>
    </row>
    <row r="2" spans="1:11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37"/>
      <c r="J2" s="37"/>
      <c r="K2" s="39"/>
    </row>
    <row r="3" spans="1:11" ht="15" x14ac:dyDescent="0.2">
      <c r="A3" s="34" t="s">
        <v>41</v>
      </c>
      <c r="B3" s="34"/>
      <c r="C3" s="34"/>
      <c r="D3" s="34"/>
      <c r="E3" s="34"/>
      <c r="F3" s="34"/>
      <c r="G3" s="34"/>
      <c r="H3" s="34"/>
    </row>
    <row r="4" spans="1:11" x14ac:dyDescent="0.2">
      <c r="A4" s="5" t="s">
        <v>214</v>
      </c>
      <c r="B4" s="5" t="s">
        <v>215</v>
      </c>
      <c r="C4" s="5" t="s">
        <v>216</v>
      </c>
      <c r="D4" s="5" t="s">
        <v>529</v>
      </c>
      <c r="E4" s="4" t="s">
        <v>10</v>
      </c>
      <c r="F4" s="4" t="s">
        <v>24</v>
      </c>
      <c r="G4" s="12" t="s">
        <v>11</v>
      </c>
      <c r="H4" s="12"/>
      <c r="I4" s="3" t="str">
        <f>"65,0"</f>
        <v>65,0</v>
      </c>
      <c r="J4" s="20" t="str">
        <f>"69,6540"</f>
        <v>69,6540</v>
      </c>
      <c r="K4" s="5" t="s">
        <v>8</v>
      </c>
    </row>
    <row r="5" spans="1:11" ht="15" x14ac:dyDescent="0.2">
      <c r="A5" s="33" t="s">
        <v>46</v>
      </c>
      <c r="B5" s="33"/>
      <c r="C5" s="33"/>
      <c r="D5" s="33"/>
      <c r="E5" s="33"/>
      <c r="F5" s="33"/>
      <c r="G5" s="33"/>
      <c r="H5" s="33"/>
    </row>
    <row r="6" spans="1:11" x14ac:dyDescent="0.2">
      <c r="A6" s="5" t="s">
        <v>217</v>
      </c>
      <c r="B6" s="5" t="s">
        <v>218</v>
      </c>
      <c r="C6" s="5" t="s">
        <v>219</v>
      </c>
      <c r="D6" s="5" t="s">
        <v>14</v>
      </c>
      <c r="E6" s="4" t="s">
        <v>21</v>
      </c>
      <c r="F6" s="4" t="s">
        <v>29</v>
      </c>
      <c r="G6" s="12" t="s">
        <v>148</v>
      </c>
      <c r="H6" s="12"/>
      <c r="I6" s="3" t="str">
        <f>"110,0"</f>
        <v>110,0</v>
      </c>
      <c r="J6" s="20" t="str">
        <f>"113,8388"</f>
        <v>113,8388</v>
      </c>
      <c r="K6" s="5" t="s">
        <v>8</v>
      </c>
    </row>
    <row r="7" spans="1:11" ht="15" x14ac:dyDescent="0.2">
      <c r="A7" s="33" t="s">
        <v>52</v>
      </c>
      <c r="B7" s="33"/>
      <c r="C7" s="33"/>
      <c r="D7" s="33"/>
      <c r="E7" s="33"/>
      <c r="F7" s="33"/>
      <c r="G7" s="33"/>
      <c r="H7" s="33"/>
    </row>
    <row r="8" spans="1:11" x14ac:dyDescent="0.2">
      <c r="A8" s="5" t="s">
        <v>220</v>
      </c>
      <c r="B8" s="5" t="s">
        <v>221</v>
      </c>
      <c r="C8" s="5" t="s">
        <v>222</v>
      </c>
      <c r="D8" s="5" t="s">
        <v>14</v>
      </c>
      <c r="E8" s="12" t="s">
        <v>15</v>
      </c>
      <c r="F8" s="4" t="s">
        <v>15</v>
      </c>
      <c r="G8" s="12" t="s">
        <v>21</v>
      </c>
      <c r="H8" s="12"/>
      <c r="I8" s="3" t="str">
        <f>"90,0"</f>
        <v>90,0</v>
      </c>
      <c r="J8" s="20" t="str">
        <f>"61,3125"</f>
        <v>61,3125</v>
      </c>
      <c r="K8" s="5" t="s">
        <v>8</v>
      </c>
    </row>
    <row r="9" spans="1:11" ht="15" x14ac:dyDescent="0.2">
      <c r="A9" s="33" t="s">
        <v>13</v>
      </c>
      <c r="B9" s="33"/>
      <c r="C9" s="33"/>
      <c r="D9" s="33"/>
      <c r="E9" s="33"/>
      <c r="F9" s="33"/>
      <c r="G9" s="33"/>
      <c r="H9" s="33"/>
    </row>
    <row r="10" spans="1:11" x14ac:dyDescent="0.2">
      <c r="A10" s="5" t="s">
        <v>223</v>
      </c>
      <c r="B10" s="5" t="s">
        <v>224</v>
      </c>
      <c r="C10" s="5" t="s">
        <v>225</v>
      </c>
      <c r="D10" s="5" t="s">
        <v>529</v>
      </c>
      <c r="E10" s="12" t="s">
        <v>171</v>
      </c>
      <c r="F10" s="12" t="s">
        <v>171</v>
      </c>
      <c r="G10" s="12" t="s">
        <v>171</v>
      </c>
      <c r="H10" s="12"/>
      <c r="I10" s="3" t="s">
        <v>522</v>
      </c>
      <c r="J10" s="20" t="s">
        <v>522</v>
      </c>
      <c r="K10" s="5" t="s">
        <v>8</v>
      </c>
    </row>
    <row r="11" spans="1:11" ht="15" x14ac:dyDescent="0.2">
      <c r="A11" s="33" t="s">
        <v>122</v>
      </c>
      <c r="B11" s="33"/>
      <c r="C11" s="33"/>
      <c r="D11" s="33"/>
      <c r="E11" s="33"/>
      <c r="F11" s="33"/>
      <c r="G11" s="33"/>
      <c r="H11" s="33"/>
    </row>
    <row r="12" spans="1:11" x14ac:dyDescent="0.2">
      <c r="A12" s="5" t="s">
        <v>226</v>
      </c>
      <c r="B12" s="5" t="s">
        <v>227</v>
      </c>
      <c r="C12" s="5" t="s">
        <v>228</v>
      </c>
      <c r="D12" s="5" t="s">
        <v>14</v>
      </c>
      <c r="E12" s="4" t="s">
        <v>203</v>
      </c>
      <c r="F12" s="4" t="s">
        <v>181</v>
      </c>
      <c r="G12" s="12" t="s">
        <v>197</v>
      </c>
      <c r="H12" s="12"/>
      <c r="I12" s="3" t="str">
        <f>"250,0"</f>
        <v>250,0</v>
      </c>
      <c r="J12" s="20" t="str">
        <f>"140,8662"</f>
        <v>140,8662</v>
      </c>
      <c r="K12" s="5" t="s">
        <v>8</v>
      </c>
    </row>
  </sheetData>
  <mergeCells count="13">
    <mergeCell ref="I1:I2"/>
    <mergeCell ref="J1:J2"/>
    <mergeCell ref="K1:K2"/>
    <mergeCell ref="A1:A2"/>
    <mergeCell ref="B1:B2"/>
    <mergeCell ref="C1:C2"/>
    <mergeCell ref="D1:D2"/>
    <mergeCell ref="E1:H1"/>
    <mergeCell ref="A3:H3"/>
    <mergeCell ref="A5:H5"/>
    <mergeCell ref="A7:H7"/>
    <mergeCell ref="A9:H9"/>
    <mergeCell ref="A11:H1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H6"/>
  <sheetViews>
    <sheetView zoomScaleNormal="100" zoomScalePageLayoutView="60" workbookViewId="0">
      <selection activeCell="A5" sqref="A5:P5"/>
    </sheetView>
  </sheetViews>
  <sheetFormatPr defaultColWidth="9.140625" defaultRowHeight="12.75" x14ac:dyDescent="0.2"/>
  <cols>
    <col min="1" max="1" width="24.7109375" style="16" customWidth="1"/>
    <col min="2" max="2" width="25.140625" style="16" customWidth="1"/>
    <col min="3" max="3" width="6.5703125" style="16" bestFit="1" customWidth="1"/>
    <col min="4" max="4" width="11" style="16" bestFit="1" customWidth="1"/>
    <col min="5" max="7" width="5.5703125" style="17" customWidth="1"/>
    <col min="8" max="8" width="4.5703125" style="17" customWidth="1"/>
    <col min="9" max="11" width="5.5703125" style="17" customWidth="1"/>
    <col min="12" max="12" width="4.5703125" style="17" customWidth="1"/>
    <col min="13" max="15" width="5.5703125" style="17" customWidth="1"/>
    <col min="16" max="16" width="4.5703125" style="17" customWidth="1"/>
    <col min="17" max="17" width="7.7109375" style="1" customWidth="1"/>
    <col min="18" max="18" width="8.5703125" style="18" customWidth="1"/>
    <col min="19" max="19" width="8.28515625" style="16" customWidth="1"/>
    <col min="20" max="1022" width="9.140625" style="17"/>
  </cols>
  <sheetData>
    <row r="1" spans="1:19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383</v>
      </c>
      <c r="F1" s="38"/>
      <c r="G1" s="38"/>
      <c r="H1" s="38"/>
      <c r="I1" s="38" t="s">
        <v>517</v>
      </c>
      <c r="J1" s="38"/>
      <c r="K1" s="38"/>
      <c r="L1" s="38"/>
      <c r="M1" s="38" t="s">
        <v>518</v>
      </c>
      <c r="N1" s="38"/>
      <c r="O1" s="38"/>
      <c r="P1" s="38"/>
      <c r="Q1" s="37" t="s">
        <v>521</v>
      </c>
      <c r="R1" s="37" t="s">
        <v>39</v>
      </c>
      <c r="S1" s="39" t="s">
        <v>40</v>
      </c>
    </row>
    <row r="2" spans="1:19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19">
        <v>1</v>
      </c>
      <c r="J2" s="19">
        <v>2</v>
      </c>
      <c r="K2" s="19">
        <v>3</v>
      </c>
      <c r="L2" s="19" t="s">
        <v>62</v>
      </c>
      <c r="M2" s="19">
        <v>1</v>
      </c>
      <c r="N2" s="19">
        <v>2</v>
      </c>
      <c r="O2" s="19">
        <v>3</v>
      </c>
      <c r="P2" s="19" t="s">
        <v>62</v>
      </c>
      <c r="Q2" s="37"/>
      <c r="R2" s="37"/>
      <c r="S2" s="39"/>
    </row>
    <row r="3" spans="1:19" ht="15" x14ac:dyDescent="0.2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9" x14ac:dyDescent="0.2">
      <c r="A4" s="5" t="s">
        <v>496</v>
      </c>
      <c r="B4" s="5" t="s">
        <v>497</v>
      </c>
      <c r="C4" s="5" t="s">
        <v>498</v>
      </c>
      <c r="D4" s="5" t="s">
        <v>553</v>
      </c>
      <c r="E4" s="4" t="s">
        <v>171</v>
      </c>
      <c r="F4" s="12" t="s">
        <v>388</v>
      </c>
      <c r="G4" s="4" t="s">
        <v>388</v>
      </c>
      <c r="H4" s="12"/>
      <c r="I4" s="4" t="s">
        <v>299</v>
      </c>
      <c r="J4" s="4" t="s">
        <v>33</v>
      </c>
      <c r="K4" s="4" t="s">
        <v>153</v>
      </c>
      <c r="L4" s="12"/>
      <c r="M4" s="4" t="s">
        <v>172</v>
      </c>
      <c r="N4" s="4" t="s">
        <v>179</v>
      </c>
      <c r="O4" s="4" t="s">
        <v>181</v>
      </c>
      <c r="P4" s="12"/>
      <c r="Q4" s="3" t="str">
        <f>"620,0"</f>
        <v>620,0</v>
      </c>
      <c r="R4" s="20" t="str">
        <f>"379,5950"</f>
        <v>379,5950</v>
      </c>
      <c r="S4" s="5" t="s">
        <v>8</v>
      </c>
    </row>
    <row r="5" spans="1:19" ht="15" x14ac:dyDescent="0.2">
      <c r="A5" s="33" t="s">
        <v>59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9" x14ac:dyDescent="0.2">
      <c r="A6" s="5" t="s">
        <v>499</v>
      </c>
      <c r="B6" s="5" t="s">
        <v>500</v>
      </c>
      <c r="C6" s="5" t="s">
        <v>501</v>
      </c>
      <c r="D6" s="5" t="s">
        <v>524</v>
      </c>
      <c r="E6" s="4" t="s">
        <v>203</v>
      </c>
      <c r="F6" s="4" t="s">
        <v>181</v>
      </c>
      <c r="G6" s="4" t="s">
        <v>502</v>
      </c>
      <c r="H6" s="12"/>
      <c r="I6" s="4" t="s">
        <v>158</v>
      </c>
      <c r="J6" s="4" t="s">
        <v>207</v>
      </c>
      <c r="K6" s="12" t="s">
        <v>164</v>
      </c>
      <c r="L6" s="12"/>
      <c r="M6" s="4" t="s">
        <v>181</v>
      </c>
      <c r="N6" s="4" t="s">
        <v>503</v>
      </c>
      <c r="O6" s="4" t="s">
        <v>504</v>
      </c>
      <c r="P6" s="12"/>
      <c r="Q6" s="3" t="str">
        <f>"730,0"</f>
        <v>730,0</v>
      </c>
      <c r="R6" s="20" t="str">
        <f>"420,6990"</f>
        <v>420,6990</v>
      </c>
      <c r="S6" s="5" t="s">
        <v>8</v>
      </c>
    </row>
  </sheetData>
  <mergeCells count="12">
    <mergeCell ref="Q1:Q2"/>
    <mergeCell ref="R1:R2"/>
    <mergeCell ref="S1:S2"/>
    <mergeCell ref="A3:P3"/>
    <mergeCell ref="A5:P5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H8"/>
  <sheetViews>
    <sheetView zoomScaleNormal="100" zoomScalePageLayoutView="60" workbookViewId="0">
      <selection activeCell="D7" sqref="D7"/>
    </sheetView>
  </sheetViews>
  <sheetFormatPr defaultColWidth="9.140625" defaultRowHeight="12.75" x14ac:dyDescent="0.2"/>
  <cols>
    <col min="1" max="1" width="24.7109375" style="16" customWidth="1"/>
    <col min="2" max="2" width="29" style="16" customWidth="1"/>
    <col min="3" max="3" width="5.5703125" style="16" bestFit="1" customWidth="1"/>
    <col min="4" max="4" width="11" style="16" bestFit="1" customWidth="1"/>
    <col min="5" max="7" width="5.5703125" style="17" customWidth="1"/>
    <col min="8" max="8" width="4.5703125" style="17" customWidth="1"/>
    <col min="9" max="11" width="5.5703125" style="17" customWidth="1"/>
    <col min="12" max="12" width="4.5703125" style="17" customWidth="1"/>
    <col min="13" max="15" width="5.5703125" style="17" customWidth="1"/>
    <col min="16" max="16" width="4.5703125" style="17" customWidth="1"/>
    <col min="17" max="17" width="7.7109375" style="1" customWidth="1"/>
    <col min="18" max="18" width="8.5703125" style="18" customWidth="1"/>
    <col min="19" max="19" width="8.28515625" style="16" customWidth="1"/>
    <col min="20" max="1022" width="9.140625" style="17"/>
  </cols>
  <sheetData>
    <row r="1" spans="1:19" s="2" customFormat="1" ht="12.75" customHeight="1" x14ac:dyDescent="0.2">
      <c r="A1" s="35" t="s">
        <v>514</v>
      </c>
      <c r="B1" s="36" t="s">
        <v>0</v>
      </c>
      <c r="C1" s="36" t="s">
        <v>512</v>
      </c>
      <c r="D1" s="37" t="s">
        <v>513</v>
      </c>
      <c r="E1" s="38" t="s">
        <v>383</v>
      </c>
      <c r="F1" s="38"/>
      <c r="G1" s="38"/>
      <c r="H1" s="38"/>
      <c r="I1" s="38" t="s">
        <v>517</v>
      </c>
      <c r="J1" s="38"/>
      <c r="K1" s="38"/>
      <c r="L1" s="38"/>
      <c r="M1" s="38" t="s">
        <v>516</v>
      </c>
      <c r="N1" s="38"/>
      <c r="O1" s="38"/>
      <c r="P1" s="38"/>
      <c r="Q1" s="37" t="s">
        <v>384</v>
      </c>
      <c r="R1" s="37" t="s">
        <v>39</v>
      </c>
      <c r="S1" s="39" t="s">
        <v>40</v>
      </c>
    </row>
    <row r="2" spans="1:19" s="2" customFormat="1" ht="21" customHeight="1" x14ac:dyDescent="0.2">
      <c r="A2" s="35"/>
      <c r="B2" s="36"/>
      <c r="C2" s="36"/>
      <c r="D2" s="36"/>
      <c r="E2" s="19">
        <v>1</v>
      </c>
      <c r="F2" s="19">
        <v>2</v>
      </c>
      <c r="G2" s="19">
        <v>3</v>
      </c>
      <c r="H2" s="19" t="s">
        <v>62</v>
      </c>
      <c r="I2" s="19">
        <v>1</v>
      </c>
      <c r="J2" s="19">
        <v>2</v>
      </c>
      <c r="K2" s="19">
        <v>3</v>
      </c>
      <c r="L2" s="19" t="s">
        <v>62</v>
      </c>
      <c r="M2" s="19">
        <v>1</v>
      </c>
      <c r="N2" s="19">
        <v>2</v>
      </c>
      <c r="O2" s="19">
        <v>3</v>
      </c>
      <c r="P2" s="19" t="s">
        <v>62</v>
      </c>
      <c r="Q2" s="37"/>
      <c r="R2" s="37"/>
      <c r="S2" s="39"/>
    </row>
    <row r="3" spans="1:19" ht="15" x14ac:dyDescent="0.2">
      <c r="A3" s="34" t="s">
        <v>52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9" x14ac:dyDescent="0.2">
      <c r="A4" s="8" t="s">
        <v>204</v>
      </c>
      <c r="B4" s="8" t="s">
        <v>205</v>
      </c>
      <c r="C4" s="8" t="s">
        <v>206</v>
      </c>
      <c r="D4" s="8" t="s">
        <v>14</v>
      </c>
      <c r="E4" s="7" t="s">
        <v>33</v>
      </c>
      <c r="F4" s="7" t="s">
        <v>34</v>
      </c>
      <c r="G4" s="7" t="s">
        <v>158</v>
      </c>
      <c r="H4" s="15"/>
      <c r="I4" s="7" t="s">
        <v>16</v>
      </c>
      <c r="J4" s="7" t="s">
        <v>21</v>
      </c>
      <c r="K4" s="15" t="s">
        <v>260</v>
      </c>
      <c r="L4" s="15"/>
      <c r="M4" s="7" t="s">
        <v>158</v>
      </c>
      <c r="N4" s="7" t="s">
        <v>207</v>
      </c>
      <c r="O4" s="7" t="s">
        <v>163</v>
      </c>
      <c r="P4" s="15"/>
      <c r="Q4" s="6" t="str">
        <f>"455,0"</f>
        <v>455,0</v>
      </c>
      <c r="R4" s="21" t="str">
        <f>"362,2483"</f>
        <v>362,2483</v>
      </c>
      <c r="S4" s="8" t="s">
        <v>8</v>
      </c>
    </row>
    <row r="5" spans="1:19" x14ac:dyDescent="0.2">
      <c r="A5" s="11" t="s">
        <v>204</v>
      </c>
      <c r="B5" s="11" t="s">
        <v>505</v>
      </c>
      <c r="C5" s="11" t="s">
        <v>206</v>
      </c>
      <c r="D5" s="11" t="s">
        <v>14</v>
      </c>
      <c r="E5" s="10" t="s">
        <v>33</v>
      </c>
      <c r="F5" s="10" t="s">
        <v>34</v>
      </c>
      <c r="G5" s="10" t="s">
        <v>158</v>
      </c>
      <c r="H5" s="14"/>
      <c r="I5" s="10" t="s">
        <v>16</v>
      </c>
      <c r="J5" s="10" t="s">
        <v>21</v>
      </c>
      <c r="K5" s="14" t="s">
        <v>260</v>
      </c>
      <c r="L5" s="14"/>
      <c r="M5" s="10" t="s">
        <v>158</v>
      </c>
      <c r="N5" s="10" t="s">
        <v>207</v>
      </c>
      <c r="O5" s="10" t="s">
        <v>163</v>
      </c>
      <c r="P5" s="14"/>
      <c r="Q5" s="9" t="str">
        <f>"455,0"</f>
        <v>455,0</v>
      </c>
      <c r="R5" s="26" t="str">
        <f>"362,2483"</f>
        <v>362,2483</v>
      </c>
      <c r="S5" s="11" t="s">
        <v>8</v>
      </c>
    </row>
    <row r="6" spans="1:19" ht="15" x14ac:dyDescent="0.2">
      <c r="A6" s="33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9" x14ac:dyDescent="0.2">
      <c r="A7" s="8" t="s">
        <v>506</v>
      </c>
      <c r="B7" s="8" t="s">
        <v>507</v>
      </c>
      <c r="C7" s="8" t="s">
        <v>508</v>
      </c>
      <c r="D7" s="8" t="s">
        <v>554</v>
      </c>
      <c r="E7" s="7" t="s">
        <v>31</v>
      </c>
      <c r="F7" s="7" t="s">
        <v>34</v>
      </c>
      <c r="G7" s="15" t="s">
        <v>158</v>
      </c>
      <c r="H7" s="15"/>
      <c r="I7" s="7" t="s">
        <v>29</v>
      </c>
      <c r="J7" s="7" t="s">
        <v>141</v>
      </c>
      <c r="K7" s="7" t="s">
        <v>132</v>
      </c>
      <c r="L7" s="15"/>
      <c r="M7" s="7" t="s">
        <v>207</v>
      </c>
      <c r="N7" s="7" t="s">
        <v>171</v>
      </c>
      <c r="O7" s="7" t="s">
        <v>172</v>
      </c>
      <c r="P7" s="15"/>
      <c r="Q7" s="6" t="str">
        <f>"502,5"</f>
        <v>502,5</v>
      </c>
      <c r="R7" s="21" t="str">
        <f>"340,0669"</f>
        <v>340,0669</v>
      </c>
      <c r="S7" s="8" t="s">
        <v>8</v>
      </c>
    </row>
    <row r="8" spans="1:19" x14ac:dyDescent="0.2">
      <c r="A8" s="11" t="s">
        <v>509</v>
      </c>
      <c r="B8" s="11" t="s">
        <v>510</v>
      </c>
      <c r="C8" s="11" t="s">
        <v>511</v>
      </c>
      <c r="D8" s="11" t="s">
        <v>554</v>
      </c>
      <c r="E8" s="10" t="s">
        <v>21</v>
      </c>
      <c r="F8" s="10" t="s">
        <v>30</v>
      </c>
      <c r="G8" s="10" t="s">
        <v>31</v>
      </c>
      <c r="H8" s="14"/>
      <c r="I8" s="10" t="s">
        <v>12</v>
      </c>
      <c r="J8" s="10" t="s">
        <v>15</v>
      </c>
      <c r="K8" s="10" t="s">
        <v>16</v>
      </c>
      <c r="L8" s="14"/>
      <c r="M8" s="10" t="s">
        <v>33</v>
      </c>
      <c r="N8" s="10" t="s">
        <v>158</v>
      </c>
      <c r="O8" s="10" t="s">
        <v>163</v>
      </c>
      <c r="P8" s="14"/>
      <c r="Q8" s="9" t="str">
        <f>"410,0"</f>
        <v>410,0</v>
      </c>
      <c r="R8" s="26" t="str">
        <f>"275,6840"</f>
        <v>275,6840</v>
      </c>
      <c r="S8" s="11" t="s">
        <v>8</v>
      </c>
    </row>
  </sheetData>
  <mergeCells count="12">
    <mergeCell ref="Q1:Q2"/>
    <mergeCell ref="R1:R2"/>
    <mergeCell ref="S1:S2"/>
    <mergeCell ref="A3:P3"/>
    <mergeCell ref="A6:P6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AWPC б_э ПЛ</vt:lpstr>
      <vt:lpstr>AWPC Класс. ПЛ</vt:lpstr>
      <vt:lpstr>AWPC стр. под.на биц</vt:lpstr>
      <vt:lpstr>AWPC б_э жим</vt:lpstr>
      <vt:lpstr>AWPC 1 слой жим</vt:lpstr>
      <vt:lpstr>AWPC б_э тяга</vt:lpstr>
      <vt:lpstr>AWPC ст. софт эк. жим</vt:lpstr>
      <vt:lpstr>WPC класс. ПЛ</vt:lpstr>
      <vt:lpstr>WPC б_э ПЛ</vt:lpstr>
      <vt:lpstr>WPC 1 слой ПЛ</vt:lpstr>
      <vt:lpstr>WPC б_э жим</vt:lpstr>
      <vt:lpstr>WPC 1 слой жим</vt:lpstr>
      <vt:lpstr>WPC ст. софт эк. жим</vt:lpstr>
      <vt:lpstr>WPC жим стоя</vt:lpstr>
      <vt:lpstr>WPC 1 слой тяга</vt:lpstr>
      <vt:lpstr>WPC б_э тяга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dc:description/>
  <cp:lastModifiedBy>Pete Kravtsov</cp:lastModifiedBy>
  <cp:revision>2</cp:revision>
  <cp:lastPrinted>2021-02-14T14:31:00Z</cp:lastPrinted>
  <dcterms:created xsi:type="dcterms:W3CDTF">2002-06-16T13:36:44Z</dcterms:created>
  <dcterms:modified xsi:type="dcterms:W3CDTF">2021-03-25T17:58:56Z</dcterms:modified>
  <dc:language>ru-RU</dc:language>
</cp:coreProperties>
</file>