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wnloads/"/>
    </mc:Choice>
  </mc:AlternateContent>
  <xr:revisionPtr revIDLastSave="0" documentId="13_ncr:1_{6590B6BC-946C-2F47-8B07-7B49B125BE75}" xr6:coauthVersionLast="45" xr6:coauthVersionMax="45" xr10:uidLastSave="{00000000-0000-0000-0000-000000000000}"/>
  <bookViews>
    <workbookView xWindow="0" yWindow="460" windowWidth="28800" windowHeight="16180" tabRatio="826" firstSheet="25" activeTab="28" xr2:uid="{00000000-000D-0000-FFFF-FFFF00000000}"/>
  </bookViews>
  <sheets>
    <sheet name="Powersport Pro" sheetId="43" r:id="rId1"/>
    <sheet name="Powersport Am" sheetId="44" r:id="rId2"/>
    <sheet name="Biceps curl Pro" sheetId="45" r:id="rId3"/>
    <sheet name="Biceps curl Am" sheetId="46" r:id="rId4"/>
    <sheet name="BP Army Pro" sheetId="47" r:id="rId5"/>
    <sheet name="BP Army Am" sheetId="41" r:id="rId6"/>
    <sheet name="PP Pro" sheetId="29" r:id="rId7"/>
    <sheet name="PP Am" sheetId="28" r:id="rId8"/>
    <sheet name="SQ Raw Pro" sheetId="27" r:id="rId9"/>
    <sheet name="SQ Raw Am" sheetId="26" r:id="rId10"/>
    <sheet name="SQ Disabled" sheetId="25" r:id="rId11"/>
    <sheet name="DL Raw Pro" sheetId="24" r:id="rId12"/>
    <sheet name="DL Raw Am" sheetId="23" r:id="rId13"/>
    <sheet name="DL SP Am" sheetId="22" r:id="rId14"/>
    <sheet name="DL Disabled" sheetId="21" r:id="rId15"/>
    <sheet name="BP Soft 3ply Pro" sheetId="20" r:id="rId16"/>
    <sheet name="BP Soft 3ply Am" sheetId="19" r:id="rId17"/>
    <sheet name="BP Soft 2ply Pro" sheetId="18" r:id="rId18"/>
    <sheet name="BP Soft 2ply Am" sheetId="17" r:id="rId19"/>
    <sheet name="BP Raw Pro" sheetId="16" r:id="rId20"/>
    <sheet name="BP Raw Am" sheetId="15" r:id="rId21"/>
    <sheet name="BP SP Am" sheetId="13" r:id="rId22"/>
    <sheet name="BP Disabled" sheetId="12" r:id="rId23"/>
    <sheet name="BP Military Pro" sheetId="11" r:id="rId24"/>
    <sheet name="BP Military Am" sheetId="10" r:id="rId25"/>
    <sheet name="PL Soft Pro" sheetId="9" r:id="rId26"/>
    <sheet name="PL Soft Am" sheetId="8" r:id="rId27"/>
    <sheet name="PL Raw Pro" sheetId="7" r:id="rId28"/>
    <sheet name="PL Raw Am" sheetId="6" r:id="rId29"/>
    <sheet name="PL Disabled" sheetId="52" r:id="rId30"/>
    <sheet name="BP Biathlon" sheetId="50" r:id="rId31"/>
  </sheets>
  <definedNames>
    <definedName name="_FilterDatabase" localSheetId="5" hidden="1">'BP Army Am'!$A$1:$K$3</definedName>
    <definedName name="_FilterDatabase" localSheetId="29" hidden="1">'PL Disabled'!$A$1:$S$3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6" i="52" l="1"/>
  <c r="S6" i="52"/>
  <c r="K6" i="47"/>
  <c r="L6" i="47"/>
  <c r="K6" i="46"/>
  <c r="L6" i="46"/>
  <c r="K9" i="46"/>
  <c r="L9" i="46"/>
  <c r="K10" i="46"/>
  <c r="L10" i="46"/>
  <c r="K13" i="46"/>
  <c r="L13" i="46"/>
  <c r="K14" i="46"/>
  <c r="L14" i="46"/>
  <c r="K15" i="46"/>
  <c r="L15" i="46"/>
  <c r="K16" i="46"/>
  <c r="L16" i="46"/>
  <c r="K19" i="46"/>
  <c r="L19" i="46"/>
  <c r="K20" i="46"/>
  <c r="L20" i="46"/>
  <c r="K21" i="46"/>
  <c r="L21" i="46"/>
  <c r="K22" i="46"/>
  <c r="L22" i="46"/>
  <c r="K23" i="46"/>
  <c r="L23" i="46"/>
  <c r="K24" i="46"/>
  <c r="L24" i="46"/>
  <c r="K27" i="46"/>
  <c r="L27" i="46"/>
  <c r="K28" i="46"/>
  <c r="L28" i="46"/>
  <c r="K29" i="46"/>
  <c r="L29" i="46"/>
  <c r="K30" i="46"/>
  <c r="L30" i="46"/>
  <c r="K31" i="46"/>
  <c r="L31" i="46"/>
  <c r="K32" i="46"/>
  <c r="L32" i="46"/>
  <c r="K33" i="46"/>
  <c r="L33" i="46"/>
  <c r="K36" i="46"/>
  <c r="L36" i="46"/>
  <c r="K37" i="46"/>
  <c r="L37" i="46"/>
  <c r="K38" i="46"/>
  <c r="L38" i="46"/>
  <c r="K41" i="46"/>
  <c r="L41" i="46"/>
  <c r="K42" i="46"/>
  <c r="L42" i="46"/>
  <c r="K43" i="46"/>
  <c r="L43" i="46"/>
  <c r="K44" i="46"/>
  <c r="L44" i="46"/>
  <c r="K45" i="46"/>
  <c r="L45" i="46"/>
  <c r="K46" i="46"/>
  <c r="L46" i="46"/>
  <c r="K47" i="46"/>
  <c r="L47" i="46"/>
  <c r="K50" i="46"/>
  <c r="L50" i="46"/>
  <c r="K6" i="45"/>
  <c r="L6" i="45"/>
  <c r="K7" i="45"/>
  <c r="L7" i="45"/>
  <c r="K10" i="45"/>
  <c r="L10" i="45"/>
  <c r="K13" i="45"/>
  <c r="L13" i="45"/>
  <c r="O6" i="44"/>
  <c r="P6" i="44"/>
  <c r="O9" i="44"/>
  <c r="P9" i="44"/>
  <c r="O12" i="44"/>
  <c r="P12" i="44"/>
  <c r="O13" i="44"/>
  <c r="P13" i="44"/>
  <c r="O14" i="44"/>
  <c r="P14" i="44"/>
  <c r="O17" i="44"/>
  <c r="P17" i="44"/>
  <c r="O18" i="44"/>
  <c r="P18" i="44"/>
  <c r="O19" i="44"/>
  <c r="P19" i="44"/>
  <c r="O20" i="44"/>
  <c r="P20" i="44"/>
  <c r="O21" i="44"/>
  <c r="P21" i="44"/>
  <c r="O22" i="44"/>
  <c r="P22" i="44"/>
  <c r="O25" i="44"/>
  <c r="P25" i="44"/>
  <c r="O26" i="44"/>
  <c r="P26" i="44"/>
  <c r="O29" i="44"/>
  <c r="P29" i="44"/>
  <c r="O30" i="44"/>
  <c r="P30" i="44"/>
  <c r="O31" i="44"/>
  <c r="P31" i="44"/>
  <c r="O6" i="43"/>
  <c r="P6" i="43"/>
  <c r="O9" i="43"/>
  <c r="P9" i="43"/>
  <c r="O10" i="43"/>
  <c r="P10" i="43"/>
  <c r="O13" i="43"/>
  <c r="P13" i="43"/>
  <c r="K6" i="41"/>
  <c r="L6" i="41"/>
  <c r="K9" i="41"/>
  <c r="L9" i="41"/>
  <c r="K12" i="41"/>
  <c r="L12" i="41"/>
  <c r="K13" i="41"/>
  <c r="L13" i="41"/>
  <c r="K14" i="41"/>
  <c r="L14" i="41"/>
  <c r="K15" i="41"/>
  <c r="L15" i="41"/>
  <c r="K18" i="41"/>
  <c r="L18" i="41"/>
  <c r="K21" i="41"/>
  <c r="L21" i="41"/>
  <c r="K22" i="41"/>
  <c r="L22" i="41"/>
  <c r="K23" i="41"/>
  <c r="L23" i="41"/>
  <c r="P6" i="29"/>
  <c r="O6" i="29"/>
  <c r="P15" i="28"/>
  <c r="O15" i="28"/>
  <c r="P12" i="28"/>
  <c r="O12" i="28"/>
  <c r="P9" i="28"/>
  <c r="O9" i="28"/>
  <c r="P6" i="28"/>
  <c r="O6" i="28"/>
  <c r="L6" i="27"/>
  <c r="K6" i="27"/>
  <c r="L16" i="26"/>
  <c r="K16" i="26"/>
  <c r="L13" i="26"/>
  <c r="K13" i="26"/>
  <c r="L12" i="26"/>
  <c r="K12" i="26"/>
  <c r="L9" i="26"/>
  <c r="K9" i="26"/>
  <c r="L6" i="26"/>
  <c r="K6" i="26"/>
  <c r="L6" i="25"/>
  <c r="K6" i="25"/>
  <c r="L15" i="24"/>
  <c r="K15" i="24"/>
  <c r="L12" i="24"/>
  <c r="K12" i="24"/>
  <c r="L9" i="24"/>
  <c r="K9" i="24"/>
  <c r="L6" i="24"/>
  <c r="K6" i="24"/>
  <c r="L53" i="23"/>
  <c r="K53" i="23"/>
  <c r="L50" i="23"/>
  <c r="K50" i="23"/>
  <c r="L49" i="23"/>
  <c r="K49" i="23"/>
  <c r="L48" i="23"/>
  <c r="K48" i="23"/>
  <c r="L47" i="23"/>
  <c r="K47" i="23"/>
  <c r="L44" i="23"/>
  <c r="K44" i="23"/>
  <c r="L43" i="23"/>
  <c r="K43" i="23"/>
  <c r="L42" i="23"/>
  <c r="K42" i="23"/>
  <c r="L41" i="23"/>
  <c r="K41" i="23"/>
  <c r="L40" i="23"/>
  <c r="K40" i="23"/>
  <c r="L37" i="23"/>
  <c r="K37" i="23"/>
  <c r="L36" i="23"/>
  <c r="K36" i="23"/>
  <c r="L33" i="23"/>
  <c r="K33" i="23"/>
  <c r="L32" i="23"/>
  <c r="K32" i="23"/>
  <c r="L31" i="23"/>
  <c r="K31" i="23"/>
  <c r="L30" i="23"/>
  <c r="K30" i="23"/>
  <c r="L29" i="23"/>
  <c r="K29" i="23"/>
  <c r="L26" i="23"/>
  <c r="K26" i="23"/>
  <c r="L25" i="23"/>
  <c r="K25" i="23"/>
  <c r="L24" i="23"/>
  <c r="K24" i="23"/>
  <c r="L21" i="23"/>
  <c r="K21" i="23"/>
  <c r="L18" i="23"/>
  <c r="K18" i="23"/>
  <c r="L15" i="23"/>
  <c r="K15" i="23"/>
  <c r="L14" i="23"/>
  <c r="K14" i="23"/>
  <c r="L13" i="23"/>
  <c r="K13" i="23"/>
  <c r="L12" i="23"/>
  <c r="K12" i="23"/>
  <c r="L9" i="23"/>
  <c r="K9" i="23"/>
  <c r="L6" i="23"/>
  <c r="K6" i="23"/>
  <c r="L6" i="22"/>
  <c r="K6" i="22"/>
  <c r="L10" i="21"/>
  <c r="K10" i="21"/>
  <c r="L7" i="21"/>
  <c r="K7" i="21"/>
  <c r="L6" i="21"/>
  <c r="K6" i="21"/>
  <c r="L6" i="20"/>
  <c r="K6" i="20"/>
  <c r="L12" i="19"/>
  <c r="L9" i="19"/>
  <c r="L6" i="19"/>
  <c r="L16" i="18"/>
  <c r="K16" i="18"/>
  <c r="L15" i="18"/>
  <c r="K15" i="18"/>
  <c r="L12" i="18"/>
  <c r="K12" i="18"/>
  <c r="L9" i="18"/>
  <c r="K9" i="18"/>
  <c r="L6" i="18"/>
  <c r="K6" i="18"/>
  <c r="L25" i="17"/>
  <c r="K25" i="17"/>
  <c r="L22" i="17"/>
  <c r="K22" i="17"/>
  <c r="L21" i="17"/>
  <c r="K21" i="17"/>
  <c r="L18" i="17"/>
  <c r="K18" i="17"/>
  <c r="L15" i="17"/>
  <c r="K15" i="17"/>
  <c r="L12" i="17"/>
  <c r="K12" i="17"/>
  <c r="L9" i="17"/>
  <c r="K9" i="17"/>
  <c r="L6" i="17"/>
  <c r="K6" i="17"/>
  <c r="L43" i="16"/>
  <c r="K43" i="16"/>
  <c r="L40" i="16"/>
  <c r="K40" i="16"/>
  <c r="L39" i="16"/>
  <c r="K39" i="16"/>
  <c r="L36" i="16"/>
  <c r="K36" i="16"/>
  <c r="L35" i="16"/>
  <c r="K35" i="16"/>
  <c r="L34" i="16"/>
  <c r="K34" i="16"/>
  <c r="L33" i="16"/>
  <c r="K33" i="16"/>
  <c r="L32" i="16"/>
  <c r="K32" i="16"/>
  <c r="L31" i="16"/>
  <c r="K31" i="16"/>
  <c r="L30" i="16"/>
  <c r="K30" i="16"/>
  <c r="L27" i="16"/>
  <c r="K27" i="16"/>
  <c r="L26" i="16"/>
  <c r="K26" i="16"/>
  <c r="L25" i="16"/>
  <c r="K25" i="16"/>
  <c r="L24" i="16"/>
  <c r="K24" i="16"/>
  <c r="L21" i="16"/>
  <c r="K21" i="16"/>
  <c r="L20" i="16"/>
  <c r="K20" i="16"/>
  <c r="L17" i="16"/>
  <c r="K17" i="16"/>
  <c r="L16" i="16"/>
  <c r="K16" i="16"/>
  <c r="L15" i="16"/>
  <c r="K15" i="16"/>
  <c r="L14" i="16"/>
  <c r="K14" i="16"/>
  <c r="L13" i="16"/>
  <c r="K13" i="16"/>
  <c r="L10" i="16"/>
  <c r="K10" i="16"/>
  <c r="L9" i="16"/>
  <c r="K9" i="16"/>
  <c r="L6" i="16"/>
  <c r="K6" i="16"/>
  <c r="L76" i="15"/>
  <c r="K76" i="15"/>
  <c r="L73" i="15"/>
  <c r="K73" i="15"/>
  <c r="L72" i="15"/>
  <c r="K72" i="15"/>
  <c r="L71" i="15"/>
  <c r="K71" i="15"/>
  <c r="L68" i="15"/>
  <c r="K68" i="15"/>
  <c r="L67" i="15"/>
  <c r="K67" i="15"/>
  <c r="L64" i="15"/>
  <c r="K64" i="15"/>
  <c r="L63" i="15"/>
  <c r="K63" i="15"/>
  <c r="L62" i="15"/>
  <c r="K62" i="15"/>
  <c r="L61" i="15"/>
  <c r="K61" i="15"/>
  <c r="L60" i="15"/>
  <c r="K60" i="15"/>
  <c r="L59" i="15"/>
  <c r="K59" i="15"/>
  <c r="L58" i="15"/>
  <c r="K58" i="15"/>
  <c r="L57" i="15"/>
  <c r="K57" i="15"/>
  <c r="L56" i="15"/>
  <c r="K56" i="15"/>
  <c r="L55" i="15"/>
  <c r="K55" i="15"/>
  <c r="L52" i="15"/>
  <c r="K52" i="15"/>
  <c r="L51" i="15"/>
  <c r="K51" i="15"/>
  <c r="L50" i="15"/>
  <c r="K50" i="15"/>
  <c r="L49" i="15"/>
  <c r="K49" i="15"/>
  <c r="L48" i="15"/>
  <c r="K48" i="15"/>
  <c r="L47" i="15"/>
  <c r="K47" i="15"/>
  <c r="L44" i="15"/>
  <c r="K44" i="15"/>
  <c r="L43" i="15"/>
  <c r="K43" i="15"/>
  <c r="L42" i="15"/>
  <c r="K42" i="15"/>
  <c r="L41" i="15"/>
  <c r="K41" i="15"/>
  <c r="L40" i="15"/>
  <c r="K40" i="15"/>
  <c r="L37" i="15"/>
  <c r="K37" i="15"/>
  <c r="L36" i="15"/>
  <c r="K36" i="15"/>
  <c r="L35" i="15"/>
  <c r="K35" i="15"/>
  <c r="L34" i="15"/>
  <c r="K34" i="15"/>
  <c r="L31" i="15"/>
  <c r="K31" i="15"/>
  <c r="L30" i="15"/>
  <c r="K30" i="15"/>
  <c r="L29" i="15"/>
  <c r="K29" i="15"/>
  <c r="L28" i="15"/>
  <c r="K28" i="15"/>
  <c r="L25" i="15"/>
  <c r="K25" i="15"/>
  <c r="L24" i="15"/>
  <c r="K24" i="15"/>
  <c r="L23" i="15"/>
  <c r="K23" i="15"/>
  <c r="L20" i="15"/>
  <c r="K20" i="15"/>
  <c r="L17" i="15"/>
  <c r="K17" i="15"/>
  <c r="L14" i="15"/>
  <c r="K14" i="15"/>
  <c r="L11" i="15"/>
  <c r="K11" i="15"/>
  <c r="L10" i="15"/>
  <c r="K10" i="15"/>
  <c r="L7" i="15"/>
  <c r="K7" i="15"/>
  <c r="L6" i="15"/>
  <c r="K6" i="15"/>
  <c r="L6" i="13"/>
  <c r="K6" i="13"/>
  <c r="L12" i="12"/>
  <c r="K12" i="12"/>
  <c r="L9" i="12"/>
  <c r="K9" i="12"/>
  <c r="L6" i="12"/>
  <c r="K6" i="12"/>
  <c r="L11" i="11"/>
  <c r="K11" i="11"/>
  <c r="L10" i="11"/>
  <c r="K10" i="11"/>
  <c r="L9" i="11"/>
  <c r="K9" i="11"/>
  <c r="L6" i="11"/>
  <c r="K6" i="11"/>
  <c r="L43" i="10"/>
  <c r="K43" i="10"/>
  <c r="L40" i="10"/>
  <c r="K40" i="10"/>
  <c r="L37" i="10"/>
  <c r="K37" i="10"/>
  <c r="L34" i="10"/>
  <c r="K34" i="10"/>
  <c r="L33" i="10"/>
  <c r="K33" i="10"/>
  <c r="L30" i="10"/>
  <c r="K30" i="10"/>
  <c r="L29" i="10"/>
  <c r="K29" i="10"/>
  <c r="L28" i="10"/>
  <c r="K28" i="10"/>
  <c r="L27" i="10"/>
  <c r="K27" i="10"/>
  <c r="L24" i="10"/>
  <c r="K24" i="10"/>
  <c r="L23" i="10"/>
  <c r="K23" i="10"/>
  <c r="L22" i="10"/>
  <c r="K22" i="10"/>
  <c r="L19" i="10"/>
  <c r="K19" i="10"/>
  <c r="L18" i="10"/>
  <c r="K18" i="10"/>
  <c r="L15" i="10"/>
  <c r="K15" i="10"/>
  <c r="L14" i="10"/>
  <c r="K14" i="10"/>
  <c r="L11" i="10"/>
  <c r="K11" i="10"/>
  <c r="L10" i="10"/>
  <c r="K10" i="10"/>
  <c r="L9" i="10"/>
  <c r="K9" i="10"/>
  <c r="L6" i="10"/>
  <c r="K6" i="10"/>
  <c r="T6" i="9"/>
  <c r="S6" i="9"/>
  <c r="T9" i="8"/>
  <c r="S9" i="8"/>
  <c r="T6" i="8"/>
  <c r="S6" i="8"/>
  <c r="T12" i="7"/>
  <c r="S12" i="7"/>
  <c r="T9" i="7"/>
  <c r="S9" i="7"/>
  <c r="T6" i="7"/>
  <c r="S6" i="7"/>
  <c r="T39" i="6"/>
  <c r="S39" i="6"/>
  <c r="T38" i="6"/>
  <c r="S38" i="6"/>
  <c r="T35" i="6"/>
  <c r="S35" i="6"/>
  <c r="T32" i="6"/>
  <c r="S32" i="6"/>
  <c r="T31" i="6"/>
  <c r="S31" i="6"/>
  <c r="T28" i="6"/>
  <c r="S28" i="6"/>
  <c r="T27" i="6"/>
  <c r="S27" i="6"/>
  <c r="T26" i="6"/>
  <c r="S26" i="6"/>
  <c r="T25" i="6"/>
  <c r="S25" i="6"/>
  <c r="T24" i="6"/>
  <c r="S24" i="6"/>
  <c r="T21" i="6"/>
  <c r="S21" i="6"/>
  <c r="T20" i="6"/>
  <c r="S20" i="6"/>
  <c r="T19" i="6"/>
  <c r="S19" i="6"/>
  <c r="T18" i="6"/>
  <c r="S18" i="6"/>
  <c r="T15" i="6"/>
  <c r="S15" i="6"/>
  <c r="T12" i="6"/>
  <c r="S12" i="6"/>
  <c r="T9" i="6"/>
  <c r="S9" i="6"/>
  <c r="T6" i="6"/>
  <c r="S6" i="6"/>
</calcChain>
</file>

<file path=xl/sharedStrings.xml><?xml version="1.0" encoding="utf-8"?>
<sst xmlns="http://schemas.openxmlformats.org/spreadsheetml/2006/main" count="5769" uniqueCount="1442">
  <si>
    <t>ФИО</t>
  </si>
  <si>
    <t>Жим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</si>
  <si>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</si>
  <si>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</si>
  <si>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</si>
  <si>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</si>
  <si>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</si>
  <si>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</si>
  <si>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Собственный 
Вес</t>
  </si>
  <si>
    <t>Город/Область</t>
  </si>
  <si>
    <t>Приседание</t>
  </si>
  <si>
    <t>Жим лёжа</t>
  </si>
  <si>
    <t>Становая тяга</t>
  </si>
  <si>
    <t>ВЕСОВАЯ КАТЕГОРИЯ   82.5</t>
  </si>
  <si>
    <t xml:space="preserve">Лично </t>
  </si>
  <si>
    <t xml:space="preserve">Казань/Татарстан </t>
  </si>
  <si>
    <t>150,0o</t>
  </si>
  <si>
    <t>155,0o</t>
  </si>
  <si>
    <t>105,0o</t>
  </si>
  <si>
    <t>110,0o</t>
  </si>
  <si>
    <t>160,0o</t>
  </si>
  <si>
    <t>180,0o</t>
  </si>
  <si>
    <t xml:space="preserve"> </t>
  </si>
  <si>
    <t>Главный судья: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</si>
  <si>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</si>
  <si>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</si>
  <si>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</si>
  <si>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</si>
  <si>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</si>
  <si>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</si>
  <si>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</si>
  <si>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</si>
  <si>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</si>
  <si>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</si>
  <si>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</si>
  <si>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>82.5</t>
  </si>
  <si>
    <t xml:space="preserve">Командное первенство </t>
  </si>
  <si>
    <t xml:space="preserve">Команда </t>
  </si>
  <si>
    <t xml:space="preserve">Очки </t>
  </si>
  <si>
    <t xml:space="preserve">Участники </t>
  </si>
  <si>
    <t xml:space="preserve">12(12) </t>
  </si>
  <si>
    <t xml:space="preserve">Тихонов Ростислав </t>
  </si>
  <si>
    <t>ВЕСОВАЯ КАТЕГОРИЯ   44</t>
  </si>
  <si>
    <t>Крузина Ася</t>
  </si>
  <si>
    <t>1. Крузина Ася</t>
  </si>
  <si>
    <t>Открытая (24.12.1986)/32</t>
  </si>
  <si>
    <t>44,00</t>
  </si>
  <si>
    <t xml:space="preserve">Курск-Авалон </t>
  </si>
  <si>
    <t xml:space="preserve">Курск/Курская область </t>
  </si>
  <si>
    <t>70,0</t>
  </si>
  <si>
    <t>77,5</t>
  </si>
  <si>
    <t>82,5</t>
  </si>
  <si>
    <t>50,0</t>
  </si>
  <si>
    <t>55,0</t>
  </si>
  <si>
    <t>80,0</t>
  </si>
  <si>
    <t>87,5</t>
  </si>
  <si>
    <t>90,0</t>
  </si>
  <si>
    <t>ВЕСОВАЯ КАТЕГОРИЯ   52</t>
  </si>
  <si>
    <t>Осташова Диана</t>
  </si>
  <si>
    <t>1. Осташова Диана</t>
  </si>
  <si>
    <t>Открытая (30.04.1993)/25</t>
  </si>
  <si>
    <t>51,00</t>
  </si>
  <si>
    <t xml:space="preserve">Белгород/Белгородская область </t>
  </si>
  <si>
    <t>60,0</t>
  </si>
  <si>
    <t>62,5</t>
  </si>
  <si>
    <t>32,5</t>
  </si>
  <si>
    <t>35,0</t>
  </si>
  <si>
    <t>75,0</t>
  </si>
  <si>
    <t>Анищенко Артем</t>
  </si>
  <si>
    <t>1. Анищенко Артем</t>
  </si>
  <si>
    <t>Юноши 0-13 (27.11.2007)/11</t>
  </si>
  <si>
    <t>48,00</t>
  </si>
  <si>
    <t xml:space="preserve">Спарта </t>
  </si>
  <si>
    <t>57,5</t>
  </si>
  <si>
    <t>37,5</t>
  </si>
  <si>
    <t>40,0</t>
  </si>
  <si>
    <t>85,0</t>
  </si>
  <si>
    <t>ВЕСОВАЯ КАТЕГОРИЯ   56</t>
  </si>
  <si>
    <t>Малыхин Кирилл</t>
  </si>
  <si>
    <t>-. Малыхин Кирилл</t>
  </si>
  <si>
    <t>Юноши 14-15 (14.05.2003)/15</t>
  </si>
  <si>
    <t>52,60</t>
  </si>
  <si>
    <t xml:space="preserve">Русич </t>
  </si>
  <si>
    <t xml:space="preserve">Алексеевка/Белгородская область </t>
  </si>
  <si>
    <t>65,0</t>
  </si>
  <si>
    <t>105,0</t>
  </si>
  <si>
    <t>ВЕСОВАЯ КАТЕГОРИЯ   75</t>
  </si>
  <si>
    <t>Былдин Артемий</t>
  </si>
  <si>
    <t>1. Былдин Артемий</t>
  </si>
  <si>
    <t>Юноши 0-13 (04.07.2005)/13</t>
  </si>
  <si>
    <t>73,50</t>
  </si>
  <si>
    <t>110,0</t>
  </si>
  <si>
    <t>115,0</t>
  </si>
  <si>
    <t>120,0</t>
  </si>
  <si>
    <t>Плотников Артем</t>
  </si>
  <si>
    <t>1. Плотников Артем</t>
  </si>
  <si>
    <t>Юноши 16 - 17 (16.01.2003)/16</t>
  </si>
  <si>
    <t>69,00</t>
  </si>
  <si>
    <t>130,0</t>
  </si>
  <si>
    <t>140,0</t>
  </si>
  <si>
    <t>95,0</t>
  </si>
  <si>
    <t>100,0</t>
  </si>
  <si>
    <t>160,0</t>
  </si>
  <si>
    <t>170,0</t>
  </si>
  <si>
    <t>185,0</t>
  </si>
  <si>
    <t>Губарев Вячеслав</t>
  </si>
  <si>
    <t>2. Губарев Вячеслав</t>
  </si>
  <si>
    <t>Юноши 16 - 17 (07.08.2001)/17</t>
  </si>
  <si>
    <t>71,00</t>
  </si>
  <si>
    <t>120,0o</t>
  </si>
  <si>
    <t>95,0o</t>
  </si>
  <si>
    <t>100,0o</t>
  </si>
  <si>
    <t>135,0</t>
  </si>
  <si>
    <t>145,0</t>
  </si>
  <si>
    <t>Гребнев Алексей</t>
  </si>
  <si>
    <t>1. Гребнев Алексей</t>
  </si>
  <si>
    <t>Открытая (13.08.1992)/26</t>
  </si>
  <si>
    <t>73,75</t>
  </si>
  <si>
    <t xml:space="preserve">Титан </t>
  </si>
  <si>
    <t xml:space="preserve">Новый Оскол/Белгородская область </t>
  </si>
  <si>
    <t>137,5</t>
  </si>
  <si>
    <t>205,0</t>
  </si>
  <si>
    <t>210,0</t>
  </si>
  <si>
    <t>Семеренко Вадим</t>
  </si>
  <si>
    <t>1. Семеренко Вадим</t>
  </si>
  <si>
    <t>Юноши 18 - 19 (04.07.1999)/19</t>
  </si>
  <si>
    <t>80,60</t>
  </si>
  <si>
    <t xml:space="preserve">Губкин/Белгородская область </t>
  </si>
  <si>
    <t>190,0</t>
  </si>
  <si>
    <t>202,5</t>
  </si>
  <si>
    <t>200,0o</t>
  </si>
  <si>
    <t>Москалев Владимир</t>
  </si>
  <si>
    <t>1. Москалев Владимир</t>
  </si>
  <si>
    <t>Юниоры 20 - 23 (15.05.1998)/20</t>
  </si>
  <si>
    <t>80,40</t>
  </si>
  <si>
    <t>180,0</t>
  </si>
  <si>
    <t>200,0</t>
  </si>
  <si>
    <t>Шульгин Виталий</t>
  </si>
  <si>
    <t>2. Шульгин Виталий</t>
  </si>
  <si>
    <t>Юниоры 20 - 23 (22.09.1997)/21</t>
  </si>
  <si>
    <t>77,20</t>
  </si>
  <si>
    <t>132,5</t>
  </si>
  <si>
    <t>155,0</t>
  </si>
  <si>
    <t>165,0</t>
  </si>
  <si>
    <t>175,0</t>
  </si>
  <si>
    <t>Открытая (04.07.1999)/19</t>
  </si>
  <si>
    <t>Никонов Сергей</t>
  </si>
  <si>
    <t>2. Никонов Сергей</t>
  </si>
  <si>
    <t>Открытая (09.01.1990)/29</t>
  </si>
  <si>
    <t>81,40</t>
  </si>
  <si>
    <t xml:space="preserve">Ивня/Белгородская область </t>
  </si>
  <si>
    <t>107,5</t>
  </si>
  <si>
    <t>ВЕСОВАЯ КАТЕГОРИЯ   90</t>
  </si>
  <si>
    <t>Мусиенко Константин</t>
  </si>
  <si>
    <t>1. Мусиенко Константин</t>
  </si>
  <si>
    <t>Открытая (19.07.1989)/29</t>
  </si>
  <si>
    <t>89,40</t>
  </si>
  <si>
    <t>140,0o</t>
  </si>
  <si>
    <t>150,0</t>
  </si>
  <si>
    <t>260,0o</t>
  </si>
  <si>
    <t>270,0o</t>
  </si>
  <si>
    <t>280,0</t>
  </si>
  <si>
    <t>Кутафин Вячеслав</t>
  </si>
  <si>
    <t>2. Кутафин Вячеслав</t>
  </si>
  <si>
    <t>Открытая (05.12.1979)/39</t>
  </si>
  <si>
    <t>88,90</t>
  </si>
  <si>
    <t xml:space="preserve">ФОК Олимпийский </t>
  </si>
  <si>
    <t xml:space="preserve">Строитель/Белгородская область </t>
  </si>
  <si>
    <t>220,0</t>
  </si>
  <si>
    <t>ВЕСОВАЯ КАТЕГОРИЯ   100</t>
  </si>
  <si>
    <t>Лукьяненко Сергей</t>
  </si>
  <si>
    <t>1. Лукьяненко Сергей</t>
  </si>
  <si>
    <t>Открытая (16.12.1989)/29</t>
  </si>
  <si>
    <t>97,30</t>
  </si>
  <si>
    <t>125,0</t>
  </si>
  <si>
    <t>212,5</t>
  </si>
  <si>
    <t>ВЕСОВАЯ КАТЕГОРИЯ   110</t>
  </si>
  <si>
    <t>Меркулов Виталий</t>
  </si>
  <si>
    <t>1. Меркулов Виталий</t>
  </si>
  <si>
    <t>Открытая (11.06.1990)/28</t>
  </si>
  <si>
    <t>109,90</t>
  </si>
  <si>
    <t xml:space="preserve">Курчатов/Курская область </t>
  </si>
  <si>
    <t>260,0</t>
  </si>
  <si>
    <t>277,5</t>
  </si>
  <si>
    <t>Калашников Роман</t>
  </si>
  <si>
    <t>2. Калашников Роман</t>
  </si>
  <si>
    <t>Открытая (20.02.1994)/25</t>
  </si>
  <si>
    <t>104,30</t>
  </si>
  <si>
    <t xml:space="preserve">Алексеевка </t>
  </si>
  <si>
    <t>215,0</t>
  </si>
  <si>
    <t>222,5</t>
  </si>
  <si>
    <t>240,0</t>
  </si>
  <si>
    <t>255,0</t>
  </si>
  <si>
    <t xml:space="preserve">Женщины </t>
  </si>
  <si>
    <t>44</t>
  </si>
  <si>
    <t>243,9580</t>
  </si>
  <si>
    <t>52</t>
  </si>
  <si>
    <t>177,5</t>
  </si>
  <si>
    <t>174,8020</t>
  </si>
  <si>
    <t xml:space="preserve">Юноши </t>
  </si>
  <si>
    <t xml:space="preserve">Юноши 16 - 17 </t>
  </si>
  <si>
    <t>75</t>
  </si>
  <si>
    <t>410,0</t>
  </si>
  <si>
    <t>329,8233</t>
  </si>
  <si>
    <t xml:space="preserve">Юноши 18 - 19 </t>
  </si>
  <si>
    <t>500,0</t>
  </si>
  <si>
    <t>327,3400</t>
  </si>
  <si>
    <t>380,0</t>
  </si>
  <si>
    <t>285,1012</t>
  </si>
  <si>
    <t xml:space="preserve">Юноши 0-13 </t>
  </si>
  <si>
    <t>305,0</t>
  </si>
  <si>
    <t>253,3013</t>
  </si>
  <si>
    <t>231,7837</t>
  </si>
  <si>
    <t xml:space="preserve">Юниоры </t>
  </si>
  <si>
    <t xml:space="preserve">Юниоры 20 - 23 </t>
  </si>
  <si>
    <t>452,5</t>
  </si>
  <si>
    <t>299,9152</t>
  </si>
  <si>
    <t>460,0</t>
  </si>
  <si>
    <t>298,8257</t>
  </si>
  <si>
    <t>90</t>
  </si>
  <si>
    <t>620,0</t>
  </si>
  <si>
    <t>364,3740</t>
  </si>
  <si>
    <t>110</t>
  </si>
  <si>
    <t>645,0</t>
  </si>
  <si>
    <t>346,1070</t>
  </si>
  <si>
    <t>512,5</t>
  </si>
  <si>
    <t>345,0919</t>
  </si>
  <si>
    <t>625,0</t>
  </si>
  <si>
    <t>340,6250</t>
  </si>
  <si>
    <t>540,0</t>
  </si>
  <si>
    <t>318,4380</t>
  </si>
  <si>
    <t>314,7500</t>
  </si>
  <si>
    <t>100</t>
  </si>
  <si>
    <t>515,0</t>
  </si>
  <si>
    <t>288,9150</t>
  </si>
  <si>
    <t>430,0</t>
  </si>
  <si>
    <t>268,7930</t>
  </si>
  <si>
    <t xml:space="preserve">66(12+12+9+12+9+12) </t>
  </si>
  <si>
    <t xml:space="preserve">Семеренко Вадим, Семеренко Вадим, Никонов Сергей, Осташова Диана, Губарев Вячеслав, Мусиенко Константин </t>
  </si>
  <si>
    <t xml:space="preserve">36(12+12+12) </t>
  </si>
  <si>
    <t xml:space="preserve">Былдин Артемий, Москалев Владимир, Плотников Артем </t>
  </si>
  <si>
    <t xml:space="preserve">24(12+12) </t>
  </si>
  <si>
    <t xml:space="preserve">Анищенко Артем, Лукьяненко Сергей </t>
  </si>
  <si>
    <t xml:space="preserve">Крузина Ася, Меркулов Виталий </t>
  </si>
  <si>
    <t xml:space="preserve">21(9+12) </t>
  </si>
  <si>
    <t xml:space="preserve">Шульгин Виталий, Гребнев Алексей </t>
  </si>
  <si>
    <t xml:space="preserve">9(9) </t>
  </si>
  <si>
    <t xml:space="preserve">Кутафин Вячеслав </t>
  </si>
  <si>
    <t xml:space="preserve">Калашников Роман </t>
  </si>
  <si>
    <t>Беглов Юрий</t>
  </si>
  <si>
    <t>1. Беглов Юрий</t>
  </si>
  <si>
    <t>Мастера 50 - 54 (06.05.1965)/53</t>
  </si>
  <si>
    <t>78,10</t>
  </si>
  <si>
    <t xml:space="preserve">Стальное Звено </t>
  </si>
  <si>
    <t xml:space="preserve">Воронеж/Воронежская область </t>
  </si>
  <si>
    <t>225,0</t>
  </si>
  <si>
    <t>232,5</t>
  </si>
  <si>
    <t>Харламов Вячеслав</t>
  </si>
  <si>
    <t>1. Харламов Вячеслав</t>
  </si>
  <si>
    <t>Юниоры 20 - 23 (11.06.1997)/21</t>
  </si>
  <si>
    <t>95,60</t>
  </si>
  <si>
    <t xml:space="preserve">Волжский/Волгоградская область </t>
  </si>
  <si>
    <t>ВЕСОВАЯ КАТЕГОРИЯ   125</t>
  </si>
  <si>
    <t>Заплавский Дмитрий</t>
  </si>
  <si>
    <t>1. Заплавский Дмитрий</t>
  </si>
  <si>
    <t>Открытая (17.09.1984)/34</t>
  </si>
  <si>
    <t>118,30</t>
  </si>
  <si>
    <t xml:space="preserve">Москва </t>
  </si>
  <si>
    <t>237,5o</t>
  </si>
  <si>
    <t>245,0</t>
  </si>
  <si>
    <t>250,0o</t>
  </si>
  <si>
    <t>167,5</t>
  </si>
  <si>
    <t>175,0o</t>
  </si>
  <si>
    <t>267,5o</t>
  </si>
  <si>
    <t>275,0o</t>
  </si>
  <si>
    <t>585,0</t>
  </si>
  <si>
    <t>337,7322</t>
  </si>
  <si>
    <t>125</t>
  </si>
  <si>
    <t>700,0</t>
  </si>
  <si>
    <t>369,9500</t>
  </si>
  <si>
    <t xml:space="preserve">Мастера </t>
  </si>
  <si>
    <t xml:space="preserve">Мастера 50 - 54 </t>
  </si>
  <si>
    <t>532,5</t>
  </si>
  <si>
    <t>439,4298</t>
  </si>
  <si>
    <t xml:space="preserve">Беглов Юрий, Харламов Вячеслав </t>
  </si>
  <si>
    <t xml:space="preserve">Заплавский Дмитрий </t>
  </si>
  <si>
    <t>Орлов Александр</t>
  </si>
  <si>
    <t>1. Орлов Александр</t>
  </si>
  <si>
    <t>Юноши 14-15 (18.09.2004)/14</t>
  </si>
  <si>
    <t>55,20</t>
  </si>
  <si>
    <t>Евдокимов Евгений</t>
  </si>
  <si>
    <t>1. Евдокимов Евгений</t>
  </si>
  <si>
    <t>Юниоры 20 - 23 (14.11.1997)/21</t>
  </si>
  <si>
    <t>118,70</t>
  </si>
  <si>
    <t xml:space="preserve">Фитнес Сити </t>
  </si>
  <si>
    <t>230,0</t>
  </si>
  <si>
    <t>250,0</t>
  </si>
  <si>
    <t xml:space="preserve">Юноши 14-15 </t>
  </si>
  <si>
    <t>56</t>
  </si>
  <si>
    <t>284,2382</t>
  </si>
  <si>
    <t>680,0</t>
  </si>
  <si>
    <t>366,3595</t>
  </si>
  <si>
    <t xml:space="preserve">Орлов Александр </t>
  </si>
  <si>
    <t xml:space="preserve">Евдокимов Евгений </t>
  </si>
  <si>
    <t>Молодых Дмитрий</t>
  </si>
  <si>
    <t>1. Молодых Дмитрий</t>
  </si>
  <si>
    <t>Мастера 40 - 44 (26.02.1977)/42</t>
  </si>
  <si>
    <t>99,90</t>
  </si>
  <si>
    <t>270,0</t>
  </si>
  <si>
    <t>275,0</t>
  </si>
  <si>
    <t>190,0o</t>
  </si>
  <si>
    <t>300,0o</t>
  </si>
  <si>
    <t>305,0o</t>
  </si>
  <si>
    <t>310,0</t>
  </si>
  <si>
    <t xml:space="preserve">Мастера 40 - 44 </t>
  </si>
  <si>
    <t>755,0</t>
  </si>
  <si>
    <t>422,2630</t>
  </si>
  <si>
    <t xml:space="preserve">Молодых Дмитрий </t>
  </si>
  <si>
    <t>ВЕСОВАЯ КАТЕГОРИЯ   67.5</t>
  </si>
  <si>
    <t>Литвинова Елена</t>
  </si>
  <si>
    <t>1. Литвинова Елена</t>
  </si>
  <si>
    <t>Открытая (10.04.1991)/28</t>
  </si>
  <si>
    <t>66,90</t>
  </si>
  <si>
    <t>55,0o</t>
  </si>
  <si>
    <t>67,5o</t>
  </si>
  <si>
    <t>ВЕСОВАЯ КАТЕГОРИЯ   60</t>
  </si>
  <si>
    <t>Соломкин Роман</t>
  </si>
  <si>
    <t>1. Соломкин Роман</t>
  </si>
  <si>
    <t>Юноши 16 - 17 (26.12.2002)/16</t>
  </si>
  <si>
    <t>59,90</t>
  </si>
  <si>
    <t>67,5</t>
  </si>
  <si>
    <t>72,5</t>
  </si>
  <si>
    <t>Махфузов Афраим</t>
  </si>
  <si>
    <t>1. Махфузов Афраим</t>
  </si>
  <si>
    <t>Юниоры 20 - 23 (19.10.1997)/21</t>
  </si>
  <si>
    <t>60,00</t>
  </si>
  <si>
    <t xml:space="preserve">Валуйки/Белгородская область </t>
  </si>
  <si>
    <t>Открытая (19.10.1997)/21</t>
  </si>
  <si>
    <t>Потапов Алексей</t>
  </si>
  <si>
    <t>1. Потапов Алексей</t>
  </si>
  <si>
    <t>Юниоры 20 - 23 (04.06.1997)/21</t>
  </si>
  <si>
    <t>66,75</t>
  </si>
  <si>
    <t>97,5</t>
  </si>
  <si>
    <t>Платонов Владимир</t>
  </si>
  <si>
    <t>1. Платонов Владимир</t>
  </si>
  <si>
    <t>Открытая (12.05.1984)/34</t>
  </si>
  <si>
    <t>62,50</t>
  </si>
  <si>
    <t xml:space="preserve">Сталь </t>
  </si>
  <si>
    <t xml:space="preserve">Брянск/Брянская область </t>
  </si>
  <si>
    <t>102,5</t>
  </si>
  <si>
    <t>117,5</t>
  </si>
  <si>
    <t>Воронцов Борис</t>
  </si>
  <si>
    <t>1. Воронцов Борис</t>
  </si>
  <si>
    <t>Юниоры 20 - 23 (13.06.1997)/21</t>
  </si>
  <si>
    <t>75,00</t>
  </si>
  <si>
    <t>Чубарых Петр</t>
  </si>
  <si>
    <t>1. Чубарых Петр</t>
  </si>
  <si>
    <t>Открытая (17.04.1980)/39</t>
  </si>
  <si>
    <t>74,70</t>
  </si>
  <si>
    <t>112,5</t>
  </si>
  <si>
    <t>Бугаев Артем</t>
  </si>
  <si>
    <t>1. Бугаев Артем</t>
  </si>
  <si>
    <t>Юноши 18 - 19 (26.01.2000)/19</t>
  </si>
  <si>
    <t>77,00</t>
  </si>
  <si>
    <t>127,5</t>
  </si>
  <si>
    <t>Тарской Александр</t>
  </si>
  <si>
    <t>1. Тарской Александр</t>
  </si>
  <si>
    <t>Открытая (19.12.1980)/38</t>
  </si>
  <si>
    <t>81,70</t>
  </si>
  <si>
    <t>Куц Андрей</t>
  </si>
  <si>
    <t>2. Куц Андрей</t>
  </si>
  <si>
    <t>Открытая (01.02.1986)/33</t>
  </si>
  <si>
    <t>82,30</t>
  </si>
  <si>
    <t>Величко Владимир</t>
  </si>
  <si>
    <t>1. Величко Владимир</t>
  </si>
  <si>
    <t>Юноши 18 - 19 (01.04.2000)/19</t>
  </si>
  <si>
    <t>89,00</t>
  </si>
  <si>
    <t>Талдыкин Алексей</t>
  </si>
  <si>
    <t>1. Талдыкин Алексей</t>
  </si>
  <si>
    <t>87,90</t>
  </si>
  <si>
    <t xml:space="preserve">Липецк/Липецкая область </t>
  </si>
  <si>
    <t>142,5</t>
  </si>
  <si>
    <t>152,5</t>
  </si>
  <si>
    <t>Ксенофонтов Юрий</t>
  </si>
  <si>
    <t>2. Ксенофонтов Юрий</t>
  </si>
  <si>
    <t>Открытая (05.10.1982)/36</t>
  </si>
  <si>
    <t>89,30</t>
  </si>
  <si>
    <t>Мамонов Юрий</t>
  </si>
  <si>
    <t>1. Мамонов Юрий</t>
  </si>
  <si>
    <t>Мастера 50 - 54 (07.04.1966)/53</t>
  </si>
  <si>
    <t>86,65</t>
  </si>
  <si>
    <t>115,0o</t>
  </si>
  <si>
    <t>Пахомов Никита</t>
  </si>
  <si>
    <t>1. Пахомов Никита</t>
  </si>
  <si>
    <t>Открытая (03.10.1991)/27</t>
  </si>
  <si>
    <t>100,00</t>
  </si>
  <si>
    <t>Журавель Сергей</t>
  </si>
  <si>
    <t>1. Журавель Сергей</t>
  </si>
  <si>
    <t>Мастера 50 - 54 (25.03.1969)/50</t>
  </si>
  <si>
    <t>97,70</t>
  </si>
  <si>
    <t>147,5</t>
  </si>
  <si>
    <t>Яцевило Алексей</t>
  </si>
  <si>
    <t>1. Яцевило Алексей</t>
  </si>
  <si>
    <t>Открытая (23.09.1979)/39</t>
  </si>
  <si>
    <t>108,30</t>
  </si>
  <si>
    <t>145,0o</t>
  </si>
  <si>
    <t>Агарков Сергей</t>
  </si>
  <si>
    <t>1. Агарков Сергей</t>
  </si>
  <si>
    <t>Мастера 45 - 49 (02.06.1972)/46</t>
  </si>
  <si>
    <t>120,00</t>
  </si>
  <si>
    <t>ВЕСОВАЯ КАТЕГОРИЯ   140</t>
  </si>
  <si>
    <t>Ахметов Хасен</t>
  </si>
  <si>
    <t>1. Ахметов Хасен</t>
  </si>
  <si>
    <t>Открытая (12.03.1974)/45</t>
  </si>
  <si>
    <t>132,20</t>
  </si>
  <si>
    <t xml:space="preserve">Новый Уренгой/Ямало-Ненецкий авт. окр. </t>
  </si>
  <si>
    <t>210,0o</t>
  </si>
  <si>
    <t>225,0o</t>
  </si>
  <si>
    <t>67.5</t>
  </si>
  <si>
    <t>53,0010</t>
  </si>
  <si>
    <t>88,0287</t>
  </si>
  <si>
    <t>60</t>
  </si>
  <si>
    <t>69,0034</t>
  </si>
  <si>
    <t>67,4159</t>
  </si>
  <si>
    <t>82,9056</t>
  </si>
  <si>
    <t>72,9167</t>
  </si>
  <si>
    <t>66,0845</t>
  </si>
  <si>
    <t>140</t>
  </si>
  <si>
    <t>115,2810</t>
  </si>
  <si>
    <t>90,5698</t>
  </si>
  <si>
    <t>83,8043</t>
  </si>
  <si>
    <t>81,2800</t>
  </si>
  <si>
    <t>79,9705</t>
  </si>
  <si>
    <t>78,0970</t>
  </si>
  <si>
    <t>76,6590</t>
  </si>
  <si>
    <t>65,4675</t>
  </si>
  <si>
    <t>63,7100</t>
  </si>
  <si>
    <t>63,5807</t>
  </si>
  <si>
    <t>95,2306</t>
  </si>
  <si>
    <t>88,2859</t>
  </si>
  <si>
    <t xml:space="preserve">Мастера 45 - 49 </t>
  </si>
  <si>
    <t>80,2792</t>
  </si>
  <si>
    <t xml:space="preserve">117(9+12+12+12+12+12+12+12+12+12) </t>
  </si>
  <si>
    <t xml:space="preserve">Куц Андрей, Чубарых Петр, Бугаев Артем, Соломкин Роман, Воронцов Борис, Пахомов Никита, Величко Владимир, Журавель Сергей, Потапов Алексей, Тарской Александр </t>
  </si>
  <si>
    <t xml:space="preserve">84(12+12+12+12+12+12+12) </t>
  </si>
  <si>
    <t xml:space="preserve">Ахметов Хасен, Мамонов Юрий, Литвинова Елена, Яцевило Алексей, Талдыкин Алексей, Махфузов Афраим, Махфузов Афраим </t>
  </si>
  <si>
    <t xml:space="preserve">21(12+9) </t>
  </si>
  <si>
    <t xml:space="preserve">Платонов Владимир, Ксенофонтов Юрий </t>
  </si>
  <si>
    <t xml:space="preserve">Агарков Сергей </t>
  </si>
  <si>
    <t>Результат</t>
  </si>
  <si>
    <t>Ронкин Михаил</t>
  </si>
  <si>
    <t>1. Ронкин Михаил</t>
  </si>
  <si>
    <t>Мастера 55 - 59 (13.11.1961)/57</t>
  </si>
  <si>
    <t>87,50</t>
  </si>
  <si>
    <t>Маркелов Юрий</t>
  </si>
  <si>
    <t>1. Маркелов Юрий</t>
  </si>
  <si>
    <t>Открытая (14.08.1982)/36</t>
  </si>
  <si>
    <t>106,80</t>
  </si>
  <si>
    <t>Мацур Виктор</t>
  </si>
  <si>
    <t>1. Мацур Виктор</t>
  </si>
  <si>
    <t>Мастера 50 - 54 (03.06.1965)/53</t>
  </si>
  <si>
    <t>110,00</t>
  </si>
  <si>
    <t>Михеев Вадим</t>
  </si>
  <si>
    <t>2. Михеев Вадим</t>
  </si>
  <si>
    <t>Мастера 50 - 54 (21.04.1966)/52</t>
  </si>
  <si>
    <t>109,70</t>
  </si>
  <si>
    <t>86,5280</t>
  </si>
  <si>
    <t>113,3973</t>
  </si>
  <si>
    <t xml:space="preserve">Мастера 55 - 59 </t>
  </si>
  <si>
    <t>92,5562</t>
  </si>
  <si>
    <t>81,1239</t>
  </si>
  <si>
    <t xml:space="preserve">Михеев Вадим, Ронкин Михаил </t>
  </si>
  <si>
    <t xml:space="preserve">Маркелов Юрий </t>
  </si>
  <si>
    <t xml:space="preserve">Мацур Виктор </t>
  </si>
  <si>
    <t>Любивый Дмитрий</t>
  </si>
  <si>
    <t>1. Любивый Дмитрий</t>
  </si>
  <si>
    <t>Мастера 40 - 44 (01.02.1976)/43</t>
  </si>
  <si>
    <t>58,50</t>
  </si>
  <si>
    <t>Косинов Сергей</t>
  </si>
  <si>
    <t>1. Косинов Сергей</t>
  </si>
  <si>
    <t>Открытая (18.01.1994)/25</t>
  </si>
  <si>
    <t>89,20</t>
  </si>
  <si>
    <t>Богомолов Вадим</t>
  </si>
  <si>
    <t>1. Богомолов Вадим</t>
  </si>
  <si>
    <t>Мастера 55 - 59 (20.12.1963)/55</t>
  </si>
  <si>
    <t>106,50</t>
  </si>
  <si>
    <t>122,5</t>
  </si>
  <si>
    <t>77,9763</t>
  </si>
  <si>
    <t>91,5068</t>
  </si>
  <si>
    <t>63,7141</t>
  </si>
  <si>
    <t xml:space="preserve">Богомолов Вадим </t>
  </si>
  <si>
    <t xml:space="preserve">Любивый Дмитрий </t>
  </si>
  <si>
    <t xml:space="preserve">Косинов Сергей </t>
  </si>
  <si>
    <t>-. Инютин Андрей</t>
  </si>
  <si>
    <t>Открытая (18.05.1975)/43</t>
  </si>
  <si>
    <t>122,40</t>
  </si>
  <si>
    <t xml:space="preserve">Сталь Белогорья </t>
  </si>
  <si>
    <t>Кубок мира по пауэрлифтингу и силовым видам спорта в рамках международного фестиваля силовых видов спорта ZEUS III
Любители жим лежа без экипировки
Белгород/Белгородская область апреля 2019 г.</t>
  </si>
  <si>
    <t>Воронова Елизавета</t>
  </si>
  <si>
    <t>1. Воронова Елизавета</t>
  </si>
  <si>
    <t>Открытая (09.06.2005)/13</t>
  </si>
  <si>
    <t>51,50</t>
  </si>
  <si>
    <t xml:space="preserve">МБОУ СОШ №2 </t>
  </si>
  <si>
    <t>73,0</t>
  </si>
  <si>
    <t>74,0</t>
  </si>
  <si>
    <t>Руднева Марина</t>
  </si>
  <si>
    <t>2. Руднева Марина</t>
  </si>
  <si>
    <t>Открытая (26.07.1990)/28</t>
  </si>
  <si>
    <t>42,5</t>
  </si>
  <si>
    <t>45,0</t>
  </si>
  <si>
    <t>Сечкина Дарья</t>
  </si>
  <si>
    <t>1. Сечкина Дарья</t>
  </si>
  <si>
    <t>Девушки 16 - 17 (11.02.2002)/17</t>
  </si>
  <si>
    <t>56,00</t>
  </si>
  <si>
    <t>Беседина Илона</t>
  </si>
  <si>
    <t>1. Беседина Илона</t>
  </si>
  <si>
    <t>Открытая (18.09.1986)/32</t>
  </si>
  <si>
    <t>55,00</t>
  </si>
  <si>
    <t>Гостева Валентина</t>
  </si>
  <si>
    <t>1. Гостева Валентина</t>
  </si>
  <si>
    <t>Мастера 60 - 64 (07.08.1955)/63</t>
  </si>
  <si>
    <t>57,00</t>
  </si>
  <si>
    <t>Крапивенцева Яна</t>
  </si>
  <si>
    <t>1. Крапивенцева Яна</t>
  </si>
  <si>
    <t>Девушки 18 - 19 (04.02.2001)/18</t>
  </si>
  <si>
    <t>72,20</t>
  </si>
  <si>
    <t>47,5</t>
  </si>
  <si>
    <t>Савостин Никита</t>
  </si>
  <si>
    <t>1. Савостин Никита</t>
  </si>
  <si>
    <t>Юноши 16 - 17 (03.09.2002)/16</t>
  </si>
  <si>
    <t>52,00</t>
  </si>
  <si>
    <t>77,5o</t>
  </si>
  <si>
    <t>82,5o</t>
  </si>
  <si>
    <t>87,5o</t>
  </si>
  <si>
    <t>Белый Гордей</t>
  </si>
  <si>
    <t>1. Белый Гордей</t>
  </si>
  <si>
    <t>Юноши 16 - 17 (23.11.2002)/16</t>
  </si>
  <si>
    <t>2. Соломкин Роман</t>
  </si>
  <si>
    <t>-. Костин Евгений</t>
  </si>
  <si>
    <t>Юниоры 20 - 23 (19.07.1997)/21</t>
  </si>
  <si>
    <t>Ермолаев Дмитрий</t>
  </si>
  <si>
    <t>1. Ермолаев Дмитрий</t>
  </si>
  <si>
    <t>Юниоры 20 - 23 (01.08.1995)/23</t>
  </si>
  <si>
    <t>67,00</t>
  </si>
  <si>
    <t xml:space="preserve">Аксай/Ростовская область </t>
  </si>
  <si>
    <t>162,5</t>
  </si>
  <si>
    <t>Донченко Игорь</t>
  </si>
  <si>
    <t>2. Донченко Игорь</t>
  </si>
  <si>
    <t>Юниоры 20 - 23 (07.09.1998)/20</t>
  </si>
  <si>
    <t>67,50</t>
  </si>
  <si>
    <t xml:space="preserve">Ростов-на-Дону/Ростовская область </t>
  </si>
  <si>
    <t>135,0o</t>
  </si>
  <si>
    <t>3. Потапов Алексей</t>
  </si>
  <si>
    <t>Лученков Иван</t>
  </si>
  <si>
    <t>1. Лученков Иван</t>
  </si>
  <si>
    <t>Открытая (30.03.1991)/28</t>
  </si>
  <si>
    <t>66,45</t>
  </si>
  <si>
    <t xml:space="preserve">Смоленск/Смоленская область </t>
  </si>
  <si>
    <t>Волошенко Виктор</t>
  </si>
  <si>
    <t>1. Волошенко Виктор</t>
  </si>
  <si>
    <t>Юноши 14-15 (01.07.2004)/14</t>
  </si>
  <si>
    <t>Дунаев Денис</t>
  </si>
  <si>
    <t>1. Дунаев Денис</t>
  </si>
  <si>
    <t>Юниоры 20 - 23 (16.08.1997)/21</t>
  </si>
  <si>
    <t>73,70</t>
  </si>
  <si>
    <t xml:space="preserve">Луганск/Луганская область </t>
  </si>
  <si>
    <t>2. Воронцов Борис</t>
  </si>
  <si>
    <t>-. Гребнев Алексей</t>
  </si>
  <si>
    <t>Железняк Федор</t>
  </si>
  <si>
    <t>1. Железняк Федор</t>
  </si>
  <si>
    <t>Юноши 16 - 17 (24.05.2001)/17</t>
  </si>
  <si>
    <t>80,50</t>
  </si>
  <si>
    <t>Щедрин Андрей</t>
  </si>
  <si>
    <t>1. Щедрин Андрей</t>
  </si>
  <si>
    <t>Открытая (21.12.1984)/34</t>
  </si>
  <si>
    <t>82,20</t>
  </si>
  <si>
    <t>Поданев Игорь</t>
  </si>
  <si>
    <t>1. Поданев Игорь</t>
  </si>
  <si>
    <t>Мастера 40 - 44 (19.02.1979)/40</t>
  </si>
  <si>
    <t>81,00</t>
  </si>
  <si>
    <t>Чернышов Александр</t>
  </si>
  <si>
    <t>1. Чернышов Александр</t>
  </si>
  <si>
    <t>Открытая (02.05.1985)/33</t>
  </si>
  <si>
    <t>85,40</t>
  </si>
  <si>
    <t>Орехов Владимир</t>
  </si>
  <si>
    <t>2. Орехов Владимир</t>
  </si>
  <si>
    <t>Открытая (18.07.1982)/36</t>
  </si>
  <si>
    <t>89,90</t>
  </si>
  <si>
    <t>Железняк Денис</t>
  </si>
  <si>
    <t>1. Железняк Денис</t>
  </si>
  <si>
    <t>Мастера 40 - 44 (05.03.1975)/44</t>
  </si>
  <si>
    <t>88,50</t>
  </si>
  <si>
    <t>Разуваев Роман</t>
  </si>
  <si>
    <t>2. Разуваев Роман</t>
  </si>
  <si>
    <t>Мастера 40 - 44 (15.02.1975)/44</t>
  </si>
  <si>
    <t>85,80</t>
  </si>
  <si>
    <t>Билиба Владимир</t>
  </si>
  <si>
    <t>1. Билиба Владимир</t>
  </si>
  <si>
    <t>Мастера 55 - 59 (09.09.1962)/56</t>
  </si>
  <si>
    <t>87,80</t>
  </si>
  <si>
    <t>130,0o</t>
  </si>
  <si>
    <t>Лузин Сергей</t>
  </si>
  <si>
    <t>1. Лузин Сергей</t>
  </si>
  <si>
    <t>Мастера 60 - 64 (30.04.1954)/64</t>
  </si>
  <si>
    <t>88,75</t>
  </si>
  <si>
    <t xml:space="preserve">Пермь/Пермский край </t>
  </si>
  <si>
    <t>Тищенко Владислав</t>
  </si>
  <si>
    <t>1. Тищенко Владислав</t>
  </si>
  <si>
    <t>Юниоры 20 - 23 (20.07.1997)/21</t>
  </si>
  <si>
    <t>98,60</t>
  </si>
  <si>
    <t>Калашников Богдан</t>
  </si>
  <si>
    <t>1. Калашников Богдан</t>
  </si>
  <si>
    <t>Открытая (10.11.1980)/38</t>
  </si>
  <si>
    <t>96,90</t>
  </si>
  <si>
    <t>170,0o</t>
  </si>
  <si>
    <t>187,5o</t>
  </si>
  <si>
    <t>Литовченко Александр</t>
  </si>
  <si>
    <t>2. Литовченко Александр</t>
  </si>
  <si>
    <t>Открытая (26.06.1986)/32</t>
  </si>
  <si>
    <t>99,00</t>
  </si>
  <si>
    <t>Сельченко Игорь</t>
  </si>
  <si>
    <t>3. Сельченко Игорь</t>
  </si>
  <si>
    <t>Открытая (31.07.1974)/44</t>
  </si>
  <si>
    <t>97,20</t>
  </si>
  <si>
    <t>Петров Ярослав</t>
  </si>
  <si>
    <t>4. Петров Ярослав</t>
  </si>
  <si>
    <t>Открытая (21.06.1980)/38</t>
  </si>
  <si>
    <t>99,80</t>
  </si>
  <si>
    <t>Чернышов Игорь</t>
  </si>
  <si>
    <t>5. Чернышов Игорь</t>
  </si>
  <si>
    <t>Открытая (07.02.1984)/35</t>
  </si>
  <si>
    <t>97,50</t>
  </si>
  <si>
    <t>Фирсов Андрей</t>
  </si>
  <si>
    <t>6. Фирсов Андрей</t>
  </si>
  <si>
    <t>Открытая (06.08.1985)/33</t>
  </si>
  <si>
    <t>95,00</t>
  </si>
  <si>
    <t>Самбур Дмитрий</t>
  </si>
  <si>
    <t>7. Самбур Дмитрий</t>
  </si>
  <si>
    <t>Открытая (12.10.1985)/33</t>
  </si>
  <si>
    <t>1. Сельченко Игорь</t>
  </si>
  <si>
    <t>Мастера 40 - 44 (31.07.1974)/44</t>
  </si>
  <si>
    <t>Друц Алексей</t>
  </si>
  <si>
    <t>1. Друц Алексей</t>
  </si>
  <si>
    <t>Открытая (29.06.1988)/30</t>
  </si>
  <si>
    <t>104,40</t>
  </si>
  <si>
    <t>167,5o</t>
  </si>
  <si>
    <t>Дурнов Дмитрий</t>
  </si>
  <si>
    <t>-. Дурнов Дмитрий</t>
  </si>
  <si>
    <t>Открытая (01.09.1985)/33</t>
  </si>
  <si>
    <t>Тимохин Евгений</t>
  </si>
  <si>
    <t>1. Тимохин Евгений</t>
  </si>
  <si>
    <t>Открытая (05.08.1987)/31</t>
  </si>
  <si>
    <t>115,90</t>
  </si>
  <si>
    <t>Савицких Петр</t>
  </si>
  <si>
    <t>2. Савицких Петр</t>
  </si>
  <si>
    <t>Открытая (24.05.1983)/35</t>
  </si>
  <si>
    <t>124,70</t>
  </si>
  <si>
    <t>Пруцков Юрий</t>
  </si>
  <si>
    <t>1. Пруцков Юрий</t>
  </si>
  <si>
    <t>Мастера 40 - 44 (14.02.1978)/41</t>
  </si>
  <si>
    <t>116,10</t>
  </si>
  <si>
    <t xml:space="preserve">Лиски/Воронежская область </t>
  </si>
  <si>
    <t>195,0</t>
  </si>
  <si>
    <t>220,0o</t>
  </si>
  <si>
    <t>232,5o</t>
  </si>
  <si>
    <t>240,0o</t>
  </si>
  <si>
    <t xml:space="preserve">Девушки </t>
  </si>
  <si>
    <t>44,3426</t>
  </si>
  <si>
    <t>39,3233</t>
  </si>
  <si>
    <t>73,2750</t>
  </si>
  <si>
    <t>46,2800</t>
  </si>
  <si>
    <t>41,8540</t>
  </si>
  <si>
    <t xml:space="preserve">Мастера 60 - 64 </t>
  </si>
  <si>
    <t>105,7262</t>
  </si>
  <si>
    <t>115,1465</t>
  </si>
  <si>
    <t>96,4930</t>
  </si>
  <si>
    <t>94,0796</t>
  </si>
  <si>
    <t>89,9068</t>
  </si>
  <si>
    <t>84,8687</t>
  </si>
  <si>
    <t>74,8559</t>
  </si>
  <si>
    <t>73,6037</t>
  </si>
  <si>
    <t>116,9120</t>
  </si>
  <si>
    <t>104,6604</t>
  </si>
  <si>
    <t>89,3326</t>
  </si>
  <si>
    <t>81,0326</t>
  </si>
  <si>
    <t>76,6561</t>
  </si>
  <si>
    <t>69,4735</t>
  </si>
  <si>
    <t>122,9664</t>
  </si>
  <si>
    <t>106,7490</t>
  </si>
  <si>
    <t>187,5</t>
  </si>
  <si>
    <t>105,4125</t>
  </si>
  <si>
    <t>97,3875</t>
  </si>
  <si>
    <t>96,8000</t>
  </si>
  <si>
    <t>95,5080</t>
  </si>
  <si>
    <t>95,3400</t>
  </si>
  <si>
    <t>91,2112</t>
  </si>
  <si>
    <t>83,4240</t>
  </si>
  <si>
    <t>83,1750</t>
  </si>
  <si>
    <t>81,2725</t>
  </si>
  <si>
    <t>80,9115</t>
  </si>
  <si>
    <t>80,7170</t>
  </si>
  <si>
    <t>79,0695</t>
  </si>
  <si>
    <t>60,9950</t>
  </si>
  <si>
    <t>134,8614</t>
  </si>
  <si>
    <t>110,4804</t>
  </si>
  <si>
    <t>103,7383</t>
  </si>
  <si>
    <t>97,2315</t>
  </si>
  <si>
    <t>94,0388</t>
  </si>
  <si>
    <t>83,8383</t>
  </si>
  <si>
    <t>82,3880</t>
  </si>
  <si>
    <t xml:space="preserve">131(12+12+12+6+5+12+9+12+12+9+12+9+9) </t>
  </si>
  <si>
    <t xml:space="preserve">Билиба Владимир, Друц Алексей, Ахметов Хасен, Чернышов Игорь, Фирсов Андрей, Калашников Богдан, Разуваев Роман, Савостин Никита, Салосалов Сергей, Донченко Игорь, Чернышов Александр, Орехов Владимир, Литовченко Александр </t>
  </si>
  <si>
    <t xml:space="preserve">Дунаев Денис, Железняк Федор, Лученков Иван, Пруцков Юрий, Лузин Сергей, Железняк Денис, Ермолаев Дмитрий </t>
  </si>
  <si>
    <t xml:space="preserve">74(12+9+12+9+12+12+8) </t>
  </si>
  <si>
    <t xml:space="preserve">Бугаев Артем, Соломкин Роман, Поданев Игорь, Воронцов Борис, Крапивенцева Яна, Журавель Сергей, Потапов Алексей </t>
  </si>
  <si>
    <t xml:space="preserve">49(12+4+9+12+12) </t>
  </si>
  <si>
    <t xml:space="preserve">Беседина Илона, Самбур Дмитрий, Руднева Марина, Щедрин Андрей, Гостева Валентина </t>
  </si>
  <si>
    <t xml:space="preserve">32(12+8+12) </t>
  </si>
  <si>
    <t xml:space="preserve">Тимохин Евгений, Сельченко Игорь, Сельченко Игорь </t>
  </si>
  <si>
    <t xml:space="preserve">Воронова Елизавета, Тищенко Владислав </t>
  </si>
  <si>
    <t xml:space="preserve">Белый Гордей, Волошенко Виктор </t>
  </si>
  <si>
    <t xml:space="preserve">Сечкина Дарья </t>
  </si>
  <si>
    <t xml:space="preserve">Савицких Петр </t>
  </si>
  <si>
    <t xml:space="preserve">7(7) </t>
  </si>
  <si>
    <t xml:space="preserve">Петров Ярослав </t>
  </si>
  <si>
    <t>Кубок мира по пауэрлифтингу и силовым видам спорта в рамках международного фестиваля силовых видов спорта ZEUS III
ПРО жим лежа без экипировки
Белгород/Белгородская область апреля 2019 г.</t>
  </si>
  <si>
    <t>Волков Ярослав</t>
  </si>
  <si>
    <t>1. Волков Ярослав</t>
  </si>
  <si>
    <t>Юноши 0-13 (23.01.2008)/11</t>
  </si>
  <si>
    <t>69,80</t>
  </si>
  <si>
    <t>Умаров Стас</t>
  </si>
  <si>
    <t>1. Умаров Стас</t>
  </si>
  <si>
    <t>Открытая (12.09.1986)/32</t>
  </si>
  <si>
    <t>82,00</t>
  </si>
  <si>
    <t>Белоусов Олег</t>
  </si>
  <si>
    <t>1. Белоусов Олег</t>
  </si>
  <si>
    <t>Мастера 45 - 49 (08.06.1973)/45</t>
  </si>
  <si>
    <t>80,90</t>
  </si>
  <si>
    <t>Заякин Иван</t>
  </si>
  <si>
    <t>1. Заякин Иван</t>
  </si>
  <si>
    <t>88,30</t>
  </si>
  <si>
    <t>Калашник Андрей</t>
  </si>
  <si>
    <t>2. Калашник Андрей</t>
  </si>
  <si>
    <t>Открытая (19.02.1980)/39</t>
  </si>
  <si>
    <t>85,05</t>
  </si>
  <si>
    <t>Водопьянов Евгений</t>
  </si>
  <si>
    <t>3. Водопьянов Евгений</t>
  </si>
  <si>
    <t>Открытая (22.01.1994)/25</t>
  </si>
  <si>
    <t>Сидоренко Владимир</t>
  </si>
  <si>
    <t>1. Сидоренко Владимир</t>
  </si>
  <si>
    <t>Мастера 55 - 59 (27.10.1961)/57</t>
  </si>
  <si>
    <t>85,00</t>
  </si>
  <si>
    <t>Веремянин Юрий</t>
  </si>
  <si>
    <t>1. Веремянин Юрий</t>
  </si>
  <si>
    <t>Мастера 40 - 44 (03.09.1978)/40</t>
  </si>
  <si>
    <t>96,00</t>
  </si>
  <si>
    <t>Мамченко Игорь</t>
  </si>
  <si>
    <t>1. Мамченко Игорь</t>
  </si>
  <si>
    <t>Мастера 55 - 59 (17.01.1963)/56</t>
  </si>
  <si>
    <t>95,80</t>
  </si>
  <si>
    <t>Харланов Евгений</t>
  </si>
  <si>
    <t>1. Харланов Евгений</t>
  </si>
  <si>
    <t>Открытая (07.07.1987)/31</t>
  </si>
  <si>
    <t>108,80</t>
  </si>
  <si>
    <t>Пелин Артем</t>
  </si>
  <si>
    <t>2. Пелин Артем</t>
  </si>
  <si>
    <t>Открытая (28.01.1982)/37</t>
  </si>
  <si>
    <t>108,70</t>
  </si>
  <si>
    <t>Провоторов Александр</t>
  </si>
  <si>
    <t>3. Провоторов Александр</t>
  </si>
  <si>
    <t>Открытая (10.05.1993)/25</t>
  </si>
  <si>
    <t>109,50</t>
  </si>
  <si>
    <t>Рыжков Анатолий</t>
  </si>
  <si>
    <t>1. Рыжков Анатолий</t>
  </si>
  <si>
    <t>Открытая (20.06.1984)/34</t>
  </si>
  <si>
    <t>115,80</t>
  </si>
  <si>
    <t>217,5</t>
  </si>
  <si>
    <t>Гоголь Антон</t>
  </si>
  <si>
    <t>2. Гоголь Антон</t>
  </si>
  <si>
    <t>Открытая (20.05.1979)/39</t>
  </si>
  <si>
    <t>115,40</t>
  </si>
  <si>
    <t>Винокуров Александр</t>
  </si>
  <si>
    <t>3. Винокуров Александр</t>
  </si>
  <si>
    <t>Открытая (26.01.1995)/24</t>
  </si>
  <si>
    <t>123,50</t>
  </si>
  <si>
    <t>Половков Михаил</t>
  </si>
  <si>
    <t>4. Половков Михаил</t>
  </si>
  <si>
    <t>Открытая (09.10.1977)/41</t>
  </si>
  <si>
    <t>111,50</t>
  </si>
  <si>
    <t>197,5</t>
  </si>
  <si>
    <t>1. Половков Михаил</t>
  </si>
  <si>
    <t>Мастера 40 - 44 (09.10.1977)/41</t>
  </si>
  <si>
    <t>Елисеев Андрей</t>
  </si>
  <si>
    <t>2. Елисеев Андрей</t>
  </si>
  <si>
    <t>Мастера 40 - 44 (28.09.1976)/42</t>
  </si>
  <si>
    <t>115,20</t>
  </si>
  <si>
    <t>Булатников Роман</t>
  </si>
  <si>
    <t>1. Булатников Роман</t>
  </si>
  <si>
    <t>Мастера 45 - 49 (24.04.1970)/48</t>
  </si>
  <si>
    <t>122,00</t>
  </si>
  <si>
    <t>Сарычев Тимур</t>
  </si>
  <si>
    <t>1. Сарычев Тимур</t>
  </si>
  <si>
    <t>Открытая (19.03.1990)/29</t>
  </si>
  <si>
    <t>135,40</t>
  </si>
  <si>
    <t>230,0o</t>
  </si>
  <si>
    <t>Соляник Олег</t>
  </si>
  <si>
    <t>2. Соляник Олег</t>
  </si>
  <si>
    <t>Открытая (05.10.1990)/28</t>
  </si>
  <si>
    <t>133,20</t>
  </si>
  <si>
    <t>ВЕСОВАЯ КАТЕГОРИЯ   140+</t>
  </si>
  <si>
    <t>Рейников Артем</t>
  </si>
  <si>
    <t>1. Рейников Артем</t>
  </si>
  <si>
    <t>Открытая (09.04.1981)/38</t>
  </si>
  <si>
    <t>173,50</t>
  </si>
  <si>
    <t>49,8470</t>
  </si>
  <si>
    <t>127,1400</t>
  </si>
  <si>
    <t>115,4273</t>
  </si>
  <si>
    <t>111,9420</t>
  </si>
  <si>
    <t>111,5100</t>
  </si>
  <si>
    <t>109,8510</t>
  </si>
  <si>
    <t>106,5960</t>
  </si>
  <si>
    <t>104,7878</t>
  </si>
  <si>
    <t>103,1305</t>
  </si>
  <si>
    <t>102,2200</t>
  </si>
  <si>
    <t>99,5485</t>
  </si>
  <si>
    <t>140+</t>
  </si>
  <si>
    <t>98,9835</t>
  </si>
  <si>
    <t>98,9380</t>
  </si>
  <si>
    <t>96,6780</t>
  </si>
  <si>
    <t>94,6240</t>
  </si>
  <si>
    <t>125,7497</t>
  </si>
  <si>
    <t>125,3209</t>
  </si>
  <si>
    <t>123,7062</t>
  </si>
  <si>
    <t>117,2627</t>
  </si>
  <si>
    <t>104,4880</t>
  </si>
  <si>
    <t>99,2348</t>
  </si>
  <si>
    <t>98,7059</t>
  </si>
  <si>
    <t>91,1167</t>
  </si>
  <si>
    <t xml:space="preserve">74(9+12+9+12+12+12+8) </t>
  </si>
  <si>
    <t xml:space="preserve">Соляник Олег, Мацур Виктор, Калашник Андрей, Веремянин Юрий, Умаров Стас, Лузин Сергей, Винокуров Александр </t>
  </si>
  <si>
    <t xml:space="preserve">67(12+12+7+12+12+12) </t>
  </si>
  <si>
    <t xml:space="preserve">Булатников Роман, Волков Ярослав, Половков Михаил, Половков Михаил, Сидоренко Владимир, Рыжков Анатолий </t>
  </si>
  <si>
    <t xml:space="preserve">65(12+9+12+12+8+12) </t>
  </si>
  <si>
    <t xml:space="preserve">Мамченко Игорь, Пелин Артем, Белоусов Олег, Рейников Артем, Водопьянов Евгений, Сарычев Тимур </t>
  </si>
  <si>
    <t xml:space="preserve">30(12+9+9) </t>
  </si>
  <si>
    <t xml:space="preserve">Заякин Иван, Гоголь Антон, Елисеев Андрей </t>
  </si>
  <si>
    <t xml:space="preserve">Харланов Евгений </t>
  </si>
  <si>
    <t xml:space="preserve">8(8) </t>
  </si>
  <si>
    <t xml:space="preserve">Провоторов Александр </t>
  </si>
  <si>
    <t>Кубок мира по пауэрлифтингу и силовым видам спорта в рамках международного фестиваля силовых видов спорта ZEUS III
Любители жим лежа в 2 слойной софт экипировке
Белгород/Белгородская область апреля 2019 г.</t>
  </si>
  <si>
    <t>Макарова Елена</t>
  </si>
  <si>
    <t>1. Макарова Елена</t>
  </si>
  <si>
    <t>Мастера 55 - 59 (08.08.1962)/56</t>
  </si>
  <si>
    <t>66,70</t>
  </si>
  <si>
    <t>102,5o</t>
  </si>
  <si>
    <t>Варшавский Илья</t>
  </si>
  <si>
    <t>1. Варшавский Илья</t>
  </si>
  <si>
    <t>Открытая (03.11.1991)/27</t>
  </si>
  <si>
    <t>74,50</t>
  </si>
  <si>
    <t>265,0o</t>
  </si>
  <si>
    <t>Ермолаев Вячеслав</t>
  </si>
  <si>
    <t>1. Ермолаев Вячеслав</t>
  </si>
  <si>
    <t>Открытая (21.09.1980)/38</t>
  </si>
  <si>
    <t>89,35</t>
  </si>
  <si>
    <t>Андреюшин Олег</t>
  </si>
  <si>
    <t>1. Андреюшин Олег</t>
  </si>
  <si>
    <t>Открытая (19.02.1991)/28</t>
  </si>
  <si>
    <t>-. Евтушенко Вадим</t>
  </si>
  <si>
    <t>Открытая (18.09.1974)/44</t>
  </si>
  <si>
    <t>300,0</t>
  </si>
  <si>
    <t>Мастера 40 - 44 (18.05.1975)/43</t>
  </si>
  <si>
    <t>Мастера 45 - 49 (12.03.1974)/45</t>
  </si>
  <si>
    <t>295,0</t>
  </si>
  <si>
    <t>320,0</t>
  </si>
  <si>
    <t>115,3838</t>
  </si>
  <si>
    <t>123,9157</t>
  </si>
  <si>
    <t>183,7000</t>
  </si>
  <si>
    <t>117,5800</t>
  </si>
  <si>
    <t>113,3797</t>
  </si>
  <si>
    <t>161,0860</t>
  </si>
  <si>
    <t xml:space="preserve">48(12+12+12+12) </t>
  </si>
  <si>
    <t xml:space="preserve">Ахметов Хасен, Макарова Елена, Варшавский Илья, Ермолаев Вячеслав </t>
  </si>
  <si>
    <t xml:space="preserve">Андреюшин Олег </t>
  </si>
  <si>
    <t>Лазуренко Ольга</t>
  </si>
  <si>
    <t>1. Лазуренко Ольга</t>
  </si>
  <si>
    <t>Открытая (05.09.1971)/47</t>
  </si>
  <si>
    <t>63,30</t>
  </si>
  <si>
    <t>Кильдюшев Андрей</t>
  </si>
  <si>
    <t>1. Кильдюшев Андрей</t>
  </si>
  <si>
    <t>Открытая (04.08.1988)/30</t>
  </si>
  <si>
    <t>81,85</t>
  </si>
  <si>
    <t>207,5</t>
  </si>
  <si>
    <t>Мешковой Александр</t>
  </si>
  <si>
    <t>1. Мешковой Александр</t>
  </si>
  <si>
    <t>Открытая (28.12.1987)/31</t>
  </si>
  <si>
    <t>107,00</t>
  </si>
  <si>
    <t>290,0</t>
  </si>
  <si>
    <t>Корниенко Руслан</t>
  </si>
  <si>
    <t>2. Корниенко Руслан</t>
  </si>
  <si>
    <t>Открытая (09.03.1981)/38</t>
  </si>
  <si>
    <t>101,00</t>
  </si>
  <si>
    <t xml:space="preserve">Богучар/Воронежская область </t>
  </si>
  <si>
    <t>235,0</t>
  </si>
  <si>
    <t>252,5</t>
  </si>
  <si>
    <t>123,4425</t>
  </si>
  <si>
    <t>161,9020</t>
  </si>
  <si>
    <t>145,9350</t>
  </si>
  <si>
    <t>129,6495</t>
  </si>
  <si>
    <t>157,6618</t>
  </si>
  <si>
    <t xml:space="preserve">Мамченко Игорь, Мешковой Александр </t>
  </si>
  <si>
    <t xml:space="preserve">Лазуренко Ольга, Корниенко Руслан </t>
  </si>
  <si>
    <t xml:space="preserve">Кильдюшев Андрей </t>
  </si>
  <si>
    <t>-. Карпачев Михаил</t>
  </si>
  <si>
    <t>Мастера 55 - 59 (11.11.1959)/59</t>
  </si>
  <si>
    <t>98,00</t>
  </si>
  <si>
    <t>Мастера 40 - 44 (18.09.1974)/44</t>
  </si>
  <si>
    <t>-. Виноходов Сергей</t>
  </si>
  <si>
    <t>Открытая (17.09.1982)/36</t>
  </si>
  <si>
    <t>125,00</t>
  </si>
  <si>
    <t xml:space="preserve">Викинги </t>
  </si>
  <si>
    <t>Громов Сергей</t>
  </si>
  <si>
    <t>1. Громов Сергей</t>
  </si>
  <si>
    <t>Мастера 50 - 54 (02.09.1966)/52</t>
  </si>
  <si>
    <t>107,20</t>
  </si>
  <si>
    <t xml:space="preserve">Самост </t>
  </si>
  <si>
    <t>182,8685</t>
  </si>
  <si>
    <t xml:space="preserve">Громов Сергей </t>
  </si>
  <si>
    <t>Нагалюк Владимир</t>
  </si>
  <si>
    <t>1. Нагалюк Владимир</t>
  </si>
  <si>
    <t>Открытая (21.09.1951)/67</t>
  </si>
  <si>
    <t>82,50</t>
  </si>
  <si>
    <t xml:space="preserve">Днепр/ </t>
  </si>
  <si>
    <t>Мастера 65 - 69 (21.09.1951)/67</t>
  </si>
  <si>
    <t>Тихонов Руслан</t>
  </si>
  <si>
    <t>1. Тихонов Руслан</t>
  </si>
  <si>
    <t>Мастера 45 - 49 (23.12.1971)/47</t>
  </si>
  <si>
    <t>105,30</t>
  </si>
  <si>
    <t xml:space="preserve">Курск </t>
  </si>
  <si>
    <t>68,1230</t>
  </si>
  <si>
    <t xml:space="preserve">Мастера 65 - 69 </t>
  </si>
  <si>
    <t>161,8231</t>
  </si>
  <si>
    <t>105,2885</t>
  </si>
  <si>
    <t xml:space="preserve">Нагалюк Владимир, Нагалюк Владимир </t>
  </si>
  <si>
    <t xml:space="preserve">Тихонов Руслан </t>
  </si>
  <si>
    <t>Борисов Максим</t>
  </si>
  <si>
    <t>1. Борисов Максим</t>
  </si>
  <si>
    <t>82,70</t>
  </si>
  <si>
    <t>245,0o</t>
  </si>
  <si>
    <t>160,7580</t>
  </si>
  <si>
    <t xml:space="preserve">Борисов Максим </t>
  </si>
  <si>
    <t>Кубок мира по пауэрлифтингу и силовым видам спорта в рамках международного фестиваля силовых видов спорта ZEUS III
Любители становая тяга без экипировки
Белгород/Белгородская область апреля 2019 г.</t>
  </si>
  <si>
    <t>Манжос Ольга</t>
  </si>
  <si>
    <t>1. Манжос Ольга</t>
  </si>
  <si>
    <t>Открытая (07.06.1993)/25</t>
  </si>
  <si>
    <t>51,30</t>
  </si>
  <si>
    <t>132,5o</t>
  </si>
  <si>
    <t>137,5o</t>
  </si>
  <si>
    <t>Лылова Анна</t>
  </si>
  <si>
    <t>2. Лылова Анна</t>
  </si>
  <si>
    <t>Открытая (13.06.1983)/35</t>
  </si>
  <si>
    <t>65,00</t>
  </si>
  <si>
    <t>Ельникова Марина</t>
  </si>
  <si>
    <t>3. Ельникова Марина</t>
  </si>
  <si>
    <t>Открытая (26.04.1987)/31</t>
  </si>
  <si>
    <t>66,00</t>
  </si>
  <si>
    <t>Хващинская Ирина</t>
  </si>
  <si>
    <t>1. Хващинская Ирина</t>
  </si>
  <si>
    <t>Мастера 45 - 49 (13.11.1971)/47</t>
  </si>
  <si>
    <t>1. Малыхин Кирилл</t>
  </si>
  <si>
    <t>Лепин Никита</t>
  </si>
  <si>
    <t>1. Лепин Никита</t>
  </si>
  <si>
    <t>Юноши 16 - 17 (06.02.2002)/17</t>
  </si>
  <si>
    <t>Сусла Владимир</t>
  </si>
  <si>
    <t>1. Сусла Владимир</t>
  </si>
  <si>
    <t>Открытая (25.11.1991)/27</t>
  </si>
  <si>
    <t>Солодовников Данил</t>
  </si>
  <si>
    <t>2. Солодовников Данил</t>
  </si>
  <si>
    <t>Открытая (14.06.2001)/17</t>
  </si>
  <si>
    <t>64,60</t>
  </si>
  <si>
    <t>Токарь Дмитрий</t>
  </si>
  <si>
    <t>1. Токарь Дмитрий</t>
  </si>
  <si>
    <t>Юноши 14-15 (26.11.2004)/14</t>
  </si>
  <si>
    <t>68,90</t>
  </si>
  <si>
    <t>Петренко Владимир</t>
  </si>
  <si>
    <t>1. Петренко Владимир</t>
  </si>
  <si>
    <t>Юноши 18 - 19 (10.02.2001)/18</t>
  </si>
  <si>
    <t>73,00</t>
  </si>
  <si>
    <t>157,5</t>
  </si>
  <si>
    <t>Алферов Сергей</t>
  </si>
  <si>
    <t>2. Алферов Сергей</t>
  </si>
  <si>
    <t>Открытая (17.08.1983)/35</t>
  </si>
  <si>
    <t>Шапин Тимофей</t>
  </si>
  <si>
    <t>1. Шапин Тимофей</t>
  </si>
  <si>
    <t>Юниоры 20 - 23 (08.01.1998)/21</t>
  </si>
  <si>
    <t>247,5</t>
  </si>
  <si>
    <t>Шумилов Олег</t>
  </si>
  <si>
    <t>1. Шумилов Олег</t>
  </si>
  <si>
    <t>Юноши 16 - 17 (16.04.2003)/16</t>
  </si>
  <si>
    <t>83,50</t>
  </si>
  <si>
    <t>Манжос Артур</t>
  </si>
  <si>
    <t>2. Манжос Артур</t>
  </si>
  <si>
    <t>Открытая (10.08.1993)/25</t>
  </si>
  <si>
    <t>88,70</t>
  </si>
  <si>
    <t>Лукьянчиков Владимир</t>
  </si>
  <si>
    <t>3. Лукьянчиков Владимир</t>
  </si>
  <si>
    <t>Открытая (23.12.1959)/59</t>
  </si>
  <si>
    <t>1. Лукьянчиков Владимир</t>
  </si>
  <si>
    <t>Мастера 55 - 59 (23.12.1959)/59</t>
  </si>
  <si>
    <t>Лавренов Николай</t>
  </si>
  <si>
    <t>1. Лавренов Николай</t>
  </si>
  <si>
    <t>Открытая (21.05.1988)/30</t>
  </si>
  <si>
    <t>96,85</t>
  </si>
  <si>
    <t>Мазепа Денис</t>
  </si>
  <si>
    <t>2. Мазепа Денис</t>
  </si>
  <si>
    <t>Открытая (18.12.1981)/37</t>
  </si>
  <si>
    <t>98,20</t>
  </si>
  <si>
    <t>Жинкин Дмитрий</t>
  </si>
  <si>
    <t>3. Жинкин Дмитрий</t>
  </si>
  <si>
    <t>Открытая (01.07.1980)/38</t>
  </si>
  <si>
    <t>94,35</t>
  </si>
  <si>
    <t>107,9650</t>
  </si>
  <si>
    <t>96,5640</t>
  </si>
  <si>
    <t>83,4015</t>
  </si>
  <si>
    <t>78,4080</t>
  </si>
  <si>
    <t>191,1204</t>
  </si>
  <si>
    <t>103,2511</t>
  </si>
  <si>
    <t>136,7560</t>
  </si>
  <si>
    <t>117,5796</t>
  </si>
  <si>
    <t>116,3297</t>
  </si>
  <si>
    <t>113,3424</t>
  </si>
  <si>
    <t>109,4534</t>
  </si>
  <si>
    <t>107,5771</t>
  </si>
  <si>
    <t>105,2093</t>
  </si>
  <si>
    <t>152,2411</t>
  </si>
  <si>
    <t>119,4165</t>
  </si>
  <si>
    <t>115,9893</t>
  </si>
  <si>
    <t>158,6790</t>
  </si>
  <si>
    <t>140,5750</t>
  </si>
  <si>
    <t>139,5160</t>
  </si>
  <si>
    <t>138,0367</t>
  </si>
  <si>
    <t>127,0150</t>
  </si>
  <si>
    <t>125,4812</t>
  </si>
  <si>
    <t>122,8920</t>
  </si>
  <si>
    <t>122,5285</t>
  </si>
  <si>
    <t>113,3550</t>
  </si>
  <si>
    <t>109,6425</t>
  </si>
  <si>
    <t>105,7860</t>
  </si>
  <si>
    <t>168,1997</t>
  </si>
  <si>
    <t xml:space="preserve">86(9+12+12+9+12+12+12+8) </t>
  </si>
  <si>
    <t xml:space="preserve">Манжос Артур, Лепин Никита, Манжос Ольга, Алферов Сергей, Меркулов Виталий, Хващинская Ирина, Гостева Валентина, Ельникова Марина </t>
  </si>
  <si>
    <t xml:space="preserve">45(12+12+9+12) </t>
  </si>
  <si>
    <t xml:space="preserve">Шумилов Олег, Тищенко Владислав, Солодовников Данил, Петренко Владимир </t>
  </si>
  <si>
    <t xml:space="preserve">45(9+12+12+12) </t>
  </si>
  <si>
    <t xml:space="preserve">Лылова Анна, Сусла Владимир, Литвинова Елена, Мусиенко Константин </t>
  </si>
  <si>
    <t xml:space="preserve">41(8+9+12+12) </t>
  </si>
  <si>
    <t xml:space="preserve">Жинкин Дмитрий, Шульгин Виталий, Лавренов Николай, Гребнев Алексей </t>
  </si>
  <si>
    <t xml:space="preserve">Токарь Дмитрий, Малыхин Кирилл, Плотников Артем </t>
  </si>
  <si>
    <t xml:space="preserve">20(8+12) </t>
  </si>
  <si>
    <t xml:space="preserve">Анищенко Артем </t>
  </si>
  <si>
    <t xml:space="preserve">Шапин Тимофей </t>
  </si>
  <si>
    <t>ВЕСОВАЯ КАТЕГОРИЯ   48</t>
  </si>
  <si>
    <t>Лукина Дарья</t>
  </si>
  <si>
    <t>1. Лукина Дарья</t>
  </si>
  <si>
    <t>Открытая (09.09.1998)/20</t>
  </si>
  <si>
    <t>47,00</t>
  </si>
  <si>
    <t>60,0o</t>
  </si>
  <si>
    <t>70,0o</t>
  </si>
  <si>
    <t>Хурамшина Кадрия</t>
  </si>
  <si>
    <t>1. Хурамшина Кадрия</t>
  </si>
  <si>
    <t>Открытая (21.11.1989)/29</t>
  </si>
  <si>
    <t>79,20</t>
  </si>
  <si>
    <t>Алябьев Роман</t>
  </si>
  <si>
    <t>1. Алябьев Роман</t>
  </si>
  <si>
    <t>Открытая (22.12.1993)/25</t>
  </si>
  <si>
    <t>88,95</t>
  </si>
  <si>
    <t>Малышко Андрей</t>
  </si>
  <si>
    <t>1. Малышко Андрей</t>
  </si>
  <si>
    <t>Мастера 40 - 44 (30.03.1978)/41</t>
  </si>
  <si>
    <t>95,50</t>
  </si>
  <si>
    <t>76,3345</t>
  </si>
  <si>
    <t>48</t>
  </si>
  <si>
    <t>73,6470</t>
  </si>
  <si>
    <t>144,4275</t>
  </si>
  <si>
    <t>140,5797</t>
  </si>
  <si>
    <t xml:space="preserve">Малышко Андрей, Лукина Дарья, Хурамшина Кадрия </t>
  </si>
  <si>
    <t xml:space="preserve">Алябьев Роман </t>
  </si>
  <si>
    <t>Новиков Денис</t>
  </si>
  <si>
    <t>1. Новиков Денис</t>
  </si>
  <si>
    <t>Юниоры 20 - 23 (25.09.1997)/21</t>
  </si>
  <si>
    <t>120,0203</t>
  </si>
  <si>
    <t xml:space="preserve">Новиков Денис </t>
  </si>
  <si>
    <t>1. Шульгин Виталий</t>
  </si>
  <si>
    <t>Волохо Андрей</t>
  </si>
  <si>
    <t>1. Волохо Андрей</t>
  </si>
  <si>
    <t>Мастера 40 - 44 (06.07.1975)/43</t>
  </si>
  <si>
    <t>99,15</t>
  </si>
  <si>
    <t>172,5</t>
  </si>
  <si>
    <t>1. Дурнов Дмитрий</t>
  </si>
  <si>
    <t>96,1054</t>
  </si>
  <si>
    <t>127,9365</t>
  </si>
  <si>
    <t>109,0000</t>
  </si>
  <si>
    <t>101,2140</t>
  </si>
  <si>
    <t>97,6627</t>
  </si>
  <si>
    <t xml:space="preserve">Шульгин Виталий, Лавренов Николай, Гребнев Алексей </t>
  </si>
  <si>
    <t>Юрасов Антон</t>
  </si>
  <si>
    <t>1. Юрасов Антон</t>
  </si>
  <si>
    <t>Открытая (12.12.1986)/32</t>
  </si>
  <si>
    <t>107,30</t>
  </si>
  <si>
    <t>237,5</t>
  </si>
  <si>
    <t>128,2737</t>
  </si>
  <si>
    <t xml:space="preserve">Юрасов Антон </t>
  </si>
  <si>
    <t>Шишкин Владислав</t>
  </si>
  <si>
    <t>1. Шишкин Владислав</t>
  </si>
  <si>
    <t>Юниоры 20 - 23 (11.07.1997)/21</t>
  </si>
  <si>
    <t xml:space="preserve">Шебекино/Белгородская область </t>
  </si>
  <si>
    <t>Бахтин Евгений</t>
  </si>
  <si>
    <t>1. Бахтин Евгений</t>
  </si>
  <si>
    <t>Открытая (13.12.1993)/25</t>
  </si>
  <si>
    <t>1. Жинкин Дмитрий</t>
  </si>
  <si>
    <t>182,5</t>
  </si>
  <si>
    <t>296,8466</t>
  </si>
  <si>
    <t>160,9004</t>
  </si>
  <si>
    <t>367,5</t>
  </si>
  <si>
    <t>209,4382</t>
  </si>
  <si>
    <t>317,5</t>
  </si>
  <si>
    <t>202,4380</t>
  </si>
  <si>
    <t xml:space="preserve">Бахтин Евгений, Жинкин Дмитрий, Шишкин Владислав </t>
  </si>
  <si>
    <t xml:space="preserve">Гостева Валентина </t>
  </si>
  <si>
    <t>390,0</t>
  </si>
  <si>
    <t>268,0300</t>
  </si>
  <si>
    <t>Коробейников Д.Ю.</t>
  </si>
  <si>
    <t>Кузьменко Е.В.</t>
  </si>
  <si>
    <t>Кубок мира по пауэрлифтингу и силовым видам спорта в рамках международного фестиваля силовых видов спорта ZEUS III
Силовое двоеборье профессианалы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</si>
  <si>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Силовое двоеборье любители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</si>
  <si>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ПРО присед без экипировки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</si>
  <si>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Любители присед без экипировки
Белгород/Белгородская область 20 апреля 2019 г.</t>
  </si>
  <si>
    <t xml:space="preserve">Волохо Андрей, Дурнов Дмитрий </t>
  </si>
  <si>
    <t>Кубок мира по пауэрлифтингу и силовым видам спорта в рамках международного фестиваля силовых видов спорта ZEUS III
СОВ присед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</si>
  <si>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ПРО становая тяга без экипировки
Белгород/Белгородская область 20 апреля 2019 г.</t>
  </si>
  <si>
    <t xml:space="preserve">29(8+12+9) </t>
  </si>
  <si>
    <t xml:space="preserve">Лукьянчиков Владимир, Лукьянчиков Владимир, Мазепа Денис </t>
  </si>
  <si>
    <t>Кубок мира по пауэрлифтингу и силовым видам спорта в рамках международного фестиваля силовых видов спорта ZEUS III
Любители становая тяга в однослойной экипировке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</si>
  <si>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СОВ становая тяга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</si>
  <si>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ПРО жим лежа в 3 слойной софт экипировке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</si>
  <si>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Любители жим лежа в 3 слойной софт экипировке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</si>
  <si>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ПРО жим лежа в 2 слойной софт экипировке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</si>
  <si>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Любители жим лежа в однослойной экипировке
Белгород/Белгородская область 20 апреля 2019 г.</t>
  </si>
  <si>
    <t>Сталь</t>
  </si>
  <si>
    <t>Кубок мира по пауэрлифтингу и силовым видам спорта в рамках международного фестиваля силовых видов спорта ZEUS III
СОВ жим лежа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</si>
  <si>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ПРО военный жим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</si>
  <si>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Любители военный жим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</si>
  <si>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ПРО пауэрлифтинг в софт экипировке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</si>
  <si>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Любители пауэрлифтинг в софт экипировке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</si>
  <si>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ПРО пауэрлифтинг без экипировки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</si>
  <si>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Любители пауэрлифтинг без экипировки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</si>
  <si>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СОВ пауэрлифтинг
Белгород/Белгородская область 20 апреля 2019 г.</t>
  </si>
  <si>
    <t>4. Пахомов Никита</t>
  </si>
  <si>
    <t>Шульгин Сергей</t>
  </si>
  <si>
    <t>1. Шульгин Сергей</t>
  </si>
  <si>
    <t>Мастера 40 - 44 (20.10.1975)/43</t>
  </si>
  <si>
    <t>Алкидис Радислав</t>
  </si>
  <si>
    <t>1. Алкидис Радислав</t>
  </si>
  <si>
    <t>Мастера 40 - 44 (04.12.1978)/40</t>
  </si>
  <si>
    <t>Шерман Дмитрий</t>
  </si>
  <si>
    <t>Назин Александр</t>
  </si>
  <si>
    <t>Открытая (21.11.1985)/33</t>
  </si>
  <si>
    <t>2. Назин Александр</t>
  </si>
  <si>
    <t>79,10</t>
  </si>
  <si>
    <t>Мастера 50 - 54 (28.05.1964)/54</t>
  </si>
  <si>
    <t>1. Шерман Дмитрий</t>
  </si>
  <si>
    <t>20,0</t>
  </si>
  <si>
    <t>52,0o</t>
  </si>
  <si>
    <t>30,0</t>
  </si>
  <si>
    <t>40,0o</t>
  </si>
  <si>
    <t xml:space="preserve">Пузанок Павел </t>
  </si>
  <si>
    <t xml:space="preserve">Куц Андрей, Чубарых Петр, Попов Андрей, Соломкин Роман, Алкидис Радислав, Шульгин Виталий, Журавель Сергей, Назин Александр, Шульгин Сергей </t>
  </si>
  <si>
    <t xml:space="preserve">101(8+12+9+12+12+12+12+12+12) </t>
  </si>
  <si>
    <t>49,9123</t>
  </si>
  <si>
    <t>52,9625</t>
  </si>
  <si>
    <t>57,4667</t>
  </si>
  <si>
    <t>40,3195</t>
  </si>
  <si>
    <t>44,6880</t>
  </si>
  <si>
    <t>44,8140</t>
  </si>
  <si>
    <t>Попов Андрей</t>
  </si>
  <si>
    <t>53,3280</t>
  </si>
  <si>
    <t>54,1195</t>
  </si>
  <si>
    <t>Пузанок Павел</t>
  </si>
  <si>
    <t>46,3957</t>
  </si>
  <si>
    <t>43,7022</t>
  </si>
  <si>
    <t>1. Назин Александр</t>
  </si>
  <si>
    <t>3. Куц Андрей</t>
  </si>
  <si>
    <t>78,75</t>
  </si>
  <si>
    <t>Открытая (28.12.1981)/37</t>
  </si>
  <si>
    <t>2. Попов Андрей</t>
  </si>
  <si>
    <t>85,0o</t>
  </si>
  <si>
    <t>79,35</t>
  </si>
  <si>
    <t>Открытая (09.07.1985)/33</t>
  </si>
  <si>
    <t>1. Пузанок Павел</t>
  </si>
  <si>
    <t>Жим стоя</t>
  </si>
  <si>
    <t>Собственный
вес</t>
  </si>
  <si>
    <t>Кубок мира по пауэрлифтингу и силовым видам спорта в рамках международного фестиваля силовых видов спорта ZEUS III Пауэрспорт
Одиночный жим штанги стоя Любители
Белгород/Белгородская область 20 апреля 2019 г.</t>
  </si>
  <si>
    <t xml:space="preserve">Гончаров Сергей, Перунов Дмитрий </t>
  </si>
  <si>
    <t xml:space="preserve">Подпорина Любовь, Осетров Евгений </t>
  </si>
  <si>
    <t>78,7560</t>
  </si>
  <si>
    <t>Гончаров Сергей</t>
  </si>
  <si>
    <t>85,3543</t>
  </si>
  <si>
    <t>Перунов Дмитрий</t>
  </si>
  <si>
    <t>73,2205</t>
  </si>
  <si>
    <t>Осетров Евгений</t>
  </si>
  <si>
    <t>56,9966</t>
  </si>
  <si>
    <t>Подпорина Любовь</t>
  </si>
  <si>
    <t>97,80</t>
  </si>
  <si>
    <t>Открытая (04.04.1994)/25</t>
  </si>
  <si>
    <t>1. Перунов Дмитрий</t>
  </si>
  <si>
    <t>52,5</t>
  </si>
  <si>
    <t>76,20</t>
  </si>
  <si>
    <t>Открытая (06.11.1990)/28</t>
  </si>
  <si>
    <t>1. Гончаров Сергей</t>
  </si>
  <si>
    <t>Юниоры 20 - 23 (03.03.1996)/23</t>
  </si>
  <si>
    <t>1. Осетров Евгений</t>
  </si>
  <si>
    <t>74,00</t>
  </si>
  <si>
    <t>Мастера 45 - 49 (30.09.1970)/48</t>
  </si>
  <si>
    <t>1. Подпорина Любовь</t>
  </si>
  <si>
    <t>Кубок мира по пауэрлифтингу и силовым видам спорта в рамках международного фестиваля силовых видов спорта ZEUS III Пауэрспорт
Пауэрспорт Профессионалы
Белгород/Белгородская область 20 апреля 2019 г.</t>
  </si>
  <si>
    <t xml:space="preserve">Трофимов Дмитрий, Трофимов Дмитрий </t>
  </si>
  <si>
    <t xml:space="preserve">Пузанок Павел, Тюпко Григорий, Аванесов Марлен </t>
  </si>
  <si>
    <t xml:space="preserve">33(12+9+12) </t>
  </si>
  <si>
    <t xml:space="preserve">Куц Андрей, Чубарых Петр, Попов Андрей, Бахтин Евгений, Соломкин Роман, Алкидис Радислав, Воронцов Борис, Пахомов Никита, Величко Владимир, Потапов Алексей, Назин Александр </t>
  </si>
  <si>
    <t xml:space="preserve">115(6+12+9+7+12+12+12+9+12+12+12) </t>
  </si>
  <si>
    <t>86,1001</t>
  </si>
  <si>
    <t>Трофимов Дмитрий</t>
  </si>
  <si>
    <t>96,1688</t>
  </si>
  <si>
    <t>69,7837</t>
  </si>
  <si>
    <t>76,1750</t>
  </si>
  <si>
    <t>82,1566</t>
  </si>
  <si>
    <t>82,8880</t>
  </si>
  <si>
    <t>83,7900</t>
  </si>
  <si>
    <t>84,8265</t>
  </si>
  <si>
    <t>88,6965</t>
  </si>
  <si>
    <t>Аванесов Марлен</t>
  </si>
  <si>
    <t>95,5050</t>
  </si>
  <si>
    <t>96,6570</t>
  </si>
  <si>
    <t>98,9935</t>
  </si>
  <si>
    <t>Тюпко Григорий</t>
  </si>
  <si>
    <t>74,7864</t>
  </si>
  <si>
    <t>79,6403</t>
  </si>
  <si>
    <t>85,1043</t>
  </si>
  <si>
    <t>92,5</t>
  </si>
  <si>
    <t>87,3343</t>
  </si>
  <si>
    <t>2. Пахомов Никита</t>
  </si>
  <si>
    <t>84,00</t>
  </si>
  <si>
    <t>Открытая (05.12.1994)/24</t>
  </si>
  <si>
    <t>1. Аванесов Марлен</t>
  </si>
  <si>
    <t>82,35</t>
  </si>
  <si>
    <t>Мастера 45 - 49 (18.02.1974)/45</t>
  </si>
  <si>
    <t>1. Трофимов Дмитрий</t>
  </si>
  <si>
    <t>62,2</t>
  </si>
  <si>
    <t>5. Куц Андрей</t>
  </si>
  <si>
    <t>4. Бахтин Евгений</t>
  </si>
  <si>
    <t>Открытая (18.02.1974)/45</t>
  </si>
  <si>
    <t>3. Трофимов Дмитрий</t>
  </si>
  <si>
    <t xml:space="preserve">Челябинск/Челябинская область </t>
  </si>
  <si>
    <t>Открытая (25.06.1990)/28</t>
  </si>
  <si>
    <t>2. Тюпко Григорий</t>
  </si>
  <si>
    <t>Кубок мира по пауэрлифтингу и силовым видам спорта в рамках международного фестиваля силовых видов спорта ZEUS III Пауэрспорт
Пауэрспорт Любители
Белгород/Белгородская область 20 апреля 2019 г.</t>
  </si>
  <si>
    <t xml:space="preserve">Волков Ярослав </t>
  </si>
  <si>
    <t xml:space="preserve">Исаев Табриз, Перунов Дмитрий </t>
  </si>
  <si>
    <t>40,5783</t>
  </si>
  <si>
    <t>41,8577</t>
  </si>
  <si>
    <t>47,6306</t>
  </si>
  <si>
    <t>Исаев Табриз</t>
  </si>
  <si>
    <t>23,8399</t>
  </si>
  <si>
    <t>27,5</t>
  </si>
  <si>
    <t>Юниоры 20 - 23 (10.03.1997)/22</t>
  </si>
  <si>
    <t>1. Исаев Табриз</t>
  </si>
  <si>
    <t>Кубок мира по пауэрлифтингу и силовым видам спорта в рамках международного фестиваля силовых видов спорта ZEUS III Пауэрспорт
Одиночный подъём штанги на бицепс Профессионалы
Белгород/Белгородская область 20 апреля 2019 г.</t>
  </si>
  <si>
    <t xml:space="preserve">Карпунин Александр </t>
  </si>
  <si>
    <t xml:space="preserve">Костин Игорь </t>
  </si>
  <si>
    <t xml:space="preserve">Кудренко Владислав </t>
  </si>
  <si>
    <t xml:space="preserve">Морозов Эдуард </t>
  </si>
  <si>
    <t xml:space="preserve">Мальцев Сергей, Копытин Михаил </t>
  </si>
  <si>
    <t xml:space="preserve">Волохо Андрей, Волохо Андрей, Платонов Владимир, Шерман Дмитрий, Лукьянчиков Владимир, Рядинский Денис </t>
  </si>
  <si>
    <t xml:space="preserve">66(9+12+9+12+12+12) </t>
  </si>
  <si>
    <t xml:space="preserve">Захаров Сергей, Козлов Евгений, Махфузов Афраим, Махфузов Афраим, Валяев Александр </t>
  </si>
  <si>
    <t xml:space="preserve">60(12+12+12+12+12) </t>
  </si>
  <si>
    <t xml:space="preserve">Бахтин Евгений, Поданев Игорь, Алкидис Радислав, Воронцов Борис, Пахомов Никита, Пахомов Никита, Величко Владимир, Крапивенцева Яна, Потапов Алексей, Назин Александр, Тарской Александр </t>
  </si>
  <si>
    <t xml:space="preserve">110(9+12+12+12+7+8+12+12+9+9+8) </t>
  </si>
  <si>
    <t>40,2203</t>
  </si>
  <si>
    <t>Карпунин Александр</t>
  </si>
  <si>
    <t>40,7745</t>
  </si>
  <si>
    <t>43,2063</t>
  </si>
  <si>
    <t>43,8775</t>
  </si>
  <si>
    <t>49,0583</t>
  </si>
  <si>
    <t>55,1724</t>
  </si>
  <si>
    <t>28,4480</t>
  </si>
  <si>
    <t>29,4168</t>
  </si>
  <si>
    <t>33,2400</t>
  </si>
  <si>
    <t>36,7563</t>
  </si>
  <si>
    <t>Валяев Александр</t>
  </si>
  <si>
    <t>38,9687</t>
  </si>
  <si>
    <t>39,0100</t>
  </si>
  <si>
    <t>39,1020</t>
  </si>
  <si>
    <t>39,8500</t>
  </si>
  <si>
    <t>42,2880</t>
  </si>
  <si>
    <t>Кудренко Владислав</t>
  </si>
  <si>
    <t>43,1016</t>
  </si>
  <si>
    <t>43,6950</t>
  </si>
  <si>
    <t>Копытин Михаил</t>
  </si>
  <si>
    <t>44,9055</t>
  </si>
  <si>
    <t>Мальцев Сергей</t>
  </si>
  <si>
    <t>45,8258</t>
  </si>
  <si>
    <t>Морозов Эдуард</t>
  </si>
  <si>
    <t>46,4145</t>
  </si>
  <si>
    <t>46,4850</t>
  </si>
  <si>
    <t>Рядинский Денис</t>
  </si>
  <si>
    <t>46,8917</t>
  </si>
  <si>
    <t>29,0170</t>
  </si>
  <si>
    <t>36,0766</t>
  </si>
  <si>
    <t>Костин Игорь</t>
  </si>
  <si>
    <t>37,3932</t>
  </si>
  <si>
    <t>38,9729</t>
  </si>
  <si>
    <t>39,8543</t>
  </si>
  <si>
    <t>52,0</t>
  </si>
  <si>
    <t>Козлов Евгений</t>
  </si>
  <si>
    <t>38,0344</t>
  </si>
  <si>
    <t>Захаров Сергей</t>
  </si>
  <si>
    <t>41,3689</t>
  </si>
  <si>
    <t>25,5602</t>
  </si>
  <si>
    <t>118,50</t>
  </si>
  <si>
    <t>Открытая (08.10.1991)/27</t>
  </si>
  <si>
    <t>1. Мальцев Сергей</t>
  </si>
  <si>
    <t>98,70</t>
  </si>
  <si>
    <t>Мастера 40 - 44 (21.10.1974)/44</t>
  </si>
  <si>
    <t>3. Карпунин Александр</t>
  </si>
  <si>
    <t>2. Волохо Андрей</t>
  </si>
  <si>
    <t>3. Пахомов Никита</t>
  </si>
  <si>
    <t>Открытая (06.07.1975)/43</t>
  </si>
  <si>
    <t>Открытая (18.04.1991)/28</t>
  </si>
  <si>
    <t>1. Валяев Александр</t>
  </si>
  <si>
    <t>4. Тарской Александр</t>
  </si>
  <si>
    <t>3. Бахтин Евгений</t>
  </si>
  <si>
    <t>82,40</t>
  </si>
  <si>
    <t>Открытая (06.07.1985)/33</t>
  </si>
  <si>
    <t>1. Рядинский Денис</t>
  </si>
  <si>
    <t>Открытая (19.12.2000)/18</t>
  </si>
  <si>
    <t>3. Кудренко Владислав</t>
  </si>
  <si>
    <t>Открытая (13.12.1976)/42</t>
  </si>
  <si>
    <t>2. Морозов Эдуард</t>
  </si>
  <si>
    <t>1. Тюпко Григорий</t>
  </si>
  <si>
    <t>Юниоры 20 - 23 (17.06.1997)/21</t>
  </si>
  <si>
    <t>2. Костин Игорь</t>
  </si>
  <si>
    <t>74,10</t>
  </si>
  <si>
    <t>Юноши 16 - 17 (30.11.2001)/17</t>
  </si>
  <si>
    <t>1. Захаров Сергей</t>
  </si>
  <si>
    <t>2. Платонов Владимир</t>
  </si>
  <si>
    <t>67,25</t>
  </si>
  <si>
    <t>Открытая (28.06.1980)/38</t>
  </si>
  <si>
    <t>1. Копытин Михаил</t>
  </si>
  <si>
    <t>2. Потапов Алексей</t>
  </si>
  <si>
    <t>Юниоры 20 - 23 (06.07.1997)/21</t>
  </si>
  <si>
    <t>1. Козлов Евгений</t>
  </si>
  <si>
    <t>Кубок мира по пауэрлифтингу и силовым видам спорта в рамках международного фестиваля силовых видов спорта ZEUS III Пауэрспорт
Одиночный подъём штанги на бицепс Любители
Белгород/Белгородская область 20 апреля 2019 г.</t>
  </si>
  <si>
    <t xml:space="preserve">Гончаров Сергей </t>
  </si>
  <si>
    <t>44,3003</t>
  </si>
  <si>
    <t>Кубок мира по пауэрлифтингу и силовым видам спорта в рамках международного фестиваля силовых видов спорта ZEUS III Пауэрспорт
Одиночный жим штанги стоя Профессионалы
Белгород/Белгородская область 20 апреля 2019 г.</t>
  </si>
  <si>
    <t>175</t>
  </si>
  <si>
    <t>170</t>
  </si>
  <si>
    <t>270</t>
  </si>
  <si>
    <t>325</t>
  </si>
  <si>
    <t>300</t>
  </si>
  <si>
    <t>ВЕСОВАЯ КАТЕГОРИЯ   67,5</t>
  </si>
  <si>
    <t>Лично</t>
  </si>
  <si>
    <t>Лыков Н.А.</t>
  </si>
  <si>
    <t>ВЕСОВАЯ КАТЕГОРИЯ   82,5</t>
  </si>
  <si>
    <t>Титан</t>
  </si>
  <si>
    <t>Новый Оскол</t>
  </si>
  <si>
    <t>Открытая</t>
  </si>
  <si>
    <t>150</t>
  </si>
  <si>
    <t>Жим лежа</t>
  </si>
  <si>
    <t>Народный жим</t>
  </si>
  <si>
    <t>Вес штанги</t>
  </si>
  <si>
    <t>повторы</t>
  </si>
  <si>
    <t>Кубок мира по пауэрлифтингу и силовым видам спорта в рамках международного фестиваля силовых видов спорта ZEUS III
Жимовое Двоеборье
Белгород/Белгородская область 20 апреля 2019 г.</t>
  </si>
  <si>
    <t>59,9</t>
  </si>
  <si>
    <t>80</t>
  </si>
  <si>
    <t>12</t>
  </si>
  <si>
    <t>Юноши 16-17</t>
  </si>
  <si>
    <t>66,7</t>
  </si>
  <si>
    <t>85</t>
  </si>
  <si>
    <t>21</t>
  </si>
  <si>
    <t>Юниоры 20-23</t>
  </si>
  <si>
    <t>81</t>
  </si>
  <si>
    <t>145</t>
  </si>
  <si>
    <t>155</t>
  </si>
  <si>
    <t>35</t>
  </si>
  <si>
    <t>190</t>
  </si>
  <si>
    <t>Мастера 40-44</t>
  </si>
  <si>
    <t>Комаров Владислав</t>
  </si>
  <si>
    <t>165</t>
  </si>
  <si>
    <t>34</t>
  </si>
  <si>
    <t>95</t>
  </si>
  <si>
    <t>23</t>
  </si>
  <si>
    <t>108,7</t>
  </si>
  <si>
    <t>Белгород</t>
  </si>
  <si>
    <t>185</t>
  </si>
  <si>
    <t>24</t>
  </si>
  <si>
    <t>Жеребцов Александр</t>
  </si>
  <si>
    <t>Мастера 60-64</t>
  </si>
  <si>
    <t>101,9</t>
  </si>
  <si>
    <t>120</t>
  </si>
  <si>
    <t>1. Тихонов Ростислав</t>
  </si>
  <si>
    <t>Открытая (21.03.1996)/23</t>
  </si>
  <si>
    <t>76,90</t>
  </si>
  <si>
    <t>Тихонов Ростислав</t>
  </si>
  <si>
    <t>445,0</t>
  </si>
  <si>
    <t>290,0065</t>
  </si>
  <si>
    <t>Назаренко А.Н.</t>
  </si>
  <si>
    <t>1. Федоров Андрей</t>
  </si>
  <si>
    <t>Юноши 14-15 (14.10.2005)/13</t>
  </si>
  <si>
    <t>Москва</t>
  </si>
  <si>
    <t xml:space="preserve">Юноши 13-15 </t>
  </si>
  <si>
    <t xml:space="preserve">  Федоров Андрей</t>
  </si>
  <si>
    <t>Открытая (23.09.1980)/38</t>
  </si>
  <si>
    <t xml:space="preserve">
Дата рождения/Возраст</t>
  </si>
  <si>
    <t>Возрастная группа</t>
  </si>
  <si>
    <t>M2</t>
  </si>
  <si>
    <t>J</t>
  </si>
  <si>
    <t>O</t>
  </si>
  <si>
    <t>Тяга</t>
  </si>
  <si>
    <t xml:space="preserve"> T2</t>
  </si>
  <si>
    <t>T3</t>
  </si>
  <si>
    <t>M1</t>
  </si>
  <si>
    <t>T0</t>
  </si>
  <si>
    <t>жим</t>
  </si>
  <si>
    <t>T2</t>
  </si>
  <si>
    <t>M3</t>
  </si>
  <si>
    <t>M4</t>
  </si>
  <si>
    <t>M5</t>
  </si>
  <si>
    <t xml:space="preserve">
Вес</t>
  </si>
  <si>
    <t xml:space="preserve">Собственный </t>
  </si>
  <si>
    <t>T1</t>
  </si>
  <si>
    <t>M6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</si>
</sst>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sz val="11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14"/>
      <name val="Arial Cyr"/>
      <charset val="204"/>
    </font>
    <font>
      <b/>
      <i/>
      <sz val="12"/>
      <name val="Arial Cyr"/>
      <charset val="204"/>
    </font>
    <font>
      <sz val="24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0" fontId="0" fillId="0" borderId="13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9" fillId="0" borderId="0" xfId="0" applyNumberFormat="1" applyFont="1" applyFill="1" applyBorder="1" applyAlignment="1">
      <alignment horizontal="left" indent="1"/>
    </xf>
    <xf numFmtId="49" fontId="9" fillId="0" borderId="0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0" fillId="0" borderId="14" xfId="0" applyNumberFormat="1" applyFont="1" applyFill="1" applyBorder="1" applyAlignment="1">
      <alignment horizontal="left"/>
    </xf>
    <xf numFmtId="49" fontId="0" fillId="0" borderId="14" xfId="0" applyNumberFormat="1" applyFont="1" applyFill="1" applyBorder="1" applyAlignment="1">
      <alignment horizontal="center"/>
    </xf>
    <xf numFmtId="49" fontId="6" fillId="0" borderId="14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left"/>
    </xf>
    <xf numFmtId="49" fontId="0" fillId="0" borderId="15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left"/>
    </xf>
    <xf numFmtId="49" fontId="0" fillId="0" borderId="16" xfId="0" applyNumberFormat="1" applyFont="1" applyFill="1" applyBorder="1" applyAlignment="1">
      <alignment horizontal="center"/>
    </xf>
    <xf numFmtId="49" fontId="6" fillId="0" borderId="16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left"/>
    </xf>
    <xf numFmtId="49" fontId="0" fillId="0" borderId="15" xfId="0" applyNumberFormat="1" applyFill="1" applyBorder="1" applyAlignment="1">
      <alignment horizontal="left"/>
    </xf>
    <xf numFmtId="49" fontId="6" fillId="2" borderId="13" xfId="0" applyNumberFormat="1" applyFont="1" applyFill="1" applyBorder="1" applyAlignment="1">
      <alignment horizontal="center"/>
    </xf>
    <xf numFmtId="49" fontId="0" fillId="0" borderId="13" xfId="0" applyNumberFormat="1" applyFill="1" applyBorder="1" applyAlignment="1">
      <alignment horizontal="left"/>
    </xf>
    <xf numFmtId="49" fontId="0" fillId="0" borderId="17" xfId="0" applyNumberFormat="1" applyFont="1" applyFill="1" applyBorder="1" applyAlignment="1">
      <alignment horizontal="left"/>
    </xf>
    <xf numFmtId="49" fontId="0" fillId="0" borderId="17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 indent="1"/>
    </xf>
    <xf numFmtId="49" fontId="9" fillId="0" borderId="0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left" indent="1"/>
    </xf>
    <xf numFmtId="49" fontId="5" fillId="0" borderId="0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left"/>
    </xf>
    <xf numFmtId="49" fontId="0" fillId="0" borderId="16" xfId="0" applyNumberFormat="1" applyFill="1" applyBorder="1" applyAlignment="1">
      <alignment horizontal="left"/>
    </xf>
    <xf numFmtId="49" fontId="0" fillId="0" borderId="16" xfId="0" applyNumberFormat="1" applyFill="1" applyBorder="1" applyAlignment="1">
      <alignment horizontal="center"/>
    </xf>
    <xf numFmtId="49" fontId="1" fillId="0" borderId="16" xfId="0" applyNumberFormat="1" applyFont="1" applyFill="1" applyBorder="1" applyAlignment="1">
      <alignment horizontal="left"/>
    </xf>
    <xf numFmtId="49" fontId="0" fillId="0" borderId="15" xfId="0" applyNumberFormat="1" applyFill="1" applyBorder="1" applyAlignment="1">
      <alignment horizontal="center"/>
    </xf>
    <xf numFmtId="49" fontId="1" fillId="0" borderId="15" xfId="0" applyNumberFormat="1" applyFont="1" applyFill="1" applyBorder="1" applyAlignment="1">
      <alignment horizontal="left"/>
    </xf>
    <xf numFmtId="49" fontId="0" fillId="0" borderId="14" xfId="0" applyNumberFormat="1" applyFill="1" applyBorder="1" applyAlignment="1">
      <alignment horizontal="left"/>
    </xf>
    <xf numFmtId="49" fontId="0" fillId="0" borderId="14" xfId="0" applyNumberFormat="1" applyFill="1" applyBorder="1" applyAlignment="1">
      <alignment horizontal="center"/>
    </xf>
    <xf numFmtId="49" fontId="1" fillId="0" borderId="14" xfId="0" applyNumberFormat="1" applyFont="1" applyFill="1" applyBorder="1" applyAlignment="1">
      <alignment horizontal="left"/>
    </xf>
    <xf numFmtId="49" fontId="0" fillId="0" borderId="13" xfId="0" applyNumberForma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3" xfId="0" applyNumberForma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13" fillId="0" borderId="5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"/>
  <sheetViews>
    <sheetView workbookViewId="0">
      <selection activeCell="L16" sqref="L16"/>
    </sheetView>
  </sheetViews>
  <sheetFormatPr baseColWidth="10" defaultColWidth="9.1640625" defaultRowHeight="13"/>
  <cols>
    <col min="1" max="1" width="34.5" style="19" bestFit="1" customWidth="1"/>
    <col min="2" max="2" width="28.5" style="36" bestFit="1" customWidth="1"/>
    <col min="3" max="3" width="20" style="36" customWidth="1"/>
    <col min="4" max="4" width="9.33203125" style="36" bestFit="1" customWidth="1"/>
    <col min="5" max="5" width="22.6640625" style="29" bestFit="1" customWidth="1"/>
    <col min="6" max="6" width="30.33203125" style="29" bestFit="1" customWidth="1"/>
    <col min="7" max="14" width="4.5" style="36" bestFit="1" customWidth="1"/>
    <col min="15" max="15" width="7.83203125" style="19" bestFit="1" customWidth="1"/>
    <col min="16" max="16" width="7.5" style="36" bestFit="1" customWidth="1"/>
    <col min="17" max="17" width="8.83203125" style="29" bestFit="1" customWidth="1"/>
    <col min="18" max="16384" width="9.1640625" style="36"/>
  </cols>
  <sheetData>
    <row r="1" spans="1:17" ht="29" customHeight="1">
      <c r="A1" s="60" t="s">
        <v>1223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/>
    </row>
    <row r="2" spans="1:17" ht="108" customHeight="1" thickBot="1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5"/>
    </row>
    <row r="3" spans="1:17" s="1" customFormat="1" ht="12.75" customHeight="1">
      <c r="A3" s="66" t="s">
        <v>0</v>
      </c>
      <c r="B3" s="68" t="s">
        <v>1423</v>
      </c>
      <c r="C3" s="68" t="s">
        <v>1199</v>
      </c>
      <c r="D3" s="70" t="s">
        <v>1424</v>
      </c>
      <c r="E3" s="70" t="s">
        <v>5</v>
      </c>
      <c r="F3" s="70" t="s">
        <v>9</v>
      </c>
      <c r="G3" s="70" t="s">
        <v>1</v>
      </c>
      <c r="H3" s="70"/>
      <c r="I3" s="70"/>
      <c r="J3" s="70"/>
      <c r="K3" s="70" t="s">
        <v>1428</v>
      </c>
      <c r="L3" s="70"/>
      <c r="M3" s="70"/>
      <c r="N3" s="70"/>
      <c r="O3" s="70" t="s">
        <v>2</v>
      </c>
      <c r="P3" s="70" t="s">
        <v>4</v>
      </c>
      <c r="Q3" s="71" t="s">
        <v>3</v>
      </c>
    </row>
    <row r="4" spans="1:17" s="1" customFormat="1" ht="21" customHeight="1" thickBot="1">
      <c r="A4" s="67"/>
      <c r="B4" s="69"/>
      <c r="C4" s="69"/>
      <c r="D4" s="69"/>
      <c r="E4" s="69"/>
      <c r="F4" s="69"/>
      <c r="G4" s="53">
        <v>1</v>
      </c>
      <c r="H4" s="53">
        <v>2</v>
      </c>
      <c r="I4" s="53">
        <v>3</v>
      </c>
      <c r="J4" s="53" t="s">
        <v>6</v>
      </c>
      <c r="K4" s="53">
        <v>1</v>
      </c>
      <c r="L4" s="53">
        <v>2</v>
      </c>
      <c r="M4" s="53">
        <v>3</v>
      </c>
      <c r="N4" s="53" t="s">
        <v>6</v>
      </c>
      <c r="O4" s="69"/>
      <c r="P4" s="69"/>
      <c r="Q4" s="72"/>
    </row>
    <row r="5" spans="1:17" ht="16">
      <c r="A5" s="58" t="s">
        <v>86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7">
      <c r="A6" s="35" t="s">
        <v>1222</v>
      </c>
      <c r="B6" s="52" t="s">
        <v>1221</v>
      </c>
      <c r="C6" s="52" t="s">
        <v>1220</v>
      </c>
      <c r="D6" s="52" t="s">
        <v>1425</v>
      </c>
      <c r="E6" s="32" t="s">
        <v>72</v>
      </c>
      <c r="F6" s="32" t="s">
        <v>62</v>
      </c>
      <c r="G6" s="52" t="s">
        <v>1172</v>
      </c>
      <c r="H6" s="52" t="s">
        <v>65</v>
      </c>
      <c r="I6" s="52" t="s">
        <v>66</v>
      </c>
      <c r="J6" s="52" t="s">
        <v>74</v>
      </c>
      <c r="K6" s="52" t="s">
        <v>1172</v>
      </c>
      <c r="L6" s="52" t="s">
        <v>65</v>
      </c>
      <c r="M6" s="52" t="s">
        <v>66</v>
      </c>
      <c r="N6" s="52" t="s">
        <v>74</v>
      </c>
      <c r="O6" s="35" t="str">
        <f>"70,0"</f>
        <v>70,0</v>
      </c>
      <c r="P6" s="52" t="str">
        <f>"56,9966"</f>
        <v>56,9966</v>
      </c>
      <c r="Q6" s="32" t="s">
        <v>22</v>
      </c>
    </row>
    <row r="8" spans="1:17" ht="16">
      <c r="A8" s="59" t="s">
        <v>13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</row>
    <row r="9" spans="1:17">
      <c r="A9" s="51" t="s">
        <v>1219</v>
      </c>
      <c r="B9" s="50" t="s">
        <v>1218</v>
      </c>
      <c r="C9" s="50" t="s">
        <v>1195</v>
      </c>
      <c r="D9" s="50" t="s">
        <v>1426</v>
      </c>
      <c r="E9" s="49" t="s">
        <v>72</v>
      </c>
      <c r="F9" s="49" t="s">
        <v>62</v>
      </c>
      <c r="G9" s="50" t="s">
        <v>53</v>
      </c>
      <c r="H9" s="22" t="s">
        <v>63</v>
      </c>
      <c r="I9" s="22" t="s">
        <v>63</v>
      </c>
      <c r="J9" s="22"/>
      <c r="K9" s="50" t="s">
        <v>53</v>
      </c>
      <c r="L9" s="50" t="s">
        <v>63</v>
      </c>
      <c r="M9" s="22" t="s">
        <v>64</v>
      </c>
      <c r="N9" s="22"/>
      <c r="O9" s="51" t="str">
        <f>"115,0"</f>
        <v>115,0</v>
      </c>
      <c r="P9" s="50" t="str">
        <f>"73,2205"</f>
        <v>73,2205</v>
      </c>
      <c r="Q9" s="49" t="s">
        <v>22</v>
      </c>
    </row>
    <row r="10" spans="1:17">
      <c r="A10" s="46" t="s">
        <v>1217</v>
      </c>
      <c r="B10" s="45" t="s">
        <v>1216</v>
      </c>
      <c r="C10" s="45" t="s">
        <v>1215</v>
      </c>
      <c r="D10" s="45" t="s">
        <v>1427</v>
      </c>
      <c r="E10" s="44" t="s">
        <v>253</v>
      </c>
      <c r="F10" s="44" t="s">
        <v>254</v>
      </c>
      <c r="G10" s="45" t="s">
        <v>63</v>
      </c>
      <c r="H10" s="45" t="s">
        <v>84</v>
      </c>
      <c r="I10" s="45" t="s">
        <v>330</v>
      </c>
      <c r="J10" s="28"/>
      <c r="K10" s="45" t="s">
        <v>52</v>
      </c>
      <c r="L10" s="45" t="s">
        <v>1214</v>
      </c>
      <c r="M10" s="28" t="s">
        <v>53</v>
      </c>
      <c r="N10" s="28"/>
      <c r="O10" s="46" t="str">
        <f>"120,0"</f>
        <v>120,0</v>
      </c>
      <c r="P10" s="45" t="str">
        <f>"78,7560"</f>
        <v>78,7560</v>
      </c>
      <c r="Q10" s="44" t="s">
        <v>22</v>
      </c>
    </row>
    <row r="12" spans="1:17" ht="16">
      <c r="A12" s="59" t="s">
        <v>169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</row>
    <row r="13" spans="1:17">
      <c r="A13" s="35" t="s">
        <v>1213</v>
      </c>
      <c r="B13" s="52" t="s">
        <v>1212</v>
      </c>
      <c r="C13" s="52" t="s">
        <v>1211</v>
      </c>
      <c r="D13" s="52" t="s">
        <v>1427</v>
      </c>
      <c r="E13" s="32" t="s">
        <v>253</v>
      </c>
      <c r="F13" s="32" t="s">
        <v>254</v>
      </c>
      <c r="G13" s="52" t="s">
        <v>49</v>
      </c>
      <c r="H13" s="52" t="s">
        <v>67</v>
      </c>
      <c r="I13" s="52" t="s">
        <v>54</v>
      </c>
      <c r="J13" s="10"/>
      <c r="K13" s="52" t="s">
        <v>84</v>
      </c>
      <c r="L13" s="52" t="s">
        <v>49</v>
      </c>
      <c r="M13" s="52" t="s">
        <v>331</v>
      </c>
      <c r="N13" s="10"/>
      <c r="O13" s="35" t="str">
        <f>"152,5"</f>
        <v>152,5</v>
      </c>
      <c r="P13" s="52" t="str">
        <f>"85,3543"</f>
        <v>85,3543</v>
      </c>
      <c r="Q13" s="32" t="s">
        <v>22</v>
      </c>
    </row>
    <row r="15" spans="1:17" ht="16">
      <c r="E15" s="12" t="s">
        <v>23</v>
      </c>
      <c r="F15" s="12" t="s">
        <v>1130</v>
      </c>
    </row>
    <row r="16" spans="1:17" ht="16">
      <c r="E16" s="12" t="s">
        <v>26</v>
      </c>
      <c r="F16" s="12" t="s">
        <v>1131</v>
      </c>
    </row>
    <row r="17" spans="1:6" ht="16">
      <c r="E17" s="12" t="s">
        <v>24</v>
      </c>
      <c r="F17" s="12" t="s">
        <v>1130</v>
      </c>
    </row>
    <row r="18" spans="1:6" ht="16">
      <c r="E18" s="12" t="s">
        <v>25</v>
      </c>
      <c r="F18" s="12" t="s">
        <v>1416</v>
      </c>
    </row>
    <row r="19" spans="1:6" ht="16">
      <c r="E19" s="12" t="s">
        <v>25</v>
      </c>
      <c r="F19" s="12" t="s">
        <v>1372</v>
      </c>
    </row>
    <row r="21" spans="1:6" ht="16">
      <c r="E21" s="12"/>
    </row>
    <row r="23" spans="1:6" ht="18">
      <c r="A23" s="38" t="s">
        <v>27</v>
      </c>
      <c r="B23" s="37"/>
    </row>
    <row r="24" spans="1:6" ht="16">
      <c r="A24" s="43" t="s">
        <v>193</v>
      </c>
      <c r="B24" s="42"/>
    </row>
    <row r="25" spans="1:6" ht="14">
      <c r="A25" s="41"/>
      <c r="B25" s="40" t="s">
        <v>280</v>
      </c>
    </row>
    <row r="26" spans="1:6" ht="14">
      <c r="A26" s="18" t="s">
        <v>30</v>
      </c>
      <c r="B26" s="18" t="s">
        <v>31</v>
      </c>
      <c r="C26" s="18" t="s">
        <v>32</v>
      </c>
      <c r="D26" s="18" t="s">
        <v>33</v>
      </c>
      <c r="E26" s="18" t="s">
        <v>34</v>
      </c>
    </row>
    <row r="27" spans="1:6">
      <c r="A27" s="39" t="s">
        <v>1210</v>
      </c>
      <c r="B27" s="36" t="s">
        <v>440</v>
      </c>
      <c r="C27" s="36" t="s">
        <v>201</v>
      </c>
      <c r="D27" s="36" t="s">
        <v>49</v>
      </c>
      <c r="E27" s="19" t="s">
        <v>1209</v>
      </c>
    </row>
    <row r="30" spans="1:6" ht="16">
      <c r="A30" s="43" t="s">
        <v>28</v>
      </c>
      <c r="B30" s="42"/>
    </row>
    <row r="31" spans="1:6" ht="14">
      <c r="A31" s="41"/>
      <c r="B31" s="40" t="s">
        <v>213</v>
      </c>
    </row>
    <row r="32" spans="1:6" ht="14">
      <c r="A32" s="18" t="s">
        <v>30</v>
      </c>
      <c r="B32" s="18" t="s">
        <v>31</v>
      </c>
      <c r="C32" s="18" t="s">
        <v>32</v>
      </c>
      <c r="D32" s="18" t="s">
        <v>33</v>
      </c>
      <c r="E32" s="18" t="s">
        <v>34</v>
      </c>
    </row>
    <row r="33" spans="1:5">
      <c r="A33" s="39" t="s">
        <v>1208</v>
      </c>
      <c r="B33" s="36" t="s">
        <v>214</v>
      </c>
      <c r="C33" s="36" t="s">
        <v>35</v>
      </c>
      <c r="D33" s="36" t="s">
        <v>92</v>
      </c>
      <c r="E33" s="19" t="s">
        <v>1207</v>
      </c>
    </row>
    <row r="35" spans="1:5" ht="14">
      <c r="A35" s="41"/>
      <c r="B35" s="40" t="s">
        <v>29</v>
      </c>
    </row>
    <row r="36" spans="1:5" ht="14">
      <c r="A36" s="18" t="s">
        <v>30</v>
      </c>
      <c r="B36" s="18" t="s">
        <v>31</v>
      </c>
      <c r="C36" s="18" t="s">
        <v>32</v>
      </c>
      <c r="D36" s="18" t="s">
        <v>33</v>
      </c>
      <c r="E36" s="18" t="s">
        <v>34</v>
      </c>
    </row>
    <row r="37" spans="1:5">
      <c r="A37" s="39" t="s">
        <v>1206</v>
      </c>
      <c r="B37" s="36" t="s">
        <v>29</v>
      </c>
      <c r="C37" s="36" t="s">
        <v>232</v>
      </c>
      <c r="D37" s="36" t="s">
        <v>382</v>
      </c>
      <c r="E37" s="19" t="s">
        <v>1205</v>
      </c>
    </row>
    <row r="38" spans="1:5">
      <c r="A38" s="39" t="s">
        <v>1204</v>
      </c>
      <c r="B38" s="36" t="s">
        <v>29</v>
      </c>
      <c r="C38" s="36" t="s">
        <v>35</v>
      </c>
      <c r="D38" s="36" t="s">
        <v>93</v>
      </c>
      <c r="E38" s="19" t="s">
        <v>1203</v>
      </c>
    </row>
    <row r="43" spans="1:5" ht="18">
      <c r="A43" s="38" t="s">
        <v>36</v>
      </c>
      <c r="B43" s="37"/>
    </row>
    <row r="44" spans="1:5" ht="14">
      <c r="A44" s="18" t="s">
        <v>37</v>
      </c>
      <c r="B44" s="18" t="s">
        <v>38</v>
      </c>
      <c r="C44" s="18" t="s">
        <v>39</v>
      </c>
    </row>
    <row r="45" spans="1:5">
      <c r="A45" s="19" t="s">
        <v>72</v>
      </c>
      <c r="B45" s="36" t="s">
        <v>241</v>
      </c>
      <c r="C45" s="36" t="s">
        <v>1202</v>
      </c>
    </row>
    <row r="46" spans="1:5">
      <c r="A46" s="19" t="s">
        <v>253</v>
      </c>
      <c r="B46" s="36" t="s">
        <v>241</v>
      </c>
      <c r="C46" s="36" t="s">
        <v>1201</v>
      </c>
    </row>
  </sheetData>
  <mergeCells count="15">
    <mergeCell ref="A5:P5"/>
    <mergeCell ref="A8:P8"/>
    <mergeCell ref="A12:P12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48"/>
  <sheetViews>
    <sheetView workbookViewId="0">
      <selection activeCell="D16" sqref="D16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50.83203125" style="4" bestFit="1" customWidth="1"/>
    <col min="4" max="4" width="9.33203125" style="4" bestFit="1" customWidth="1"/>
    <col min="5" max="5" width="22.6640625" style="4" bestFit="1" customWidth="1"/>
    <col min="6" max="6" width="33.5" style="4" bestFit="1" customWidth="1"/>
    <col min="7" max="9" width="5.5" style="3" bestFit="1" customWidth="1"/>
    <col min="10" max="10" width="4.83203125" style="3" bestFit="1" customWidth="1"/>
    <col min="11" max="11" width="7.83203125" style="4" bestFit="1" customWidth="1"/>
    <col min="12" max="12" width="8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73" t="s">
        <v>1135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3" s="2" customFormat="1" ht="97.5" customHeight="1" thickBot="1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66" t="s">
        <v>0</v>
      </c>
      <c r="B3" s="68" t="s">
        <v>1423</v>
      </c>
      <c r="C3" s="68" t="s">
        <v>8</v>
      </c>
      <c r="D3" s="70" t="s">
        <v>1424</v>
      </c>
      <c r="E3" s="70" t="s">
        <v>5</v>
      </c>
      <c r="F3" s="70" t="s">
        <v>9</v>
      </c>
      <c r="G3" s="70" t="s">
        <v>10</v>
      </c>
      <c r="H3" s="70"/>
      <c r="I3" s="70"/>
      <c r="J3" s="70"/>
      <c r="K3" s="70" t="s">
        <v>449</v>
      </c>
      <c r="L3" s="70" t="s">
        <v>4</v>
      </c>
      <c r="M3" s="71" t="s">
        <v>3</v>
      </c>
    </row>
    <row r="4" spans="1:13" s="1" customFormat="1" ht="21" customHeight="1" thickBot="1">
      <c r="A4" s="67"/>
      <c r="B4" s="69"/>
      <c r="C4" s="69"/>
      <c r="D4" s="69"/>
      <c r="E4" s="69"/>
      <c r="F4" s="69"/>
      <c r="G4" s="7">
        <v>1</v>
      </c>
      <c r="H4" s="7">
        <v>2</v>
      </c>
      <c r="I4" s="7">
        <v>3</v>
      </c>
      <c r="J4" s="7" t="s">
        <v>6</v>
      </c>
      <c r="K4" s="69"/>
      <c r="L4" s="69"/>
      <c r="M4" s="72"/>
    </row>
    <row r="5" spans="1:13" ht="16">
      <c r="A5" s="58" t="s">
        <v>86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3">
      <c r="A6" s="8" t="s">
        <v>115</v>
      </c>
      <c r="B6" s="8" t="s">
        <v>116</v>
      </c>
      <c r="C6" s="8" t="s">
        <v>117</v>
      </c>
      <c r="D6" s="8" t="s">
        <v>1427</v>
      </c>
      <c r="E6" s="8" t="s">
        <v>118</v>
      </c>
      <c r="F6" s="8" t="s">
        <v>119</v>
      </c>
      <c r="G6" s="9" t="s">
        <v>103</v>
      </c>
      <c r="H6" s="9" t="s">
        <v>135</v>
      </c>
      <c r="I6" s="9" t="s">
        <v>128</v>
      </c>
      <c r="J6" s="10"/>
      <c r="K6" s="8" t="str">
        <f>"190,0"</f>
        <v>190,0</v>
      </c>
      <c r="L6" s="9" t="str">
        <f>"127,9365"</f>
        <v>127,9365</v>
      </c>
      <c r="M6" s="8" t="s">
        <v>22</v>
      </c>
    </row>
    <row r="8" spans="1:13" ht="16">
      <c r="A8" s="59" t="s">
        <v>13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3">
      <c r="A9" s="8" t="s">
        <v>1091</v>
      </c>
      <c r="B9" s="8" t="s">
        <v>139</v>
      </c>
      <c r="C9" s="8" t="s">
        <v>140</v>
      </c>
      <c r="D9" s="8" t="s">
        <v>1426</v>
      </c>
      <c r="E9" s="8" t="s">
        <v>118</v>
      </c>
      <c r="F9" s="8" t="s">
        <v>119</v>
      </c>
      <c r="G9" s="9" t="s">
        <v>98</v>
      </c>
      <c r="H9" s="9" t="s">
        <v>99</v>
      </c>
      <c r="I9" s="9" t="s">
        <v>113</v>
      </c>
      <c r="J9" s="10"/>
      <c r="K9" s="8" t="str">
        <f>"145,0"</f>
        <v>145,0</v>
      </c>
      <c r="L9" s="9" t="str">
        <f>"96,1054"</f>
        <v>96,1054</v>
      </c>
      <c r="M9" s="8" t="s">
        <v>22</v>
      </c>
    </row>
    <row r="11" spans="1:13" ht="16">
      <c r="A11" s="59" t="s">
        <v>169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1:13">
      <c r="A12" s="20" t="s">
        <v>1009</v>
      </c>
      <c r="B12" s="20" t="s">
        <v>1010</v>
      </c>
      <c r="C12" s="20" t="s">
        <v>1011</v>
      </c>
      <c r="D12" s="20" t="s">
        <v>1427</v>
      </c>
      <c r="E12" s="20" t="s">
        <v>118</v>
      </c>
      <c r="F12" s="20" t="s">
        <v>119</v>
      </c>
      <c r="G12" s="21" t="s">
        <v>102</v>
      </c>
      <c r="H12" s="21" t="s">
        <v>135</v>
      </c>
      <c r="I12" s="22" t="s">
        <v>136</v>
      </c>
      <c r="J12" s="22"/>
      <c r="K12" s="20" t="str">
        <f>"180,0"</f>
        <v>180,0</v>
      </c>
      <c r="L12" s="21" t="str">
        <f>"101,2140"</f>
        <v>101,2140</v>
      </c>
      <c r="M12" s="20" t="s">
        <v>22</v>
      </c>
    </row>
    <row r="13" spans="1:13">
      <c r="A13" s="26" t="s">
        <v>1093</v>
      </c>
      <c r="B13" s="26" t="s">
        <v>1094</v>
      </c>
      <c r="C13" s="26" t="s">
        <v>1095</v>
      </c>
      <c r="D13" s="26" t="s">
        <v>1431</v>
      </c>
      <c r="E13" s="26" t="s">
        <v>347</v>
      </c>
      <c r="F13" s="26" t="s">
        <v>348</v>
      </c>
      <c r="G13" s="27" t="s">
        <v>158</v>
      </c>
      <c r="H13" s="27" t="s">
        <v>545</v>
      </c>
      <c r="I13" s="27" t="s">
        <v>1096</v>
      </c>
      <c r="J13" s="28"/>
      <c r="K13" s="26" t="str">
        <f>"172,5"</f>
        <v>172,5</v>
      </c>
      <c r="L13" s="27" t="str">
        <f>"97,6627"</f>
        <v>97,6627</v>
      </c>
      <c r="M13" s="26" t="s">
        <v>22</v>
      </c>
    </row>
    <row r="15" spans="1:13" ht="16">
      <c r="A15" s="59" t="s">
        <v>176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</row>
    <row r="16" spans="1:13">
      <c r="A16" s="8" t="s">
        <v>1097</v>
      </c>
      <c r="B16" s="8" t="s">
        <v>648</v>
      </c>
      <c r="C16" s="8" t="s">
        <v>187</v>
      </c>
      <c r="D16" s="8" t="s">
        <v>1427</v>
      </c>
      <c r="E16" s="23" t="s">
        <v>347</v>
      </c>
      <c r="F16" s="8" t="s">
        <v>348</v>
      </c>
      <c r="G16" s="9" t="s">
        <v>135</v>
      </c>
      <c r="H16" s="9" t="s">
        <v>136</v>
      </c>
      <c r="I16" s="10" t="s">
        <v>168</v>
      </c>
      <c r="J16" s="10"/>
      <c r="K16" s="8" t="str">
        <f>"200,0"</f>
        <v>200,0</v>
      </c>
      <c r="L16" s="9" t="str">
        <f>"109,0000"</f>
        <v>109,0000</v>
      </c>
      <c r="M16" s="8" t="s">
        <v>22</v>
      </c>
    </row>
    <row r="18" spans="1:6" ht="16">
      <c r="E18" s="12" t="s">
        <v>23</v>
      </c>
      <c r="F18" s="12" t="s">
        <v>1130</v>
      </c>
    </row>
    <row r="19" spans="1:6" ht="16">
      <c r="E19" s="12" t="s">
        <v>26</v>
      </c>
      <c r="F19" s="12" t="s">
        <v>1131</v>
      </c>
    </row>
    <row r="20" spans="1:6" ht="16">
      <c r="E20" s="12" t="s">
        <v>24</v>
      </c>
      <c r="F20" s="12" t="s">
        <v>1130</v>
      </c>
    </row>
    <row r="21" spans="1:6" ht="16">
      <c r="E21" s="12" t="s">
        <v>25</v>
      </c>
      <c r="F21" s="12" t="s">
        <v>1416</v>
      </c>
    </row>
    <row r="22" spans="1:6" ht="16">
      <c r="E22" s="12" t="s">
        <v>25</v>
      </c>
      <c r="F22" s="12" t="s">
        <v>1372</v>
      </c>
    </row>
    <row r="23" spans="1:6" ht="16">
      <c r="E23" s="12"/>
      <c r="F23" s="12"/>
    </row>
    <row r="24" spans="1:6" ht="16">
      <c r="E24" s="12"/>
    </row>
    <row r="26" spans="1:6" ht="18">
      <c r="A26" s="13" t="s">
        <v>27</v>
      </c>
      <c r="B26" s="13"/>
    </row>
    <row r="27" spans="1:6" ht="16">
      <c r="A27" s="14" t="s">
        <v>28</v>
      </c>
      <c r="B27" s="14"/>
    </row>
    <row r="28" spans="1:6" ht="14">
      <c r="A28" s="16"/>
      <c r="B28" s="17" t="s">
        <v>213</v>
      </c>
    </row>
    <row r="29" spans="1:6" ht="14">
      <c r="A29" s="18" t="s">
        <v>30</v>
      </c>
      <c r="B29" s="18" t="s">
        <v>31</v>
      </c>
      <c r="C29" s="18" t="s">
        <v>32</v>
      </c>
      <c r="D29" s="18" t="s">
        <v>33</v>
      </c>
      <c r="E29" s="18" t="s">
        <v>34</v>
      </c>
    </row>
    <row r="30" spans="1:6">
      <c r="A30" s="15" t="s">
        <v>137</v>
      </c>
      <c r="B30" s="4" t="s">
        <v>214</v>
      </c>
      <c r="C30" s="4" t="s">
        <v>35</v>
      </c>
      <c r="D30" s="4" t="s">
        <v>113</v>
      </c>
      <c r="E30" s="19" t="s">
        <v>1098</v>
      </c>
    </row>
    <row r="32" spans="1:6" ht="14">
      <c r="A32" s="16"/>
      <c r="B32" s="17" t="s">
        <v>29</v>
      </c>
    </row>
    <row r="33" spans="1:5" ht="14">
      <c r="A33" s="18" t="s">
        <v>30</v>
      </c>
      <c r="B33" s="18" t="s">
        <v>31</v>
      </c>
      <c r="C33" s="18" t="s">
        <v>32</v>
      </c>
      <c r="D33" s="18" t="s">
        <v>33</v>
      </c>
      <c r="E33" s="18" t="s">
        <v>34</v>
      </c>
    </row>
    <row r="34" spans="1:5">
      <c r="A34" s="15" t="s">
        <v>114</v>
      </c>
      <c r="B34" s="4" t="s">
        <v>29</v>
      </c>
      <c r="C34" s="4" t="s">
        <v>201</v>
      </c>
      <c r="D34" s="4" t="s">
        <v>128</v>
      </c>
      <c r="E34" s="19" t="s">
        <v>1099</v>
      </c>
    </row>
    <row r="35" spans="1:5">
      <c r="A35" s="15" t="s">
        <v>646</v>
      </c>
      <c r="B35" s="4" t="s">
        <v>29</v>
      </c>
      <c r="C35" s="4" t="s">
        <v>222</v>
      </c>
      <c r="D35" s="4" t="s">
        <v>136</v>
      </c>
      <c r="E35" s="19" t="s">
        <v>1100</v>
      </c>
    </row>
    <row r="36" spans="1:5">
      <c r="A36" s="15" t="s">
        <v>1008</v>
      </c>
      <c r="B36" s="4" t="s">
        <v>29</v>
      </c>
      <c r="C36" s="4" t="s">
        <v>232</v>
      </c>
      <c r="D36" s="4" t="s">
        <v>135</v>
      </c>
      <c r="E36" s="19" t="s">
        <v>1101</v>
      </c>
    </row>
    <row r="38" spans="1:5" ht="14">
      <c r="A38" s="16"/>
      <c r="B38" s="17" t="s">
        <v>280</v>
      </c>
    </row>
    <row r="39" spans="1:5" ht="14">
      <c r="A39" s="18" t="s">
        <v>30</v>
      </c>
      <c r="B39" s="18" t="s">
        <v>31</v>
      </c>
      <c r="C39" s="18" t="s">
        <v>32</v>
      </c>
      <c r="D39" s="18" t="s">
        <v>33</v>
      </c>
      <c r="E39" s="18" t="s">
        <v>34</v>
      </c>
    </row>
    <row r="40" spans="1:5">
      <c r="A40" s="15" t="s">
        <v>1092</v>
      </c>
      <c r="B40" s="4" t="s">
        <v>314</v>
      </c>
      <c r="C40" s="4" t="s">
        <v>232</v>
      </c>
      <c r="D40" s="4" t="s">
        <v>1096</v>
      </c>
      <c r="E40" s="19" t="s">
        <v>1102</v>
      </c>
    </row>
    <row r="45" spans="1:5" ht="18">
      <c r="A45" s="13" t="s">
        <v>36</v>
      </c>
      <c r="B45" s="13"/>
    </row>
    <row r="46" spans="1:5" ht="14">
      <c r="A46" s="18" t="s">
        <v>37</v>
      </c>
      <c r="B46" s="18" t="s">
        <v>38</v>
      </c>
      <c r="C46" s="18" t="s">
        <v>39</v>
      </c>
    </row>
    <row r="47" spans="1:5">
      <c r="A47" s="4" t="s">
        <v>118</v>
      </c>
      <c r="B47" s="4" t="s">
        <v>239</v>
      </c>
      <c r="C47" s="4" t="s">
        <v>1103</v>
      </c>
    </row>
    <row r="48" spans="1:5">
      <c r="A48" s="4" t="s">
        <v>347</v>
      </c>
      <c r="B48" s="29" t="s">
        <v>241</v>
      </c>
      <c r="C48" s="29" t="s">
        <v>1136</v>
      </c>
    </row>
  </sheetData>
  <mergeCells count="15">
    <mergeCell ref="A1:M2"/>
    <mergeCell ref="A3:A4"/>
    <mergeCell ref="B3:B4"/>
    <mergeCell ref="C3:C4"/>
    <mergeCell ref="D3:D4"/>
    <mergeCell ref="E3:E4"/>
    <mergeCell ref="F3:F4"/>
    <mergeCell ref="G3:J3"/>
    <mergeCell ref="A15:L15"/>
    <mergeCell ref="K3:K4"/>
    <mergeCell ref="L3:L4"/>
    <mergeCell ref="M3:M4"/>
    <mergeCell ref="A5:L5"/>
    <mergeCell ref="A8:L8"/>
    <mergeCell ref="A11:L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7"/>
  <sheetViews>
    <sheetView workbookViewId="0">
      <selection sqref="A1:M2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14.6640625" style="4" bestFit="1" customWidth="1"/>
    <col min="4" max="4" width="9.33203125" style="4" bestFit="1" customWidth="1"/>
    <col min="5" max="5" width="22.6640625" style="4" bestFit="1" customWidth="1"/>
    <col min="6" max="6" width="21.83203125" style="4" bestFit="1" customWidth="1"/>
    <col min="7" max="9" width="5.5" style="3" bestFit="1" customWidth="1"/>
    <col min="10" max="10" width="4.83203125" style="3" bestFit="1" customWidth="1"/>
    <col min="11" max="11" width="7.83203125" style="4" bestFit="1" customWidth="1"/>
    <col min="12" max="12" width="8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73" t="s">
        <v>1137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3" s="2" customFormat="1" ht="122.25" customHeight="1" thickBot="1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66" t="s">
        <v>0</v>
      </c>
      <c r="B3" s="68" t="s">
        <v>7</v>
      </c>
      <c r="C3" s="68" t="s">
        <v>1438</v>
      </c>
      <c r="D3" s="70" t="s">
        <v>1439</v>
      </c>
      <c r="E3" s="70" t="s">
        <v>5</v>
      </c>
      <c r="F3" s="70" t="s">
        <v>9</v>
      </c>
      <c r="G3" s="70" t="s">
        <v>10</v>
      </c>
      <c r="H3" s="70"/>
      <c r="I3" s="70"/>
      <c r="J3" s="70"/>
      <c r="K3" s="70" t="s">
        <v>449</v>
      </c>
      <c r="L3" s="70" t="s">
        <v>4</v>
      </c>
      <c r="M3" s="71" t="s">
        <v>3</v>
      </c>
    </row>
    <row r="4" spans="1:13" s="1" customFormat="1" ht="21" customHeight="1" thickBot="1">
      <c r="A4" s="67"/>
      <c r="B4" s="69"/>
      <c r="C4" s="69"/>
      <c r="D4" s="69"/>
      <c r="E4" s="69"/>
      <c r="F4" s="69"/>
      <c r="G4" s="7">
        <v>1</v>
      </c>
      <c r="H4" s="7">
        <v>2</v>
      </c>
      <c r="I4" s="7">
        <v>3</v>
      </c>
      <c r="J4" s="7" t="s">
        <v>6</v>
      </c>
      <c r="K4" s="69"/>
      <c r="L4" s="69"/>
      <c r="M4" s="72"/>
    </row>
    <row r="5" spans="1:13" ht="16">
      <c r="A5" s="58" t="s">
        <v>13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3">
      <c r="A6" s="8" t="s">
        <v>1087</v>
      </c>
      <c r="B6" s="8" t="s">
        <v>1088</v>
      </c>
      <c r="C6" s="8" t="s">
        <v>930</v>
      </c>
      <c r="D6" s="8" t="s">
        <v>1426</v>
      </c>
      <c r="E6" s="8" t="s">
        <v>47</v>
      </c>
      <c r="F6" s="8" t="s">
        <v>48</v>
      </c>
      <c r="G6" s="10" t="s">
        <v>128</v>
      </c>
      <c r="H6" s="9" t="s">
        <v>128</v>
      </c>
      <c r="I6" s="10" t="s">
        <v>122</v>
      </c>
      <c r="J6" s="10"/>
      <c r="K6" s="8" t="str">
        <f>"190,0"</f>
        <v>190,0</v>
      </c>
      <c r="L6" s="9" t="str">
        <f>"120,0203"</f>
        <v>120,0203</v>
      </c>
      <c r="M6" s="8" t="s">
        <v>22</v>
      </c>
    </row>
    <row r="8" spans="1:13" ht="16">
      <c r="E8" s="12" t="s">
        <v>23</v>
      </c>
      <c r="F8" s="12" t="s">
        <v>1130</v>
      </c>
    </row>
    <row r="9" spans="1:13" ht="16">
      <c r="E9" s="12" t="s">
        <v>26</v>
      </c>
      <c r="F9" s="12" t="s">
        <v>1131</v>
      </c>
    </row>
    <row r="10" spans="1:13" ht="16">
      <c r="E10" s="12" t="s">
        <v>24</v>
      </c>
      <c r="F10" s="12" t="s">
        <v>1130</v>
      </c>
    </row>
    <row r="11" spans="1:13" ht="16">
      <c r="E11" s="12" t="s">
        <v>25</v>
      </c>
      <c r="F11" s="12" t="s">
        <v>1416</v>
      </c>
    </row>
    <row r="12" spans="1:13" ht="16">
      <c r="E12" s="12" t="s">
        <v>25</v>
      </c>
      <c r="F12" s="12" t="s">
        <v>1372</v>
      </c>
    </row>
    <row r="13" spans="1:13" ht="16">
      <c r="E13" s="12"/>
      <c r="F13" s="12"/>
    </row>
    <row r="14" spans="1:13" ht="16">
      <c r="E14" s="12"/>
    </row>
    <row r="16" spans="1:13" ht="18">
      <c r="A16" s="13" t="s">
        <v>27</v>
      </c>
      <c r="B16" s="13"/>
    </row>
    <row r="17" spans="1:5" ht="16">
      <c r="A17" s="14" t="s">
        <v>28</v>
      </c>
      <c r="B17" s="14"/>
    </row>
    <row r="18" spans="1:5" ht="14">
      <c r="A18" s="16"/>
      <c r="B18" s="17" t="s">
        <v>213</v>
      </c>
    </row>
    <row r="19" spans="1:5" ht="14">
      <c r="A19" s="18" t="s">
        <v>30</v>
      </c>
      <c r="B19" s="18" t="s">
        <v>31</v>
      </c>
      <c r="C19" s="18" t="s">
        <v>32</v>
      </c>
      <c r="D19" s="18" t="s">
        <v>33</v>
      </c>
      <c r="E19" s="18" t="s">
        <v>34</v>
      </c>
    </row>
    <row r="20" spans="1:5">
      <c r="A20" s="15" t="s">
        <v>1086</v>
      </c>
      <c r="B20" s="4" t="s">
        <v>214</v>
      </c>
      <c r="C20" s="4" t="s">
        <v>35</v>
      </c>
      <c r="D20" s="4" t="s">
        <v>128</v>
      </c>
      <c r="E20" s="19" t="s">
        <v>1089</v>
      </c>
    </row>
    <row r="25" spans="1:5" ht="18">
      <c r="A25" s="13" t="s">
        <v>36</v>
      </c>
      <c r="B25" s="13"/>
    </row>
    <row r="26" spans="1:5" ht="14">
      <c r="A26" s="18" t="s">
        <v>37</v>
      </c>
      <c r="B26" s="18" t="s">
        <v>38</v>
      </c>
      <c r="C26" s="18" t="s">
        <v>39</v>
      </c>
    </row>
    <row r="27" spans="1:5">
      <c r="A27" s="4" t="s">
        <v>47</v>
      </c>
      <c r="B27" s="4" t="s">
        <v>40</v>
      </c>
      <c r="C27" s="4" t="s">
        <v>1090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48"/>
  <sheetViews>
    <sheetView workbookViewId="0">
      <selection activeCell="D15" sqref="D15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49.1640625" style="4" bestFit="1" customWidth="1"/>
    <col min="4" max="4" width="9.33203125" style="4" bestFit="1" customWidth="1"/>
    <col min="5" max="5" width="22.6640625" style="4" bestFit="1" customWidth="1"/>
    <col min="6" max="6" width="30.83203125" style="4" bestFit="1" customWidth="1"/>
    <col min="7" max="9" width="5.5" style="3" bestFit="1" customWidth="1"/>
    <col min="10" max="10" width="4.83203125" style="3" bestFit="1" customWidth="1"/>
    <col min="11" max="11" width="7.83203125" style="4" bestFit="1" customWidth="1"/>
    <col min="12" max="12" width="8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73" t="s">
        <v>1138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3" s="2" customFormat="1" ht="92.25" customHeight="1" thickBot="1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66" t="s">
        <v>0</v>
      </c>
      <c r="B3" s="68" t="s">
        <v>1423</v>
      </c>
      <c r="C3" s="68" t="s">
        <v>8</v>
      </c>
      <c r="D3" s="70" t="s">
        <v>1424</v>
      </c>
      <c r="E3" s="70" t="s">
        <v>5</v>
      </c>
      <c r="F3" s="70" t="s">
        <v>9</v>
      </c>
      <c r="G3" s="70" t="s">
        <v>12</v>
      </c>
      <c r="H3" s="70"/>
      <c r="I3" s="70"/>
      <c r="J3" s="70"/>
      <c r="K3" s="70" t="s">
        <v>449</v>
      </c>
      <c r="L3" s="70" t="s">
        <v>4</v>
      </c>
      <c r="M3" s="71" t="s">
        <v>3</v>
      </c>
    </row>
    <row r="4" spans="1:13" s="1" customFormat="1" ht="21" customHeight="1" thickBot="1">
      <c r="A4" s="67"/>
      <c r="B4" s="69"/>
      <c r="C4" s="69"/>
      <c r="D4" s="69"/>
      <c r="E4" s="69"/>
      <c r="F4" s="69"/>
      <c r="G4" s="7">
        <v>1</v>
      </c>
      <c r="H4" s="7">
        <v>2</v>
      </c>
      <c r="I4" s="7">
        <v>3</v>
      </c>
      <c r="J4" s="7" t="s">
        <v>6</v>
      </c>
      <c r="K4" s="69"/>
      <c r="L4" s="69"/>
      <c r="M4" s="72"/>
    </row>
    <row r="5" spans="1:13" ht="16">
      <c r="A5" s="58" t="s">
        <v>1060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3">
      <c r="A6" s="8" t="s">
        <v>1062</v>
      </c>
      <c r="B6" s="8" t="s">
        <v>1063</v>
      </c>
      <c r="C6" s="8" t="s">
        <v>1064</v>
      </c>
      <c r="D6" s="8" t="s">
        <v>1427</v>
      </c>
      <c r="E6" s="8" t="s">
        <v>14</v>
      </c>
      <c r="F6" s="8" t="s">
        <v>15</v>
      </c>
      <c r="G6" s="9" t="s">
        <v>1065</v>
      </c>
      <c r="H6" s="9" t="s">
        <v>1066</v>
      </c>
      <c r="I6" s="10" t="s">
        <v>67</v>
      </c>
      <c r="J6" s="10"/>
      <c r="K6" s="8" t="str">
        <f>"70,0"</f>
        <v>70,0</v>
      </c>
      <c r="L6" s="9" t="str">
        <f>"73,6470"</f>
        <v>73,6470</v>
      </c>
      <c r="M6" s="8" t="s">
        <v>22</v>
      </c>
    </row>
    <row r="8" spans="1:13" ht="16">
      <c r="A8" s="59" t="s">
        <v>13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3">
      <c r="A9" s="8" t="s">
        <v>1068</v>
      </c>
      <c r="B9" s="8" t="s">
        <v>1069</v>
      </c>
      <c r="C9" s="8" t="s">
        <v>1070</v>
      </c>
      <c r="D9" s="8" t="s">
        <v>1427</v>
      </c>
      <c r="E9" s="8" t="s">
        <v>14</v>
      </c>
      <c r="F9" s="8" t="s">
        <v>15</v>
      </c>
      <c r="G9" s="9" t="s">
        <v>56</v>
      </c>
      <c r="H9" s="9" t="s">
        <v>101</v>
      </c>
      <c r="I9" s="9" t="s">
        <v>91</v>
      </c>
      <c r="J9" s="10"/>
      <c r="K9" s="8" t="str">
        <f>"110,0"</f>
        <v>110,0</v>
      </c>
      <c r="L9" s="9" t="str">
        <f>"76,3345"</f>
        <v>76,3345</v>
      </c>
      <c r="M9" s="8" t="s">
        <v>22</v>
      </c>
    </row>
    <row r="11" spans="1:13" ht="16">
      <c r="A11" s="59" t="s">
        <v>152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1:13">
      <c r="A12" s="8" t="s">
        <v>1072</v>
      </c>
      <c r="B12" s="8" t="s">
        <v>1073</v>
      </c>
      <c r="C12" s="8" t="s">
        <v>1074</v>
      </c>
      <c r="D12" s="8" t="s">
        <v>1427</v>
      </c>
      <c r="E12" s="8" t="s">
        <v>166</v>
      </c>
      <c r="F12" s="8" t="s">
        <v>167</v>
      </c>
      <c r="G12" s="9" t="s">
        <v>255</v>
      </c>
      <c r="H12" s="9" t="s">
        <v>902</v>
      </c>
      <c r="I12" s="9" t="s">
        <v>269</v>
      </c>
      <c r="J12" s="10"/>
      <c r="K12" s="8" t="str">
        <f>"245,0"</f>
        <v>245,0</v>
      </c>
      <c r="L12" s="9" t="str">
        <f>"144,4275"</f>
        <v>144,4275</v>
      </c>
      <c r="M12" s="8" t="s">
        <v>22</v>
      </c>
    </row>
    <row r="14" spans="1:13" ht="16">
      <c r="A14" s="59" t="s">
        <v>169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</row>
    <row r="15" spans="1:13">
      <c r="A15" s="8" t="s">
        <v>1076</v>
      </c>
      <c r="B15" s="8" t="s">
        <v>1077</v>
      </c>
      <c r="C15" s="8" t="s">
        <v>1078</v>
      </c>
      <c r="D15" s="8" t="s">
        <v>1431</v>
      </c>
      <c r="E15" s="8" t="s">
        <v>14</v>
      </c>
      <c r="F15" s="8" t="s">
        <v>62</v>
      </c>
      <c r="G15" s="9" t="s">
        <v>168</v>
      </c>
      <c r="H15" s="9" t="s">
        <v>295</v>
      </c>
      <c r="I15" s="9" t="s">
        <v>994</v>
      </c>
      <c r="J15" s="10"/>
      <c r="K15" s="8" t="str">
        <f>"247,5"</f>
        <v>247,5</v>
      </c>
      <c r="L15" s="9" t="str">
        <f>"140,5797"</f>
        <v>140,5797</v>
      </c>
      <c r="M15" s="8" t="s">
        <v>22</v>
      </c>
    </row>
    <row r="17" spans="1:6" ht="16">
      <c r="E17" s="12" t="s">
        <v>23</v>
      </c>
      <c r="F17" s="12" t="s">
        <v>1130</v>
      </c>
    </row>
    <row r="18" spans="1:6" ht="16">
      <c r="E18" s="12" t="s">
        <v>26</v>
      </c>
      <c r="F18" s="12" t="s">
        <v>1131</v>
      </c>
    </row>
    <row r="19" spans="1:6" ht="16">
      <c r="E19" s="12" t="s">
        <v>24</v>
      </c>
      <c r="F19" s="12" t="s">
        <v>1130</v>
      </c>
    </row>
    <row r="20" spans="1:6" ht="16">
      <c r="E20" s="12" t="s">
        <v>25</v>
      </c>
      <c r="F20" s="12" t="s">
        <v>1416</v>
      </c>
    </row>
    <row r="21" spans="1:6" ht="16">
      <c r="E21" s="12" t="s">
        <v>25</v>
      </c>
      <c r="F21" s="12" t="s">
        <v>1372</v>
      </c>
    </row>
    <row r="22" spans="1:6" ht="16">
      <c r="E22" s="12"/>
      <c r="F22" s="12"/>
    </row>
    <row r="23" spans="1:6" ht="16">
      <c r="E23" s="12"/>
    </row>
    <row r="25" spans="1:6" ht="18">
      <c r="A25" s="13" t="s">
        <v>27</v>
      </c>
      <c r="B25" s="13"/>
    </row>
    <row r="26" spans="1:6" ht="16">
      <c r="A26" s="14" t="s">
        <v>193</v>
      </c>
      <c r="B26" s="14"/>
    </row>
    <row r="27" spans="1:6" ht="14">
      <c r="A27" s="16"/>
      <c r="B27" s="17" t="s">
        <v>29</v>
      </c>
    </row>
    <row r="28" spans="1:6" ht="14">
      <c r="A28" s="18" t="s">
        <v>30</v>
      </c>
      <c r="B28" s="18" t="s">
        <v>31</v>
      </c>
      <c r="C28" s="18" t="s">
        <v>32</v>
      </c>
      <c r="D28" s="18" t="s">
        <v>33</v>
      </c>
      <c r="E28" s="18" t="s">
        <v>34</v>
      </c>
    </row>
    <row r="29" spans="1:6">
      <c r="A29" s="15" t="s">
        <v>1067</v>
      </c>
      <c r="B29" s="4" t="s">
        <v>29</v>
      </c>
      <c r="C29" s="4" t="s">
        <v>35</v>
      </c>
      <c r="D29" s="4" t="s">
        <v>91</v>
      </c>
      <c r="E29" s="19" t="s">
        <v>1079</v>
      </c>
    </row>
    <row r="30" spans="1:6">
      <c r="A30" s="15" t="s">
        <v>1061</v>
      </c>
      <c r="B30" s="4" t="s">
        <v>29</v>
      </c>
      <c r="C30" s="4" t="s">
        <v>1080</v>
      </c>
      <c r="D30" s="4" t="s">
        <v>49</v>
      </c>
      <c r="E30" s="19" t="s">
        <v>1081</v>
      </c>
    </row>
    <row r="33" spans="1:5" ht="16">
      <c r="A33" s="14" t="s">
        <v>28</v>
      </c>
      <c r="B33" s="14"/>
    </row>
    <row r="34" spans="1:5" ht="14">
      <c r="A34" s="16"/>
      <c r="B34" s="17" t="s">
        <v>29</v>
      </c>
    </row>
    <row r="35" spans="1:5" ht="14">
      <c r="A35" s="18" t="s">
        <v>30</v>
      </c>
      <c r="B35" s="18" t="s">
        <v>31</v>
      </c>
      <c r="C35" s="18" t="s">
        <v>32</v>
      </c>
      <c r="D35" s="18" t="s">
        <v>33</v>
      </c>
      <c r="E35" s="18" t="s">
        <v>34</v>
      </c>
    </row>
    <row r="36" spans="1:5">
      <c r="A36" s="15" t="s">
        <v>1071</v>
      </c>
      <c r="B36" s="4" t="s">
        <v>29</v>
      </c>
      <c r="C36" s="4" t="s">
        <v>219</v>
      </c>
      <c r="D36" s="4" t="s">
        <v>269</v>
      </c>
      <c r="E36" s="19" t="s">
        <v>1082</v>
      </c>
    </row>
    <row r="38" spans="1:5" ht="14">
      <c r="A38" s="16"/>
      <c r="B38" s="17" t="s">
        <v>280</v>
      </c>
    </row>
    <row r="39" spans="1:5" ht="14">
      <c r="A39" s="18" t="s">
        <v>30</v>
      </c>
      <c r="B39" s="18" t="s">
        <v>31</v>
      </c>
      <c r="C39" s="18" t="s">
        <v>32</v>
      </c>
      <c r="D39" s="18" t="s">
        <v>33</v>
      </c>
      <c r="E39" s="18" t="s">
        <v>34</v>
      </c>
    </row>
    <row r="40" spans="1:5">
      <c r="A40" s="15" t="s">
        <v>1075</v>
      </c>
      <c r="B40" s="4" t="s">
        <v>314</v>
      </c>
      <c r="C40" s="4" t="s">
        <v>232</v>
      </c>
      <c r="D40" s="4" t="s">
        <v>994</v>
      </c>
      <c r="E40" s="19" t="s">
        <v>1083</v>
      </c>
    </row>
    <row r="45" spans="1:5" ht="18">
      <c r="A45" s="13" t="s">
        <v>36</v>
      </c>
      <c r="B45" s="13"/>
    </row>
    <row r="46" spans="1:5" ht="14">
      <c r="A46" s="18" t="s">
        <v>37</v>
      </c>
      <c r="B46" s="18" t="s">
        <v>38</v>
      </c>
      <c r="C46" s="18" t="s">
        <v>39</v>
      </c>
    </row>
    <row r="47" spans="1:5">
      <c r="A47" s="4" t="s">
        <v>14</v>
      </c>
      <c r="B47" s="4" t="s">
        <v>239</v>
      </c>
      <c r="C47" s="4" t="s">
        <v>1084</v>
      </c>
    </row>
    <row r="48" spans="1:5">
      <c r="A48" s="4" t="s">
        <v>166</v>
      </c>
      <c r="B48" s="4" t="s">
        <v>40</v>
      </c>
      <c r="C48" s="4" t="s">
        <v>1085</v>
      </c>
    </row>
  </sheetData>
  <mergeCells count="15">
    <mergeCell ref="A1:M2"/>
    <mergeCell ref="A3:A4"/>
    <mergeCell ref="B3:B4"/>
    <mergeCell ref="C3:C4"/>
    <mergeCell ref="D3:D4"/>
    <mergeCell ref="E3:E4"/>
    <mergeCell ref="F3:F4"/>
    <mergeCell ref="G3:J3"/>
    <mergeCell ref="A14:L14"/>
    <mergeCell ref="K3:K4"/>
    <mergeCell ref="L3:L4"/>
    <mergeCell ref="M3:M4"/>
    <mergeCell ref="A5:L5"/>
    <mergeCell ref="A8:L8"/>
    <mergeCell ref="A11:L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125"/>
  <sheetViews>
    <sheetView topLeftCell="A21" workbookViewId="0">
      <selection activeCell="D54" sqref="D54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20" style="4" customWidth="1"/>
    <col min="4" max="4" width="9.33203125" style="4" bestFit="1" customWidth="1"/>
    <col min="5" max="5" width="22.6640625" style="4" bestFit="1" customWidth="1"/>
    <col min="6" max="6" width="33.5" style="4" bestFit="1" customWidth="1"/>
    <col min="7" max="9" width="6.5" style="3" bestFit="1" customWidth="1"/>
    <col min="10" max="10" width="4.83203125" style="3" bestFit="1" customWidth="1"/>
    <col min="11" max="11" width="7.83203125" style="4" bestFit="1" customWidth="1"/>
    <col min="12" max="12" width="8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73" t="s">
        <v>950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3" s="2" customFormat="1" ht="62" customHeight="1" thickBot="1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66" t="s">
        <v>0</v>
      </c>
      <c r="B3" s="68" t="s">
        <v>1423</v>
      </c>
      <c r="C3" s="68" t="s">
        <v>8</v>
      </c>
      <c r="D3" s="70" t="s">
        <v>1424</v>
      </c>
      <c r="E3" s="70" t="s">
        <v>5</v>
      </c>
      <c r="F3" s="70" t="s">
        <v>9</v>
      </c>
      <c r="G3" s="70" t="s">
        <v>12</v>
      </c>
      <c r="H3" s="70"/>
      <c r="I3" s="70"/>
      <c r="J3" s="70"/>
      <c r="K3" s="70" t="s">
        <v>449</v>
      </c>
      <c r="L3" s="70" t="s">
        <v>4</v>
      </c>
      <c r="M3" s="71" t="s">
        <v>3</v>
      </c>
    </row>
    <row r="4" spans="1:13" s="1" customFormat="1" ht="21" customHeight="1" thickBot="1">
      <c r="A4" s="67"/>
      <c r="B4" s="69"/>
      <c r="C4" s="69"/>
      <c r="D4" s="69"/>
      <c r="E4" s="69"/>
      <c r="F4" s="69"/>
      <c r="G4" s="7">
        <v>1</v>
      </c>
      <c r="H4" s="7">
        <v>2</v>
      </c>
      <c r="I4" s="7">
        <v>3</v>
      </c>
      <c r="J4" s="7" t="s">
        <v>6</v>
      </c>
      <c r="K4" s="69"/>
      <c r="L4" s="69"/>
      <c r="M4" s="72"/>
    </row>
    <row r="5" spans="1:13" ht="16">
      <c r="A5" s="58" t="s">
        <v>57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3">
      <c r="A6" s="8" t="s">
        <v>952</v>
      </c>
      <c r="B6" s="8" t="s">
        <v>953</v>
      </c>
      <c r="C6" s="8" t="s">
        <v>954</v>
      </c>
      <c r="D6" s="8" t="s">
        <v>1427</v>
      </c>
      <c r="E6" s="8" t="s">
        <v>47</v>
      </c>
      <c r="F6" s="8" t="s">
        <v>48</v>
      </c>
      <c r="G6" s="9" t="s">
        <v>54</v>
      </c>
      <c r="H6" s="10" t="s">
        <v>56</v>
      </c>
      <c r="I6" s="10" t="s">
        <v>56</v>
      </c>
      <c r="J6" s="10"/>
      <c r="K6" s="8" t="str">
        <f>"80,0"</f>
        <v>80,0</v>
      </c>
      <c r="L6" s="9" t="str">
        <f>"78,4080"</f>
        <v>78,4080</v>
      </c>
      <c r="M6" s="8" t="s">
        <v>22</v>
      </c>
    </row>
    <row r="8" spans="1:13" ht="16">
      <c r="A8" s="59" t="s">
        <v>325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3">
      <c r="A9" s="8" t="s">
        <v>519</v>
      </c>
      <c r="B9" s="8" t="s">
        <v>520</v>
      </c>
      <c r="C9" s="8" t="s">
        <v>521</v>
      </c>
      <c r="D9" s="8" t="s">
        <v>1437</v>
      </c>
      <c r="E9" s="8" t="s">
        <v>47</v>
      </c>
      <c r="F9" s="8" t="s">
        <v>48</v>
      </c>
      <c r="G9" s="9" t="s">
        <v>151</v>
      </c>
      <c r="H9" s="9" t="s">
        <v>92</v>
      </c>
      <c r="I9" s="9" t="s">
        <v>350</v>
      </c>
      <c r="J9" s="10"/>
      <c r="K9" s="8" t="str">
        <f>"117,5"</f>
        <v>117,5</v>
      </c>
      <c r="L9" s="9" t="str">
        <f>"191,1204"</f>
        <v>191,1204</v>
      </c>
      <c r="M9" s="8" t="s">
        <v>22</v>
      </c>
    </row>
    <row r="11" spans="1:13" ht="16">
      <c r="A11" s="59" t="s">
        <v>318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1:13">
      <c r="A12" s="20" t="s">
        <v>320</v>
      </c>
      <c r="B12" s="20" t="s">
        <v>321</v>
      </c>
      <c r="C12" s="20" t="s">
        <v>322</v>
      </c>
      <c r="D12" s="20" t="s">
        <v>1427</v>
      </c>
      <c r="E12" s="20" t="s">
        <v>14</v>
      </c>
      <c r="F12" s="20" t="s">
        <v>267</v>
      </c>
      <c r="G12" s="21" t="s">
        <v>109</v>
      </c>
      <c r="H12" s="21" t="s">
        <v>955</v>
      </c>
      <c r="I12" s="21" t="s">
        <v>956</v>
      </c>
      <c r="J12" s="22"/>
      <c r="K12" s="20" t="str">
        <f>"137,5"</f>
        <v>137,5</v>
      </c>
      <c r="L12" s="21" t="str">
        <f>"107,9650"</f>
        <v>107,9650</v>
      </c>
      <c r="M12" s="20" t="s">
        <v>22</v>
      </c>
    </row>
    <row r="13" spans="1:13">
      <c r="A13" s="23" t="s">
        <v>958</v>
      </c>
      <c r="B13" s="23" t="s">
        <v>959</v>
      </c>
      <c r="C13" s="23" t="s">
        <v>960</v>
      </c>
      <c r="D13" s="23" t="s">
        <v>1427</v>
      </c>
      <c r="E13" s="23" t="s">
        <v>14</v>
      </c>
      <c r="F13" s="23" t="s">
        <v>62</v>
      </c>
      <c r="G13" s="25" t="s">
        <v>91</v>
      </c>
      <c r="H13" s="24" t="s">
        <v>19</v>
      </c>
      <c r="I13" s="24" t="s">
        <v>109</v>
      </c>
      <c r="J13" s="25"/>
      <c r="K13" s="23" t="str">
        <f>"120,0"</f>
        <v>120,0</v>
      </c>
      <c r="L13" s="24" t="str">
        <f>"96,5640"</f>
        <v>96,5640</v>
      </c>
      <c r="M13" s="23" t="s">
        <v>22</v>
      </c>
    </row>
    <row r="14" spans="1:13">
      <c r="A14" s="23" t="s">
        <v>962</v>
      </c>
      <c r="B14" s="23" t="s">
        <v>963</v>
      </c>
      <c r="C14" s="23" t="s">
        <v>964</v>
      </c>
      <c r="D14" s="23" t="s">
        <v>1427</v>
      </c>
      <c r="E14" s="23" t="s">
        <v>47</v>
      </c>
      <c r="F14" s="23" t="s">
        <v>48</v>
      </c>
      <c r="G14" s="24" t="s">
        <v>101</v>
      </c>
      <c r="H14" s="24" t="s">
        <v>85</v>
      </c>
      <c r="I14" s="25" t="s">
        <v>91</v>
      </c>
      <c r="J14" s="25"/>
      <c r="K14" s="23" t="str">
        <f>"105,0"</f>
        <v>105,0</v>
      </c>
      <c r="L14" s="24" t="str">
        <f>"83,4015"</f>
        <v>83,4015</v>
      </c>
      <c r="M14" s="23" t="s">
        <v>22</v>
      </c>
    </row>
    <row r="15" spans="1:13">
      <c r="A15" s="26" t="s">
        <v>966</v>
      </c>
      <c r="B15" s="26" t="s">
        <v>967</v>
      </c>
      <c r="C15" s="26" t="s">
        <v>960</v>
      </c>
      <c r="D15" s="26" t="s">
        <v>1425</v>
      </c>
      <c r="E15" s="26" t="s">
        <v>47</v>
      </c>
      <c r="F15" s="26" t="s">
        <v>48</v>
      </c>
      <c r="G15" s="27" t="s">
        <v>91</v>
      </c>
      <c r="H15" s="27" t="s">
        <v>350</v>
      </c>
      <c r="I15" s="28" t="s">
        <v>174</v>
      </c>
      <c r="J15" s="28"/>
      <c r="K15" s="26" t="str">
        <f>"117,5"</f>
        <v>117,5</v>
      </c>
      <c r="L15" s="27" t="str">
        <f>"103,2511"</f>
        <v>103,2511</v>
      </c>
      <c r="M15" s="26" t="s">
        <v>22</v>
      </c>
    </row>
    <row r="17" spans="1:13" ht="16">
      <c r="A17" s="59" t="s">
        <v>57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8" spans="1:13">
      <c r="A18" s="8" t="s">
        <v>69</v>
      </c>
      <c r="B18" s="8" t="s">
        <v>70</v>
      </c>
      <c r="C18" s="8" t="s">
        <v>71</v>
      </c>
      <c r="D18" s="8" t="s">
        <v>1432</v>
      </c>
      <c r="E18" s="8" t="s">
        <v>72</v>
      </c>
      <c r="F18" s="8" t="s">
        <v>62</v>
      </c>
      <c r="G18" s="9" t="s">
        <v>54</v>
      </c>
      <c r="H18" s="9" t="s">
        <v>76</v>
      </c>
      <c r="I18" s="10"/>
      <c r="J18" s="10"/>
      <c r="K18" s="8" t="str">
        <f>"85,0"</f>
        <v>85,0</v>
      </c>
      <c r="L18" s="9" t="str">
        <f>"109,4534"</f>
        <v>109,4534</v>
      </c>
      <c r="M18" s="8" t="s">
        <v>22</v>
      </c>
    </row>
    <row r="20" spans="1:13" ht="16">
      <c r="A20" s="59" t="s">
        <v>77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</row>
    <row r="21" spans="1:13">
      <c r="A21" s="8" t="s">
        <v>968</v>
      </c>
      <c r="B21" s="8" t="s">
        <v>80</v>
      </c>
      <c r="C21" s="8" t="s">
        <v>81</v>
      </c>
      <c r="D21" s="8" t="s">
        <v>1440</v>
      </c>
      <c r="E21" s="8" t="s">
        <v>82</v>
      </c>
      <c r="F21" s="8" t="s">
        <v>83</v>
      </c>
      <c r="G21" s="10" t="s">
        <v>100</v>
      </c>
      <c r="H21" s="9" t="s">
        <v>100</v>
      </c>
      <c r="I21" s="9" t="s">
        <v>85</v>
      </c>
      <c r="J21" s="10"/>
      <c r="K21" s="8" t="str">
        <f>"105,0"</f>
        <v>105,0</v>
      </c>
      <c r="L21" s="9" t="str">
        <f>"116,3297"</f>
        <v>116,3297</v>
      </c>
      <c r="M21" s="8" t="s">
        <v>22</v>
      </c>
    </row>
    <row r="23" spans="1:13" ht="16">
      <c r="A23" s="59" t="s">
        <v>318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</row>
    <row r="24" spans="1:13">
      <c r="A24" s="20" t="s">
        <v>970</v>
      </c>
      <c r="B24" s="20" t="s">
        <v>971</v>
      </c>
      <c r="C24" s="20" t="s">
        <v>549</v>
      </c>
      <c r="D24" s="20" t="s">
        <v>1434</v>
      </c>
      <c r="E24" s="20" t="s">
        <v>47</v>
      </c>
      <c r="F24" s="20" t="s">
        <v>48</v>
      </c>
      <c r="G24" s="22" t="s">
        <v>158</v>
      </c>
      <c r="H24" s="21" t="s">
        <v>158</v>
      </c>
      <c r="I24" s="22" t="s">
        <v>271</v>
      </c>
      <c r="J24" s="22"/>
      <c r="K24" s="20" t="str">
        <f>"150,0"</f>
        <v>150,0</v>
      </c>
      <c r="L24" s="21" t="str">
        <f>"117,5796"</f>
        <v>117,5796</v>
      </c>
      <c r="M24" s="20" t="s">
        <v>22</v>
      </c>
    </row>
    <row r="25" spans="1:13">
      <c r="A25" s="23" t="s">
        <v>973</v>
      </c>
      <c r="B25" s="23" t="s">
        <v>974</v>
      </c>
      <c r="C25" s="23" t="s">
        <v>549</v>
      </c>
      <c r="D25" s="23" t="s">
        <v>1427</v>
      </c>
      <c r="E25" s="23" t="s">
        <v>14</v>
      </c>
      <c r="F25" s="23" t="s">
        <v>62</v>
      </c>
      <c r="G25" s="24" t="s">
        <v>158</v>
      </c>
      <c r="H25" s="24" t="s">
        <v>271</v>
      </c>
      <c r="I25" s="24" t="s">
        <v>272</v>
      </c>
      <c r="J25" s="25"/>
      <c r="K25" s="23" t="str">
        <f>"175,0"</f>
        <v>175,0</v>
      </c>
      <c r="L25" s="24" t="str">
        <f>"127,0150"</f>
        <v>127,0150</v>
      </c>
      <c r="M25" s="23" t="s">
        <v>22</v>
      </c>
    </row>
    <row r="26" spans="1:13">
      <c r="A26" s="26" t="s">
        <v>976</v>
      </c>
      <c r="B26" s="26" t="s">
        <v>977</v>
      </c>
      <c r="C26" s="26" t="s">
        <v>978</v>
      </c>
      <c r="D26" s="26" t="s">
        <v>1427</v>
      </c>
      <c r="E26" s="26" t="s">
        <v>502</v>
      </c>
      <c r="F26" s="26" t="s">
        <v>167</v>
      </c>
      <c r="G26" s="28" t="s">
        <v>99</v>
      </c>
      <c r="H26" s="27" t="s">
        <v>99</v>
      </c>
      <c r="I26" s="27" t="s">
        <v>158</v>
      </c>
      <c r="J26" s="28"/>
      <c r="K26" s="26" t="str">
        <f>"150,0"</f>
        <v>150,0</v>
      </c>
      <c r="L26" s="27" t="str">
        <f>"113,3550"</f>
        <v>113,3550</v>
      </c>
      <c r="M26" s="26" t="s">
        <v>22</v>
      </c>
    </row>
    <row r="28" spans="1:13" ht="16">
      <c r="A28" s="59" t="s">
        <v>86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</row>
    <row r="29" spans="1:13">
      <c r="A29" s="20" t="s">
        <v>980</v>
      </c>
      <c r="B29" s="20" t="s">
        <v>981</v>
      </c>
      <c r="C29" s="20" t="s">
        <v>982</v>
      </c>
      <c r="D29" s="20" t="s">
        <v>1440</v>
      </c>
      <c r="E29" s="20" t="s">
        <v>82</v>
      </c>
      <c r="F29" s="20" t="s">
        <v>83</v>
      </c>
      <c r="G29" s="21" t="s">
        <v>101</v>
      </c>
      <c r="H29" s="21" t="s">
        <v>91</v>
      </c>
      <c r="I29" s="21" t="s">
        <v>93</v>
      </c>
      <c r="J29" s="22"/>
      <c r="K29" s="20" t="str">
        <f>"120,0"</f>
        <v>120,0</v>
      </c>
      <c r="L29" s="21" t="str">
        <f>"105,2093"</f>
        <v>105,2093</v>
      </c>
      <c r="M29" s="20" t="s">
        <v>22</v>
      </c>
    </row>
    <row r="30" spans="1:13">
      <c r="A30" s="23" t="s">
        <v>95</v>
      </c>
      <c r="B30" s="23" t="s">
        <v>96</v>
      </c>
      <c r="C30" s="23" t="s">
        <v>97</v>
      </c>
      <c r="D30" s="23" t="s">
        <v>1434</v>
      </c>
      <c r="E30" s="23" t="s">
        <v>82</v>
      </c>
      <c r="F30" s="23" t="s">
        <v>83</v>
      </c>
      <c r="G30" s="24" t="s">
        <v>102</v>
      </c>
      <c r="H30" s="24" t="s">
        <v>103</v>
      </c>
      <c r="I30" s="25" t="s">
        <v>104</v>
      </c>
      <c r="J30" s="25"/>
      <c r="K30" s="23" t="str">
        <f>"170,0"</f>
        <v>170,0</v>
      </c>
      <c r="L30" s="24" t="str">
        <f>"136,7560"</f>
        <v>136,7560</v>
      </c>
      <c r="M30" s="23" t="s">
        <v>22</v>
      </c>
    </row>
    <row r="31" spans="1:13">
      <c r="A31" s="23" t="s">
        <v>984</v>
      </c>
      <c r="B31" s="23" t="s">
        <v>985</v>
      </c>
      <c r="C31" s="23" t="s">
        <v>986</v>
      </c>
      <c r="D31" s="23" t="s">
        <v>1430</v>
      </c>
      <c r="E31" s="23" t="s">
        <v>502</v>
      </c>
      <c r="F31" s="23" t="s">
        <v>62</v>
      </c>
      <c r="G31" s="24" t="s">
        <v>158</v>
      </c>
      <c r="H31" s="25" t="s">
        <v>987</v>
      </c>
      <c r="I31" s="24" t="s">
        <v>987</v>
      </c>
      <c r="J31" s="25"/>
      <c r="K31" s="23" t="str">
        <f>"157,5"</f>
        <v>157,5</v>
      </c>
      <c r="L31" s="24" t="str">
        <f>"113,3424"</f>
        <v>113,3424</v>
      </c>
      <c r="M31" s="23" t="s">
        <v>22</v>
      </c>
    </row>
    <row r="32" spans="1:13">
      <c r="A32" s="23" t="s">
        <v>115</v>
      </c>
      <c r="B32" s="23" t="s">
        <v>116</v>
      </c>
      <c r="C32" s="23" t="s">
        <v>117</v>
      </c>
      <c r="D32" s="23" t="s">
        <v>1427</v>
      </c>
      <c r="E32" s="23" t="s">
        <v>118</v>
      </c>
      <c r="F32" s="23" t="s">
        <v>119</v>
      </c>
      <c r="G32" s="24" t="s">
        <v>121</v>
      </c>
      <c r="H32" s="25" t="s">
        <v>122</v>
      </c>
      <c r="I32" s="25" t="s">
        <v>122</v>
      </c>
      <c r="J32" s="25"/>
      <c r="K32" s="23" t="str">
        <f>"205,0"</f>
        <v>205,0</v>
      </c>
      <c r="L32" s="24" t="str">
        <f>"138,0367"</f>
        <v>138,0367</v>
      </c>
      <c r="M32" s="23" t="s">
        <v>22</v>
      </c>
    </row>
    <row r="33" spans="1:13">
      <c r="A33" s="26" t="s">
        <v>989</v>
      </c>
      <c r="B33" s="26" t="s">
        <v>990</v>
      </c>
      <c r="C33" s="26" t="s">
        <v>354</v>
      </c>
      <c r="D33" s="26" t="s">
        <v>1427</v>
      </c>
      <c r="E33" s="26" t="s">
        <v>47</v>
      </c>
      <c r="F33" s="26" t="s">
        <v>48</v>
      </c>
      <c r="G33" s="27" t="s">
        <v>143</v>
      </c>
      <c r="H33" s="28" t="s">
        <v>135</v>
      </c>
      <c r="I33" s="28" t="s">
        <v>135</v>
      </c>
      <c r="J33" s="28"/>
      <c r="K33" s="26" t="str">
        <f>"165,0"</f>
        <v>165,0</v>
      </c>
      <c r="L33" s="27" t="str">
        <f>"109,6425"</f>
        <v>109,6425</v>
      </c>
      <c r="M33" s="26" t="s">
        <v>22</v>
      </c>
    </row>
    <row r="35" spans="1:13" ht="16">
      <c r="A35" s="59" t="s">
        <v>13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</row>
    <row r="36" spans="1:13">
      <c r="A36" s="20" t="s">
        <v>992</v>
      </c>
      <c r="B36" s="20" t="s">
        <v>993</v>
      </c>
      <c r="C36" s="20" t="s">
        <v>733</v>
      </c>
      <c r="D36" s="20" t="s">
        <v>1426</v>
      </c>
      <c r="E36" s="20" t="s">
        <v>253</v>
      </c>
      <c r="F36" s="20" t="s">
        <v>901</v>
      </c>
      <c r="G36" s="21" t="s">
        <v>255</v>
      </c>
      <c r="H36" s="21" t="s">
        <v>191</v>
      </c>
      <c r="I36" s="22" t="s">
        <v>994</v>
      </c>
      <c r="J36" s="22"/>
      <c r="K36" s="20" t="str">
        <f>"240,0"</f>
        <v>240,0</v>
      </c>
      <c r="L36" s="21" t="str">
        <f>"152,2411"</f>
        <v>152,2411</v>
      </c>
      <c r="M36" s="20" t="s">
        <v>22</v>
      </c>
    </row>
    <row r="37" spans="1:13">
      <c r="A37" s="26" t="s">
        <v>138</v>
      </c>
      <c r="B37" s="26" t="s">
        <v>139</v>
      </c>
      <c r="C37" s="26" t="s">
        <v>140</v>
      </c>
      <c r="D37" s="26" t="s">
        <v>1426</v>
      </c>
      <c r="E37" s="26" t="s">
        <v>118</v>
      </c>
      <c r="F37" s="26" t="s">
        <v>119</v>
      </c>
      <c r="G37" s="27" t="s">
        <v>142</v>
      </c>
      <c r="H37" s="27" t="s">
        <v>143</v>
      </c>
      <c r="I37" s="27" t="s">
        <v>144</v>
      </c>
      <c r="J37" s="28"/>
      <c r="K37" s="26" t="str">
        <f>"175,0"</f>
        <v>175,0</v>
      </c>
      <c r="L37" s="27" t="str">
        <f>"115,9893"</f>
        <v>115,9893</v>
      </c>
      <c r="M37" s="26" t="s">
        <v>22</v>
      </c>
    </row>
    <row r="39" spans="1:13" ht="16">
      <c r="A39" s="59" t="s">
        <v>152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</row>
    <row r="40" spans="1:13">
      <c r="A40" s="20" t="s">
        <v>996</v>
      </c>
      <c r="B40" s="20" t="s">
        <v>997</v>
      </c>
      <c r="C40" s="20" t="s">
        <v>998</v>
      </c>
      <c r="D40" s="20" t="s">
        <v>1430</v>
      </c>
      <c r="E40" s="20" t="s">
        <v>502</v>
      </c>
      <c r="F40" s="20" t="s">
        <v>62</v>
      </c>
      <c r="G40" s="21" t="s">
        <v>112</v>
      </c>
      <c r="H40" s="21" t="s">
        <v>113</v>
      </c>
      <c r="I40" s="21" t="s">
        <v>142</v>
      </c>
      <c r="J40" s="22"/>
      <c r="K40" s="20" t="str">
        <f>"155,0"</f>
        <v>155,0</v>
      </c>
      <c r="L40" s="21" t="str">
        <f>"107,5771"</f>
        <v>107,5771</v>
      </c>
      <c r="M40" s="20" t="s">
        <v>22</v>
      </c>
    </row>
    <row r="41" spans="1:13">
      <c r="A41" s="23" t="s">
        <v>154</v>
      </c>
      <c r="B41" s="23" t="s">
        <v>155</v>
      </c>
      <c r="C41" s="23" t="s">
        <v>156</v>
      </c>
      <c r="D41" s="23" t="s">
        <v>1427</v>
      </c>
      <c r="E41" s="23" t="s">
        <v>14</v>
      </c>
      <c r="F41" s="23" t="s">
        <v>62</v>
      </c>
      <c r="G41" s="24" t="s">
        <v>182</v>
      </c>
      <c r="H41" s="24" t="s">
        <v>308</v>
      </c>
      <c r="I41" s="25" t="s">
        <v>161</v>
      </c>
      <c r="J41" s="25"/>
      <c r="K41" s="23" t="str">
        <f>"270,0"</f>
        <v>270,0</v>
      </c>
      <c r="L41" s="24" t="str">
        <f>"158,6790"</f>
        <v>158,6790</v>
      </c>
      <c r="M41" s="23" t="s">
        <v>22</v>
      </c>
    </row>
    <row r="42" spans="1:13">
      <c r="A42" s="23" t="s">
        <v>1000</v>
      </c>
      <c r="B42" s="23" t="s">
        <v>1001</v>
      </c>
      <c r="C42" s="23" t="s">
        <v>1002</v>
      </c>
      <c r="D42" s="23" t="s">
        <v>1427</v>
      </c>
      <c r="E42" s="23" t="s">
        <v>47</v>
      </c>
      <c r="F42" s="23" t="s">
        <v>48</v>
      </c>
      <c r="G42" s="24" t="s">
        <v>136</v>
      </c>
      <c r="H42" s="24" t="s">
        <v>175</v>
      </c>
      <c r="I42" s="25" t="s">
        <v>255</v>
      </c>
      <c r="J42" s="25"/>
      <c r="K42" s="23" t="str">
        <f>"212,5"</f>
        <v>212,5</v>
      </c>
      <c r="L42" s="24" t="str">
        <f>"125,4812"</f>
        <v>125,4812</v>
      </c>
      <c r="M42" s="23" t="s">
        <v>22</v>
      </c>
    </row>
    <row r="43" spans="1:13">
      <c r="A43" s="23" t="s">
        <v>1004</v>
      </c>
      <c r="B43" s="23" t="s">
        <v>1005</v>
      </c>
      <c r="C43" s="23" t="s">
        <v>156</v>
      </c>
      <c r="D43" s="23" t="s">
        <v>1427</v>
      </c>
      <c r="E43" s="23" t="s">
        <v>347</v>
      </c>
      <c r="F43" s="23" t="s">
        <v>348</v>
      </c>
      <c r="G43" s="24" t="s">
        <v>103</v>
      </c>
      <c r="H43" s="24" t="s">
        <v>135</v>
      </c>
      <c r="I43" s="25" t="s">
        <v>104</v>
      </c>
      <c r="J43" s="25"/>
      <c r="K43" s="23" t="str">
        <f>"180,0"</f>
        <v>180,0</v>
      </c>
      <c r="L43" s="24" t="str">
        <f>"105,7860"</f>
        <v>105,7860</v>
      </c>
      <c r="M43" s="23" t="s">
        <v>22</v>
      </c>
    </row>
    <row r="44" spans="1:13">
      <c r="A44" s="26" t="s">
        <v>1006</v>
      </c>
      <c r="B44" s="26" t="s">
        <v>1007</v>
      </c>
      <c r="C44" s="26" t="s">
        <v>156</v>
      </c>
      <c r="D44" s="26" t="s">
        <v>1436</v>
      </c>
      <c r="E44" s="23" t="s">
        <v>347</v>
      </c>
      <c r="F44" s="26" t="s">
        <v>348</v>
      </c>
      <c r="G44" s="27" t="s">
        <v>103</v>
      </c>
      <c r="H44" s="27" t="s">
        <v>135</v>
      </c>
      <c r="I44" s="28" t="s">
        <v>104</v>
      </c>
      <c r="J44" s="28"/>
      <c r="K44" s="26" t="str">
        <f>"180,0"</f>
        <v>180,0</v>
      </c>
      <c r="L44" s="27" t="str">
        <f>"168,1997"</f>
        <v>168,1997</v>
      </c>
      <c r="M44" s="26" t="s">
        <v>22</v>
      </c>
    </row>
    <row r="46" spans="1:13" ht="16">
      <c r="A46" s="59" t="s">
        <v>169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</row>
    <row r="47" spans="1:13">
      <c r="A47" s="20" t="s">
        <v>607</v>
      </c>
      <c r="B47" s="20" t="s">
        <v>608</v>
      </c>
      <c r="C47" s="20" t="s">
        <v>609</v>
      </c>
      <c r="D47" s="20" t="s">
        <v>1426</v>
      </c>
      <c r="E47" s="20" t="s">
        <v>502</v>
      </c>
      <c r="F47" s="20" t="s">
        <v>62</v>
      </c>
      <c r="G47" s="21" t="s">
        <v>136</v>
      </c>
      <c r="H47" s="21" t="s">
        <v>121</v>
      </c>
      <c r="I47" s="21" t="s">
        <v>122</v>
      </c>
      <c r="J47" s="22"/>
      <c r="K47" s="20" t="str">
        <f>"210,0"</f>
        <v>210,0</v>
      </c>
      <c r="L47" s="21" t="str">
        <f>"119,4165"</f>
        <v>119,4165</v>
      </c>
      <c r="M47" s="20" t="s">
        <v>22</v>
      </c>
    </row>
    <row r="48" spans="1:13">
      <c r="A48" s="23" t="s">
        <v>1009</v>
      </c>
      <c r="B48" s="23" t="s">
        <v>1010</v>
      </c>
      <c r="C48" s="23" t="s">
        <v>1011</v>
      </c>
      <c r="D48" s="23" t="s">
        <v>1427</v>
      </c>
      <c r="E48" s="23" t="s">
        <v>118</v>
      </c>
      <c r="F48" s="23" t="s">
        <v>119</v>
      </c>
      <c r="G48" s="24" t="s">
        <v>255</v>
      </c>
      <c r="H48" s="24" t="s">
        <v>902</v>
      </c>
      <c r="I48" s="24" t="s">
        <v>296</v>
      </c>
      <c r="J48" s="25"/>
      <c r="K48" s="23" t="str">
        <f>"250,0"</f>
        <v>250,0</v>
      </c>
      <c r="L48" s="24" t="str">
        <f>"140,5750"</f>
        <v>140,5750</v>
      </c>
      <c r="M48" s="23" t="s">
        <v>22</v>
      </c>
    </row>
    <row r="49" spans="1:13">
      <c r="A49" s="23" t="s">
        <v>1013</v>
      </c>
      <c r="B49" s="23" t="s">
        <v>1014</v>
      </c>
      <c r="C49" s="23" t="s">
        <v>1015</v>
      </c>
      <c r="D49" s="23" t="s">
        <v>1427</v>
      </c>
      <c r="E49" s="23" t="s">
        <v>347</v>
      </c>
      <c r="F49" s="23" t="s">
        <v>348</v>
      </c>
      <c r="G49" s="24" t="s">
        <v>121</v>
      </c>
      <c r="H49" s="24" t="s">
        <v>168</v>
      </c>
      <c r="I49" s="25" t="s">
        <v>902</v>
      </c>
      <c r="J49" s="25"/>
      <c r="K49" s="23" t="str">
        <f>"220,0"</f>
        <v>220,0</v>
      </c>
      <c r="L49" s="24" t="str">
        <f>"122,8920"</f>
        <v>122,8920</v>
      </c>
      <c r="M49" s="23" t="s">
        <v>22</v>
      </c>
    </row>
    <row r="50" spans="1:13">
      <c r="A50" s="26" t="s">
        <v>1017</v>
      </c>
      <c r="B50" s="26" t="s">
        <v>1018</v>
      </c>
      <c r="C50" s="26" t="s">
        <v>1019</v>
      </c>
      <c r="D50" s="26" t="s">
        <v>1427</v>
      </c>
      <c r="E50" s="26" t="s">
        <v>118</v>
      </c>
      <c r="F50" s="26" t="s">
        <v>119</v>
      </c>
      <c r="G50" s="28" t="s">
        <v>662</v>
      </c>
      <c r="H50" s="27" t="s">
        <v>121</v>
      </c>
      <c r="I50" s="27" t="s">
        <v>189</v>
      </c>
      <c r="J50" s="28"/>
      <c r="K50" s="26" t="str">
        <f>"215,0"</f>
        <v>215,0</v>
      </c>
      <c r="L50" s="27" t="str">
        <f>"122,5285"</f>
        <v>122,5285</v>
      </c>
      <c r="M50" s="26" t="s">
        <v>22</v>
      </c>
    </row>
    <row r="52" spans="1:13" ht="16">
      <c r="A52" s="59" t="s">
        <v>176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</row>
    <row r="53" spans="1:13">
      <c r="A53" s="8" t="s">
        <v>178</v>
      </c>
      <c r="B53" s="8" t="s">
        <v>179</v>
      </c>
      <c r="C53" s="8" t="s">
        <v>180</v>
      </c>
      <c r="D53" s="8" t="s">
        <v>1427</v>
      </c>
      <c r="E53" s="8" t="s">
        <v>47</v>
      </c>
      <c r="F53" s="8" t="s">
        <v>181</v>
      </c>
      <c r="G53" s="9" t="s">
        <v>182</v>
      </c>
      <c r="H53" s="10" t="s">
        <v>183</v>
      </c>
      <c r="I53" s="10" t="s">
        <v>183</v>
      </c>
      <c r="J53" s="10"/>
      <c r="K53" s="8" t="str">
        <f>"260,0"</f>
        <v>260,0</v>
      </c>
      <c r="L53" s="9" t="str">
        <f>"139,5160"</f>
        <v>139,5160</v>
      </c>
      <c r="M53" s="8" t="s">
        <v>22</v>
      </c>
    </row>
    <row r="55" spans="1:13" ht="16">
      <c r="E55" s="12" t="s">
        <v>23</v>
      </c>
      <c r="F55" s="12" t="s">
        <v>1130</v>
      </c>
    </row>
    <row r="56" spans="1:13" ht="16">
      <c r="E56" s="12" t="s">
        <v>26</v>
      </c>
      <c r="F56" s="12" t="s">
        <v>1131</v>
      </c>
    </row>
    <row r="57" spans="1:13" ht="16">
      <c r="E57" s="12" t="s">
        <v>24</v>
      </c>
      <c r="F57" s="12" t="s">
        <v>1130</v>
      </c>
    </row>
    <row r="58" spans="1:13" ht="16">
      <c r="E58" s="12" t="s">
        <v>25</v>
      </c>
      <c r="F58" s="12" t="s">
        <v>1416</v>
      </c>
    </row>
    <row r="59" spans="1:13" ht="16">
      <c r="E59" s="12" t="s">
        <v>25</v>
      </c>
      <c r="F59" s="12" t="s">
        <v>1372</v>
      </c>
    </row>
    <row r="60" spans="1:13" ht="16">
      <c r="E60" s="12"/>
      <c r="F60" s="12"/>
    </row>
    <row r="61" spans="1:13" ht="16">
      <c r="E61" s="12"/>
    </row>
    <row r="63" spans="1:13" ht="18">
      <c r="A63" s="13" t="s">
        <v>27</v>
      </c>
      <c r="B63" s="13"/>
    </row>
    <row r="64" spans="1:13" ht="16">
      <c r="A64" s="14" t="s">
        <v>193</v>
      </c>
      <c r="B64" s="14"/>
    </row>
    <row r="65" spans="1:5" ht="14">
      <c r="A65" s="16"/>
      <c r="B65" s="17" t="s">
        <v>29</v>
      </c>
    </row>
    <row r="66" spans="1:5" ht="14">
      <c r="A66" s="18" t="s">
        <v>30</v>
      </c>
      <c r="B66" s="18" t="s">
        <v>31</v>
      </c>
      <c r="C66" s="18" t="s">
        <v>32</v>
      </c>
      <c r="D66" s="18" t="s">
        <v>33</v>
      </c>
      <c r="E66" s="18" t="s">
        <v>34</v>
      </c>
    </row>
    <row r="67" spans="1:5">
      <c r="A67" s="15" t="s">
        <v>319</v>
      </c>
      <c r="B67" s="4" t="s">
        <v>29</v>
      </c>
      <c r="C67" s="4" t="s">
        <v>418</v>
      </c>
      <c r="D67" s="4" t="s">
        <v>120</v>
      </c>
      <c r="E67" s="19" t="s">
        <v>1020</v>
      </c>
    </row>
    <row r="68" spans="1:5">
      <c r="A68" s="15" t="s">
        <v>957</v>
      </c>
      <c r="B68" s="4" t="s">
        <v>29</v>
      </c>
      <c r="C68" s="4" t="s">
        <v>418</v>
      </c>
      <c r="D68" s="4" t="s">
        <v>93</v>
      </c>
      <c r="E68" s="19" t="s">
        <v>1021</v>
      </c>
    </row>
    <row r="69" spans="1:5">
      <c r="A69" s="15" t="s">
        <v>961</v>
      </c>
      <c r="B69" s="4" t="s">
        <v>29</v>
      </c>
      <c r="C69" s="4" t="s">
        <v>418</v>
      </c>
      <c r="D69" s="4" t="s">
        <v>85</v>
      </c>
      <c r="E69" s="19" t="s">
        <v>1022</v>
      </c>
    </row>
    <row r="70" spans="1:5">
      <c r="A70" s="15" t="s">
        <v>951</v>
      </c>
      <c r="B70" s="4" t="s">
        <v>29</v>
      </c>
      <c r="C70" s="4" t="s">
        <v>196</v>
      </c>
      <c r="D70" s="4" t="s">
        <v>54</v>
      </c>
      <c r="E70" s="19" t="s">
        <v>1023</v>
      </c>
    </row>
    <row r="72" spans="1:5" ht="14">
      <c r="A72" s="16"/>
      <c r="B72" s="17" t="s">
        <v>280</v>
      </c>
    </row>
    <row r="73" spans="1:5" ht="14">
      <c r="A73" s="18" t="s">
        <v>30</v>
      </c>
      <c r="B73" s="18" t="s">
        <v>31</v>
      </c>
      <c r="C73" s="18" t="s">
        <v>32</v>
      </c>
      <c r="D73" s="18" t="s">
        <v>33</v>
      </c>
      <c r="E73" s="18" t="s">
        <v>34</v>
      </c>
    </row>
    <row r="74" spans="1:5">
      <c r="A74" s="15" t="s">
        <v>518</v>
      </c>
      <c r="B74" s="4" t="s">
        <v>672</v>
      </c>
      <c r="C74" s="4" t="s">
        <v>421</v>
      </c>
      <c r="D74" s="4" t="s">
        <v>350</v>
      </c>
      <c r="E74" s="19" t="s">
        <v>1024</v>
      </c>
    </row>
    <row r="75" spans="1:5">
      <c r="A75" s="15" t="s">
        <v>965</v>
      </c>
      <c r="B75" s="4" t="s">
        <v>440</v>
      </c>
      <c r="C75" s="4" t="s">
        <v>418</v>
      </c>
      <c r="D75" s="4" t="s">
        <v>350</v>
      </c>
      <c r="E75" s="19" t="s">
        <v>1025</v>
      </c>
    </row>
    <row r="78" spans="1:5" ht="16">
      <c r="A78" s="14" t="s">
        <v>28</v>
      </c>
      <c r="B78" s="14"/>
    </row>
    <row r="79" spans="1:5" ht="14">
      <c r="A79" s="16"/>
      <c r="B79" s="17" t="s">
        <v>199</v>
      </c>
    </row>
    <row r="80" spans="1:5" ht="14">
      <c r="A80" s="18" t="s">
        <v>30</v>
      </c>
      <c r="B80" s="18" t="s">
        <v>31</v>
      </c>
      <c r="C80" s="18" t="s">
        <v>32</v>
      </c>
      <c r="D80" s="18" t="s">
        <v>33</v>
      </c>
      <c r="E80" s="18" t="s">
        <v>34</v>
      </c>
    </row>
    <row r="81" spans="1:5">
      <c r="A81" s="15" t="s">
        <v>94</v>
      </c>
      <c r="B81" s="4" t="s">
        <v>200</v>
      </c>
      <c r="C81" s="4" t="s">
        <v>201</v>
      </c>
      <c r="D81" s="4" t="s">
        <v>103</v>
      </c>
      <c r="E81" s="19" t="s">
        <v>1026</v>
      </c>
    </row>
    <row r="82" spans="1:5">
      <c r="A82" s="15" t="s">
        <v>969</v>
      </c>
      <c r="B82" s="4" t="s">
        <v>200</v>
      </c>
      <c r="C82" s="4" t="s">
        <v>418</v>
      </c>
      <c r="D82" s="4" t="s">
        <v>158</v>
      </c>
      <c r="E82" s="19" t="s">
        <v>1027</v>
      </c>
    </row>
    <row r="83" spans="1:5">
      <c r="A83" s="15" t="s">
        <v>78</v>
      </c>
      <c r="B83" s="4" t="s">
        <v>297</v>
      </c>
      <c r="C83" s="4" t="s">
        <v>298</v>
      </c>
      <c r="D83" s="4" t="s">
        <v>85</v>
      </c>
      <c r="E83" s="19" t="s">
        <v>1028</v>
      </c>
    </row>
    <row r="84" spans="1:5">
      <c r="A84" s="15" t="s">
        <v>983</v>
      </c>
      <c r="B84" s="4" t="s">
        <v>204</v>
      </c>
      <c r="C84" s="4" t="s">
        <v>201</v>
      </c>
      <c r="D84" s="4" t="s">
        <v>987</v>
      </c>
      <c r="E84" s="19" t="s">
        <v>1029</v>
      </c>
    </row>
    <row r="85" spans="1:5">
      <c r="A85" s="15" t="s">
        <v>68</v>
      </c>
      <c r="B85" s="4" t="s">
        <v>209</v>
      </c>
      <c r="C85" s="4" t="s">
        <v>196</v>
      </c>
      <c r="D85" s="4" t="s">
        <v>76</v>
      </c>
      <c r="E85" s="19" t="s">
        <v>1030</v>
      </c>
    </row>
    <row r="86" spans="1:5">
      <c r="A86" s="15" t="s">
        <v>995</v>
      </c>
      <c r="B86" s="4" t="s">
        <v>200</v>
      </c>
      <c r="C86" s="4" t="s">
        <v>219</v>
      </c>
      <c r="D86" s="4" t="s">
        <v>142</v>
      </c>
      <c r="E86" s="19" t="s">
        <v>1031</v>
      </c>
    </row>
    <row r="87" spans="1:5">
      <c r="A87" s="15" t="s">
        <v>979</v>
      </c>
      <c r="B87" s="4" t="s">
        <v>297</v>
      </c>
      <c r="C87" s="4" t="s">
        <v>201</v>
      </c>
      <c r="D87" s="4" t="s">
        <v>93</v>
      </c>
      <c r="E87" s="19" t="s">
        <v>1032</v>
      </c>
    </row>
    <row r="89" spans="1:5" ht="14">
      <c r="A89" s="16"/>
      <c r="B89" s="17" t="s">
        <v>213</v>
      </c>
    </row>
    <row r="90" spans="1:5" ht="14">
      <c r="A90" s="18" t="s">
        <v>30</v>
      </c>
      <c r="B90" s="18" t="s">
        <v>31</v>
      </c>
      <c r="C90" s="18" t="s">
        <v>32</v>
      </c>
      <c r="D90" s="18" t="s">
        <v>33</v>
      </c>
      <c r="E90" s="18" t="s">
        <v>34</v>
      </c>
    </row>
    <row r="91" spans="1:5">
      <c r="A91" s="15" t="s">
        <v>991</v>
      </c>
      <c r="B91" s="4" t="s">
        <v>214</v>
      </c>
      <c r="C91" s="4" t="s">
        <v>35</v>
      </c>
      <c r="D91" s="4" t="s">
        <v>191</v>
      </c>
      <c r="E91" s="19" t="s">
        <v>1033</v>
      </c>
    </row>
    <row r="92" spans="1:5">
      <c r="A92" s="15" t="s">
        <v>606</v>
      </c>
      <c r="B92" s="4" t="s">
        <v>214</v>
      </c>
      <c r="C92" s="4" t="s">
        <v>232</v>
      </c>
      <c r="D92" s="4" t="s">
        <v>122</v>
      </c>
      <c r="E92" s="19" t="s">
        <v>1034</v>
      </c>
    </row>
    <row r="93" spans="1:5">
      <c r="A93" s="15" t="s">
        <v>137</v>
      </c>
      <c r="B93" s="4" t="s">
        <v>214</v>
      </c>
      <c r="C93" s="4" t="s">
        <v>35</v>
      </c>
      <c r="D93" s="4" t="s">
        <v>144</v>
      </c>
      <c r="E93" s="19" t="s">
        <v>1035</v>
      </c>
    </row>
    <row r="95" spans="1:5" ht="14">
      <c r="A95" s="16"/>
      <c r="B95" s="17" t="s">
        <v>29</v>
      </c>
    </row>
    <row r="96" spans="1:5" ht="14">
      <c r="A96" s="18" t="s">
        <v>30</v>
      </c>
      <c r="B96" s="18" t="s">
        <v>31</v>
      </c>
      <c r="C96" s="18" t="s">
        <v>32</v>
      </c>
      <c r="D96" s="18" t="s">
        <v>33</v>
      </c>
      <c r="E96" s="18" t="s">
        <v>34</v>
      </c>
    </row>
    <row r="97" spans="1:5">
      <c r="A97" s="15" t="s">
        <v>153</v>
      </c>
      <c r="B97" s="4" t="s">
        <v>29</v>
      </c>
      <c r="C97" s="4" t="s">
        <v>219</v>
      </c>
      <c r="D97" s="4" t="s">
        <v>308</v>
      </c>
      <c r="E97" s="19" t="s">
        <v>1036</v>
      </c>
    </row>
    <row r="98" spans="1:5">
      <c r="A98" s="15" t="s">
        <v>1008</v>
      </c>
      <c r="B98" s="4" t="s">
        <v>29</v>
      </c>
      <c r="C98" s="4" t="s">
        <v>232</v>
      </c>
      <c r="D98" s="4" t="s">
        <v>296</v>
      </c>
      <c r="E98" s="19" t="s">
        <v>1037</v>
      </c>
    </row>
    <row r="99" spans="1:5">
      <c r="A99" s="15" t="s">
        <v>177</v>
      </c>
      <c r="B99" s="4" t="s">
        <v>29</v>
      </c>
      <c r="C99" s="4" t="s">
        <v>222</v>
      </c>
      <c r="D99" s="4" t="s">
        <v>182</v>
      </c>
      <c r="E99" s="19" t="s">
        <v>1038</v>
      </c>
    </row>
    <row r="100" spans="1:5">
      <c r="A100" s="15" t="s">
        <v>114</v>
      </c>
      <c r="B100" s="4" t="s">
        <v>29</v>
      </c>
      <c r="C100" s="4" t="s">
        <v>201</v>
      </c>
      <c r="D100" s="4" t="s">
        <v>121</v>
      </c>
      <c r="E100" s="19" t="s">
        <v>1039</v>
      </c>
    </row>
    <row r="101" spans="1:5">
      <c r="A101" s="15" t="s">
        <v>972</v>
      </c>
      <c r="B101" s="4" t="s">
        <v>29</v>
      </c>
      <c r="C101" s="4" t="s">
        <v>418</v>
      </c>
      <c r="D101" s="4" t="s">
        <v>144</v>
      </c>
      <c r="E101" s="19" t="s">
        <v>1040</v>
      </c>
    </row>
    <row r="102" spans="1:5">
      <c r="A102" s="15" t="s">
        <v>999</v>
      </c>
      <c r="B102" s="4" t="s">
        <v>29</v>
      </c>
      <c r="C102" s="4" t="s">
        <v>219</v>
      </c>
      <c r="D102" s="4" t="s">
        <v>175</v>
      </c>
      <c r="E102" s="19" t="s">
        <v>1041</v>
      </c>
    </row>
    <row r="103" spans="1:5">
      <c r="A103" s="15" t="s">
        <v>1012</v>
      </c>
      <c r="B103" s="4" t="s">
        <v>29</v>
      </c>
      <c r="C103" s="4" t="s">
        <v>232</v>
      </c>
      <c r="D103" s="4" t="s">
        <v>168</v>
      </c>
      <c r="E103" s="19" t="s">
        <v>1042</v>
      </c>
    </row>
    <row r="104" spans="1:5">
      <c r="A104" s="15" t="s">
        <v>1016</v>
      </c>
      <c r="B104" s="4" t="s">
        <v>29</v>
      </c>
      <c r="C104" s="4" t="s">
        <v>232</v>
      </c>
      <c r="D104" s="4" t="s">
        <v>189</v>
      </c>
      <c r="E104" s="19" t="s">
        <v>1043</v>
      </c>
    </row>
    <row r="105" spans="1:5">
      <c r="A105" s="15" t="s">
        <v>975</v>
      </c>
      <c r="B105" s="4" t="s">
        <v>29</v>
      </c>
      <c r="C105" s="4" t="s">
        <v>418</v>
      </c>
      <c r="D105" s="4" t="s">
        <v>158</v>
      </c>
      <c r="E105" s="19" t="s">
        <v>1044</v>
      </c>
    </row>
    <row r="106" spans="1:5">
      <c r="A106" s="15" t="s">
        <v>988</v>
      </c>
      <c r="B106" s="4" t="s">
        <v>29</v>
      </c>
      <c r="C106" s="4" t="s">
        <v>201</v>
      </c>
      <c r="D106" s="4" t="s">
        <v>143</v>
      </c>
      <c r="E106" s="19" t="s">
        <v>1045</v>
      </c>
    </row>
    <row r="107" spans="1:5">
      <c r="A107" s="15" t="s">
        <v>1003</v>
      </c>
      <c r="B107" s="4" t="s">
        <v>29</v>
      </c>
      <c r="C107" s="4" t="s">
        <v>219</v>
      </c>
      <c r="D107" s="4" t="s">
        <v>135</v>
      </c>
      <c r="E107" s="19" t="s">
        <v>1046</v>
      </c>
    </row>
    <row r="109" spans="1:5" ht="14">
      <c r="A109" s="16"/>
      <c r="B109" s="17" t="s">
        <v>280</v>
      </c>
    </row>
    <row r="110" spans="1:5" ht="14">
      <c r="A110" s="18" t="s">
        <v>30</v>
      </c>
      <c r="B110" s="18" t="s">
        <v>31</v>
      </c>
      <c r="C110" s="18" t="s">
        <v>32</v>
      </c>
      <c r="D110" s="18" t="s">
        <v>33</v>
      </c>
      <c r="E110" s="18" t="s">
        <v>34</v>
      </c>
    </row>
    <row r="111" spans="1:5">
      <c r="A111" s="15" t="s">
        <v>1003</v>
      </c>
      <c r="B111" s="4" t="s">
        <v>468</v>
      </c>
      <c r="C111" s="4" t="s">
        <v>219</v>
      </c>
      <c r="D111" s="4" t="s">
        <v>135</v>
      </c>
      <c r="E111" s="19" t="s">
        <v>1047</v>
      </c>
    </row>
    <row r="116" spans="1:3" ht="18">
      <c r="A116" s="13" t="s">
        <v>36</v>
      </c>
      <c r="B116" s="13"/>
    </row>
    <row r="117" spans="1:3" ht="14">
      <c r="A117" s="18" t="s">
        <v>37</v>
      </c>
      <c r="B117" s="18" t="s">
        <v>38</v>
      </c>
      <c r="C117" s="18" t="s">
        <v>39</v>
      </c>
    </row>
    <row r="118" spans="1:3">
      <c r="A118" s="4" t="s">
        <v>47</v>
      </c>
      <c r="B118" s="4" t="s">
        <v>1048</v>
      </c>
      <c r="C118" s="4" t="s">
        <v>1049</v>
      </c>
    </row>
    <row r="119" spans="1:3">
      <c r="A119" s="4" t="s">
        <v>502</v>
      </c>
      <c r="B119" s="4" t="s">
        <v>1050</v>
      </c>
      <c r="C119" s="4" t="s">
        <v>1051</v>
      </c>
    </row>
    <row r="120" spans="1:3">
      <c r="A120" s="4" t="s">
        <v>14</v>
      </c>
      <c r="B120" s="4" t="s">
        <v>1052</v>
      </c>
      <c r="C120" s="4" t="s">
        <v>1053</v>
      </c>
    </row>
    <row r="121" spans="1:3">
      <c r="A121" s="4" t="s">
        <v>118</v>
      </c>
      <c r="B121" s="4" t="s">
        <v>1054</v>
      </c>
      <c r="C121" s="4" t="s">
        <v>1055</v>
      </c>
    </row>
    <row r="122" spans="1:3">
      <c r="A122" s="4" t="s">
        <v>82</v>
      </c>
      <c r="B122" s="4" t="s">
        <v>239</v>
      </c>
      <c r="C122" s="4" t="s">
        <v>1056</v>
      </c>
    </row>
    <row r="123" spans="1:3">
      <c r="A123" s="4" t="s">
        <v>496</v>
      </c>
      <c r="B123" s="29" t="s">
        <v>1139</v>
      </c>
      <c r="C123" s="29" t="s">
        <v>1140</v>
      </c>
    </row>
    <row r="124" spans="1:3">
      <c r="A124" s="4" t="s">
        <v>72</v>
      </c>
      <c r="B124" s="4" t="s">
        <v>40</v>
      </c>
      <c r="C124" s="4" t="s">
        <v>1058</v>
      </c>
    </row>
    <row r="125" spans="1:3">
      <c r="A125" s="4" t="s">
        <v>253</v>
      </c>
      <c r="B125" s="4" t="s">
        <v>40</v>
      </c>
      <c r="C125" s="4" t="s">
        <v>1059</v>
      </c>
    </row>
  </sheetData>
  <mergeCells count="22"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  <mergeCell ref="A46:L46"/>
    <mergeCell ref="A52:L52"/>
    <mergeCell ref="A17:L17"/>
    <mergeCell ref="A20:L20"/>
    <mergeCell ref="A23:L23"/>
    <mergeCell ref="A28:L28"/>
    <mergeCell ref="A35:L35"/>
    <mergeCell ref="A39:L3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27"/>
  <sheetViews>
    <sheetView workbookViewId="0">
      <selection activeCell="D6" sqref="D6"/>
    </sheetView>
  </sheetViews>
  <sheetFormatPr baseColWidth="10" defaultColWidth="9.1640625" defaultRowHeight="13"/>
  <cols>
    <col min="1" max="1" width="31.83203125" style="4" bestFit="1" customWidth="1"/>
    <col min="2" max="2" width="26.33203125" style="4" bestFit="1" customWidth="1"/>
    <col min="3" max="3" width="16.33203125" style="4" bestFit="1" customWidth="1"/>
    <col min="4" max="4" width="9.33203125" style="4" bestFit="1" customWidth="1"/>
    <col min="5" max="5" width="22.6640625" style="4" bestFit="1" customWidth="1"/>
    <col min="6" max="6" width="30.33203125" style="4" bestFit="1" customWidth="1"/>
    <col min="7" max="9" width="6.5" style="3" bestFit="1" customWidth="1"/>
    <col min="10" max="10" width="4.83203125" style="3" bestFit="1" customWidth="1"/>
    <col min="11" max="11" width="7.83203125" style="4" bestFit="1" customWidth="1"/>
    <col min="12" max="12" width="8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73" t="s">
        <v>1141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3" s="2" customFormat="1" ht="90" customHeight="1" thickBot="1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66" t="s">
        <v>0</v>
      </c>
      <c r="B3" s="68" t="s">
        <v>1423</v>
      </c>
      <c r="C3" s="68" t="s">
        <v>8</v>
      </c>
      <c r="D3" s="70" t="s">
        <v>1424</v>
      </c>
      <c r="E3" s="70" t="s">
        <v>5</v>
      </c>
      <c r="F3" s="70" t="s">
        <v>9</v>
      </c>
      <c r="G3" s="70" t="s">
        <v>12</v>
      </c>
      <c r="H3" s="70"/>
      <c r="I3" s="70"/>
      <c r="J3" s="70"/>
      <c r="K3" s="70" t="s">
        <v>449</v>
      </c>
      <c r="L3" s="70" t="s">
        <v>4</v>
      </c>
      <c r="M3" s="71" t="s">
        <v>3</v>
      </c>
    </row>
    <row r="4" spans="1:13" s="1" customFormat="1" ht="21" customHeight="1" thickBot="1">
      <c r="A4" s="67"/>
      <c r="B4" s="69"/>
      <c r="C4" s="69"/>
      <c r="D4" s="69"/>
      <c r="E4" s="69"/>
      <c r="F4" s="69"/>
      <c r="G4" s="7">
        <v>1</v>
      </c>
      <c r="H4" s="7">
        <v>2</v>
      </c>
      <c r="I4" s="7">
        <v>3</v>
      </c>
      <c r="J4" s="7" t="s">
        <v>6</v>
      </c>
      <c r="K4" s="69"/>
      <c r="L4" s="69"/>
      <c r="M4" s="72"/>
    </row>
    <row r="5" spans="1:13" ht="16">
      <c r="A5" s="58" t="s">
        <v>152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3">
      <c r="A6" s="8" t="s">
        <v>945</v>
      </c>
      <c r="B6" s="8" t="s">
        <v>116</v>
      </c>
      <c r="C6" s="8" t="s">
        <v>946</v>
      </c>
      <c r="D6" s="8" t="s">
        <v>1427</v>
      </c>
      <c r="E6" s="8" t="s">
        <v>14</v>
      </c>
      <c r="F6" s="8" t="s">
        <v>62</v>
      </c>
      <c r="G6" s="9" t="s">
        <v>804</v>
      </c>
      <c r="H6" s="9" t="s">
        <v>947</v>
      </c>
      <c r="I6" s="9" t="s">
        <v>159</v>
      </c>
      <c r="J6" s="10"/>
      <c r="K6" s="8" t="str">
        <f>"260,0"</f>
        <v>260,0</v>
      </c>
      <c r="L6" s="9" t="str">
        <f>"160,7580"</f>
        <v>160,7580</v>
      </c>
      <c r="M6" s="8" t="s">
        <v>22</v>
      </c>
    </row>
    <row r="8" spans="1:13" ht="16">
      <c r="E8" s="12" t="s">
        <v>23</v>
      </c>
      <c r="F8" s="12" t="s">
        <v>1130</v>
      </c>
    </row>
    <row r="9" spans="1:13" ht="16">
      <c r="E9" s="12" t="s">
        <v>26</v>
      </c>
      <c r="F9" s="12" t="s">
        <v>1131</v>
      </c>
    </row>
    <row r="10" spans="1:13" ht="16">
      <c r="E10" s="12" t="s">
        <v>24</v>
      </c>
      <c r="F10" s="12" t="s">
        <v>1130</v>
      </c>
    </row>
    <row r="11" spans="1:13" ht="16">
      <c r="E11" s="12" t="s">
        <v>25</v>
      </c>
      <c r="F11" s="12" t="s">
        <v>1416</v>
      </c>
    </row>
    <row r="12" spans="1:13" ht="16">
      <c r="E12" s="12" t="s">
        <v>25</v>
      </c>
      <c r="F12" s="12" t="s">
        <v>1372</v>
      </c>
    </row>
    <row r="13" spans="1:13" ht="16">
      <c r="E13" s="12"/>
      <c r="F13" s="12"/>
    </row>
    <row r="14" spans="1:13" ht="16">
      <c r="E14" s="12"/>
    </row>
    <row r="16" spans="1:13" ht="18">
      <c r="A16" s="13" t="s">
        <v>27</v>
      </c>
      <c r="B16" s="13"/>
    </row>
    <row r="17" spans="1:5" ht="16">
      <c r="A17" s="14" t="s">
        <v>28</v>
      </c>
      <c r="B17" s="14"/>
    </row>
    <row r="18" spans="1:5" ht="14">
      <c r="A18" s="16"/>
      <c r="B18" s="17" t="s">
        <v>29</v>
      </c>
    </row>
    <row r="19" spans="1:5" ht="14">
      <c r="A19" s="18" t="s">
        <v>30</v>
      </c>
      <c r="B19" s="18" t="s">
        <v>31</v>
      </c>
      <c r="C19" s="18" t="s">
        <v>32</v>
      </c>
      <c r="D19" s="18" t="s">
        <v>33</v>
      </c>
      <c r="E19" s="18" t="s">
        <v>34</v>
      </c>
    </row>
    <row r="20" spans="1:5">
      <c r="A20" s="15" t="s">
        <v>944</v>
      </c>
      <c r="B20" s="4" t="s">
        <v>29</v>
      </c>
      <c r="C20" s="4" t="s">
        <v>219</v>
      </c>
      <c r="D20" s="4" t="s">
        <v>182</v>
      </c>
      <c r="E20" s="19" t="s">
        <v>948</v>
      </c>
    </row>
    <row r="25" spans="1:5" ht="18">
      <c r="A25" s="13" t="s">
        <v>36</v>
      </c>
      <c r="B25" s="13"/>
    </row>
    <row r="26" spans="1:5" ht="14">
      <c r="A26" s="18" t="s">
        <v>37</v>
      </c>
      <c r="B26" s="18" t="s">
        <v>38</v>
      </c>
      <c r="C26" s="18" t="s">
        <v>39</v>
      </c>
    </row>
    <row r="27" spans="1:5">
      <c r="A27" s="4" t="s">
        <v>14</v>
      </c>
      <c r="B27" s="4" t="s">
        <v>40</v>
      </c>
      <c r="C27" s="4" t="s">
        <v>949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37"/>
  <sheetViews>
    <sheetView workbookViewId="0">
      <selection activeCell="D11" sqref="D11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36.6640625" style="4" bestFit="1" customWidth="1"/>
    <col min="4" max="4" width="9.33203125" style="4" bestFit="1" customWidth="1"/>
    <col min="5" max="5" width="22.6640625" style="4" bestFit="1" customWidth="1"/>
    <col min="6" max="6" width="21.83203125" style="4" bestFit="1" customWidth="1"/>
    <col min="7" max="7" width="6.5" style="3" bestFit="1" customWidth="1"/>
    <col min="8" max="9" width="5.5" style="3" bestFit="1" customWidth="1"/>
    <col min="10" max="10" width="4.83203125" style="3" bestFit="1" customWidth="1"/>
    <col min="11" max="11" width="7.83203125" style="4" bestFit="1" customWidth="1"/>
    <col min="12" max="12" width="8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73" t="s">
        <v>1142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3" s="2" customFormat="1" ht="110.25" customHeight="1" thickBot="1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66" t="s">
        <v>0</v>
      </c>
      <c r="B3" s="68" t="s">
        <v>1423</v>
      </c>
      <c r="C3" s="68" t="s">
        <v>8</v>
      </c>
      <c r="D3" s="70" t="s">
        <v>1424</v>
      </c>
      <c r="E3" s="70" t="s">
        <v>5</v>
      </c>
      <c r="F3" s="70" t="s">
        <v>9</v>
      </c>
      <c r="G3" s="70" t="s">
        <v>12</v>
      </c>
      <c r="H3" s="70"/>
      <c r="I3" s="70"/>
      <c r="J3" s="70"/>
      <c r="K3" s="70" t="s">
        <v>449</v>
      </c>
      <c r="L3" s="70" t="s">
        <v>4</v>
      </c>
      <c r="M3" s="71" t="s">
        <v>3</v>
      </c>
    </row>
    <row r="4" spans="1:13" s="1" customFormat="1" ht="21" customHeight="1" thickBot="1">
      <c r="A4" s="67"/>
      <c r="B4" s="69"/>
      <c r="C4" s="69"/>
      <c r="D4" s="69"/>
      <c r="E4" s="69"/>
      <c r="F4" s="69"/>
      <c r="G4" s="7">
        <v>1</v>
      </c>
      <c r="H4" s="7">
        <v>2</v>
      </c>
      <c r="I4" s="7">
        <v>3</v>
      </c>
      <c r="J4" s="7" t="s">
        <v>6</v>
      </c>
      <c r="K4" s="69"/>
      <c r="L4" s="69"/>
      <c r="M4" s="72"/>
    </row>
    <row r="5" spans="1:13" ht="16">
      <c r="A5" s="58" t="s">
        <v>13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3">
      <c r="A6" s="20" t="s">
        <v>928</v>
      </c>
      <c r="B6" s="20" t="s">
        <v>929</v>
      </c>
      <c r="C6" s="20" t="s">
        <v>930</v>
      </c>
      <c r="D6" s="20" t="s">
        <v>1427</v>
      </c>
      <c r="E6" s="20" t="s">
        <v>14</v>
      </c>
      <c r="F6" s="20" t="s">
        <v>931</v>
      </c>
      <c r="G6" s="21" t="s">
        <v>19</v>
      </c>
      <c r="H6" s="21"/>
      <c r="I6" s="22"/>
      <c r="J6" s="22"/>
      <c r="K6" s="20" t="str">
        <f>"110,0"</f>
        <v>110,0</v>
      </c>
      <c r="L6" s="21" t="str">
        <f>"68,1230"</f>
        <v>68,1230</v>
      </c>
      <c r="M6" s="20" t="s">
        <v>22</v>
      </c>
    </row>
    <row r="7" spans="1:13">
      <c r="A7" s="26" t="s">
        <v>928</v>
      </c>
      <c r="B7" s="26" t="s">
        <v>932</v>
      </c>
      <c r="C7" s="26" t="s">
        <v>930</v>
      </c>
      <c r="D7" s="26" t="s">
        <v>1441</v>
      </c>
      <c r="E7" s="26" t="s">
        <v>14</v>
      </c>
      <c r="F7" s="26" t="s">
        <v>931</v>
      </c>
      <c r="G7" s="27" t="s">
        <v>19</v>
      </c>
      <c r="H7" s="27" t="s">
        <v>98</v>
      </c>
      <c r="I7" s="28"/>
      <c r="J7" s="28"/>
      <c r="K7" s="26" t="str">
        <f>"130,0"</f>
        <v>130,0</v>
      </c>
      <c r="L7" s="27" t="str">
        <f>"161,8231"</f>
        <v>161,8231</v>
      </c>
      <c r="M7" s="26" t="s">
        <v>22</v>
      </c>
    </row>
    <row r="9" spans="1:13" ht="16">
      <c r="A9" s="59" t="s">
        <v>176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</row>
    <row r="10" spans="1:13">
      <c r="A10" s="8" t="s">
        <v>934</v>
      </c>
      <c r="B10" s="8" t="s">
        <v>935</v>
      </c>
      <c r="C10" s="8" t="s">
        <v>936</v>
      </c>
      <c r="D10" s="8" t="s">
        <v>1425</v>
      </c>
      <c r="E10" s="8" t="s">
        <v>937</v>
      </c>
      <c r="F10" s="8" t="s">
        <v>48</v>
      </c>
      <c r="G10" s="9" t="s">
        <v>102</v>
      </c>
      <c r="H10" s="9" t="s">
        <v>103</v>
      </c>
      <c r="I10" s="9" t="s">
        <v>197</v>
      </c>
      <c r="J10" s="10"/>
      <c r="K10" s="8" t="str">
        <f>"177,5"</f>
        <v>177,5</v>
      </c>
      <c r="L10" s="9" t="str">
        <f>"105,2885"</f>
        <v>105,2885</v>
      </c>
      <c r="M10" s="8" t="s">
        <v>22</v>
      </c>
    </row>
    <row r="12" spans="1:13" ht="16">
      <c r="E12" s="12" t="s">
        <v>23</v>
      </c>
      <c r="F12" s="12" t="s">
        <v>1130</v>
      </c>
    </row>
    <row r="13" spans="1:13" ht="16">
      <c r="E13" s="12" t="s">
        <v>26</v>
      </c>
      <c r="F13" s="12" t="s">
        <v>1131</v>
      </c>
    </row>
    <row r="14" spans="1:13" ht="16">
      <c r="E14" s="12" t="s">
        <v>24</v>
      </c>
      <c r="F14" s="12" t="s">
        <v>1130</v>
      </c>
    </row>
    <row r="15" spans="1:13" ht="16">
      <c r="E15" s="12" t="s">
        <v>25</v>
      </c>
      <c r="F15" s="12" t="s">
        <v>1416</v>
      </c>
    </row>
    <row r="16" spans="1:13" ht="16">
      <c r="E16" s="12" t="s">
        <v>25</v>
      </c>
      <c r="F16" s="12" t="s">
        <v>1372</v>
      </c>
    </row>
    <row r="17" spans="1:6" ht="16">
      <c r="E17" s="12"/>
      <c r="F17" s="12"/>
    </row>
    <row r="18" spans="1:6" ht="16">
      <c r="E18" s="12"/>
    </row>
    <row r="20" spans="1:6" ht="18">
      <c r="A20" s="13" t="s">
        <v>27</v>
      </c>
      <c r="B20" s="13"/>
    </row>
    <row r="21" spans="1:6" ht="16">
      <c r="A21" s="14" t="s">
        <v>28</v>
      </c>
      <c r="B21" s="14"/>
    </row>
    <row r="22" spans="1:6" ht="14">
      <c r="A22" s="16"/>
      <c r="B22" s="17" t="s">
        <v>29</v>
      </c>
    </row>
    <row r="23" spans="1:6" ht="14">
      <c r="A23" s="18" t="s">
        <v>30</v>
      </c>
      <c r="B23" s="18" t="s">
        <v>31</v>
      </c>
      <c r="C23" s="18" t="s">
        <v>32</v>
      </c>
      <c r="D23" s="18" t="s">
        <v>33</v>
      </c>
      <c r="E23" s="18" t="s">
        <v>34</v>
      </c>
    </row>
    <row r="24" spans="1:6">
      <c r="A24" s="15" t="s">
        <v>927</v>
      </c>
      <c r="B24" s="4" t="s">
        <v>29</v>
      </c>
      <c r="C24" s="4" t="s">
        <v>35</v>
      </c>
      <c r="D24" s="4" t="s">
        <v>91</v>
      </c>
      <c r="E24" s="19" t="s">
        <v>938</v>
      </c>
    </row>
    <row r="26" spans="1:6" ht="14">
      <c r="A26" s="16"/>
      <c r="B26" s="17" t="s">
        <v>280</v>
      </c>
    </row>
    <row r="27" spans="1:6" ht="14">
      <c r="A27" s="18" t="s">
        <v>30</v>
      </c>
      <c r="B27" s="18" t="s">
        <v>31</v>
      </c>
      <c r="C27" s="18" t="s">
        <v>32</v>
      </c>
      <c r="D27" s="18" t="s">
        <v>33</v>
      </c>
      <c r="E27" s="18" t="s">
        <v>34</v>
      </c>
    </row>
    <row r="28" spans="1:6">
      <c r="A28" s="15" t="s">
        <v>927</v>
      </c>
      <c r="B28" s="4" t="s">
        <v>939</v>
      </c>
      <c r="C28" s="4" t="s">
        <v>35</v>
      </c>
      <c r="D28" s="4" t="s">
        <v>98</v>
      </c>
      <c r="E28" s="19" t="s">
        <v>940</v>
      </c>
    </row>
    <row r="29" spans="1:6">
      <c r="A29" s="15" t="s">
        <v>933</v>
      </c>
      <c r="B29" s="4" t="s">
        <v>440</v>
      </c>
      <c r="C29" s="4" t="s">
        <v>222</v>
      </c>
      <c r="D29" s="4" t="s">
        <v>197</v>
      </c>
      <c r="E29" s="19" t="s">
        <v>941</v>
      </c>
    </row>
    <row r="34" spans="1:3" ht="18">
      <c r="A34" s="13" t="s">
        <v>36</v>
      </c>
      <c r="B34" s="13"/>
    </row>
    <row r="35" spans="1:3" ht="14">
      <c r="A35" s="18" t="s">
        <v>37</v>
      </c>
      <c r="B35" s="18" t="s">
        <v>38</v>
      </c>
      <c r="C35" s="18" t="s">
        <v>39</v>
      </c>
    </row>
    <row r="36" spans="1:3">
      <c r="A36" s="4" t="s">
        <v>14</v>
      </c>
      <c r="B36" s="4" t="s">
        <v>241</v>
      </c>
      <c r="C36" s="4" t="s">
        <v>942</v>
      </c>
    </row>
    <row r="37" spans="1:3">
      <c r="A37" s="4" t="s">
        <v>937</v>
      </c>
      <c r="B37" s="4" t="s">
        <v>40</v>
      </c>
      <c r="C37" s="4" t="s">
        <v>943</v>
      </c>
    </row>
  </sheetData>
  <mergeCells count="13">
    <mergeCell ref="A5:L5"/>
    <mergeCell ref="A9:L9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7"/>
  <sheetViews>
    <sheetView workbookViewId="0">
      <selection activeCell="D6" sqref="D6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14.5" style="4" bestFit="1" customWidth="1"/>
    <col min="4" max="4" width="9.33203125" style="4" bestFit="1" customWidth="1"/>
    <col min="5" max="5" width="22.6640625" style="4" bestFit="1" customWidth="1"/>
    <col min="6" max="6" width="30.33203125" style="4" bestFit="1" customWidth="1"/>
    <col min="7" max="9" width="5.5" style="3" bestFit="1" customWidth="1"/>
    <col min="10" max="10" width="4.83203125" style="3" bestFit="1" customWidth="1"/>
    <col min="11" max="11" width="7.83203125" style="4" bestFit="1" customWidth="1"/>
    <col min="12" max="12" width="8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73" t="s">
        <v>1143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3" s="2" customFormat="1" ht="102.75" customHeight="1" thickBot="1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66" t="s">
        <v>0</v>
      </c>
      <c r="B3" s="68" t="s">
        <v>1423</v>
      </c>
      <c r="C3" s="68" t="s">
        <v>8</v>
      </c>
      <c r="D3" s="70" t="s">
        <v>1424</v>
      </c>
      <c r="E3" s="70" t="s">
        <v>5</v>
      </c>
      <c r="F3" s="70" t="s">
        <v>9</v>
      </c>
      <c r="G3" s="70" t="s">
        <v>11</v>
      </c>
      <c r="H3" s="70"/>
      <c r="I3" s="70"/>
      <c r="J3" s="70"/>
      <c r="K3" s="70" t="s">
        <v>449</v>
      </c>
      <c r="L3" s="70" t="s">
        <v>4</v>
      </c>
      <c r="M3" s="71" t="s">
        <v>3</v>
      </c>
    </row>
    <row r="4" spans="1:13" s="1" customFormat="1" ht="21" customHeight="1" thickBot="1">
      <c r="A4" s="67"/>
      <c r="B4" s="69"/>
      <c r="C4" s="69"/>
      <c r="D4" s="69"/>
      <c r="E4" s="69"/>
      <c r="F4" s="69"/>
      <c r="G4" s="7">
        <v>1</v>
      </c>
      <c r="H4" s="7">
        <v>2</v>
      </c>
      <c r="I4" s="7">
        <v>3</v>
      </c>
      <c r="J4" s="7" t="s">
        <v>6</v>
      </c>
      <c r="K4" s="69"/>
      <c r="L4" s="69"/>
      <c r="M4" s="72"/>
    </row>
    <row r="5" spans="1:13" ht="16">
      <c r="A5" s="58" t="s">
        <v>176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3">
      <c r="A6" s="8" t="s">
        <v>921</v>
      </c>
      <c r="B6" s="8" t="s">
        <v>922</v>
      </c>
      <c r="C6" s="8" t="s">
        <v>923</v>
      </c>
      <c r="D6" s="8" t="s">
        <v>1435</v>
      </c>
      <c r="E6" s="8" t="s">
        <v>72</v>
      </c>
      <c r="F6" s="8" t="s">
        <v>62</v>
      </c>
      <c r="G6" s="9" t="s">
        <v>296</v>
      </c>
      <c r="H6" s="9" t="s">
        <v>308</v>
      </c>
      <c r="I6" s="9" t="s">
        <v>161</v>
      </c>
      <c r="J6" s="10"/>
      <c r="K6" s="8" t="str">
        <f>"280,0"</f>
        <v>280,0</v>
      </c>
      <c r="L6" s="9" t="str">
        <f>"182,8685"</f>
        <v>182,8685</v>
      </c>
      <c r="M6" s="8" t="s">
        <v>924</v>
      </c>
    </row>
    <row r="8" spans="1:13" ht="16">
      <c r="E8" s="12" t="s">
        <v>23</v>
      </c>
      <c r="F8" s="12" t="s">
        <v>1130</v>
      </c>
    </row>
    <row r="9" spans="1:13" ht="16">
      <c r="E9" s="12" t="s">
        <v>26</v>
      </c>
      <c r="F9" s="12" t="s">
        <v>1131</v>
      </c>
    </row>
    <row r="10" spans="1:13" ht="16">
      <c r="E10" s="12" t="s">
        <v>24</v>
      </c>
      <c r="F10" s="12" t="s">
        <v>1130</v>
      </c>
    </row>
    <row r="11" spans="1:13" ht="16">
      <c r="E11" s="12" t="s">
        <v>25</v>
      </c>
      <c r="F11" s="12" t="s">
        <v>1416</v>
      </c>
    </row>
    <row r="12" spans="1:13" ht="16">
      <c r="E12" s="12" t="s">
        <v>25</v>
      </c>
      <c r="F12" s="12" t="s">
        <v>1372</v>
      </c>
    </row>
    <row r="13" spans="1:13" ht="16">
      <c r="E13" s="12"/>
      <c r="F13" s="12"/>
    </row>
    <row r="14" spans="1:13" ht="16">
      <c r="E14" s="12"/>
    </row>
    <row r="16" spans="1:13" ht="18">
      <c r="A16" s="13" t="s">
        <v>27</v>
      </c>
      <c r="B16" s="13"/>
    </row>
    <row r="17" spans="1:5" ht="16">
      <c r="A17" s="14" t="s">
        <v>28</v>
      </c>
      <c r="B17" s="14"/>
    </row>
    <row r="18" spans="1:5" ht="14">
      <c r="A18" s="16"/>
      <c r="B18" s="17" t="s">
        <v>280</v>
      </c>
    </row>
    <row r="19" spans="1:5" ht="14">
      <c r="A19" s="18" t="s">
        <v>30</v>
      </c>
      <c r="B19" s="18" t="s">
        <v>31</v>
      </c>
      <c r="C19" s="18" t="s">
        <v>32</v>
      </c>
      <c r="D19" s="18" t="s">
        <v>33</v>
      </c>
      <c r="E19" s="18" t="s">
        <v>34</v>
      </c>
    </row>
    <row r="20" spans="1:5">
      <c r="A20" s="15" t="s">
        <v>920</v>
      </c>
      <c r="B20" s="4" t="s">
        <v>281</v>
      </c>
      <c r="C20" s="4" t="s">
        <v>222</v>
      </c>
      <c r="D20" s="4" t="s">
        <v>161</v>
      </c>
      <c r="E20" s="19" t="s">
        <v>925</v>
      </c>
    </row>
    <row r="25" spans="1:5" ht="18">
      <c r="A25" s="13" t="s">
        <v>36</v>
      </c>
      <c r="B25" s="13"/>
    </row>
    <row r="26" spans="1:5" ht="14">
      <c r="A26" s="18" t="s">
        <v>37</v>
      </c>
      <c r="B26" s="18" t="s">
        <v>38</v>
      </c>
      <c r="C26" s="18" t="s">
        <v>39</v>
      </c>
    </row>
    <row r="27" spans="1:5">
      <c r="A27" s="4" t="s">
        <v>72</v>
      </c>
      <c r="B27" s="4" t="s">
        <v>40</v>
      </c>
      <c r="C27" s="4" t="s">
        <v>926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22"/>
  <sheetViews>
    <sheetView workbookViewId="0">
      <selection activeCell="D12" sqref="D1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9.6640625" style="4" bestFit="1" customWidth="1"/>
    <col min="4" max="4" width="9.33203125" style="4" bestFit="1" customWidth="1"/>
    <col min="5" max="5" width="22.6640625" style="4" bestFit="1" customWidth="1"/>
    <col min="6" max="6" width="31.33203125" style="4" bestFit="1" customWidth="1"/>
    <col min="7" max="7" width="5.5" style="3" bestFit="1" customWidth="1"/>
    <col min="8" max="8" width="5.6640625" style="3" customWidth="1"/>
    <col min="9" max="9" width="6" style="3" customWidth="1"/>
    <col min="10" max="10" width="5.5" style="3" customWidth="1"/>
    <col min="11" max="11" width="11.5" style="4" customWidth="1"/>
    <col min="12" max="12" width="7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73" t="s">
        <v>1144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3" s="2" customFormat="1" ht="88.5" customHeight="1" thickBot="1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66" t="s">
        <v>0</v>
      </c>
      <c r="B3" s="68" t="s">
        <v>1423</v>
      </c>
      <c r="C3" s="68" t="s">
        <v>8</v>
      </c>
      <c r="D3" s="70" t="s">
        <v>1424</v>
      </c>
      <c r="E3" s="70" t="s">
        <v>5</v>
      </c>
      <c r="F3" s="70" t="s">
        <v>9</v>
      </c>
      <c r="G3" s="70" t="s">
        <v>1</v>
      </c>
      <c r="H3" s="70"/>
      <c r="I3" s="70"/>
      <c r="J3" s="70"/>
      <c r="K3" s="70" t="s">
        <v>449</v>
      </c>
      <c r="L3" s="70" t="s">
        <v>4</v>
      </c>
      <c r="M3" s="71" t="s">
        <v>3</v>
      </c>
    </row>
    <row r="4" spans="1:13" s="1" customFormat="1" ht="21" customHeight="1" thickBot="1">
      <c r="A4" s="67"/>
      <c r="B4" s="69"/>
      <c r="C4" s="69"/>
      <c r="D4" s="69"/>
      <c r="E4" s="69"/>
      <c r="F4" s="69"/>
      <c r="G4" s="7">
        <v>1</v>
      </c>
      <c r="H4" s="7">
        <v>2</v>
      </c>
      <c r="I4" s="7">
        <v>3</v>
      </c>
      <c r="J4" s="7" t="s">
        <v>6</v>
      </c>
      <c r="K4" s="69"/>
      <c r="L4" s="69"/>
      <c r="M4" s="72"/>
    </row>
    <row r="5" spans="1:13" ht="16">
      <c r="A5" s="58" t="s">
        <v>169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3">
      <c r="A6" s="8" t="s">
        <v>912</v>
      </c>
      <c r="B6" s="8" t="s">
        <v>913</v>
      </c>
      <c r="C6" s="8" t="s">
        <v>914</v>
      </c>
      <c r="D6" s="8" t="s">
        <v>1436</v>
      </c>
      <c r="E6" s="8" t="s">
        <v>14</v>
      </c>
      <c r="F6" s="8" t="s">
        <v>48</v>
      </c>
      <c r="G6" s="9" t="s">
        <v>103</v>
      </c>
      <c r="H6" s="10" t="s">
        <v>1365</v>
      </c>
      <c r="I6" s="10" t="s">
        <v>197</v>
      </c>
      <c r="J6" s="10"/>
      <c r="K6" s="32" t="s">
        <v>1366</v>
      </c>
      <c r="L6" s="52" t="e">
        <f>K6*D6</f>
        <v>#VALUE!</v>
      </c>
      <c r="M6" s="8" t="s">
        <v>22</v>
      </c>
    </row>
    <row r="8" spans="1:13" ht="16">
      <c r="A8" s="59" t="s">
        <v>176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3">
      <c r="A9" s="8" t="s">
        <v>867</v>
      </c>
      <c r="B9" s="8" t="s">
        <v>915</v>
      </c>
      <c r="C9" s="8" t="s">
        <v>465</v>
      </c>
      <c r="D9" s="8" t="s">
        <v>1431</v>
      </c>
      <c r="E9" s="8" t="s">
        <v>253</v>
      </c>
      <c r="F9" s="8" t="s">
        <v>261</v>
      </c>
      <c r="G9" s="9" t="s">
        <v>869</v>
      </c>
      <c r="H9" s="10" t="s">
        <v>1368</v>
      </c>
      <c r="I9" s="10"/>
      <c r="J9" s="10"/>
      <c r="K9" s="32" t="s">
        <v>1369</v>
      </c>
      <c r="L9" s="54" t="e">
        <f>K9*D9</f>
        <v>#VALUE!</v>
      </c>
      <c r="M9" s="8" t="s">
        <v>22</v>
      </c>
    </row>
    <row r="11" spans="1:13" ht="16">
      <c r="A11" s="59" t="s">
        <v>262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1:13">
      <c r="A12" s="8" t="s">
        <v>916</v>
      </c>
      <c r="B12" s="8" t="s">
        <v>917</v>
      </c>
      <c r="C12" s="8" t="s">
        <v>918</v>
      </c>
      <c r="D12" s="8" t="s">
        <v>1427</v>
      </c>
      <c r="E12" s="8" t="s">
        <v>919</v>
      </c>
      <c r="F12" s="8" t="s">
        <v>48</v>
      </c>
      <c r="G12" s="10" t="s">
        <v>308</v>
      </c>
      <c r="H12" s="10" t="s">
        <v>1367</v>
      </c>
      <c r="I12" s="9" t="s">
        <v>1367</v>
      </c>
      <c r="J12" s="10"/>
      <c r="K12" s="32" t="s">
        <v>1367</v>
      </c>
      <c r="L12" s="11" t="e">
        <f>K12*D12</f>
        <v>#VALUE!</v>
      </c>
      <c r="M12" s="8" t="s">
        <v>22</v>
      </c>
    </row>
    <row r="14" spans="1:13" ht="16">
      <c r="E14" s="12" t="s">
        <v>23</v>
      </c>
      <c r="F14" s="12" t="s">
        <v>1130</v>
      </c>
    </row>
    <row r="15" spans="1:13" ht="16">
      <c r="E15" s="12" t="s">
        <v>26</v>
      </c>
      <c r="F15" s="12" t="s">
        <v>1131</v>
      </c>
    </row>
    <row r="16" spans="1:13" ht="16">
      <c r="E16" s="12" t="s">
        <v>24</v>
      </c>
      <c r="F16" s="12" t="s">
        <v>1130</v>
      </c>
    </row>
    <row r="17" spans="1:6" ht="16">
      <c r="E17" s="12" t="s">
        <v>25</v>
      </c>
      <c r="F17" s="12" t="s">
        <v>1416</v>
      </c>
    </row>
    <row r="18" spans="1:6" ht="16">
      <c r="E18" s="12" t="s">
        <v>25</v>
      </c>
      <c r="F18" s="12" t="s">
        <v>1372</v>
      </c>
    </row>
    <row r="19" spans="1:6" ht="16">
      <c r="E19" s="12"/>
      <c r="F19" s="12"/>
    </row>
    <row r="20" spans="1:6" ht="16">
      <c r="E20" s="12"/>
    </row>
    <row r="22" spans="1:6" ht="18">
      <c r="A22" s="13" t="s">
        <v>27</v>
      </c>
      <c r="B22" s="13"/>
    </row>
  </sheetData>
  <mergeCells count="14"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51"/>
  <sheetViews>
    <sheetView workbookViewId="0">
      <selection activeCell="D17" sqref="D17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36.6640625" style="4" bestFit="1" customWidth="1"/>
    <col min="4" max="4" width="9.33203125" style="4" bestFit="1" customWidth="1"/>
    <col min="5" max="5" width="22.6640625" style="4" bestFit="1" customWidth="1"/>
    <col min="6" max="6" width="30.83203125" style="4" bestFit="1" customWidth="1"/>
    <col min="7" max="8" width="6.5" style="3" bestFit="1" customWidth="1"/>
    <col min="9" max="9" width="5.5" style="3" bestFit="1" customWidth="1"/>
    <col min="10" max="10" width="4.83203125" style="3" bestFit="1" customWidth="1"/>
    <col min="11" max="11" width="7.83203125" style="4" bestFit="1" customWidth="1"/>
    <col min="12" max="12" width="8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73" t="s">
        <v>1145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3" s="2" customFormat="1" ht="108.75" customHeight="1" thickBot="1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66" t="s">
        <v>0</v>
      </c>
      <c r="B3" s="68" t="s">
        <v>1423</v>
      </c>
      <c r="C3" s="68" t="s">
        <v>8</v>
      </c>
      <c r="D3" s="70" t="s">
        <v>1424</v>
      </c>
      <c r="E3" s="70" t="s">
        <v>5</v>
      </c>
      <c r="F3" s="70" t="s">
        <v>9</v>
      </c>
      <c r="G3" s="70" t="s">
        <v>11</v>
      </c>
      <c r="H3" s="70"/>
      <c r="I3" s="70"/>
      <c r="J3" s="70"/>
      <c r="K3" s="70" t="s">
        <v>449</v>
      </c>
      <c r="L3" s="70" t="s">
        <v>4</v>
      </c>
      <c r="M3" s="71" t="s">
        <v>3</v>
      </c>
    </row>
    <row r="4" spans="1:13" s="1" customFormat="1" ht="21" customHeight="1" thickBot="1">
      <c r="A4" s="67"/>
      <c r="B4" s="69"/>
      <c r="C4" s="69"/>
      <c r="D4" s="69"/>
      <c r="E4" s="69"/>
      <c r="F4" s="69"/>
      <c r="G4" s="7">
        <v>1</v>
      </c>
      <c r="H4" s="7">
        <v>2</v>
      </c>
      <c r="I4" s="7">
        <v>3</v>
      </c>
      <c r="J4" s="7" t="s">
        <v>6</v>
      </c>
      <c r="K4" s="69"/>
      <c r="L4" s="69"/>
      <c r="M4" s="72"/>
    </row>
    <row r="5" spans="1:13" ht="16">
      <c r="A5" s="58" t="s">
        <v>318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3">
      <c r="A6" s="8" t="s">
        <v>884</v>
      </c>
      <c r="B6" s="8" t="s">
        <v>885</v>
      </c>
      <c r="C6" s="8" t="s">
        <v>886</v>
      </c>
      <c r="D6" s="8" t="s">
        <v>1427</v>
      </c>
      <c r="E6" s="8" t="s">
        <v>253</v>
      </c>
      <c r="F6" s="8" t="s">
        <v>254</v>
      </c>
      <c r="G6" s="10" t="s">
        <v>99</v>
      </c>
      <c r="H6" s="9" t="s">
        <v>99</v>
      </c>
      <c r="I6" s="9" t="s">
        <v>158</v>
      </c>
      <c r="J6" s="10"/>
      <c r="K6" s="8" t="str">
        <f>"150,0"</f>
        <v>150,0</v>
      </c>
      <c r="L6" s="9" t="str">
        <f>"123,4425"</f>
        <v>123,4425</v>
      </c>
      <c r="M6" s="8" t="s">
        <v>22</v>
      </c>
    </row>
    <row r="8" spans="1:13" ht="16">
      <c r="A8" s="59" t="s">
        <v>13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3">
      <c r="A9" s="8" t="s">
        <v>888</v>
      </c>
      <c r="B9" s="8" t="s">
        <v>889</v>
      </c>
      <c r="C9" s="8" t="s">
        <v>890</v>
      </c>
      <c r="D9" s="8" t="s">
        <v>1427</v>
      </c>
      <c r="E9" s="8" t="s">
        <v>166</v>
      </c>
      <c r="F9" s="8" t="s">
        <v>167</v>
      </c>
      <c r="G9" s="9" t="s">
        <v>296</v>
      </c>
      <c r="H9" s="10" t="s">
        <v>182</v>
      </c>
      <c r="I9" s="9" t="s">
        <v>182</v>
      </c>
      <c r="J9" s="10"/>
      <c r="K9" s="8" t="str">
        <f>"260,0"</f>
        <v>260,0</v>
      </c>
      <c r="L9" s="9" t="str">
        <f>"161,9020"</f>
        <v>161,9020</v>
      </c>
      <c r="M9" s="8" t="s">
        <v>22</v>
      </c>
    </row>
    <row r="11" spans="1:13" ht="16">
      <c r="A11" s="59" t="s">
        <v>169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1:13">
      <c r="A12" s="8" t="s">
        <v>757</v>
      </c>
      <c r="B12" s="8" t="s">
        <v>758</v>
      </c>
      <c r="C12" s="8" t="s">
        <v>759</v>
      </c>
      <c r="D12" s="8" t="s">
        <v>1436</v>
      </c>
      <c r="E12" s="8" t="s">
        <v>14</v>
      </c>
      <c r="F12" s="8" t="s">
        <v>62</v>
      </c>
      <c r="G12" s="10" t="s">
        <v>662</v>
      </c>
      <c r="H12" s="9" t="s">
        <v>662</v>
      </c>
      <c r="I12" s="10" t="s">
        <v>891</v>
      </c>
      <c r="J12" s="10"/>
      <c r="K12" s="8" t="str">
        <f>"195,0"</f>
        <v>195,0</v>
      </c>
      <c r="L12" s="9" t="str">
        <f>"157,6618"</f>
        <v>157,6618</v>
      </c>
      <c r="M12" s="8" t="s">
        <v>22</v>
      </c>
    </row>
    <row r="14" spans="1:13" ht="16">
      <c r="A14" s="59" t="s">
        <v>176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</row>
    <row r="15" spans="1:13">
      <c r="A15" s="20" t="s">
        <v>893</v>
      </c>
      <c r="B15" s="20" t="s">
        <v>894</v>
      </c>
      <c r="C15" s="20" t="s">
        <v>895</v>
      </c>
      <c r="D15" s="20" t="s">
        <v>1427</v>
      </c>
      <c r="E15" s="20" t="s">
        <v>14</v>
      </c>
      <c r="F15" s="20" t="s">
        <v>62</v>
      </c>
      <c r="G15" s="21" t="s">
        <v>665</v>
      </c>
      <c r="H15" s="21" t="s">
        <v>160</v>
      </c>
      <c r="I15" s="22" t="s">
        <v>896</v>
      </c>
      <c r="J15" s="22"/>
      <c r="K15" s="20" t="str">
        <f>"270,0"</f>
        <v>270,0</v>
      </c>
      <c r="L15" s="21" t="str">
        <f>"145,9350"</f>
        <v>145,9350</v>
      </c>
      <c r="M15" s="20" t="s">
        <v>22</v>
      </c>
    </row>
    <row r="16" spans="1:13">
      <c r="A16" s="26" t="s">
        <v>898</v>
      </c>
      <c r="B16" s="26" t="s">
        <v>899</v>
      </c>
      <c r="C16" s="26" t="s">
        <v>900</v>
      </c>
      <c r="D16" s="26" t="s">
        <v>1427</v>
      </c>
      <c r="E16" s="26" t="s">
        <v>253</v>
      </c>
      <c r="F16" s="26" t="s">
        <v>901</v>
      </c>
      <c r="G16" s="27" t="s">
        <v>168</v>
      </c>
      <c r="H16" s="27" t="s">
        <v>902</v>
      </c>
      <c r="I16" s="28" t="s">
        <v>903</v>
      </c>
      <c r="J16" s="28"/>
      <c r="K16" s="26" t="str">
        <f>"235,0"</f>
        <v>235,0</v>
      </c>
      <c r="L16" s="27" t="str">
        <f>"129,6495"</f>
        <v>129,6495</v>
      </c>
      <c r="M16" s="26" t="s">
        <v>22</v>
      </c>
    </row>
    <row r="18" spans="1:6" ht="16">
      <c r="E18" s="12" t="s">
        <v>23</v>
      </c>
      <c r="F18" s="12" t="s">
        <v>1130</v>
      </c>
    </row>
    <row r="19" spans="1:6" ht="16">
      <c r="E19" s="12" t="s">
        <v>26</v>
      </c>
      <c r="F19" s="12" t="s">
        <v>1131</v>
      </c>
    </row>
    <row r="20" spans="1:6" ht="16">
      <c r="E20" s="12" t="s">
        <v>24</v>
      </c>
      <c r="F20" s="12" t="s">
        <v>1130</v>
      </c>
    </row>
    <row r="21" spans="1:6" ht="16">
      <c r="E21" s="12" t="s">
        <v>25</v>
      </c>
      <c r="F21" s="12" t="s">
        <v>1416</v>
      </c>
    </row>
    <row r="22" spans="1:6" ht="16">
      <c r="E22" s="12" t="s">
        <v>25</v>
      </c>
      <c r="F22" s="12" t="s">
        <v>1372</v>
      </c>
    </row>
    <row r="23" spans="1:6" ht="16">
      <c r="E23" s="12"/>
      <c r="F23" s="12"/>
    </row>
    <row r="24" spans="1:6" ht="16">
      <c r="E24" s="12"/>
    </row>
    <row r="26" spans="1:6" ht="18">
      <c r="A26" s="13" t="s">
        <v>27</v>
      </c>
      <c r="B26" s="13"/>
    </row>
    <row r="27" spans="1:6" ht="16">
      <c r="A27" s="14" t="s">
        <v>193</v>
      </c>
      <c r="B27" s="14"/>
    </row>
    <row r="28" spans="1:6" ht="14">
      <c r="A28" s="16"/>
      <c r="B28" s="17" t="s">
        <v>29</v>
      </c>
    </row>
    <row r="29" spans="1:6" ht="14">
      <c r="A29" s="18" t="s">
        <v>30</v>
      </c>
      <c r="B29" s="18" t="s">
        <v>31</v>
      </c>
      <c r="C29" s="18" t="s">
        <v>32</v>
      </c>
      <c r="D29" s="18" t="s">
        <v>33</v>
      </c>
      <c r="E29" s="18" t="s">
        <v>34</v>
      </c>
    </row>
    <row r="30" spans="1:6">
      <c r="A30" s="15" t="s">
        <v>883</v>
      </c>
      <c r="B30" s="4" t="s">
        <v>29</v>
      </c>
      <c r="C30" s="4" t="s">
        <v>418</v>
      </c>
      <c r="D30" s="4" t="s">
        <v>158</v>
      </c>
      <c r="E30" s="19" t="s">
        <v>904</v>
      </c>
    </row>
    <row r="33" spans="1:5" ht="16">
      <c r="A33" s="14" t="s">
        <v>28</v>
      </c>
      <c r="B33" s="14"/>
    </row>
    <row r="34" spans="1:5" ht="14">
      <c r="A34" s="16"/>
      <c r="B34" s="17" t="s">
        <v>29</v>
      </c>
    </row>
    <row r="35" spans="1:5" ht="14">
      <c r="A35" s="18" t="s">
        <v>30</v>
      </c>
      <c r="B35" s="18" t="s">
        <v>31</v>
      </c>
      <c r="C35" s="18" t="s">
        <v>32</v>
      </c>
      <c r="D35" s="18" t="s">
        <v>33</v>
      </c>
      <c r="E35" s="18" t="s">
        <v>34</v>
      </c>
    </row>
    <row r="36" spans="1:5">
      <c r="A36" s="15" t="s">
        <v>887</v>
      </c>
      <c r="B36" s="4" t="s">
        <v>29</v>
      </c>
      <c r="C36" s="4" t="s">
        <v>35</v>
      </c>
      <c r="D36" s="4" t="s">
        <v>182</v>
      </c>
      <c r="E36" s="19" t="s">
        <v>905</v>
      </c>
    </row>
    <row r="37" spans="1:5">
      <c r="A37" s="15" t="s">
        <v>892</v>
      </c>
      <c r="B37" s="4" t="s">
        <v>29</v>
      </c>
      <c r="C37" s="4" t="s">
        <v>222</v>
      </c>
      <c r="D37" s="4" t="s">
        <v>308</v>
      </c>
      <c r="E37" s="19" t="s">
        <v>906</v>
      </c>
    </row>
    <row r="38" spans="1:5">
      <c r="A38" s="15" t="s">
        <v>897</v>
      </c>
      <c r="B38" s="4" t="s">
        <v>29</v>
      </c>
      <c r="C38" s="4" t="s">
        <v>222</v>
      </c>
      <c r="D38" s="4" t="s">
        <v>902</v>
      </c>
      <c r="E38" s="19" t="s">
        <v>907</v>
      </c>
    </row>
    <row r="40" spans="1:5" ht="14">
      <c r="A40" s="16"/>
      <c r="B40" s="17" t="s">
        <v>280</v>
      </c>
    </row>
    <row r="41" spans="1:5" ht="14">
      <c r="A41" s="18" t="s">
        <v>30</v>
      </c>
      <c r="B41" s="18" t="s">
        <v>31</v>
      </c>
      <c r="C41" s="18" t="s">
        <v>32</v>
      </c>
      <c r="D41" s="18" t="s">
        <v>33</v>
      </c>
      <c r="E41" s="18" t="s">
        <v>34</v>
      </c>
    </row>
    <row r="42" spans="1:5">
      <c r="A42" s="15" t="s">
        <v>756</v>
      </c>
      <c r="B42" s="4" t="s">
        <v>468</v>
      </c>
      <c r="C42" s="4" t="s">
        <v>232</v>
      </c>
      <c r="D42" s="4" t="s">
        <v>662</v>
      </c>
      <c r="E42" s="19" t="s">
        <v>908</v>
      </c>
    </row>
    <row r="47" spans="1:5" ht="18">
      <c r="A47" s="13" t="s">
        <v>36</v>
      </c>
      <c r="B47" s="13"/>
    </row>
    <row r="48" spans="1:5" ht="14">
      <c r="A48" s="18" t="s">
        <v>37</v>
      </c>
      <c r="B48" s="18" t="s">
        <v>38</v>
      </c>
      <c r="C48" s="18" t="s">
        <v>39</v>
      </c>
    </row>
    <row r="49" spans="1:3">
      <c r="A49" s="4" t="s">
        <v>14</v>
      </c>
      <c r="B49" s="4" t="s">
        <v>241</v>
      </c>
      <c r="C49" s="4" t="s">
        <v>909</v>
      </c>
    </row>
    <row r="50" spans="1:3">
      <c r="A50" s="4" t="s">
        <v>253</v>
      </c>
      <c r="B50" s="4" t="s">
        <v>446</v>
      </c>
      <c r="C50" s="4" t="s">
        <v>910</v>
      </c>
    </row>
    <row r="51" spans="1:3">
      <c r="A51" s="4" t="s">
        <v>166</v>
      </c>
      <c r="B51" s="4" t="s">
        <v>40</v>
      </c>
      <c r="C51" s="4" t="s">
        <v>911</v>
      </c>
    </row>
  </sheetData>
  <mergeCells count="15">
    <mergeCell ref="A1:M2"/>
    <mergeCell ref="A3:A4"/>
    <mergeCell ref="B3:B4"/>
    <mergeCell ref="C3:C4"/>
    <mergeCell ref="D3:D4"/>
    <mergeCell ref="E3:E4"/>
    <mergeCell ref="F3:F4"/>
    <mergeCell ref="G3:J3"/>
    <mergeCell ref="A14:L14"/>
    <mergeCell ref="K3:K4"/>
    <mergeCell ref="L3:L4"/>
    <mergeCell ref="M3:M4"/>
    <mergeCell ref="A5:L5"/>
    <mergeCell ref="A8:L8"/>
    <mergeCell ref="A11:L1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63"/>
  <sheetViews>
    <sheetView workbookViewId="0">
      <selection activeCell="D26" sqref="D26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24.5" style="4" customWidth="1"/>
    <col min="4" max="4" width="9.33203125" style="4" bestFit="1" customWidth="1"/>
    <col min="5" max="5" width="22.6640625" style="4" bestFit="1" customWidth="1"/>
    <col min="6" max="6" width="38.33203125" style="4" bestFit="1" customWidth="1"/>
    <col min="7" max="9" width="6.5" style="3" bestFit="1" customWidth="1"/>
    <col min="10" max="10" width="4.83203125" style="3" bestFit="1" customWidth="1"/>
    <col min="11" max="11" width="7.83203125" style="4" bestFit="1" customWidth="1"/>
    <col min="12" max="12" width="8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73" t="s">
        <v>849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3" s="2" customFormat="1" ht="62" customHeight="1" thickBot="1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66" t="s">
        <v>0</v>
      </c>
      <c r="B3" s="68" t="s">
        <v>1423</v>
      </c>
      <c r="C3" s="68" t="s">
        <v>8</v>
      </c>
      <c r="D3" s="70" t="s">
        <v>1424</v>
      </c>
      <c r="E3" s="70" t="s">
        <v>5</v>
      </c>
      <c r="F3" s="70" t="s">
        <v>9</v>
      </c>
      <c r="G3" s="70" t="s">
        <v>11</v>
      </c>
      <c r="H3" s="70"/>
      <c r="I3" s="70"/>
      <c r="J3" s="70"/>
      <c r="K3" s="70" t="s">
        <v>449</v>
      </c>
      <c r="L3" s="70" t="s">
        <v>4</v>
      </c>
      <c r="M3" s="71" t="s">
        <v>3</v>
      </c>
    </row>
    <row r="4" spans="1:13" s="1" customFormat="1" ht="21" customHeight="1" thickBot="1">
      <c r="A4" s="67"/>
      <c r="B4" s="69"/>
      <c r="C4" s="69"/>
      <c r="D4" s="69"/>
      <c r="E4" s="69"/>
      <c r="F4" s="69"/>
      <c r="G4" s="7">
        <v>1</v>
      </c>
      <c r="H4" s="7">
        <v>2</v>
      </c>
      <c r="I4" s="7">
        <v>3</v>
      </c>
      <c r="J4" s="7" t="s">
        <v>6</v>
      </c>
      <c r="K4" s="69"/>
      <c r="L4" s="69"/>
      <c r="M4" s="72"/>
    </row>
    <row r="5" spans="1:13" ht="16">
      <c r="A5" s="58" t="s">
        <v>318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3">
      <c r="A6" s="8" t="s">
        <v>851</v>
      </c>
      <c r="B6" s="8" t="s">
        <v>852</v>
      </c>
      <c r="C6" s="8" t="s">
        <v>853</v>
      </c>
      <c r="D6" s="8" t="s">
        <v>1436</v>
      </c>
      <c r="E6" s="8" t="s">
        <v>14</v>
      </c>
      <c r="F6" s="8" t="s">
        <v>380</v>
      </c>
      <c r="G6" s="9" t="s">
        <v>854</v>
      </c>
      <c r="H6" s="10" t="s">
        <v>91</v>
      </c>
      <c r="I6" s="10"/>
      <c r="J6" s="10"/>
      <c r="K6" s="8" t="str">
        <f>"102,5"</f>
        <v>102,5</v>
      </c>
      <c r="L6" s="9" t="str">
        <f>"115,3838"</f>
        <v>115,3838</v>
      </c>
      <c r="M6" s="8" t="s">
        <v>22</v>
      </c>
    </row>
    <row r="8" spans="1:13" ht="16">
      <c r="A8" s="59" t="s">
        <v>86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3">
      <c r="A9" s="8" t="s">
        <v>856</v>
      </c>
      <c r="B9" s="8" t="s">
        <v>857</v>
      </c>
      <c r="C9" s="8" t="s">
        <v>858</v>
      </c>
      <c r="D9" s="8" t="s">
        <v>1427</v>
      </c>
      <c r="E9" s="8" t="s">
        <v>14</v>
      </c>
      <c r="F9" s="8" t="s">
        <v>267</v>
      </c>
      <c r="G9" s="9" t="s">
        <v>859</v>
      </c>
      <c r="H9" s="10" t="s">
        <v>309</v>
      </c>
      <c r="I9" s="9" t="s">
        <v>274</v>
      </c>
      <c r="J9" s="10"/>
      <c r="K9" s="8" t="str">
        <f>"275,0"</f>
        <v>275,0</v>
      </c>
      <c r="L9" s="9" t="str">
        <f>"183,7000"</f>
        <v>183,7000</v>
      </c>
      <c r="M9" s="8" t="s">
        <v>22</v>
      </c>
    </row>
    <row r="11" spans="1:13" ht="16">
      <c r="A11" s="59" t="s">
        <v>152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1:13">
      <c r="A12" s="8" t="s">
        <v>861</v>
      </c>
      <c r="B12" s="8" t="s">
        <v>862</v>
      </c>
      <c r="C12" s="8" t="s">
        <v>863</v>
      </c>
      <c r="D12" s="8" t="s">
        <v>1427</v>
      </c>
      <c r="E12" s="8" t="s">
        <v>14</v>
      </c>
      <c r="F12" s="8" t="s">
        <v>267</v>
      </c>
      <c r="G12" s="9" t="s">
        <v>130</v>
      </c>
      <c r="H12" s="10" t="s">
        <v>122</v>
      </c>
      <c r="I12" s="10" t="s">
        <v>122</v>
      </c>
      <c r="J12" s="10"/>
      <c r="K12" s="8" t="str">
        <f>"200,0"</f>
        <v>200,0</v>
      </c>
      <c r="L12" s="9" t="str">
        <f>"117,5800"</f>
        <v>117,5800</v>
      </c>
      <c r="M12" s="8" t="s">
        <v>22</v>
      </c>
    </row>
    <row r="14" spans="1:13" ht="16">
      <c r="A14" s="59" t="s">
        <v>169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</row>
    <row r="15" spans="1:13">
      <c r="A15" s="8" t="s">
        <v>865</v>
      </c>
      <c r="B15" s="8" t="s">
        <v>866</v>
      </c>
      <c r="C15" s="8" t="s">
        <v>399</v>
      </c>
      <c r="D15" s="8" t="s">
        <v>1427</v>
      </c>
      <c r="E15" s="8" t="s">
        <v>347</v>
      </c>
      <c r="F15" s="8" t="s">
        <v>348</v>
      </c>
      <c r="G15" s="9" t="s">
        <v>135</v>
      </c>
      <c r="H15" s="9" t="s">
        <v>129</v>
      </c>
      <c r="I15" s="10" t="s">
        <v>189</v>
      </c>
      <c r="J15" s="10"/>
      <c r="K15" s="8" t="str">
        <f>"202,5"</f>
        <v>202,5</v>
      </c>
      <c r="L15" s="9" t="str">
        <f>"113,3797"</f>
        <v>113,3797</v>
      </c>
      <c r="M15" s="8" t="s">
        <v>22</v>
      </c>
    </row>
    <row r="17" spans="1:13" ht="16">
      <c r="A17" s="59" t="s">
        <v>176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8" spans="1:13">
      <c r="A18" s="8" t="s">
        <v>867</v>
      </c>
      <c r="B18" s="8" t="s">
        <v>868</v>
      </c>
      <c r="C18" s="8" t="s">
        <v>465</v>
      </c>
      <c r="D18" s="8" t="s">
        <v>1427</v>
      </c>
      <c r="E18" s="8" t="s">
        <v>253</v>
      </c>
      <c r="F18" s="8" t="s">
        <v>261</v>
      </c>
      <c r="G18" s="10" t="s">
        <v>869</v>
      </c>
      <c r="H18" s="10"/>
      <c r="I18" s="10"/>
      <c r="J18" s="10"/>
      <c r="K18" s="8" t="str">
        <f>"0.00"</f>
        <v>0.00</v>
      </c>
      <c r="L18" s="9" t="str">
        <f>"0,0000"</f>
        <v>0,0000</v>
      </c>
      <c r="M18" s="8" t="s">
        <v>22</v>
      </c>
    </row>
    <row r="20" spans="1:13" ht="16">
      <c r="A20" s="59" t="s">
        <v>262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</row>
    <row r="21" spans="1:13">
      <c r="A21" s="20" t="s">
        <v>291</v>
      </c>
      <c r="B21" s="20" t="s">
        <v>292</v>
      </c>
      <c r="C21" s="20" t="s">
        <v>293</v>
      </c>
      <c r="D21" s="20" t="s">
        <v>1426</v>
      </c>
      <c r="E21" s="20" t="s">
        <v>294</v>
      </c>
      <c r="F21" s="20" t="s">
        <v>62</v>
      </c>
      <c r="G21" s="21" t="s">
        <v>168</v>
      </c>
      <c r="H21" s="21" t="s">
        <v>295</v>
      </c>
      <c r="I21" s="22" t="s">
        <v>296</v>
      </c>
      <c r="J21" s="22"/>
      <c r="K21" s="20" t="str">
        <f>"230,0"</f>
        <v>230,0</v>
      </c>
      <c r="L21" s="21" t="str">
        <f>"123,9157"</f>
        <v>123,9157</v>
      </c>
      <c r="M21" s="20" t="s">
        <v>22</v>
      </c>
    </row>
    <row r="22" spans="1:13">
      <c r="A22" s="26" t="s">
        <v>493</v>
      </c>
      <c r="B22" s="26" t="s">
        <v>870</v>
      </c>
      <c r="C22" s="26" t="s">
        <v>495</v>
      </c>
      <c r="D22" s="26" t="s">
        <v>1431</v>
      </c>
      <c r="E22" s="26" t="s">
        <v>496</v>
      </c>
      <c r="F22" s="26" t="s">
        <v>348</v>
      </c>
      <c r="G22" s="28" t="s">
        <v>161</v>
      </c>
      <c r="H22" s="28" t="s">
        <v>161</v>
      </c>
      <c r="I22" s="28" t="s">
        <v>161</v>
      </c>
      <c r="J22" s="28"/>
      <c r="K22" s="26" t="str">
        <f>"0.00"</f>
        <v>0.00</v>
      </c>
      <c r="L22" s="27" t="str">
        <f>"0,0000"</f>
        <v>0,0000</v>
      </c>
      <c r="M22" s="26" t="s">
        <v>22</v>
      </c>
    </row>
    <row r="24" spans="1:13" ht="16">
      <c r="A24" s="59" t="s">
        <v>410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13">
      <c r="A25" s="8" t="s">
        <v>412</v>
      </c>
      <c r="B25" s="8" t="s">
        <v>871</v>
      </c>
      <c r="C25" s="8" t="s">
        <v>414</v>
      </c>
      <c r="D25" s="8" t="s">
        <v>1425</v>
      </c>
      <c r="E25" s="8" t="s">
        <v>14</v>
      </c>
      <c r="F25" s="8" t="s">
        <v>415</v>
      </c>
      <c r="G25" s="10" t="s">
        <v>872</v>
      </c>
      <c r="H25" s="9" t="s">
        <v>311</v>
      </c>
      <c r="I25" s="10" t="s">
        <v>873</v>
      </c>
      <c r="J25" s="10"/>
      <c r="K25" s="8" t="str">
        <f>"300,0"</f>
        <v>300,0</v>
      </c>
      <c r="L25" s="9" t="str">
        <f>"161,0860"</f>
        <v>161,0860</v>
      </c>
      <c r="M25" s="8" t="s">
        <v>22</v>
      </c>
    </row>
    <row r="27" spans="1:13" ht="16">
      <c r="E27" s="12" t="s">
        <v>23</v>
      </c>
      <c r="F27" s="12" t="s">
        <v>1130</v>
      </c>
    </row>
    <row r="28" spans="1:13" ht="16">
      <c r="E28" s="12" t="s">
        <v>26</v>
      </c>
      <c r="F28" s="12" t="s">
        <v>1131</v>
      </c>
    </row>
    <row r="29" spans="1:13" ht="16">
      <c r="E29" s="12" t="s">
        <v>24</v>
      </c>
      <c r="F29" s="12" t="s">
        <v>1130</v>
      </c>
    </row>
    <row r="30" spans="1:13" ht="16">
      <c r="E30" s="12" t="s">
        <v>25</v>
      </c>
      <c r="F30" s="12" t="s">
        <v>1416</v>
      </c>
    </row>
    <row r="31" spans="1:13" ht="16">
      <c r="E31" s="12" t="s">
        <v>25</v>
      </c>
      <c r="F31" s="12" t="s">
        <v>1372</v>
      </c>
    </row>
    <row r="32" spans="1:13" ht="16">
      <c r="E32" s="12"/>
      <c r="F32" s="12"/>
    </row>
    <row r="33" spans="1:5" ht="16">
      <c r="E33" s="12"/>
    </row>
    <row r="35" spans="1:5" ht="18">
      <c r="A35" s="13" t="s">
        <v>27</v>
      </c>
      <c r="B35" s="13"/>
    </row>
    <row r="36" spans="1:5" ht="16">
      <c r="A36" s="14" t="s">
        <v>193</v>
      </c>
      <c r="B36" s="14"/>
    </row>
    <row r="37" spans="1:5" ht="14">
      <c r="A37" s="16"/>
      <c r="B37" s="17" t="s">
        <v>280</v>
      </c>
    </row>
    <row r="38" spans="1:5" ht="14">
      <c r="A38" s="18" t="s">
        <v>30</v>
      </c>
      <c r="B38" s="18" t="s">
        <v>31</v>
      </c>
      <c r="C38" s="18" t="s">
        <v>32</v>
      </c>
      <c r="D38" s="18" t="s">
        <v>33</v>
      </c>
      <c r="E38" s="18" t="s">
        <v>34</v>
      </c>
    </row>
    <row r="39" spans="1:5">
      <c r="A39" s="15" t="s">
        <v>850</v>
      </c>
      <c r="B39" s="4" t="s">
        <v>468</v>
      </c>
      <c r="C39" s="4" t="s">
        <v>418</v>
      </c>
      <c r="D39" s="4" t="s">
        <v>349</v>
      </c>
      <c r="E39" s="19" t="s">
        <v>874</v>
      </c>
    </row>
    <row r="42" spans="1:5" ht="16">
      <c r="A42" s="14" t="s">
        <v>28</v>
      </c>
      <c r="B42" s="14"/>
    </row>
    <row r="43" spans="1:5" ht="14">
      <c r="A43" s="16"/>
      <c r="B43" s="17" t="s">
        <v>213</v>
      </c>
    </row>
    <row r="44" spans="1:5" ht="14">
      <c r="A44" s="18" t="s">
        <v>30</v>
      </c>
      <c r="B44" s="18" t="s">
        <v>31</v>
      </c>
      <c r="C44" s="18" t="s">
        <v>32</v>
      </c>
      <c r="D44" s="18" t="s">
        <v>33</v>
      </c>
      <c r="E44" s="18" t="s">
        <v>34</v>
      </c>
    </row>
    <row r="45" spans="1:5">
      <c r="A45" s="15" t="s">
        <v>290</v>
      </c>
      <c r="B45" s="4" t="s">
        <v>214</v>
      </c>
      <c r="C45" s="4" t="s">
        <v>277</v>
      </c>
      <c r="D45" s="4" t="s">
        <v>295</v>
      </c>
      <c r="E45" s="19" t="s">
        <v>875</v>
      </c>
    </row>
    <row r="47" spans="1:5" ht="14">
      <c r="A47" s="16"/>
      <c r="B47" s="17" t="s">
        <v>29</v>
      </c>
    </row>
    <row r="48" spans="1:5" ht="14">
      <c r="A48" s="18" t="s">
        <v>30</v>
      </c>
      <c r="B48" s="18" t="s">
        <v>31</v>
      </c>
      <c r="C48" s="18" t="s">
        <v>32</v>
      </c>
      <c r="D48" s="18" t="s">
        <v>33</v>
      </c>
      <c r="E48" s="18" t="s">
        <v>34</v>
      </c>
    </row>
    <row r="49" spans="1:5">
      <c r="A49" s="15" t="s">
        <v>855</v>
      </c>
      <c r="B49" s="4" t="s">
        <v>29</v>
      </c>
      <c r="C49" s="4" t="s">
        <v>201</v>
      </c>
      <c r="D49" s="4" t="s">
        <v>309</v>
      </c>
      <c r="E49" s="19" t="s">
        <v>876</v>
      </c>
    </row>
    <row r="50" spans="1:5">
      <c r="A50" s="15" t="s">
        <v>860</v>
      </c>
      <c r="B50" s="4" t="s">
        <v>29</v>
      </c>
      <c r="C50" s="4" t="s">
        <v>219</v>
      </c>
      <c r="D50" s="4" t="s">
        <v>136</v>
      </c>
      <c r="E50" s="19" t="s">
        <v>877</v>
      </c>
    </row>
    <row r="51" spans="1:5">
      <c r="A51" s="15" t="s">
        <v>864</v>
      </c>
      <c r="B51" s="4" t="s">
        <v>29</v>
      </c>
      <c r="C51" s="4" t="s">
        <v>232</v>
      </c>
      <c r="D51" s="4" t="s">
        <v>129</v>
      </c>
      <c r="E51" s="19" t="s">
        <v>878</v>
      </c>
    </row>
    <row r="53" spans="1:5" ht="14">
      <c r="A53" s="16"/>
      <c r="B53" s="17" t="s">
        <v>280</v>
      </c>
    </row>
    <row r="54" spans="1:5" ht="14">
      <c r="A54" s="18" t="s">
        <v>30</v>
      </c>
      <c r="B54" s="18" t="s">
        <v>31</v>
      </c>
      <c r="C54" s="18" t="s">
        <v>32</v>
      </c>
      <c r="D54" s="18" t="s">
        <v>33</v>
      </c>
      <c r="E54" s="18" t="s">
        <v>34</v>
      </c>
    </row>
    <row r="55" spans="1:5">
      <c r="A55" s="15" t="s">
        <v>411</v>
      </c>
      <c r="B55" s="4" t="s">
        <v>440</v>
      </c>
      <c r="C55" s="4" t="s">
        <v>427</v>
      </c>
      <c r="D55" s="4" t="s">
        <v>869</v>
      </c>
      <c r="E55" s="19" t="s">
        <v>879</v>
      </c>
    </row>
    <row r="60" spans="1:5" ht="18">
      <c r="A60" s="13" t="s">
        <v>36</v>
      </c>
      <c r="B60" s="13"/>
    </row>
    <row r="61" spans="1:5" ht="14">
      <c r="A61" s="18" t="s">
        <v>37</v>
      </c>
      <c r="B61" s="18" t="s">
        <v>38</v>
      </c>
      <c r="C61" s="18" t="s">
        <v>39</v>
      </c>
    </row>
    <row r="62" spans="1:5">
      <c r="A62" s="4" t="s">
        <v>14</v>
      </c>
      <c r="B62" s="4" t="s">
        <v>880</v>
      </c>
      <c r="C62" s="4" t="s">
        <v>881</v>
      </c>
    </row>
    <row r="63" spans="1:5">
      <c r="A63" s="4" t="s">
        <v>347</v>
      </c>
      <c r="B63" s="4" t="s">
        <v>40</v>
      </c>
      <c r="C63" s="4" t="s">
        <v>882</v>
      </c>
    </row>
  </sheetData>
  <mergeCells count="18"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A14:L14"/>
    <mergeCell ref="A17:L17"/>
    <mergeCell ref="A20:L20"/>
    <mergeCell ref="A24:L24"/>
    <mergeCell ref="K3:K4"/>
    <mergeCell ref="L3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8"/>
  <sheetViews>
    <sheetView workbookViewId="0">
      <selection activeCell="D32" sqref="D32"/>
    </sheetView>
  </sheetViews>
  <sheetFormatPr baseColWidth="10" defaultColWidth="9.1640625" defaultRowHeight="13"/>
  <cols>
    <col min="1" max="1" width="34.5" style="19" bestFit="1" customWidth="1"/>
    <col min="2" max="2" width="36" style="36" bestFit="1" customWidth="1"/>
    <col min="3" max="3" width="13.33203125" style="36" customWidth="1"/>
    <col min="4" max="4" width="9.33203125" style="36" bestFit="1" customWidth="1"/>
    <col min="5" max="5" width="22.6640625" style="29" bestFit="1" customWidth="1"/>
    <col min="6" max="6" width="33.5" style="29" bestFit="1" customWidth="1"/>
    <col min="7" max="14" width="4.5" style="36" bestFit="1" customWidth="1"/>
    <col min="15" max="15" width="7.83203125" style="19" bestFit="1" customWidth="1"/>
    <col min="16" max="16" width="7.5" style="36" bestFit="1" customWidth="1"/>
    <col min="17" max="17" width="8.83203125" style="29" bestFit="1" customWidth="1"/>
    <col min="18" max="16384" width="9.1640625" style="36"/>
  </cols>
  <sheetData>
    <row r="1" spans="1:17" ht="29" customHeight="1">
      <c r="A1" s="60" t="s">
        <v>1264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/>
    </row>
    <row r="2" spans="1:17" ht="105.75" customHeight="1" thickBot="1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5"/>
    </row>
    <row r="3" spans="1:17" s="1" customFormat="1" ht="12.75" customHeight="1">
      <c r="A3" s="66" t="s">
        <v>0</v>
      </c>
      <c r="B3" s="68" t="s">
        <v>1423</v>
      </c>
      <c r="C3" s="68" t="s">
        <v>1199</v>
      </c>
      <c r="D3" s="70" t="s">
        <v>1424</v>
      </c>
      <c r="E3" s="70" t="s">
        <v>5</v>
      </c>
      <c r="F3" s="70" t="s">
        <v>9</v>
      </c>
      <c r="G3" s="70" t="s">
        <v>1</v>
      </c>
      <c r="H3" s="70"/>
      <c r="I3" s="70"/>
      <c r="J3" s="70"/>
      <c r="K3" s="70" t="s">
        <v>1428</v>
      </c>
      <c r="L3" s="70"/>
      <c r="M3" s="70"/>
      <c r="N3" s="70"/>
      <c r="O3" s="70" t="s">
        <v>2</v>
      </c>
      <c r="P3" s="70" t="s">
        <v>4</v>
      </c>
      <c r="Q3" s="71" t="s">
        <v>3</v>
      </c>
    </row>
    <row r="4" spans="1:17" s="1" customFormat="1" ht="21" customHeight="1" thickBot="1">
      <c r="A4" s="67"/>
      <c r="B4" s="69"/>
      <c r="C4" s="69"/>
      <c r="D4" s="69"/>
      <c r="E4" s="69"/>
      <c r="F4" s="69"/>
      <c r="G4" s="53">
        <v>1</v>
      </c>
      <c r="H4" s="53">
        <v>2</v>
      </c>
      <c r="I4" s="53">
        <v>3</v>
      </c>
      <c r="J4" s="53" t="s">
        <v>6</v>
      </c>
      <c r="K4" s="53">
        <v>1</v>
      </c>
      <c r="L4" s="53">
        <v>2</v>
      </c>
      <c r="M4" s="53">
        <v>3</v>
      </c>
      <c r="N4" s="53" t="s">
        <v>6</v>
      </c>
      <c r="O4" s="69"/>
      <c r="P4" s="69"/>
      <c r="Q4" s="72"/>
    </row>
    <row r="5" spans="1:17" ht="16">
      <c r="A5" s="58" t="s">
        <v>325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7">
      <c r="A6" s="35" t="s">
        <v>327</v>
      </c>
      <c r="B6" s="52" t="s">
        <v>328</v>
      </c>
      <c r="C6" s="52" t="s">
        <v>329</v>
      </c>
      <c r="D6" s="52" t="s">
        <v>1429</v>
      </c>
      <c r="E6" s="32" t="s">
        <v>118</v>
      </c>
      <c r="F6" s="32" t="s">
        <v>119</v>
      </c>
      <c r="G6" s="52" t="s">
        <v>508</v>
      </c>
      <c r="H6" s="52" t="s">
        <v>509</v>
      </c>
      <c r="I6" s="52" t="s">
        <v>526</v>
      </c>
      <c r="J6" s="10"/>
      <c r="K6" s="52" t="s">
        <v>75</v>
      </c>
      <c r="L6" s="10" t="s">
        <v>509</v>
      </c>
      <c r="M6" s="52" t="s">
        <v>509</v>
      </c>
      <c r="N6" s="10"/>
      <c r="O6" s="35" t="str">
        <f>"92,5"</f>
        <v>92,5</v>
      </c>
      <c r="P6" s="52" t="str">
        <f>"85,1043"</f>
        <v>85,1043</v>
      </c>
      <c r="Q6" s="32" t="s">
        <v>22</v>
      </c>
    </row>
    <row r="8" spans="1:17" ht="16">
      <c r="A8" s="59" t="s">
        <v>318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</row>
    <row r="9" spans="1:17">
      <c r="A9" s="35" t="s">
        <v>339</v>
      </c>
      <c r="B9" s="52" t="s">
        <v>340</v>
      </c>
      <c r="C9" s="52" t="s">
        <v>341</v>
      </c>
      <c r="D9" s="52" t="s">
        <v>1426</v>
      </c>
      <c r="E9" s="32" t="s">
        <v>118</v>
      </c>
      <c r="F9" s="32" t="s">
        <v>119</v>
      </c>
      <c r="G9" s="52" t="s">
        <v>52</v>
      </c>
      <c r="H9" s="10" t="s">
        <v>63</v>
      </c>
      <c r="I9" s="10" t="s">
        <v>64</v>
      </c>
      <c r="J9" s="10"/>
      <c r="K9" s="52" t="s">
        <v>509</v>
      </c>
      <c r="L9" s="52" t="s">
        <v>526</v>
      </c>
      <c r="M9" s="52" t="s">
        <v>52</v>
      </c>
      <c r="N9" s="10"/>
      <c r="O9" s="35" t="str">
        <f>"100,0"</f>
        <v>100,0</v>
      </c>
      <c r="P9" s="52" t="str">
        <f>"74,7864"</f>
        <v>74,7864</v>
      </c>
      <c r="Q9" s="32" t="s">
        <v>22</v>
      </c>
    </row>
    <row r="11" spans="1:17" ht="16">
      <c r="A11" s="59" t="s">
        <v>86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</row>
    <row r="12" spans="1:17">
      <c r="A12" s="51" t="s">
        <v>352</v>
      </c>
      <c r="B12" s="50" t="s">
        <v>353</v>
      </c>
      <c r="C12" s="50" t="s">
        <v>354</v>
      </c>
      <c r="D12" s="50" t="s">
        <v>1426</v>
      </c>
      <c r="E12" s="49" t="s">
        <v>118</v>
      </c>
      <c r="F12" s="49" t="s">
        <v>119</v>
      </c>
      <c r="G12" s="50" t="s">
        <v>73</v>
      </c>
      <c r="H12" s="22" t="s">
        <v>63</v>
      </c>
      <c r="I12" s="50" t="s">
        <v>63</v>
      </c>
      <c r="J12" s="22"/>
      <c r="K12" s="50" t="s">
        <v>1214</v>
      </c>
      <c r="L12" s="50" t="s">
        <v>53</v>
      </c>
      <c r="M12" s="50" t="s">
        <v>73</v>
      </c>
      <c r="N12" s="22"/>
      <c r="O12" s="51" t="str">
        <f>"117,5"</f>
        <v>117,5</v>
      </c>
      <c r="P12" s="50" t="str">
        <f>"79,6403"</f>
        <v>79,6403</v>
      </c>
      <c r="Q12" s="49" t="s">
        <v>22</v>
      </c>
    </row>
    <row r="13" spans="1:17">
      <c r="A13" s="48" t="s">
        <v>356</v>
      </c>
      <c r="B13" s="47" t="s">
        <v>357</v>
      </c>
      <c r="C13" s="47" t="s">
        <v>358</v>
      </c>
      <c r="D13" s="47" t="s">
        <v>1427</v>
      </c>
      <c r="E13" s="30" t="s">
        <v>118</v>
      </c>
      <c r="F13" s="30" t="s">
        <v>119</v>
      </c>
      <c r="G13" s="47" t="s">
        <v>330</v>
      </c>
      <c r="H13" s="47" t="s">
        <v>67</v>
      </c>
      <c r="I13" s="47" t="s">
        <v>54</v>
      </c>
      <c r="J13" s="25"/>
      <c r="K13" s="47" t="s">
        <v>1214</v>
      </c>
      <c r="L13" s="47" t="s">
        <v>63</v>
      </c>
      <c r="M13" s="47" t="s">
        <v>84</v>
      </c>
      <c r="N13" s="25"/>
      <c r="O13" s="48" t="str">
        <f>"145,0"</f>
        <v>145,0</v>
      </c>
      <c r="P13" s="47" t="str">
        <f>"96,6570"</f>
        <v>96,6570</v>
      </c>
      <c r="Q13" s="30" t="s">
        <v>22</v>
      </c>
    </row>
    <row r="14" spans="1:17">
      <c r="A14" s="46" t="s">
        <v>1263</v>
      </c>
      <c r="B14" s="45" t="s">
        <v>1262</v>
      </c>
      <c r="C14" s="45" t="s">
        <v>108</v>
      </c>
      <c r="D14" s="45" t="s">
        <v>1427</v>
      </c>
      <c r="E14" s="44" t="s">
        <v>14</v>
      </c>
      <c r="F14" s="44" t="s">
        <v>1261</v>
      </c>
      <c r="G14" s="45" t="s">
        <v>49</v>
      </c>
      <c r="H14" s="45" t="s">
        <v>67</v>
      </c>
      <c r="I14" s="28" t="s">
        <v>50</v>
      </c>
      <c r="J14" s="28"/>
      <c r="K14" s="45" t="s">
        <v>63</v>
      </c>
      <c r="L14" s="45" t="s">
        <v>84</v>
      </c>
      <c r="M14" s="45" t="s">
        <v>330</v>
      </c>
      <c r="N14" s="28"/>
      <c r="O14" s="46" t="str">
        <f>"142,5"</f>
        <v>142,5</v>
      </c>
      <c r="P14" s="45" t="str">
        <f>"98,9935"</f>
        <v>98,9935</v>
      </c>
      <c r="Q14" s="44" t="s">
        <v>22</v>
      </c>
    </row>
    <row r="16" spans="1:17" ht="16">
      <c r="A16" s="59" t="s">
        <v>13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>
      <c r="A17" s="51" t="s">
        <v>1197</v>
      </c>
      <c r="B17" s="50" t="s">
        <v>1196</v>
      </c>
      <c r="C17" s="50" t="s">
        <v>1195</v>
      </c>
      <c r="D17" s="50" t="s">
        <v>1427</v>
      </c>
      <c r="E17" s="49" t="s">
        <v>14</v>
      </c>
      <c r="F17" s="49" t="s">
        <v>62</v>
      </c>
      <c r="G17" s="50" t="s">
        <v>54</v>
      </c>
      <c r="H17" s="50" t="s">
        <v>76</v>
      </c>
      <c r="I17" s="22" t="s">
        <v>56</v>
      </c>
      <c r="J17" s="22"/>
      <c r="K17" s="50" t="s">
        <v>63</v>
      </c>
      <c r="L17" s="50" t="s">
        <v>84</v>
      </c>
      <c r="M17" s="22" t="s">
        <v>330</v>
      </c>
      <c r="N17" s="22"/>
      <c r="O17" s="51" t="str">
        <f>"150,0"</f>
        <v>150,0</v>
      </c>
      <c r="P17" s="50" t="str">
        <f>"95,5050"</f>
        <v>95,5050</v>
      </c>
      <c r="Q17" s="49" t="s">
        <v>22</v>
      </c>
    </row>
    <row r="18" spans="1:17">
      <c r="A18" s="48" t="s">
        <v>1193</v>
      </c>
      <c r="B18" s="47" t="s">
        <v>1192</v>
      </c>
      <c r="C18" s="47" t="s">
        <v>1191</v>
      </c>
      <c r="D18" s="50" t="s">
        <v>1427</v>
      </c>
      <c r="E18" s="30" t="s">
        <v>118</v>
      </c>
      <c r="F18" s="30" t="s">
        <v>119</v>
      </c>
      <c r="G18" s="47" t="s">
        <v>330</v>
      </c>
      <c r="H18" s="47" t="s">
        <v>49</v>
      </c>
      <c r="I18" s="25" t="s">
        <v>331</v>
      </c>
      <c r="J18" s="25"/>
      <c r="K18" s="47" t="s">
        <v>53</v>
      </c>
      <c r="L18" s="47" t="s">
        <v>63</v>
      </c>
      <c r="M18" s="47" t="s">
        <v>64</v>
      </c>
      <c r="N18" s="25"/>
      <c r="O18" s="48" t="str">
        <f>"132,5"</f>
        <v>132,5</v>
      </c>
      <c r="P18" s="47" t="str">
        <f>"84,8265"</f>
        <v>84,8265</v>
      </c>
      <c r="Q18" s="30" t="s">
        <v>22</v>
      </c>
    </row>
    <row r="19" spans="1:17">
      <c r="A19" s="48" t="s">
        <v>1260</v>
      </c>
      <c r="B19" s="47" t="s">
        <v>1259</v>
      </c>
      <c r="C19" s="47" t="s">
        <v>1253</v>
      </c>
      <c r="D19" s="50" t="s">
        <v>1427</v>
      </c>
      <c r="E19" s="30" t="s">
        <v>72</v>
      </c>
      <c r="F19" s="30" t="s">
        <v>62</v>
      </c>
      <c r="G19" s="47" t="s">
        <v>49</v>
      </c>
      <c r="H19" s="47" t="s">
        <v>67</v>
      </c>
      <c r="I19" s="25" t="s">
        <v>50</v>
      </c>
      <c r="J19" s="25"/>
      <c r="K19" s="47" t="s">
        <v>52</v>
      </c>
      <c r="L19" s="47" t="s">
        <v>53</v>
      </c>
      <c r="M19" s="47" t="s">
        <v>73</v>
      </c>
      <c r="N19" s="25"/>
      <c r="O19" s="48" t="str">
        <f>"132,5"</f>
        <v>132,5</v>
      </c>
      <c r="P19" s="47" t="str">
        <f>"82,1566"</f>
        <v>82,1566</v>
      </c>
      <c r="Q19" s="30" t="s">
        <v>22</v>
      </c>
    </row>
    <row r="20" spans="1:17">
      <c r="A20" s="48" t="s">
        <v>1258</v>
      </c>
      <c r="B20" s="47" t="s">
        <v>1117</v>
      </c>
      <c r="C20" s="47" t="s">
        <v>1070</v>
      </c>
      <c r="D20" s="50" t="s">
        <v>1427</v>
      </c>
      <c r="E20" s="30" t="s">
        <v>118</v>
      </c>
      <c r="F20" s="30" t="s">
        <v>119</v>
      </c>
      <c r="G20" s="47" t="s">
        <v>53</v>
      </c>
      <c r="H20" s="25" t="s">
        <v>330</v>
      </c>
      <c r="I20" s="47" t="s">
        <v>330</v>
      </c>
      <c r="J20" s="25"/>
      <c r="K20" s="47" t="s">
        <v>52</v>
      </c>
      <c r="L20" s="47" t="s">
        <v>53</v>
      </c>
      <c r="M20" s="47" t="s">
        <v>64</v>
      </c>
      <c r="N20" s="25"/>
      <c r="O20" s="48" t="str">
        <f>"130,0"</f>
        <v>130,0</v>
      </c>
      <c r="P20" s="47" t="str">
        <f>"82,8880"</f>
        <v>82,8880</v>
      </c>
      <c r="Q20" s="30" t="s">
        <v>22</v>
      </c>
    </row>
    <row r="21" spans="1:17">
      <c r="A21" s="48" t="s">
        <v>1257</v>
      </c>
      <c r="B21" s="47" t="s">
        <v>371</v>
      </c>
      <c r="C21" s="47" t="s">
        <v>372</v>
      </c>
      <c r="D21" s="50" t="s">
        <v>1427</v>
      </c>
      <c r="E21" s="30" t="s">
        <v>118</v>
      </c>
      <c r="F21" s="30" t="s">
        <v>119</v>
      </c>
      <c r="G21" s="47" t="s">
        <v>63</v>
      </c>
      <c r="H21" s="47" t="s">
        <v>1256</v>
      </c>
      <c r="I21" s="47" t="s">
        <v>84</v>
      </c>
      <c r="J21" s="25"/>
      <c r="K21" s="47" t="s">
        <v>508</v>
      </c>
      <c r="L21" s="47" t="s">
        <v>509</v>
      </c>
      <c r="M21" s="47" t="s">
        <v>526</v>
      </c>
      <c r="N21" s="25"/>
      <c r="O21" s="48" t="str">
        <f>"112,5"</f>
        <v>112,5</v>
      </c>
      <c r="P21" s="47" t="str">
        <f>"69,7837"</f>
        <v>69,7837</v>
      </c>
      <c r="Q21" s="30" t="s">
        <v>22</v>
      </c>
    </row>
    <row r="22" spans="1:17">
      <c r="A22" s="46" t="s">
        <v>1255</v>
      </c>
      <c r="B22" s="45" t="s">
        <v>1254</v>
      </c>
      <c r="C22" s="45" t="s">
        <v>1253</v>
      </c>
      <c r="D22" s="45" t="s">
        <v>1425</v>
      </c>
      <c r="E22" s="44" t="s">
        <v>72</v>
      </c>
      <c r="F22" s="44" t="s">
        <v>62</v>
      </c>
      <c r="G22" s="45" t="s">
        <v>49</v>
      </c>
      <c r="H22" s="45" t="s">
        <v>67</v>
      </c>
      <c r="I22" s="28" t="s">
        <v>50</v>
      </c>
      <c r="J22" s="28"/>
      <c r="K22" s="45" t="s">
        <v>52</v>
      </c>
      <c r="L22" s="45" t="s">
        <v>53</v>
      </c>
      <c r="M22" s="45" t="s">
        <v>73</v>
      </c>
      <c r="N22" s="28"/>
      <c r="O22" s="46" t="str">
        <f>"132,5"</f>
        <v>132,5</v>
      </c>
      <c r="P22" s="45" t="str">
        <f>"86,1001"</f>
        <v>86,1001</v>
      </c>
      <c r="Q22" s="44" t="s">
        <v>22</v>
      </c>
    </row>
    <row r="24" spans="1:17" ht="16">
      <c r="A24" s="59" t="s">
        <v>152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1:17">
      <c r="A25" s="51" t="s">
        <v>374</v>
      </c>
      <c r="B25" s="50" t="s">
        <v>375</v>
      </c>
      <c r="C25" s="50" t="s">
        <v>376</v>
      </c>
      <c r="D25" s="50" t="s">
        <v>1430</v>
      </c>
      <c r="E25" s="49" t="s">
        <v>118</v>
      </c>
      <c r="F25" s="49" t="s">
        <v>119</v>
      </c>
      <c r="G25" s="50" t="s">
        <v>84</v>
      </c>
      <c r="H25" s="50" t="s">
        <v>49</v>
      </c>
      <c r="I25" s="50" t="s">
        <v>67</v>
      </c>
      <c r="J25" s="22"/>
      <c r="K25" s="50" t="s">
        <v>64</v>
      </c>
      <c r="L25" s="50" t="s">
        <v>330</v>
      </c>
      <c r="M25" s="22" t="s">
        <v>331</v>
      </c>
      <c r="N25" s="22"/>
      <c r="O25" s="51" t="str">
        <f>"142,5"</f>
        <v>142,5</v>
      </c>
      <c r="P25" s="50" t="str">
        <f>"87,3343"</f>
        <v>87,3343</v>
      </c>
      <c r="Q25" s="49" t="s">
        <v>22</v>
      </c>
    </row>
    <row r="26" spans="1:17">
      <c r="A26" s="46" t="s">
        <v>1252</v>
      </c>
      <c r="B26" s="45" t="s">
        <v>1251</v>
      </c>
      <c r="C26" s="45" t="s">
        <v>1250</v>
      </c>
      <c r="D26" s="45" t="s">
        <v>1427</v>
      </c>
      <c r="E26" s="44" t="s">
        <v>14</v>
      </c>
      <c r="F26" s="44" t="s">
        <v>62</v>
      </c>
      <c r="G26" s="45" t="s">
        <v>49</v>
      </c>
      <c r="H26" s="45" t="s">
        <v>67</v>
      </c>
      <c r="I26" s="45" t="s">
        <v>50</v>
      </c>
      <c r="J26" s="28"/>
      <c r="K26" s="45" t="s">
        <v>63</v>
      </c>
      <c r="L26" s="45" t="s">
        <v>84</v>
      </c>
      <c r="M26" s="45" t="s">
        <v>330</v>
      </c>
      <c r="N26" s="28"/>
      <c r="O26" s="46" t="str">
        <f>"145,0"</f>
        <v>145,0</v>
      </c>
      <c r="P26" s="45" t="str">
        <f>"88,6965"</f>
        <v>88,6965</v>
      </c>
      <c r="Q26" s="44" t="s">
        <v>22</v>
      </c>
    </row>
    <row r="28" spans="1:17" ht="16">
      <c r="A28" s="59" t="s">
        <v>169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1:17">
      <c r="A29" s="51" t="s">
        <v>1189</v>
      </c>
      <c r="B29" s="50" t="s">
        <v>1165</v>
      </c>
      <c r="C29" s="50" t="s">
        <v>1015</v>
      </c>
      <c r="D29" s="50" t="s">
        <v>1427</v>
      </c>
      <c r="E29" s="49" t="s">
        <v>118</v>
      </c>
      <c r="F29" s="49" t="s">
        <v>119</v>
      </c>
      <c r="G29" s="50" t="s">
        <v>49</v>
      </c>
      <c r="H29" s="50" t="s">
        <v>54</v>
      </c>
      <c r="I29" s="22" t="s">
        <v>56</v>
      </c>
      <c r="J29" s="22"/>
      <c r="K29" s="50" t="s">
        <v>49</v>
      </c>
      <c r="L29" s="22" t="s">
        <v>67</v>
      </c>
      <c r="M29" s="22" t="s">
        <v>67</v>
      </c>
      <c r="N29" s="22"/>
      <c r="O29" s="51" t="str">
        <f>"150,0"</f>
        <v>150,0</v>
      </c>
      <c r="P29" s="50" t="str">
        <f>"83,7900"</f>
        <v>83,7900</v>
      </c>
      <c r="Q29" s="49" t="s">
        <v>22</v>
      </c>
    </row>
    <row r="30" spans="1:17">
      <c r="A30" s="48" t="s">
        <v>1249</v>
      </c>
      <c r="B30" s="47" t="s">
        <v>394</v>
      </c>
      <c r="C30" s="47" t="s">
        <v>395</v>
      </c>
      <c r="D30" s="47" t="s">
        <v>1427</v>
      </c>
      <c r="E30" s="30" t="s">
        <v>118</v>
      </c>
      <c r="F30" s="30" t="s">
        <v>119</v>
      </c>
      <c r="G30" s="47" t="s">
        <v>331</v>
      </c>
      <c r="H30" s="47" t="s">
        <v>67</v>
      </c>
      <c r="I30" s="47" t="s">
        <v>50</v>
      </c>
      <c r="J30" s="25"/>
      <c r="K30" s="47" t="s">
        <v>53</v>
      </c>
      <c r="L30" s="47" t="s">
        <v>73</v>
      </c>
      <c r="M30" s="47" t="s">
        <v>63</v>
      </c>
      <c r="N30" s="25"/>
      <c r="O30" s="48" t="str">
        <f>"137,5"</f>
        <v>137,5</v>
      </c>
      <c r="P30" s="47" t="str">
        <f>"76,1750"</f>
        <v>76,1750</v>
      </c>
      <c r="Q30" s="30" t="s">
        <v>22</v>
      </c>
    </row>
    <row r="31" spans="1:17">
      <c r="A31" s="46" t="s">
        <v>1161</v>
      </c>
      <c r="B31" s="45" t="s">
        <v>1162</v>
      </c>
      <c r="C31" s="45" t="s">
        <v>609</v>
      </c>
      <c r="D31" s="45" t="s">
        <v>1431</v>
      </c>
      <c r="E31" s="44" t="s">
        <v>118</v>
      </c>
      <c r="F31" s="44" t="s">
        <v>119</v>
      </c>
      <c r="G31" s="28" t="s">
        <v>56</v>
      </c>
      <c r="H31" s="45" t="s">
        <v>56</v>
      </c>
      <c r="I31" s="45" t="s">
        <v>100</v>
      </c>
      <c r="J31" s="28"/>
      <c r="K31" s="28" t="s">
        <v>67</v>
      </c>
      <c r="L31" s="45" t="s">
        <v>67</v>
      </c>
      <c r="M31" s="45" t="s">
        <v>50</v>
      </c>
      <c r="N31" s="28"/>
      <c r="O31" s="46" t="str">
        <f>"172,5"</f>
        <v>172,5</v>
      </c>
      <c r="P31" s="45" t="str">
        <f>"96,1688"</f>
        <v>96,1688</v>
      </c>
      <c r="Q31" s="44" t="s">
        <v>22</v>
      </c>
    </row>
    <row r="33" spans="1:6" ht="16">
      <c r="E33" s="12" t="s">
        <v>23</v>
      </c>
      <c r="F33" s="12" t="s">
        <v>1130</v>
      </c>
    </row>
    <row r="34" spans="1:6" ht="16">
      <c r="E34" s="12" t="s">
        <v>26</v>
      </c>
      <c r="F34" s="12" t="s">
        <v>1131</v>
      </c>
    </row>
    <row r="35" spans="1:6" ht="16">
      <c r="E35" s="12" t="s">
        <v>24</v>
      </c>
      <c r="F35" s="12" t="s">
        <v>1130</v>
      </c>
    </row>
    <row r="36" spans="1:6" ht="16">
      <c r="E36" s="12" t="s">
        <v>25</v>
      </c>
      <c r="F36" s="12" t="s">
        <v>1416</v>
      </c>
    </row>
    <row r="37" spans="1:6" ht="16">
      <c r="E37" s="12" t="s">
        <v>25</v>
      </c>
      <c r="F37" s="12" t="s">
        <v>1372</v>
      </c>
    </row>
    <row r="38" spans="1:6" ht="16">
      <c r="E38" s="12"/>
      <c r="F38" s="12"/>
    </row>
    <row r="39" spans="1:6" ht="16">
      <c r="E39" s="12"/>
    </row>
    <row r="41" spans="1:6" ht="18">
      <c r="A41" s="38" t="s">
        <v>27</v>
      </c>
      <c r="B41" s="37"/>
    </row>
    <row r="42" spans="1:6" ht="16">
      <c r="A42" s="43" t="s">
        <v>28</v>
      </c>
      <c r="B42" s="42"/>
    </row>
    <row r="43" spans="1:6" ht="14">
      <c r="A43" s="41"/>
      <c r="B43" s="40" t="s">
        <v>199</v>
      </c>
    </row>
    <row r="44" spans="1:6" ht="14">
      <c r="A44" s="18" t="s">
        <v>30</v>
      </c>
      <c r="B44" s="18" t="s">
        <v>31</v>
      </c>
      <c r="C44" s="18" t="s">
        <v>32</v>
      </c>
      <c r="D44" s="18" t="s">
        <v>33</v>
      </c>
      <c r="E44" s="18" t="s">
        <v>34</v>
      </c>
    </row>
    <row r="45" spans="1:6">
      <c r="A45" s="39" t="s">
        <v>373</v>
      </c>
      <c r="B45" s="36" t="s">
        <v>204</v>
      </c>
      <c r="C45" s="36" t="s">
        <v>219</v>
      </c>
      <c r="D45" s="36" t="s">
        <v>381</v>
      </c>
      <c r="E45" s="19" t="s">
        <v>1248</v>
      </c>
    </row>
    <row r="46" spans="1:6">
      <c r="A46" s="39" t="s">
        <v>326</v>
      </c>
      <c r="B46" s="36" t="s">
        <v>200</v>
      </c>
      <c r="C46" s="36" t="s">
        <v>421</v>
      </c>
      <c r="D46" s="36" t="s">
        <v>1247</v>
      </c>
      <c r="E46" s="19" t="s">
        <v>1246</v>
      </c>
    </row>
    <row r="48" spans="1:6" ht="14">
      <c r="A48" s="41"/>
      <c r="B48" s="40" t="s">
        <v>213</v>
      </c>
    </row>
    <row r="49" spans="1:5" ht="14">
      <c r="A49" s="18" t="s">
        <v>30</v>
      </c>
      <c r="B49" s="18" t="s">
        <v>31</v>
      </c>
      <c r="C49" s="18" t="s">
        <v>32</v>
      </c>
      <c r="D49" s="18" t="s">
        <v>33</v>
      </c>
      <c r="E49" s="18" t="s">
        <v>34</v>
      </c>
    </row>
    <row r="50" spans="1:5">
      <c r="A50" s="39" t="s">
        <v>351</v>
      </c>
      <c r="B50" s="36" t="s">
        <v>214</v>
      </c>
      <c r="C50" s="36" t="s">
        <v>201</v>
      </c>
      <c r="D50" s="36" t="s">
        <v>350</v>
      </c>
      <c r="E50" s="19" t="s">
        <v>1245</v>
      </c>
    </row>
    <row r="51" spans="1:5">
      <c r="A51" s="39" t="s">
        <v>338</v>
      </c>
      <c r="B51" s="36" t="s">
        <v>214</v>
      </c>
      <c r="C51" s="36" t="s">
        <v>418</v>
      </c>
      <c r="D51" s="36" t="s">
        <v>101</v>
      </c>
      <c r="E51" s="19" t="s">
        <v>1244</v>
      </c>
    </row>
    <row r="53" spans="1:5" ht="14">
      <c r="A53" s="41"/>
      <c r="B53" s="40" t="s">
        <v>29</v>
      </c>
    </row>
    <row r="54" spans="1:5" ht="14">
      <c r="A54" s="18" t="s">
        <v>30</v>
      </c>
      <c r="B54" s="18" t="s">
        <v>31</v>
      </c>
      <c r="C54" s="18" t="s">
        <v>32</v>
      </c>
      <c r="D54" s="18" t="s">
        <v>33</v>
      </c>
      <c r="E54" s="18" t="s">
        <v>34</v>
      </c>
    </row>
    <row r="55" spans="1:5">
      <c r="A55" s="39" t="s">
        <v>1243</v>
      </c>
      <c r="B55" s="36" t="s">
        <v>29</v>
      </c>
      <c r="C55" s="36" t="s">
        <v>201</v>
      </c>
      <c r="D55" s="36" t="s">
        <v>381</v>
      </c>
      <c r="E55" s="19" t="s">
        <v>1242</v>
      </c>
    </row>
    <row r="56" spans="1:5">
      <c r="A56" s="39" t="s">
        <v>355</v>
      </c>
      <c r="B56" s="36" t="s">
        <v>29</v>
      </c>
      <c r="C56" s="36" t="s">
        <v>201</v>
      </c>
      <c r="D56" s="36" t="s">
        <v>113</v>
      </c>
      <c r="E56" s="19" t="s">
        <v>1241</v>
      </c>
    </row>
    <row r="57" spans="1:5">
      <c r="A57" s="39" t="s">
        <v>1186</v>
      </c>
      <c r="B57" s="36" t="s">
        <v>29</v>
      </c>
      <c r="C57" s="36" t="s">
        <v>35</v>
      </c>
      <c r="D57" s="36" t="s">
        <v>158</v>
      </c>
      <c r="E57" s="19" t="s">
        <v>1240</v>
      </c>
    </row>
    <row r="58" spans="1:5">
      <c r="A58" s="39" t="s">
        <v>1239</v>
      </c>
      <c r="B58" s="36" t="s">
        <v>29</v>
      </c>
      <c r="C58" s="36" t="s">
        <v>219</v>
      </c>
      <c r="D58" s="36" t="s">
        <v>113</v>
      </c>
      <c r="E58" s="19" t="s">
        <v>1238</v>
      </c>
    </row>
    <row r="59" spans="1:5">
      <c r="A59" s="39" t="s">
        <v>1183</v>
      </c>
      <c r="B59" s="36" t="s">
        <v>29</v>
      </c>
      <c r="C59" s="36" t="s">
        <v>35</v>
      </c>
      <c r="D59" s="36" t="s">
        <v>141</v>
      </c>
      <c r="E59" s="19" t="s">
        <v>1237</v>
      </c>
    </row>
    <row r="60" spans="1:5">
      <c r="A60" s="39" t="s">
        <v>1164</v>
      </c>
      <c r="B60" s="36" t="s">
        <v>29</v>
      </c>
      <c r="C60" s="36" t="s">
        <v>232</v>
      </c>
      <c r="D60" s="36" t="s">
        <v>158</v>
      </c>
      <c r="E60" s="19" t="s">
        <v>1236</v>
      </c>
    </row>
    <row r="61" spans="1:5">
      <c r="A61" s="39" t="s">
        <v>1115</v>
      </c>
      <c r="B61" s="36" t="s">
        <v>29</v>
      </c>
      <c r="C61" s="36" t="s">
        <v>35</v>
      </c>
      <c r="D61" s="36" t="s">
        <v>98</v>
      </c>
      <c r="E61" s="19" t="s">
        <v>1235</v>
      </c>
    </row>
    <row r="62" spans="1:5">
      <c r="A62" s="39" t="s">
        <v>1230</v>
      </c>
      <c r="B62" s="36" t="s">
        <v>29</v>
      </c>
      <c r="C62" s="36" t="s">
        <v>35</v>
      </c>
      <c r="D62" s="36" t="s">
        <v>141</v>
      </c>
      <c r="E62" s="19" t="s">
        <v>1234</v>
      </c>
    </row>
    <row r="63" spans="1:5">
      <c r="A63" s="39" t="s">
        <v>392</v>
      </c>
      <c r="B63" s="36" t="s">
        <v>29</v>
      </c>
      <c r="C63" s="36" t="s">
        <v>232</v>
      </c>
      <c r="D63" s="36" t="s">
        <v>120</v>
      </c>
      <c r="E63" s="19" t="s">
        <v>1233</v>
      </c>
    </row>
    <row r="64" spans="1:5">
      <c r="A64" s="39" t="s">
        <v>369</v>
      </c>
      <c r="B64" s="36" t="s">
        <v>29</v>
      </c>
      <c r="C64" s="36" t="s">
        <v>35</v>
      </c>
      <c r="D64" s="36" t="s">
        <v>359</v>
      </c>
      <c r="E64" s="19" t="s">
        <v>1232</v>
      </c>
    </row>
    <row r="66" spans="1:5" ht="14">
      <c r="A66" s="41"/>
      <c r="B66" s="40" t="s">
        <v>280</v>
      </c>
    </row>
    <row r="67" spans="1:5" ht="14">
      <c r="A67" s="18" t="s">
        <v>30</v>
      </c>
      <c r="B67" s="18" t="s">
        <v>31</v>
      </c>
      <c r="C67" s="18" t="s">
        <v>32</v>
      </c>
      <c r="D67" s="18" t="s">
        <v>33</v>
      </c>
      <c r="E67" s="18" t="s">
        <v>34</v>
      </c>
    </row>
    <row r="68" spans="1:5">
      <c r="A68" s="39" t="s">
        <v>1160</v>
      </c>
      <c r="B68" s="36" t="s">
        <v>314</v>
      </c>
      <c r="C68" s="36" t="s">
        <v>232</v>
      </c>
      <c r="D68" s="36" t="s">
        <v>1096</v>
      </c>
      <c r="E68" s="19" t="s">
        <v>1231</v>
      </c>
    </row>
    <row r="69" spans="1:5">
      <c r="A69" s="39" t="s">
        <v>1230</v>
      </c>
      <c r="B69" s="36" t="s">
        <v>440</v>
      </c>
      <c r="C69" s="36" t="s">
        <v>35</v>
      </c>
      <c r="D69" s="36" t="s">
        <v>141</v>
      </c>
      <c r="E69" s="19" t="s">
        <v>1229</v>
      </c>
    </row>
    <row r="74" spans="1:5" ht="18">
      <c r="A74" s="38" t="s">
        <v>36</v>
      </c>
      <c r="B74" s="37"/>
    </row>
    <row r="75" spans="1:5" ht="14">
      <c r="A75" s="18" t="s">
        <v>37</v>
      </c>
      <c r="B75" s="18" t="s">
        <v>38</v>
      </c>
      <c r="C75" s="18" t="s">
        <v>39</v>
      </c>
    </row>
    <row r="76" spans="1:5">
      <c r="A76" s="19" t="s">
        <v>118</v>
      </c>
      <c r="B76" s="36" t="s">
        <v>1228</v>
      </c>
      <c r="C76" s="36" t="s">
        <v>1227</v>
      </c>
    </row>
    <row r="77" spans="1:5">
      <c r="A77" s="19" t="s">
        <v>14</v>
      </c>
      <c r="B77" s="36" t="s">
        <v>1226</v>
      </c>
      <c r="C77" s="36" t="s">
        <v>1225</v>
      </c>
    </row>
    <row r="78" spans="1:5">
      <c r="A78" s="19" t="s">
        <v>72</v>
      </c>
      <c r="B78" s="36" t="s">
        <v>1057</v>
      </c>
      <c r="C78" s="36" t="s">
        <v>1224</v>
      </c>
    </row>
  </sheetData>
  <mergeCells count="18">
    <mergeCell ref="A16:P16"/>
    <mergeCell ref="A24:P24"/>
    <mergeCell ref="A28:P28"/>
    <mergeCell ref="O3:O4"/>
    <mergeCell ref="P3:P4"/>
    <mergeCell ref="A5:P5"/>
    <mergeCell ref="A8:P8"/>
    <mergeCell ref="A11:P11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Q3:Q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98"/>
  <sheetViews>
    <sheetView topLeftCell="A17" workbookViewId="0">
      <selection activeCell="D44" sqref="D44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33.5" style="4" customWidth="1"/>
    <col min="4" max="4" width="9.33203125" style="4" bestFit="1" customWidth="1"/>
    <col min="5" max="5" width="22.6640625" style="4" bestFit="1" customWidth="1"/>
    <col min="6" max="6" width="32.1640625" style="4" bestFit="1" customWidth="1"/>
    <col min="7" max="9" width="6.5" style="3" bestFit="1" customWidth="1"/>
    <col min="10" max="10" width="4.83203125" style="3" bestFit="1" customWidth="1"/>
    <col min="11" max="11" width="7.83203125" style="4" bestFit="1" customWidth="1"/>
    <col min="12" max="12" width="8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73" t="s">
        <v>725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3" s="2" customFormat="1" ht="62" customHeight="1" thickBot="1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66" t="s">
        <v>0</v>
      </c>
      <c r="B3" s="68" t="s">
        <v>1423</v>
      </c>
      <c r="C3" s="68" t="s">
        <v>8</v>
      </c>
      <c r="D3" s="70" t="s">
        <v>1424</v>
      </c>
      <c r="E3" s="70" t="s">
        <v>5</v>
      </c>
      <c r="F3" s="70" t="s">
        <v>9</v>
      </c>
      <c r="G3" s="70" t="s">
        <v>11</v>
      </c>
      <c r="H3" s="70"/>
      <c r="I3" s="70"/>
      <c r="J3" s="70"/>
      <c r="K3" s="70" t="s">
        <v>449</v>
      </c>
      <c r="L3" s="70" t="s">
        <v>4</v>
      </c>
      <c r="M3" s="71" t="s">
        <v>3</v>
      </c>
    </row>
    <row r="4" spans="1:13" s="1" customFormat="1" ht="21" customHeight="1" thickBot="1">
      <c r="A4" s="67"/>
      <c r="B4" s="69"/>
      <c r="C4" s="69"/>
      <c r="D4" s="69"/>
      <c r="E4" s="69"/>
      <c r="F4" s="69"/>
      <c r="G4" s="7">
        <v>1</v>
      </c>
      <c r="H4" s="7">
        <v>2</v>
      </c>
      <c r="I4" s="7">
        <v>3</v>
      </c>
      <c r="J4" s="7" t="s">
        <v>6</v>
      </c>
      <c r="K4" s="69"/>
      <c r="L4" s="69"/>
      <c r="M4" s="72"/>
    </row>
    <row r="5" spans="1:13" ht="16">
      <c r="A5" s="58" t="s">
        <v>86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3">
      <c r="A6" s="8" t="s">
        <v>727</v>
      </c>
      <c r="B6" s="8" t="s">
        <v>728</v>
      </c>
      <c r="C6" s="8" t="s">
        <v>729</v>
      </c>
      <c r="D6" s="8" t="s">
        <v>1432</v>
      </c>
      <c r="E6" s="8" t="s">
        <v>47</v>
      </c>
      <c r="F6" s="8" t="s">
        <v>48</v>
      </c>
      <c r="G6" s="9" t="s">
        <v>52</v>
      </c>
      <c r="H6" s="9" t="s">
        <v>53</v>
      </c>
      <c r="I6" s="9" t="s">
        <v>73</v>
      </c>
      <c r="J6" s="10"/>
      <c r="K6" s="8" t="str">
        <f>"57,5"</f>
        <v>57,5</v>
      </c>
      <c r="L6" s="9" t="str">
        <f>"49,8470"</f>
        <v>49,8470</v>
      </c>
      <c r="M6" s="8" t="s">
        <v>22</v>
      </c>
    </row>
    <row r="8" spans="1:13" ht="16">
      <c r="A8" s="59" t="s">
        <v>13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3">
      <c r="A9" s="20" t="s">
        <v>731</v>
      </c>
      <c r="B9" s="20" t="s">
        <v>732</v>
      </c>
      <c r="C9" s="20" t="s">
        <v>733</v>
      </c>
      <c r="D9" s="20" t="s">
        <v>1427</v>
      </c>
      <c r="E9" s="20" t="s">
        <v>253</v>
      </c>
      <c r="F9" s="20" t="s">
        <v>661</v>
      </c>
      <c r="G9" s="21" t="s">
        <v>135</v>
      </c>
      <c r="H9" s="22" t="s">
        <v>128</v>
      </c>
      <c r="I9" s="22" t="s">
        <v>128</v>
      </c>
      <c r="J9" s="22"/>
      <c r="K9" s="20" t="str">
        <f>"180,0"</f>
        <v>180,0</v>
      </c>
      <c r="L9" s="21" t="str">
        <f>"111,9420"</f>
        <v>111,9420</v>
      </c>
      <c r="M9" s="20" t="s">
        <v>22</v>
      </c>
    </row>
    <row r="10" spans="1:13">
      <c r="A10" s="26" t="s">
        <v>735</v>
      </c>
      <c r="B10" s="26" t="s">
        <v>736</v>
      </c>
      <c r="C10" s="26" t="s">
        <v>737</v>
      </c>
      <c r="D10" s="26" t="s">
        <v>1425</v>
      </c>
      <c r="E10" s="26" t="s">
        <v>14</v>
      </c>
      <c r="F10" s="26" t="s">
        <v>62</v>
      </c>
      <c r="G10" s="27" t="s">
        <v>405</v>
      </c>
      <c r="H10" s="27" t="s">
        <v>16</v>
      </c>
      <c r="I10" s="28" t="s">
        <v>382</v>
      </c>
      <c r="J10" s="28"/>
      <c r="K10" s="26" t="str">
        <f>"150,0"</f>
        <v>150,0</v>
      </c>
      <c r="L10" s="27" t="str">
        <f>"98,7059"</f>
        <v>98,7059</v>
      </c>
      <c r="M10" s="26" t="s">
        <v>22</v>
      </c>
    </row>
    <row r="12" spans="1:13" ht="16">
      <c r="A12" s="59" t="s">
        <v>152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1:13">
      <c r="A13" s="20" t="s">
        <v>739</v>
      </c>
      <c r="B13" s="20" t="s">
        <v>655</v>
      </c>
      <c r="C13" s="20" t="s">
        <v>740</v>
      </c>
      <c r="D13" s="20" t="s">
        <v>1427</v>
      </c>
      <c r="E13" s="20" t="s">
        <v>347</v>
      </c>
      <c r="F13" s="20" t="s">
        <v>348</v>
      </c>
      <c r="G13" s="21" t="s">
        <v>103</v>
      </c>
      <c r="H13" s="21" t="s">
        <v>144</v>
      </c>
      <c r="I13" s="21" t="s">
        <v>135</v>
      </c>
      <c r="J13" s="22"/>
      <c r="K13" s="20" t="str">
        <f>"180,0"</f>
        <v>180,0</v>
      </c>
      <c r="L13" s="21" t="str">
        <f>"106,5960"</f>
        <v>106,5960</v>
      </c>
      <c r="M13" s="20" t="s">
        <v>22</v>
      </c>
    </row>
    <row r="14" spans="1:13">
      <c r="A14" s="23" t="s">
        <v>742</v>
      </c>
      <c r="B14" s="23" t="s">
        <v>743</v>
      </c>
      <c r="C14" s="23" t="s">
        <v>744</v>
      </c>
      <c r="D14" s="23" t="s">
        <v>1427</v>
      </c>
      <c r="E14" s="23" t="s">
        <v>253</v>
      </c>
      <c r="F14" s="23" t="s">
        <v>565</v>
      </c>
      <c r="G14" s="24" t="s">
        <v>102</v>
      </c>
      <c r="H14" s="24" t="s">
        <v>103</v>
      </c>
      <c r="I14" s="25" t="s">
        <v>135</v>
      </c>
      <c r="J14" s="25"/>
      <c r="K14" s="23" t="str">
        <f>"170,0"</f>
        <v>170,0</v>
      </c>
      <c r="L14" s="24" t="str">
        <f>"103,1305"</f>
        <v>103,1305</v>
      </c>
      <c r="M14" s="23" t="s">
        <v>22</v>
      </c>
    </row>
    <row r="15" spans="1:13">
      <c r="A15" s="23" t="s">
        <v>746</v>
      </c>
      <c r="B15" s="23" t="s">
        <v>747</v>
      </c>
      <c r="C15" s="23" t="s">
        <v>591</v>
      </c>
      <c r="D15" s="23" t="s">
        <v>1427</v>
      </c>
      <c r="E15" s="23" t="s">
        <v>14</v>
      </c>
      <c r="F15" s="23" t="s">
        <v>62</v>
      </c>
      <c r="G15" s="24" t="s">
        <v>158</v>
      </c>
      <c r="H15" s="24" t="s">
        <v>102</v>
      </c>
      <c r="I15" s="25" t="s">
        <v>545</v>
      </c>
      <c r="J15" s="25"/>
      <c r="K15" s="23" t="str">
        <f>"160,0"</f>
        <v>160,0</v>
      </c>
      <c r="L15" s="24" t="str">
        <f>"94,6240"</f>
        <v>94,6240</v>
      </c>
      <c r="M15" s="23" t="s">
        <v>22</v>
      </c>
    </row>
    <row r="16" spans="1:13">
      <c r="A16" s="23" t="s">
        <v>749</v>
      </c>
      <c r="B16" s="23" t="s">
        <v>750</v>
      </c>
      <c r="C16" s="23" t="s">
        <v>751</v>
      </c>
      <c r="D16" s="23" t="s">
        <v>1436</v>
      </c>
      <c r="E16" s="23" t="s">
        <v>47</v>
      </c>
      <c r="F16" s="23" t="s">
        <v>48</v>
      </c>
      <c r="G16" s="24" t="s">
        <v>174</v>
      </c>
      <c r="H16" s="24" t="s">
        <v>112</v>
      </c>
      <c r="I16" s="24" t="s">
        <v>99</v>
      </c>
      <c r="J16" s="25"/>
      <c r="K16" s="23" t="str">
        <f>"140,0"</f>
        <v>140,0</v>
      </c>
      <c r="L16" s="24" t="str">
        <f>"125,7497"</f>
        <v>125,7497</v>
      </c>
      <c r="M16" s="23" t="s">
        <v>22</v>
      </c>
    </row>
    <row r="17" spans="1:13">
      <c r="A17" s="26" t="s">
        <v>602</v>
      </c>
      <c r="B17" s="26" t="s">
        <v>603</v>
      </c>
      <c r="C17" s="26" t="s">
        <v>604</v>
      </c>
      <c r="D17" s="26" t="s">
        <v>1437</v>
      </c>
      <c r="E17" s="26" t="s">
        <v>253</v>
      </c>
      <c r="F17" s="26" t="s">
        <v>605</v>
      </c>
      <c r="G17" s="27" t="s">
        <v>92</v>
      </c>
      <c r="H17" s="27" t="s">
        <v>486</v>
      </c>
      <c r="I17" s="28"/>
      <c r="J17" s="28"/>
      <c r="K17" s="26" t="str">
        <f>"122,5"</f>
        <v>122,5</v>
      </c>
      <c r="L17" s="27" t="str">
        <f>"134,8614"</f>
        <v>134,8614</v>
      </c>
      <c r="M17" s="26" t="s">
        <v>22</v>
      </c>
    </row>
    <row r="19" spans="1:13" ht="16">
      <c r="A19" s="59" t="s">
        <v>169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</row>
    <row r="20" spans="1:13">
      <c r="A20" s="20" t="s">
        <v>753</v>
      </c>
      <c r="B20" s="20" t="s">
        <v>754</v>
      </c>
      <c r="C20" s="20" t="s">
        <v>755</v>
      </c>
      <c r="D20" s="20" t="s">
        <v>1431</v>
      </c>
      <c r="E20" s="20" t="s">
        <v>253</v>
      </c>
      <c r="F20" s="20" t="s">
        <v>254</v>
      </c>
      <c r="G20" s="21" t="s">
        <v>271</v>
      </c>
      <c r="H20" s="21" t="s">
        <v>197</v>
      </c>
      <c r="I20" s="21" t="s">
        <v>104</v>
      </c>
      <c r="J20" s="22"/>
      <c r="K20" s="20" t="str">
        <f>"185,0"</f>
        <v>185,0</v>
      </c>
      <c r="L20" s="21" t="str">
        <f>"104,4880"</f>
        <v>104,4880</v>
      </c>
      <c r="M20" s="20" t="s">
        <v>22</v>
      </c>
    </row>
    <row r="21" spans="1:13">
      <c r="A21" s="26" t="s">
        <v>757</v>
      </c>
      <c r="B21" s="26" t="s">
        <v>758</v>
      </c>
      <c r="C21" s="26" t="s">
        <v>759</v>
      </c>
      <c r="D21" s="26" t="s">
        <v>1436</v>
      </c>
      <c r="E21" s="26" t="s">
        <v>14</v>
      </c>
      <c r="F21" s="26" t="s">
        <v>62</v>
      </c>
      <c r="G21" s="27" t="s">
        <v>157</v>
      </c>
      <c r="H21" s="27" t="s">
        <v>16</v>
      </c>
      <c r="I21" s="27" t="s">
        <v>17</v>
      </c>
      <c r="J21" s="28"/>
      <c r="K21" s="26" t="str">
        <f>"155,0"</f>
        <v>155,0</v>
      </c>
      <c r="L21" s="27" t="str">
        <f>"125,3209"</f>
        <v>125,3209</v>
      </c>
      <c r="M21" s="26" t="s">
        <v>22</v>
      </c>
    </row>
    <row r="23" spans="1:13" ht="16">
      <c r="A23" s="59" t="s">
        <v>176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</row>
    <row r="24" spans="1:13">
      <c r="A24" s="20" t="s">
        <v>761</v>
      </c>
      <c r="B24" s="20" t="s">
        <v>762</v>
      </c>
      <c r="C24" s="20" t="s">
        <v>763</v>
      </c>
      <c r="D24" s="20" t="s">
        <v>1427</v>
      </c>
      <c r="E24" s="20" t="s">
        <v>188</v>
      </c>
      <c r="F24" s="20" t="s">
        <v>83</v>
      </c>
      <c r="G24" s="22" t="s">
        <v>104</v>
      </c>
      <c r="H24" s="21" t="s">
        <v>104</v>
      </c>
      <c r="I24" s="21" t="s">
        <v>128</v>
      </c>
      <c r="J24" s="22"/>
      <c r="K24" s="20" t="str">
        <f>"190,0"</f>
        <v>190,0</v>
      </c>
      <c r="L24" s="21" t="str">
        <f>"102,2200"</f>
        <v>102,2200</v>
      </c>
      <c r="M24" s="20" t="s">
        <v>22</v>
      </c>
    </row>
    <row r="25" spans="1:13">
      <c r="A25" s="23" t="s">
        <v>765</v>
      </c>
      <c r="B25" s="23" t="s">
        <v>766</v>
      </c>
      <c r="C25" s="23" t="s">
        <v>767</v>
      </c>
      <c r="D25" s="23" t="s">
        <v>1427</v>
      </c>
      <c r="E25" s="23" t="s">
        <v>14</v>
      </c>
      <c r="F25" s="23" t="s">
        <v>62</v>
      </c>
      <c r="G25" s="24" t="s">
        <v>104</v>
      </c>
      <c r="H25" s="25" t="s">
        <v>128</v>
      </c>
      <c r="I25" s="25" t="s">
        <v>128</v>
      </c>
      <c r="J25" s="25"/>
      <c r="K25" s="23" t="str">
        <f>"185,0"</f>
        <v>185,0</v>
      </c>
      <c r="L25" s="24" t="str">
        <f>"99,5485"</f>
        <v>99,5485</v>
      </c>
      <c r="M25" s="23" t="s">
        <v>22</v>
      </c>
    </row>
    <row r="26" spans="1:13">
      <c r="A26" s="23" t="s">
        <v>769</v>
      </c>
      <c r="B26" s="23" t="s">
        <v>770</v>
      </c>
      <c r="C26" s="23" t="s">
        <v>771</v>
      </c>
      <c r="D26" s="23" t="s">
        <v>1427</v>
      </c>
      <c r="E26" s="23" t="s">
        <v>166</v>
      </c>
      <c r="F26" s="23" t="s">
        <v>167</v>
      </c>
      <c r="G26" s="24" t="s">
        <v>103</v>
      </c>
      <c r="H26" s="24" t="s">
        <v>135</v>
      </c>
      <c r="I26" s="25" t="s">
        <v>689</v>
      </c>
      <c r="J26" s="25"/>
      <c r="K26" s="23" t="str">
        <f>"180,0"</f>
        <v>180,0</v>
      </c>
      <c r="L26" s="24" t="str">
        <f>"96,6780"</f>
        <v>96,6780</v>
      </c>
      <c r="M26" s="23" t="s">
        <v>22</v>
      </c>
    </row>
    <row r="27" spans="1:13">
      <c r="A27" s="26" t="s">
        <v>459</v>
      </c>
      <c r="B27" s="26" t="s">
        <v>460</v>
      </c>
      <c r="C27" s="26" t="s">
        <v>461</v>
      </c>
      <c r="D27" s="26" t="s">
        <v>1435</v>
      </c>
      <c r="E27" s="26" t="s">
        <v>253</v>
      </c>
      <c r="F27" s="26" t="s">
        <v>254</v>
      </c>
      <c r="G27" s="27" t="s">
        <v>103</v>
      </c>
      <c r="H27" s="27" t="s">
        <v>135</v>
      </c>
      <c r="I27" s="28"/>
      <c r="J27" s="28"/>
      <c r="K27" s="26" t="str">
        <f>"180,0"</f>
        <v>180,0</v>
      </c>
      <c r="L27" s="27" t="str">
        <f>"123,7062"</f>
        <v>123,7062</v>
      </c>
      <c r="M27" s="26" t="s">
        <v>22</v>
      </c>
    </row>
    <row r="29" spans="1:13" ht="16">
      <c r="A29" s="59" t="s">
        <v>262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</row>
    <row r="30" spans="1:13">
      <c r="A30" s="20" t="s">
        <v>773</v>
      </c>
      <c r="B30" s="20" t="s">
        <v>774</v>
      </c>
      <c r="C30" s="20" t="s">
        <v>775</v>
      </c>
      <c r="D30" s="20" t="s">
        <v>1427</v>
      </c>
      <c r="E30" s="20" t="s">
        <v>47</v>
      </c>
      <c r="F30" s="20" t="s">
        <v>48</v>
      </c>
      <c r="G30" s="21" t="s">
        <v>121</v>
      </c>
      <c r="H30" s="21" t="s">
        <v>175</v>
      </c>
      <c r="I30" s="21" t="s">
        <v>776</v>
      </c>
      <c r="J30" s="22"/>
      <c r="K30" s="20" t="str">
        <f>"217,5"</f>
        <v>217,5</v>
      </c>
      <c r="L30" s="21" t="str">
        <f>"115,4273"</f>
        <v>115,4273</v>
      </c>
      <c r="M30" s="20" t="s">
        <v>22</v>
      </c>
    </row>
    <row r="31" spans="1:13">
      <c r="A31" s="23" t="s">
        <v>778</v>
      </c>
      <c r="B31" s="23" t="s">
        <v>779</v>
      </c>
      <c r="C31" s="23" t="s">
        <v>780</v>
      </c>
      <c r="D31" s="23" t="s">
        <v>1427</v>
      </c>
      <c r="E31" s="23" t="s">
        <v>347</v>
      </c>
      <c r="F31" s="23" t="s">
        <v>348</v>
      </c>
      <c r="G31" s="24" t="s">
        <v>128</v>
      </c>
      <c r="H31" s="24" t="s">
        <v>122</v>
      </c>
      <c r="I31" s="25" t="s">
        <v>175</v>
      </c>
      <c r="J31" s="25"/>
      <c r="K31" s="23" t="str">
        <f>"210,0"</f>
        <v>210,0</v>
      </c>
      <c r="L31" s="24" t="str">
        <f>"111,5100"</f>
        <v>111,5100</v>
      </c>
      <c r="M31" s="23" t="s">
        <v>22</v>
      </c>
    </row>
    <row r="32" spans="1:13">
      <c r="A32" s="23" t="s">
        <v>782</v>
      </c>
      <c r="B32" s="23" t="s">
        <v>783</v>
      </c>
      <c r="C32" s="23" t="s">
        <v>784</v>
      </c>
      <c r="D32" s="23" t="s">
        <v>1427</v>
      </c>
      <c r="E32" s="23" t="s">
        <v>253</v>
      </c>
      <c r="F32" s="23" t="s">
        <v>261</v>
      </c>
      <c r="G32" s="24" t="s">
        <v>136</v>
      </c>
      <c r="H32" s="24" t="s">
        <v>122</v>
      </c>
      <c r="I32" s="25" t="s">
        <v>168</v>
      </c>
      <c r="J32" s="25"/>
      <c r="K32" s="23" t="str">
        <f>"210,0"</f>
        <v>210,0</v>
      </c>
      <c r="L32" s="24" t="str">
        <f>"109,8510"</f>
        <v>109,8510</v>
      </c>
      <c r="M32" s="23" t="s">
        <v>22</v>
      </c>
    </row>
    <row r="33" spans="1:13">
      <c r="A33" s="23" t="s">
        <v>786</v>
      </c>
      <c r="B33" s="23" t="s">
        <v>787</v>
      </c>
      <c r="C33" s="23" t="s">
        <v>788</v>
      </c>
      <c r="D33" s="23" t="s">
        <v>1427</v>
      </c>
      <c r="E33" s="23" t="s">
        <v>47</v>
      </c>
      <c r="F33" s="23" t="s">
        <v>48</v>
      </c>
      <c r="G33" s="24" t="s">
        <v>104</v>
      </c>
      <c r="H33" s="25" t="s">
        <v>789</v>
      </c>
      <c r="I33" s="25" t="s">
        <v>789</v>
      </c>
      <c r="J33" s="25"/>
      <c r="K33" s="23" t="str">
        <f>"185,0"</f>
        <v>185,0</v>
      </c>
      <c r="L33" s="24" t="str">
        <f>"98,9380"</f>
        <v>98,9380</v>
      </c>
      <c r="M33" s="23" t="s">
        <v>22</v>
      </c>
    </row>
    <row r="34" spans="1:13">
      <c r="A34" s="23" t="s">
        <v>790</v>
      </c>
      <c r="B34" s="23" t="s">
        <v>791</v>
      </c>
      <c r="C34" s="23" t="s">
        <v>788</v>
      </c>
      <c r="D34" s="23" t="s">
        <v>1431</v>
      </c>
      <c r="E34" s="23" t="s">
        <v>47</v>
      </c>
      <c r="F34" s="23" t="s">
        <v>48</v>
      </c>
      <c r="G34" s="24" t="s">
        <v>104</v>
      </c>
      <c r="H34" s="25" t="s">
        <v>789</v>
      </c>
      <c r="I34" s="25" t="s">
        <v>789</v>
      </c>
      <c r="J34" s="25"/>
      <c r="K34" s="23" t="str">
        <f>"185,0"</f>
        <v>185,0</v>
      </c>
      <c r="L34" s="24" t="str">
        <f>"99,2348"</f>
        <v>99,2348</v>
      </c>
      <c r="M34" s="23" t="s">
        <v>22</v>
      </c>
    </row>
    <row r="35" spans="1:13">
      <c r="A35" s="23" t="s">
        <v>793</v>
      </c>
      <c r="B35" s="23" t="s">
        <v>794</v>
      </c>
      <c r="C35" s="23" t="s">
        <v>795</v>
      </c>
      <c r="D35" s="23" t="s">
        <v>1431</v>
      </c>
      <c r="E35" s="23" t="s">
        <v>347</v>
      </c>
      <c r="F35" s="23" t="s">
        <v>348</v>
      </c>
      <c r="G35" s="24" t="s">
        <v>102</v>
      </c>
      <c r="H35" s="24" t="s">
        <v>103</v>
      </c>
      <c r="I35" s="25" t="s">
        <v>135</v>
      </c>
      <c r="J35" s="25"/>
      <c r="K35" s="23" t="str">
        <f>"170,0"</f>
        <v>170,0</v>
      </c>
      <c r="L35" s="24" t="str">
        <f>"91,1167"</f>
        <v>91,1167</v>
      </c>
      <c r="M35" s="23" t="s">
        <v>22</v>
      </c>
    </row>
    <row r="36" spans="1:13">
      <c r="A36" s="26" t="s">
        <v>797</v>
      </c>
      <c r="B36" s="26" t="s">
        <v>798</v>
      </c>
      <c r="C36" s="26" t="s">
        <v>799</v>
      </c>
      <c r="D36" s="26" t="s">
        <v>1425</v>
      </c>
      <c r="E36" s="26" t="s">
        <v>47</v>
      </c>
      <c r="F36" s="26" t="s">
        <v>48</v>
      </c>
      <c r="G36" s="27" t="s">
        <v>689</v>
      </c>
      <c r="H36" s="27" t="s">
        <v>662</v>
      </c>
      <c r="I36" s="27" t="s">
        <v>136</v>
      </c>
      <c r="J36" s="28"/>
      <c r="K36" s="26" t="str">
        <f>"200,0"</f>
        <v>200,0</v>
      </c>
      <c r="L36" s="27" t="str">
        <f>"117,2627"</f>
        <v>117,2627</v>
      </c>
      <c r="M36" s="26" t="s">
        <v>22</v>
      </c>
    </row>
    <row r="38" spans="1:13" ht="16">
      <c r="A38" s="59" t="s">
        <v>410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</row>
    <row r="39" spans="1:13">
      <c r="A39" s="20" t="s">
        <v>801</v>
      </c>
      <c r="B39" s="20" t="s">
        <v>802</v>
      </c>
      <c r="C39" s="20" t="s">
        <v>803</v>
      </c>
      <c r="D39" s="20" t="s">
        <v>1427</v>
      </c>
      <c r="E39" s="20" t="s">
        <v>14</v>
      </c>
      <c r="F39" s="20" t="s">
        <v>62</v>
      </c>
      <c r="G39" s="21" t="s">
        <v>804</v>
      </c>
      <c r="H39" s="21" t="s">
        <v>665</v>
      </c>
      <c r="I39" s="21" t="s">
        <v>270</v>
      </c>
      <c r="J39" s="22"/>
      <c r="K39" s="20" t="str">
        <f>"250,0"</f>
        <v>250,0</v>
      </c>
      <c r="L39" s="21" t="str">
        <f>"127,1400"</f>
        <v>127,1400</v>
      </c>
      <c r="M39" s="20" t="s">
        <v>22</v>
      </c>
    </row>
    <row r="40" spans="1:13">
      <c r="A40" s="26" t="s">
        <v>806</v>
      </c>
      <c r="B40" s="26" t="s">
        <v>807</v>
      </c>
      <c r="C40" s="26" t="s">
        <v>808</v>
      </c>
      <c r="D40" s="26" t="s">
        <v>1427</v>
      </c>
      <c r="E40" s="26" t="s">
        <v>253</v>
      </c>
      <c r="F40" s="26" t="s">
        <v>261</v>
      </c>
      <c r="G40" s="27" t="s">
        <v>662</v>
      </c>
      <c r="H40" s="27" t="s">
        <v>121</v>
      </c>
      <c r="I40" s="28" t="s">
        <v>175</v>
      </c>
      <c r="J40" s="28"/>
      <c r="K40" s="26" t="str">
        <f>"205,0"</f>
        <v>205,0</v>
      </c>
      <c r="L40" s="27" t="str">
        <f>"104,7878"</f>
        <v>104,7878</v>
      </c>
      <c r="M40" s="26" t="s">
        <v>22</v>
      </c>
    </row>
    <row r="42" spans="1:13" ht="16">
      <c r="A42" s="59" t="s">
        <v>809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</row>
    <row r="43" spans="1:13">
      <c r="A43" s="8" t="s">
        <v>811</v>
      </c>
      <c r="B43" s="8" t="s">
        <v>812</v>
      </c>
      <c r="C43" s="8" t="s">
        <v>813</v>
      </c>
      <c r="D43" s="8" t="s">
        <v>1427</v>
      </c>
      <c r="E43" s="8" t="s">
        <v>14</v>
      </c>
      <c r="F43" s="8" t="s">
        <v>62</v>
      </c>
      <c r="G43" s="9" t="s">
        <v>416</v>
      </c>
      <c r="H43" s="10" t="s">
        <v>776</v>
      </c>
      <c r="I43" s="10" t="s">
        <v>190</v>
      </c>
      <c r="J43" s="10"/>
      <c r="K43" s="8" t="str">
        <f>"210,0"</f>
        <v>210,0</v>
      </c>
      <c r="L43" s="9" t="str">
        <f>"98,9835"</f>
        <v>98,9835</v>
      </c>
      <c r="M43" s="8" t="s">
        <v>22</v>
      </c>
    </row>
    <row r="45" spans="1:13" ht="16">
      <c r="E45" s="12" t="s">
        <v>23</v>
      </c>
      <c r="F45" s="12" t="s">
        <v>1130</v>
      </c>
    </row>
    <row r="46" spans="1:13" ht="16">
      <c r="E46" s="12" t="s">
        <v>26</v>
      </c>
      <c r="F46" s="12" t="s">
        <v>1131</v>
      </c>
    </row>
    <row r="47" spans="1:13" ht="16">
      <c r="E47" s="12" t="s">
        <v>24</v>
      </c>
      <c r="F47" s="12" t="s">
        <v>1130</v>
      </c>
    </row>
    <row r="48" spans="1:13" ht="16">
      <c r="E48" s="12" t="s">
        <v>25</v>
      </c>
      <c r="F48" s="12" t="s">
        <v>1416</v>
      </c>
    </row>
    <row r="49" spans="1:6" ht="16">
      <c r="E49" s="12" t="s">
        <v>25</v>
      </c>
      <c r="F49" s="12" t="s">
        <v>1372</v>
      </c>
    </row>
    <row r="50" spans="1:6" ht="16">
      <c r="E50" s="12"/>
      <c r="F50" s="12"/>
    </row>
    <row r="51" spans="1:6" ht="16">
      <c r="E51" s="12"/>
    </row>
    <row r="53" spans="1:6" ht="18">
      <c r="A53" s="13" t="s">
        <v>27</v>
      </c>
      <c r="B53" s="13"/>
    </row>
    <row r="54" spans="1:6" ht="16">
      <c r="A54" s="14" t="s">
        <v>28</v>
      </c>
      <c r="B54" s="14"/>
    </row>
    <row r="55" spans="1:6" ht="14">
      <c r="A55" s="16"/>
      <c r="B55" s="17" t="s">
        <v>199</v>
      </c>
    </row>
    <row r="56" spans="1:6" ht="14">
      <c r="A56" s="18" t="s">
        <v>30</v>
      </c>
      <c r="B56" s="18" t="s">
        <v>31</v>
      </c>
      <c r="C56" s="18" t="s">
        <v>32</v>
      </c>
      <c r="D56" s="18" t="s">
        <v>33</v>
      </c>
      <c r="E56" s="18" t="s">
        <v>34</v>
      </c>
    </row>
    <row r="57" spans="1:6">
      <c r="A57" s="15" t="s">
        <v>726</v>
      </c>
      <c r="B57" s="4" t="s">
        <v>209</v>
      </c>
      <c r="C57" s="4" t="s">
        <v>201</v>
      </c>
      <c r="D57" s="4" t="s">
        <v>73</v>
      </c>
      <c r="E57" s="19" t="s">
        <v>814</v>
      </c>
    </row>
    <row r="59" spans="1:6" ht="14">
      <c r="A59" s="16"/>
      <c r="B59" s="17" t="s">
        <v>29</v>
      </c>
    </row>
    <row r="60" spans="1:6" ht="14">
      <c r="A60" s="18" t="s">
        <v>30</v>
      </c>
      <c r="B60" s="18" t="s">
        <v>31</v>
      </c>
      <c r="C60" s="18" t="s">
        <v>32</v>
      </c>
      <c r="D60" s="18" t="s">
        <v>33</v>
      </c>
      <c r="E60" s="18" t="s">
        <v>34</v>
      </c>
    </row>
    <row r="61" spans="1:6">
      <c r="A61" s="15" t="s">
        <v>800</v>
      </c>
      <c r="B61" s="4" t="s">
        <v>29</v>
      </c>
      <c r="C61" s="4" t="s">
        <v>427</v>
      </c>
      <c r="D61" s="4" t="s">
        <v>296</v>
      </c>
      <c r="E61" s="19" t="s">
        <v>815</v>
      </c>
    </row>
    <row r="62" spans="1:6">
      <c r="A62" s="15" t="s">
        <v>772</v>
      </c>
      <c r="B62" s="4" t="s">
        <v>29</v>
      </c>
      <c r="C62" s="4" t="s">
        <v>277</v>
      </c>
      <c r="D62" s="4" t="s">
        <v>776</v>
      </c>
      <c r="E62" s="19" t="s">
        <v>816</v>
      </c>
    </row>
    <row r="63" spans="1:6">
      <c r="A63" s="15" t="s">
        <v>730</v>
      </c>
      <c r="B63" s="4" t="s">
        <v>29</v>
      </c>
      <c r="C63" s="4" t="s">
        <v>35</v>
      </c>
      <c r="D63" s="4" t="s">
        <v>135</v>
      </c>
      <c r="E63" s="19" t="s">
        <v>817</v>
      </c>
    </row>
    <row r="64" spans="1:6">
      <c r="A64" s="15" t="s">
        <v>777</v>
      </c>
      <c r="B64" s="4" t="s">
        <v>29</v>
      </c>
      <c r="C64" s="4" t="s">
        <v>277</v>
      </c>
      <c r="D64" s="4" t="s">
        <v>122</v>
      </c>
      <c r="E64" s="19" t="s">
        <v>818</v>
      </c>
    </row>
    <row r="65" spans="1:5">
      <c r="A65" s="15" t="s">
        <v>781</v>
      </c>
      <c r="B65" s="4" t="s">
        <v>29</v>
      </c>
      <c r="C65" s="4" t="s">
        <v>277</v>
      </c>
      <c r="D65" s="4" t="s">
        <v>122</v>
      </c>
      <c r="E65" s="19" t="s">
        <v>819</v>
      </c>
    </row>
    <row r="66" spans="1:5">
      <c r="A66" s="15" t="s">
        <v>738</v>
      </c>
      <c r="B66" s="4" t="s">
        <v>29</v>
      </c>
      <c r="C66" s="4" t="s">
        <v>219</v>
      </c>
      <c r="D66" s="4" t="s">
        <v>135</v>
      </c>
      <c r="E66" s="19" t="s">
        <v>820</v>
      </c>
    </row>
    <row r="67" spans="1:5">
      <c r="A67" s="15" t="s">
        <v>805</v>
      </c>
      <c r="B67" s="4" t="s">
        <v>29</v>
      </c>
      <c r="C67" s="4" t="s">
        <v>427</v>
      </c>
      <c r="D67" s="4" t="s">
        <v>121</v>
      </c>
      <c r="E67" s="19" t="s">
        <v>821</v>
      </c>
    </row>
    <row r="68" spans="1:5">
      <c r="A68" s="15" t="s">
        <v>741</v>
      </c>
      <c r="B68" s="4" t="s">
        <v>29</v>
      </c>
      <c r="C68" s="4" t="s">
        <v>219</v>
      </c>
      <c r="D68" s="4" t="s">
        <v>103</v>
      </c>
      <c r="E68" s="19" t="s">
        <v>822</v>
      </c>
    </row>
    <row r="69" spans="1:5">
      <c r="A69" s="15" t="s">
        <v>760</v>
      </c>
      <c r="B69" s="4" t="s">
        <v>29</v>
      </c>
      <c r="C69" s="4" t="s">
        <v>222</v>
      </c>
      <c r="D69" s="4" t="s">
        <v>128</v>
      </c>
      <c r="E69" s="19" t="s">
        <v>823</v>
      </c>
    </row>
    <row r="70" spans="1:5">
      <c r="A70" s="15" t="s">
        <v>764</v>
      </c>
      <c r="B70" s="4" t="s">
        <v>29</v>
      </c>
      <c r="C70" s="4" t="s">
        <v>222</v>
      </c>
      <c r="D70" s="4" t="s">
        <v>104</v>
      </c>
      <c r="E70" s="19" t="s">
        <v>824</v>
      </c>
    </row>
    <row r="71" spans="1:5">
      <c r="A71" s="15" t="s">
        <v>810</v>
      </c>
      <c r="B71" s="4" t="s">
        <v>29</v>
      </c>
      <c r="C71" s="4" t="s">
        <v>825</v>
      </c>
      <c r="D71" s="4" t="s">
        <v>122</v>
      </c>
      <c r="E71" s="19" t="s">
        <v>826</v>
      </c>
    </row>
    <row r="72" spans="1:5">
      <c r="A72" s="15" t="s">
        <v>785</v>
      </c>
      <c r="B72" s="4" t="s">
        <v>29</v>
      </c>
      <c r="C72" s="4" t="s">
        <v>277</v>
      </c>
      <c r="D72" s="4" t="s">
        <v>104</v>
      </c>
      <c r="E72" s="19" t="s">
        <v>827</v>
      </c>
    </row>
    <row r="73" spans="1:5">
      <c r="A73" s="15" t="s">
        <v>768</v>
      </c>
      <c r="B73" s="4" t="s">
        <v>29</v>
      </c>
      <c r="C73" s="4" t="s">
        <v>222</v>
      </c>
      <c r="D73" s="4" t="s">
        <v>135</v>
      </c>
      <c r="E73" s="19" t="s">
        <v>828</v>
      </c>
    </row>
    <row r="74" spans="1:5">
      <c r="A74" s="15" t="s">
        <v>745</v>
      </c>
      <c r="B74" s="4" t="s">
        <v>29</v>
      </c>
      <c r="C74" s="4" t="s">
        <v>219</v>
      </c>
      <c r="D74" s="4" t="s">
        <v>102</v>
      </c>
      <c r="E74" s="19" t="s">
        <v>829</v>
      </c>
    </row>
    <row r="76" spans="1:5" ht="14">
      <c r="A76" s="16"/>
      <c r="B76" s="17" t="s">
        <v>280</v>
      </c>
    </row>
    <row r="77" spans="1:5" ht="14">
      <c r="A77" s="18" t="s">
        <v>30</v>
      </c>
      <c r="B77" s="18" t="s">
        <v>31</v>
      </c>
      <c r="C77" s="18" t="s">
        <v>32</v>
      </c>
      <c r="D77" s="18" t="s">
        <v>33</v>
      </c>
      <c r="E77" s="18" t="s">
        <v>34</v>
      </c>
    </row>
    <row r="78" spans="1:5">
      <c r="A78" s="15" t="s">
        <v>601</v>
      </c>
      <c r="B78" s="4" t="s">
        <v>672</v>
      </c>
      <c r="C78" s="4" t="s">
        <v>219</v>
      </c>
      <c r="D78" s="4" t="s">
        <v>486</v>
      </c>
      <c r="E78" s="19" t="s">
        <v>703</v>
      </c>
    </row>
    <row r="79" spans="1:5">
      <c r="A79" s="15" t="s">
        <v>748</v>
      </c>
      <c r="B79" s="4" t="s">
        <v>468</v>
      </c>
      <c r="C79" s="4" t="s">
        <v>219</v>
      </c>
      <c r="D79" s="4" t="s">
        <v>99</v>
      </c>
      <c r="E79" s="19" t="s">
        <v>830</v>
      </c>
    </row>
    <row r="80" spans="1:5">
      <c r="A80" s="15" t="s">
        <v>756</v>
      </c>
      <c r="B80" s="4" t="s">
        <v>468</v>
      </c>
      <c r="C80" s="4" t="s">
        <v>232</v>
      </c>
      <c r="D80" s="4" t="s">
        <v>142</v>
      </c>
      <c r="E80" s="19" t="s">
        <v>831</v>
      </c>
    </row>
    <row r="81" spans="1:5">
      <c r="A81" s="15" t="s">
        <v>458</v>
      </c>
      <c r="B81" s="4" t="s">
        <v>281</v>
      </c>
      <c r="C81" s="4" t="s">
        <v>222</v>
      </c>
      <c r="D81" s="4" t="s">
        <v>135</v>
      </c>
      <c r="E81" s="19" t="s">
        <v>832</v>
      </c>
    </row>
    <row r="82" spans="1:5">
      <c r="A82" s="15" t="s">
        <v>796</v>
      </c>
      <c r="B82" s="4" t="s">
        <v>440</v>
      </c>
      <c r="C82" s="4" t="s">
        <v>277</v>
      </c>
      <c r="D82" s="4" t="s">
        <v>136</v>
      </c>
      <c r="E82" s="19" t="s">
        <v>833</v>
      </c>
    </row>
    <row r="83" spans="1:5">
      <c r="A83" s="15" t="s">
        <v>752</v>
      </c>
      <c r="B83" s="4" t="s">
        <v>314</v>
      </c>
      <c r="C83" s="4" t="s">
        <v>232</v>
      </c>
      <c r="D83" s="4" t="s">
        <v>104</v>
      </c>
      <c r="E83" s="19" t="s">
        <v>834</v>
      </c>
    </row>
    <row r="84" spans="1:5">
      <c r="A84" s="15" t="s">
        <v>785</v>
      </c>
      <c r="B84" s="4" t="s">
        <v>314</v>
      </c>
      <c r="C84" s="4" t="s">
        <v>277</v>
      </c>
      <c r="D84" s="4" t="s">
        <v>104</v>
      </c>
      <c r="E84" s="19" t="s">
        <v>835</v>
      </c>
    </row>
    <row r="85" spans="1:5">
      <c r="A85" s="15" t="s">
        <v>734</v>
      </c>
      <c r="B85" s="4" t="s">
        <v>440</v>
      </c>
      <c r="C85" s="4" t="s">
        <v>35</v>
      </c>
      <c r="D85" s="4" t="s">
        <v>158</v>
      </c>
      <c r="E85" s="19" t="s">
        <v>836</v>
      </c>
    </row>
    <row r="86" spans="1:5">
      <c r="A86" s="15" t="s">
        <v>792</v>
      </c>
      <c r="B86" s="4" t="s">
        <v>314</v>
      </c>
      <c r="C86" s="4" t="s">
        <v>277</v>
      </c>
      <c r="D86" s="4" t="s">
        <v>103</v>
      </c>
      <c r="E86" s="19" t="s">
        <v>837</v>
      </c>
    </row>
    <row r="91" spans="1:5" ht="18">
      <c r="A91" s="13" t="s">
        <v>36</v>
      </c>
      <c r="B91" s="13"/>
    </row>
    <row r="92" spans="1:5" ht="14">
      <c r="A92" s="18" t="s">
        <v>37</v>
      </c>
      <c r="B92" s="18" t="s">
        <v>38</v>
      </c>
      <c r="C92" s="18" t="s">
        <v>39</v>
      </c>
    </row>
    <row r="93" spans="1:5">
      <c r="A93" s="4" t="s">
        <v>253</v>
      </c>
      <c r="B93" s="4" t="s">
        <v>838</v>
      </c>
      <c r="C93" s="4" t="s">
        <v>839</v>
      </c>
    </row>
    <row r="94" spans="1:5">
      <c r="A94" s="4" t="s">
        <v>47</v>
      </c>
      <c r="B94" s="4" t="s">
        <v>840</v>
      </c>
      <c r="C94" s="4" t="s">
        <v>841</v>
      </c>
    </row>
    <row r="95" spans="1:5">
      <c r="A95" s="4" t="s">
        <v>14</v>
      </c>
      <c r="B95" s="4" t="s">
        <v>842</v>
      </c>
      <c r="C95" s="4" t="s">
        <v>843</v>
      </c>
    </row>
    <row r="96" spans="1:5">
      <c r="A96" s="4" t="s">
        <v>347</v>
      </c>
      <c r="B96" s="4" t="s">
        <v>844</v>
      </c>
      <c r="C96" s="4" t="s">
        <v>845</v>
      </c>
    </row>
    <row r="97" spans="1:3">
      <c r="A97" s="4" t="s">
        <v>188</v>
      </c>
      <c r="B97" s="4" t="s">
        <v>40</v>
      </c>
      <c r="C97" s="4" t="s">
        <v>846</v>
      </c>
    </row>
    <row r="98" spans="1:3">
      <c r="A98" s="4" t="s">
        <v>166</v>
      </c>
      <c r="B98" s="4" t="s">
        <v>847</v>
      </c>
      <c r="C98" s="4" t="s">
        <v>848</v>
      </c>
    </row>
  </sheetData>
  <mergeCells count="19">
    <mergeCell ref="A12:L12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  <mergeCell ref="A19:L19"/>
    <mergeCell ref="A23:L23"/>
    <mergeCell ref="A29:L29"/>
    <mergeCell ref="A38:L38"/>
    <mergeCell ref="A42:L4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167"/>
  <sheetViews>
    <sheetView workbookViewId="0">
      <selection activeCell="D77" sqref="D77"/>
    </sheetView>
  </sheetViews>
  <sheetFormatPr baseColWidth="10" defaultColWidth="9.1640625" defaultRowHeight="13"/>
  <cols>
    <col min="1" max="1" width="31.83203125" style="4" bestFit="1" customWidth="1"/>
    <col min="2" max="2" width="40.5" style="4" bestFit="1" customWidth="1"/>
    <col min="3" max="3" width="15.5" style="4" customWidth="1"/>
    <col min="4" max="4" width="9.33203125" style="4" bestFit="1" customWidth="1"/>
    <col min="5" max="5" width="22.6640625" style="4" bestFit="1" customWidth="1"/>
    <col min="6" max="6" width="38.33203125" style="4" bestFit="1" customWidth="1"/>
    <col min="7" max="9" width="6.5" style="3" bestFit="1" customWidth="1"/>
    <col min="10" max="10" width="4.83203125" style="3" bestFit="1" customWidth="1"/>
    <col min="11" max="11" width="7.83203125" style="4" bestFit="1" customWidth="1"/>
    <col min="12" max="12" width="8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73" t="s">
        <v>497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3" s="2" customFormat="1" ht="62" customHeight="1" thickBot="1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66" t="s">
        <v>0</v>
      </c>
      <c r="B3" s="68" t="s">
        <v>1423</v>
      </c>
      <c r="C3" s="68" t="s">
        <v>8</v>
      </c>
      <c r="D3" s="70" t="s">
        <v>1424</v>
      </c>
      <c r="E3" s="70" t="s">
        <v>5</v>
      </c>
      <c r="F3" s="70" t="s">
        <v>9</v>
      </c>
      <c r="G3" s="70" t="s">
        <v>11</v>
      </c>
      <c r="H3" s="70"/>
      <c r="I3" s="70"/>
      <c r="J3" s="70"/>
      <c r="K3" s="70" t="s">
        <v>449</v>
      </c>
      <c r="L3" s="70" t="s">
        <v>4</v>
      </c>
      <c r="M3" s="71" t="s">
        <v>3</v>
      </c>
    </row>
    <row r="4" spans="1:13" s="1" customFormat="1" ht="21" customHeight="1" thickBot="1">
      <c r="A4" s="67"/>
      <c r="B4" s="69"/>
      <c r="C4" s="69"/>
      <c r="D4" s="69"/>
      <c r="E4" s="69"/>
      <c r="F4" s="69"/>
      <c r="G4" s="7">
        <v>1</v>
      </c>
      <c r="H4" s="7">
        <v>2</v>
      </c>
      <c r="I4" s="7">
        <v>3</v>
      </c>
      <c r="J4" s="7" t="s">
        <v>6</v>
      </c>
      <c r="K4" s="69"/>
      <c r="L4" s="69"/>
      <c r="M4" s="72"/>
    </row>
    <row r="5" spans="1:13" ht="16">
      <c r="A5" s="58" t="s">
        <v>57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3">
      <c r="A6" s="20" t="s">
        <v>499</v>
      </c>
      <c r="B6" s="20" t="s">
        <v>500</v>
      </c>
      <c r="C6" s="20" t="s">
        <v>501</v>
      </c>
      <c r="D6" s="20" t="s">
        <v>1427</v>
      </c>
      <c r="E6" s="20" t="s">
        <v>502</v>
      </c>
      <c r="F6" s="20" t="s">
        <v>62</v>
      </c>
      <c r="G6" s="21" t="s">
        <v>503</v>
      </c>
      <c r="H6" s="21" t="s">
        <v>504</v>
      </c>
      <c r="I6" s="21" t="s">
        <v>67</v>
      </c>
      <c r="J6" s="22" t="s">
        <v>50</v>
      </c>
      <c r="K6" s="20" t="str">
        <f>"75,0"</f>
        <v>75,0</v>
      </c>
      <c r="L6" s="21" t="str">
        <f>"73,2750"</f>
        <v>73,2750</v>
      </c>
      <c r="M6" s="20" t="s">
        <v>22</v>
      </c>
    </row>
    <row r="7" spans="1:13">
      <c r="A7" s="26" t="s">
        <v>506</v>
      </c>
      <c r="B7" s="26" t="s">
        <v>507</v>
      </c>
      <c r="C7" s="26" t="s">
        <v>61</v>
      </c>
      <c r="D7" s="26" t="s">
        <v>1427</v>
      </c>
      <c r="E7" s="26" t="s">
        <v>47</v>
      </c>
      <c r="F7" s="26" t="s">
        <v>48</v>
      </c>
      <c r="G7" s="27" t="s">
        <v>75</v>
      </c>
      <c r="H7" s="27" t="s">
        <v>508</v>
      </c>
      <c r="I7" s="28" t="s">
        <v>509</v>
      </c>
      <c r="J7" s="28"/>
      <c r="K7" s="26" t="str">
        <f>"42,5"</f>
        <v>42,5</v>
      </c>
      <c r="L7" s="27" t="str">
        <f>"41,8540"</f>
        <v>41,8540</v>
      </c>
      <c r="M7" s="26" t="s">
        <v>22</v>
      </c>
    </row>
    <row r="9" spans="1:13" ht="16">
      <c r="A9" s="59" t="s">
        <v>77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</row>
    <row r="10" spans="1:13">
      <c r="A10" s="20" t="s">
        <v>511</v>
      </c>
      <c r="B10" s="20" t="s">
        <v>512</v>
      </c>
      <c r="C10" s="20" t="s">
        <v>513</v>
      </c>
      <c r="D10" s="20" t="s">
        <v>1434</v>
      </c>
      <c r="E10" s="20" t="s">
        <v>72</v>
      </c>
      <c r="F10" s="20" t="s">
        <v>62</v>
      </c>
      <c r="G10" s="21" t="s">
        <v>75</v>
      </c>
      <c r="H10" s="21" t="s">
        <v>508</v>
      </c>
      <c r="I10" s="21" t="s">
        <v>509</v>
      </c>
      <c r="J10" s="22"/>
      <c r="K10" s="20" t="str">
        <f>"45,0"</f>
        <v>45,0</v>
      </c>
      <c r="L10" s="21" t="str">
        <f>"44,3426"</f>
        <v>44,3426</v>
      </c>
      <c r="M10" s="20" t="s">
        <v>22</v>
      </c>
    </row>
    <row r="11" spans="1:13">
      <c r="A11" s="26" t="s">
        <v>515</v>
      </c>
      <c r="B11" s="26" t="s">
        <v>516</v>
      </c>
      <c r="C11" s="26" t="s">
        <v>517</v>
      </c>
      <c r="D11" s="26" t="s">
        <v>1427</v>
      </c>
      <c r="E11" s="26" t="s">
        <v>47</v>
      </c>
      <c r="F11" s="26" t="s">
        <v>48</v>
      </c>
      <c r="G11" s="27" t="s">
        <v>509</v>
      </c>
      <c r="H11" s="27" t="s">
        <v>52</v>
      </c>
      <c r="I11" s="28" t="s">
        <v>73</v>
      </c>
      <c r="J11" s="28"/>
      <c r="K11" s="26" t="str">
        <f>"50,0"</f>
        <v>50,0</v>
      </c>
      <c r="L11" s="27" t="str">
        <f>"46,2800"</f>
        <v>46,2800</v>
      </c>
      <c r="M11" s="26" t="s">
        <v>22</v>
      </c>
    </row>
    <row r="13" spans="1:13" ht="16">
      <c r="A13" s="59" t="s">
        <v>325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1:13">
      <c r="A14" s="8" t="s">
        <v>519</v>
      </c>
      <c r="B14" s="8" t="s">
        <v>520</v>
      </c>
      <c r="C14" s="8" t="s">
        <v>521</v>
      </c>
      <c r="D14" s="8" t="s">
        <v>1437</v>
      </c>
      <c r="E14" s="8" t="s">
        <v>47</v>
      </c>
      <c r="F14" s="8" t="s">
        <v>48</v>
      </c>
      <c r="G14" s="9" t="s">
        <v>63</v>
      </c>
      <c r="H14" s="9" t="s">
        <v>84</v>
      </c>
      <c r="I14" s="10" t="s">
        <v>330</v>
      </c>
      <c r="J14" s="10"/>
      <c r="K14" s="8" t="str">
        <f>"65,0"</f>
        <v>65,0</v>
      </c>
      <c r="L14" s="9" t="str">
        <f>"105,7262"</f>
        <v>105,7262</v>
      </c>
      <c r="M14" s="8" t="s">
        <v>22</v>
      </c>
    </row>
    <row r="16" spans="1:13" ht="16">
      <c r="A16" s="59" t="s">
        <v>86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</row>
    <row r="17" spans="1:13">
      <c r="A17" s="8" t="s">
        <v>523</v>
      </c>
      <c r="B17" s="8" t="s">
        <v>524</v>
      </c>
      <c r="C17" s="8" t="s">
        <v>525</v>
      </c>
      <c r="D17" s="8" t="s">
        <v>1430</v>
      </c>
      <c r="E17" s="8" t="s">
        <v>118</v>
      </c>
      <c r="F17" s="8" t="s">
        <v>119</v>
      </c>
      <c r="G17" s="9" t="s">
        <v>75</v>
      </c>
      <c r="H17" s="9" t="s">
        <v>526</v>
      </c>
      <c r="I17" s="9" t="s">
        <v>52</v>
      </c>
      <c r="J17" s="10"/>
      <c r="K17" s="8" t="str">
        <f>"50,0"</f>
        <v>50,0</v>
      </c>
      <c r="L17" s="9" t="str">
        <f>"39,3233"</f>
        <v>39,3233</v>
      </c>
      <c r="M17" s="8" t="s">
        <v>22</v>
      </c>
    </row>
    <row r="19" spans="1:13" ht="16">
      <c r="A19" s="59" t="s">
        <v>57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</row>
    <row r="20" spans="1:13">
      <c r="A20" s="8" t="s">
        <v>528</v>
      </c>
      <c r="B20" s="8" t="s">
        <v>529</v>
      </c>
      <c r="C20" s="8" t="s">
        <v>530</v>
      </c>
      <c r="D20" s="8" t="s">
        <v>1434</v>
      </c>
      <c r="E20" s="8" t="s">
        <v>14</v>
      </c>
      <c r="F20" s="8" t="s">
        <v>62</v>
      </c>
      <c r="G20" s="9" t="s">
        <v>531</v>
      </c>
      <c r="H20" s="9" t="s">
        <v>532</v>
      </c>
      <c r="I20" s="9" t="s">
        <v>533</v>
      </c>
      <c r="J20" s="10"/>
      <c r="K20" s="8" t="str">
        <f>"87,5"</f>
        <v>87,5</v>
      </c>
      <c r="L20" s="9" t="str">
        <f>"94,0796"</f>
        <v>94,0796</v>
      </c>
      <c r="M20" s="8" t="s">
        <v>22</v>
      </c>
    </row>
    <row r="22" spans="1:13" ht="16">
      <c r="A22" s="59" t="s">
        <v>325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</row>
    <row r="23" spans="1:13">
      <c r="A23" s="20" t="s">
        <v>535</v>
      </c>
      <c r="B23" s="20" t="s">
        <v>536</v>
      </c>
      <c r="C23" s="20" t="s">
        <v>477</v>
      </c>
      <c r="D23" s="20" t="s">
        <v>1434</v>
      </c>
      <c r="E23" s="20" t="s">
        <v>82</v>
      </c>
      <c r="F23" s="20" t="s">
        <v>83</v>
      </c>
      <c r="G23" s="21" t="s">
        <v>50</v>
      </c>
      <c r="H23" s="21" t="s">
        <v>76</v>
      </c>
      <c r="I23" s="21" t="s">
        <v>56</v>
      </c>
      <c r="J23" s="22"/>
      <c r="K23" s="20" t="str">
        <f>"90,0"</f>
        <v>90,0</v>
      </c>
      <c r="L23" s="21" t="str">
        <f>"84,8687"</f>
        <v>84,8687</v>
      </c>
      <c r="M23" s="20" t="s">
        <v>22</v>
      </c>
    </row>
    <row r="24" spans="1:13">
      <c r="A24" s="23" t="s">
        <v>537</v>
      </c>
      <c r="B24" s="23" t="s">
        <v>328</v>
      </c>
      <c r="C24" s="23" t="s">
        <v>329</v>
      </c>
      <c r="D24" s="23" t="s">
        <v>1434</v>
      </c>
      <c r="E24" s="23" t="s">
        <v>118</v>
      </c>
      <c r="F24" s="23" t="s">
        <v>119</v>
      </c>
      <c r="G24" s="24" t="s">
        <v>49</v>
      </c>
      <c r="H24" s="24" t="s">
        <v>50</v>
      </c>
      <c r="I24" s="24" t="s">
        <v>54</v>
      </c>
      <c r="J24" s="25"/>
      <c r="K24" s="23" t="str">
        <f>"80,0"</f>
        <v>80,0</v>
      </c>
      <c r="L24" s="24" t="str">
        <f>"73,6037"</f>
        <v>73,6037</v>
      </c>
      <c r="M24" s="23" t="s">
        <v>22</v>
      </c>
    </row>
    <row r="25" spans="1:13">
      <c r="A25" s="26" t="s">
        <v>538</v>
      </c>
      <c r="B25" s="26" t="s">
        <v>539</v>
      </c>
      <c r="C25" s="26" t="s">
        <v>329</v>
      </c>
      <c r="D25" s="26" t="s">
        <v>1426</v>
      </c>
      <c r="E25" s="26" t="s">
        <v>14</v>
      </c>
      <c r="F25" s="26" t="s">
        <v>48</v>
      </c>
      <c r="G25" s="28" t="s">
        <v>92</v>
      </c>
      <c r="H25" s="28" t="s">
        <v>92</v>
      </c>
      <c r="I25" s="28" t="s">
        <v>92</v>
      </c>
      <c r="J25" s="28"/>
      <c r="K25" s="26" t="str">
        <f>"0.00"</f>
        <v>0.00</v>
      </c>
      <c r="L25" s="27" t="str">
        <f>"0,0000"</f>
        <v>0,0000</v>
      </c>
      <c r="M25" s="26" t="s">
        <v>22</v>
      </c>
    </row>
    <row r="27" spans="1:13" ht="16">
      <c r="A27" s="59" t="s">
        <v>318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</row>
    <row r="28" spans="1:13">
      <c r="A28" s="20" t="s">
        <v>541</v>
      </c>
      <c r="B28" s="20" t="s">
        <v>542</v>
      </c>
      <c r="C28" s="20" t="s">
        <v>543</v>
      </c>
      <c r="D28" s="20" t="s">
        <v>1426</v>
      </c>
      <c r="E28" s="20" t="s">
        <v>253</v>
      </c>
      <c r="F28" s="20" t="s">
        <v>544</v>
      </c>
      <c r="G28" s="21" t="s">
        <v>158</v>
      </c>
      <c r="H28" s="21" t="s">
        <v>102</v>
      </c>
      <c r="I28" s="22" t="s">
        <v>545</v>
      </c>
      <c r="J28" s="22"/>
      <c r="K28" s="20" t="str">
        <f>"160,0"</f>
        <v>160,0</v>
      </c>
      <c r="L28" s="21" t="str">
        <f>"116,9120"</f>
        <v>116,9120</v>
      </c>
      <c r="M28" s="20" t="s">
        <v>22</v>
      </c>
    </row>
    <row r="29" spans="1:13">
      <c r="A29" s="23" t="s">
        <v>547</v>
      </c>
      <c r="B29" s="23" t="s">
        <v>548</v>
      </c>
      <c r="C29" s="23" t="s">
        <v>549</v>
      </c>
      <c r="D29" s="23" t="s">
        <v>1426</v>
      </c>
      <c r="E29" s="23" t="s">
        <v>14</v>
      </c>
      <c r="F29" s="23" t="s">
        <v>550</v>
      </c>
      <c r="G29" s="24" t="s">
        <v>551</v>
      </c>
      <c r="H29" s="24" t="s">
        <v>157</v>
      </c>
      <c r="I29" s="25" t="s">
        <v>113</v>
      </c>
      <c r="J29" s="25"/>
      <c r="K29" s="23" t="str">
        <f>"140,0"</f>
        <v>140,0</v>
      </c>
      <c r="L29" s="24" t="str">
        <f>"104,6604"</f>
        <v>104,6604</v>
      </c>
      <c r="M29" s="23" t="s">
        <v>22</v>
      </c>
    </row>
    <row r="30" spans="1:13">
      <c r="A30" s="23" t="s">
        <v>552</v>
      </c>
      <c r="B30" s="23" t="s">
        <v>340</v>
      </c>
      <c r="C30" s="23" t="s">
        <v>341</v>
      </c>
      <c r="D30" s="23" t="s">
        <v>1426</v>
      </c>
      <c r="E30" s="23" t="s">
        <v>118</v>
      </c>
      <c r="F30" s="23" t="s">
        <v>119</v>
      </c>
      <c r="G30" s="25" t="s">
        <v>101</v>
      </c>
      <c r="H30" s="24" t="s">
        <v>101</v>
      </c>
      <c r="I30" s="24" t="s">
        <v>349</v>
      </c>
      <c r="J30" s="25"/>
      <c r="K30" s="23" t="str">
        <f>"102,5"</f>
        <v>102,5</v>
      </c>
      <c r="L30" s="24" t="str">
        <f>"76,6561"</f>
        <v>76,6561</v>
      </c>
      <c r="M30" s="23" t="s">
        <v>22</v>
      </c>
    </row>
    <row r="31" spans="1:13">
      <c r="A31" s="26" t="s">
        <v>554</v>
      </c>
      <c r="B31" s="26" t="s">
        <v>555</v>
      </c>
      <c r="C31" s="26" t="s">
        <v>556</v>
      </c>
      <c r="D31" s="26" t="s">
        <v>1427</v>
      </c>
      <c r="E31" s="26" t="s">
        <v>253</v>
      </c>
      <c r="F31" s="26" t="s">
        <v>557</v>
      </c>
      <c r="G31" s="27" t="s">
        <v>99</v>
      </c>
      <c r="H31" s="27" t="s">
        <v>113</v>
      </c>
      <c r="I31" s="28" t="s">
        <v>400</v>
      </c>
      <c r="J31" s="28"/>
      <c r="K31" s="26" t="str">
        <f>"145,0"</f>
        <v>145,0</v>
      </c>
      <c r="L31" s="27" t="str">
        <f>"106,7490"</f>
        <v>106,7490</v>
      </c>
      <c r="M31" s="26" t="s">
        <v>22</v>
      </c>
    </row>
    <row r="33" spans="1:13" ht="16">
      <c r="A33" s="59" t="s">
        <v>86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</row>
    <row r="34" spans="1:13">
      <c r="A34" s="20" t="s">
        <v>559</v>
      </c>
      <c r="B34" s="20" t="s">
        <v>560</v>
      </c>
      <c r="C34" s="20" t="s">
        <v>354</v>
      </c>
      <c r="D34" s="20" t="s">
        <v>1440</v>
      </c>
      <c r="E34" s="20" t="s">
        <v>82</v>
      </c>
      <c r="F34" s="20" t="s">
        <v>83</v>
      </c>
      <c r="G34" s="21" t="s">
        <v>101</v>
      </c>
      <c r="H34" s="21" t="s">
        <v>85</v>
      </c>
      <c r="I34" s="21" t="s">
        <v>91</v>
      </c>
      <c r="J34" s="22"/>
      <c r="K34" s="20" t="str">
        <f>"110,0"</f>
        <v>110,0</v>
      </c>
      <c r="L34" s="21" t="str">
        <f>"89,9068"</f>
        <v>89,9068</v>
      </c>
      <c r="M34" s="20" t="s">
        <v>22</v>
      </c>
    </row>
    <row r="35" spans="1:13">
      <c r="A35" s="23" t="s">
        <v>562</v>
      </c>
      <c r="B35" s="23" t="s">
        <v>563</v>
      </c>
      <c r="C35" s="23" t="s">
        <v>564</v>
      </c>
      <c r="D35" s="23" t="s">
        <v>1426</v>
      </c>
      <c r="E35" s="23" t="s">
        <v>253</v>
      </c>
      <c r="F35" s="23" t="s">
        <v>565</v>
      </c>
      <c r="G35" s="24" t="s">
        <v>98</v>
      </c>
      <c r="H35" s="25" t="s">
        <v>120</v>
      </c>
      <c r="I35" s="25" t="s">
        <v>120</v>
      </c>
      <c r="J35" s="25"/>
      <c r="K35" s="23" t="str">
        <f>"130,0"</f>
        <v>130,0</v>
      </c>
      <c r="L35" s="24" t="str">
        <f>"89,3326"</f>
        <v>89,3326</v>
      </c>
      <c r="M35" s="23" t="s">
        <v>22</v>
      </c>
    </row>
    <row r="36" spans="1:13">
      <c r="A36" s="23" t="s">
        <v>566</v>
      </c>
      <c r="B36" s="23" t="s">
        <v>353</v>
      </c>
      <c r="C36" s="23" t="s">
        <v>354</v>
      </c>
      <c r="D36" s="23" t="s">
        <v>1426</v>
      </c>
      <c r="E36" s="23" t="s">
        <v>118</v>
      </c>
      <c r="F36" s="23" t="s">
        <v>119</v>
      </c>
      <c r="G36" s="24" t="s">
        <v>342</v>
      </c>
      <c r="H36" s="24" t="s">
        <v>101</v>
      </c>
      <c r="I36" s="24" t="s">
        <v>349</v>
      </c>
      <c r="J36" s="25"/>
      <c r="K36" s="23" t="str">
        <f>"102,5"</f>
        <v>102,5</v>
      </c>
      <c r="L36" s="24" t="str">
        <f>"69,4735"</f>
        <v>69,4735</v>
      </c>
      <c r="M36" s="23" t="s">
        <v>22</v>
      </c>
    </row>
    <row r="37" spans="1:13">
      <c r="A37" s="26" t="s">
        <v>567</v>
      </c>
      <c r="B37" s="26" t="s">
        <v>116</v>
      </c>
      <c r="C37" s="26" t="s">
        <v>117</v>
      </c>
      <c r="D37" s="26" t="s">
        <v>1427</v>
      </c>
      <c r="E37" s="26" t="s">
        <v>118</v>
      </c>
      <c r="F37" s="26" t="s">
        <v>119</v>
      </c>
      <c r="G37" s="28" t="s">
        <v>98</v>
      </c>
      <c r="H37" s="28"/>
      <c r="I37" s="28"/>
      <c r="J37" s="28"/>
      <c r="K37" s="26" t="str">
        <f>"0.00"</f>
        <v>0.00</v>
      </c>
      <c r="L37" s="27" t="str">
        <f>"0,0000"</f>
        <v>0,0000</v>
      </c>
      <c r="M37" s="26" t="s">
        <v>22</v>
      </c>
    </row>
    <row r="39" spans="1:13" ht="16">
      <c r="A39" s="59" t="s">
        <v>13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</row>
    <row r="40" spans="1:13">
      <c r="A40" s="49" t="s">
        <v>1417</v>
      </c>
      <c r="B40" s="49" t="s">
        <v>1418</v>
      </c>
      <c r="C40" s="49" t="s">
        <v>368</v>
      </c>
      <c r="D40" s="20" t="s">
        <v>1440</v>
      </c>
      <c r="E40" s="20" t="s">
        <v>14</v>
      </c>
      <c r="F40" s="49" t="s">
        <v>1419</v>
      </c>
      <c r="G40" s="21" t="s">
        <v>405</v>
      </c>
      <c r="H40" s="21" t="s">
        <v>16</v>
      </c>
      <c r="I40" s="22" t="s">
        <v>142</v>
      </c>
      <c r="J40" s="22"/>
      <c r="K40" s="20" t="str">
        <f>"150,0"</f>
        <v>150,0</v>
      </c>
      <c r="L40" s="21" t="str">
        <f>"115,1465"</f>
        <v>115,1465</v>
      </c>
      <c r="M40" s="20" t="s">
        <v>22</v>
      </c>
    </row>
    <row r="41" spans="1:13">
      <c r="A41" s="23" t="s">
        <v>569</v>
      </c>
      <c r="B41" s="23" t="s">
        <v>570</v>
      </c>
      <c r="C41" s="23" t="s">
        <v>571</v>
      </c>
      <c r="D41" s="23" t="s">
        <v>1434</v>
      </c>
      <c r="E41" s="23" t="s">
        <v>253</v>
      </c>
      <c r="F41" s="23" t="s">
        <v>565</v>
      </c>
      <c r="G41" s="24" t="s">
        <v>101</v>
      </c>
      <c r="H41" s="24" t="s">
        <v>85</v>
      </c>
      <c r="I41" s="24" t="s">
        <v>91</v>
      </c>
      <c r="J41" s="25"/>
      <c r="K41" s="23" t="str">
        <f>"110,0"</f>
        <v>110,0</v>
      </c>
      <c r="L41" s="24" t="str">
        <f>"74,8559"</f>
        <v>74,8559</v>
      </c>
      <c r="M41" s="23" t="s">
        <v>22</v>
      </c>
    </row>
    <row r="42" spans="1:13">
      <c r="A42" s="23" t="s">
        <v>361</v>
      </c>
      <c r="B42" s="23" t="s">
        <v>362</v>
      </c>
      <c r="C42" s="23" t="s">
        <v>363</v>
      </c>
      <c r="D42" s="23" t="s">
        <v>1430</v>
      </c>
      <c r="E42" s="23" t="s">
        <v>118</v>
      </c>
      <c r="F42" s="23" t="s">
        <v>119</v>
      </c>
      <c r="G42" s="24" t="s">
        <v>112</v>
      </c>
      <c r="H42" s="24" t="s">
        <v>99</v>
      </c>
      <c r="I42" s="24" t="s">
        <v>381</v>
      </c>
      <c r="J42" s="25"/>
      <c r="K42" s="23" t="str">
        <f>"142,5"</f>
        <v>142,5</v>
      </c>
      <c r="L42" s="24" t="str">
        <f>"96,4930"</f>
        <v>96,4930</v>
      </c>
      <c r="M42" s="23" t="s">
        <v>22</v>
      </c>
    </row>
    <row r="43" spans="1:13">
      <c r="A43" s="23" t="s">
        <v>573</v>
      </c>
      <c r="B43" s="23" t="s">
        <v>574</v>
      </c>
      <c r="C43" s="23" t="s">
        <v>575</v>
      </c>
      <c r="D43" s="23" t="s">
        <v>1427</v>
      </c>
      <c r="E43" s="23" t="s">
        <v>47</v>
      </c>
      <c r="F43" s="23" t="s">
        <v>48</v>
      </c>
      <c r="G43" s="25" t="s">
        <v>93</v>
      </c>
      <c r="H43" s="24" t="s">
        <v>93</v>
      </c>
      <c r="I43" s="24" t="s">
        <v>98</v>
      </c>
      <c r="J43" s="25"/>
      <c r="K43" s="23" t="str">
        <f>"130,0"</f>
        <v>130,0</v>
      </c>
      <c r="L43" s="24" t="str">
        <f>"80,7170"</f>
        <v>80,7170</v>
      </c>
      <c r="M43" s="23" t="s">
        <v>22</v>
      </c>
    </row>
    <row r="44" spans="1:13">
      <c r="A44" s="26" t="s">
        <v>577</v>
      </c>
      <c r="B44" s="26" t="s">
        <v>578</v>
      </c>
      <c r="C44" s="26" t="s">
        <v>579</v>
      </c>
      <c r="D44" s="26" t="s">
        <v>1431</v>
      </c>
      <c r="E44" s="26" t="s">
        <v>118</v>
      </c>
      <c r="F44" s="26" t="s">
        <v>119</v>
      </c>
      <c r="G44" s="27" t="s">
        <v>113</v>
      </c>
      <c r="H44" s="27" t="s">
        <v>158</v>
      </c>
      <c r="I44" s="27" t="s">
        <v>142</v>
      </c>
      <c r="J44" s="28"/>
      <c r="K44" s="26" t="str">
        <f>"155,0"</f>
        <v>155,0</v>
      </c>
      <c r="L44" s="27" t="str">
        <f>"97,2315"</f>
        <v>97,2315</v>
      </c>
      <c r="M44" s="26" t="s">
        <v>22</v>
      </c>
    </row>
    <row r="46" spans="1:13" ht="16">
      <c r="A46" s="59" t="s">
        <v>152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</row>
    <row r="47" spans="1:13">
      <c r="A47" s="20" t="s">
        <v>581</v>
      </c>
      <c r="B47" s="20" t="s">
        <v>582</v>
      </c>
      <c r="C47" s="20" t="s">
        <v>583</v>
      </c>
      <c r="D47" s="20" t="s">
        <v>1427</v>
      </c>
      <c r="E47" s="20" t="s">
        <v>14</v>
      </c>
      <c r="F47" s="20" t="s">
        <v>336</v>
      </c>
      <c r="G47" s="21" t="s">
        <v>113</v>
      </c>
      <c r="H47" s="21" t="s">
        <v>142</v>
      </c>
      <c r="I47" s="21" t="s">
        <v>20</v>
      </c>
      <c r="J47" s="22"/>
      <c r="K47" s="20" t="str">
        <f>"160,0"</f>
        <v>160,0</v>
      </c>
      <c r="L47" s="21" t="str">
        <f>"96,8000"</f>
        <v>96,8000</v>
      </c>
      <c r="M47" s="20" t="s">
        <v>22</v>
      </c>
    </row>
    <row r="48" spans="1:13">
      <c r="A48" s="23" t="s">
        <v>585</v>
      </c>
      <c r="B48" s="23" t="s">
        <v>586</v>
      </c>
      <c r="C48" s="23" t="s">
        <v>587</v>
      </c>
      <c r="D48" s="23" t="s">
        <v>1427</v>
      </c>
      <c r="E48" s="23" t="s">
        <v>14</v>
      </c>
      <c r="F48" s="23" t="s">
        <v>62</v>
      </c>
      <c r="G48" s="24" t="s">
        <v>174</v>
      </c>
      <c r="H48" s="24" t="s">
        <v>112</v>
      </c>
      <c r="I48" s="25"/>
      <c r="J48" s="25"/>
      <c r="K48" s="23" t="str">
        <f>"135,0"</f>
        <v>135,0</v>
      </c>
      <c r="L48" s="24" t="str">
        <f>"79,0695"</f>
        <v>79,0695</v>
      </c>
      <c r="M48" s="23" t="s">
        <v>22</v>
      </c>
    </row>
    <row r="49" spans="1:13">
      <c r="A49" s="23" t="s">
        <v>589</v>
      </c>
      <c r="B49" s="23" t="s">
        <v>590</v>
      </c>
      <c r="C49" s="23" t="s">
        <v>591</v>
      </c>
      <c r="D49" s="23" t="s">
        <v>1431</v>
      </c>
      <c r="E49" s="23" t="s">
        <v>253</v>
      </c>
      <c r="F49" s="23" t="s">
        <v>565</v>
      </c>
      <c r="G49" s="24" t="s">
        <v>98</v>
      </c>
      <c r="H49" s="24" t="s">
        <v>120</v>
      </c>
      <c r="I49" s="25" t="s">
        <v>99</v>
      </c>
      <c r="J49" s="25"/>
      <c r="K49" s="23" t="str">
        <f>"137,5"</f>
        <v>137,5</v>
      </c>
      <c r="L49" s="24" t="str">
        <f>"83,8383"</f>
        <v>83,8383</v>
      </c>
      <c r="M49" s="23" t="s">
        <v>22</v>
      </c>
    </row>
    <row r="50" spans="1:13">
      <c r="A50" s="23" t="s">
        <v>593</v>
      </c>
      <c r="B50" s="23" t="s">
        <v>594</v>
      </c>
      <c r="C50" s="23" t="s">
        <v>595</v>
      </c>
      <c r="D50" s="23" t="s">
        <v>1431</v>
      </c>
      <c r="E50" s="23" t="s">
        <v>14</v>
      </c>
      <c r="F50" s="23" t="s">
        <v>127</v>
      </c>
      <c r="G50" s="24" t="s">
        <v>93</v>
      </c>
      <c r="H50" s="24" t="s">
        <v>98</v>
      </c>
      <c r="I50" s="24" t="s">
        <v>141</v>
      </c>
      <c r="J50" s="25"/>
      <c r="K50" s="23" t="str">
        <f>"132,5"</f>
        <v>132,5</v>
      </c>
      <c r="L50" s="24" t="str">
        <f>"82,3880"</f>
        <v>82,3880</v>
      </c>
      <c r="M50" s="23" t="s">
        <v>22</v>
      </c>
    </row>
    <row r="51" spans="1:13">
      <c r="A51" s="23" t="s">
        <v>597</v>
      </c>
      <c r="B51" s="23" t="s">
        <v>598</v>
      </c>
      <c r="C51" s="23" t="s">
        <v>599</v>
      </c>
      <c r="D51" s="23" t="s">
        <v>1436</v>
      </c>
      <c r="E51" s="23" t="s">
        <v>14</v>
      </c>
      <c r="F51" s="23" t="s">
        <v>254</v>
      </c>
      <c r="G51" s="24" t="s">
        <v>109</v>
      </c>
      <c r="H51" s="24" t="s">
        <v>600</v>
      </c>
      <c r="I51" s="25" t="s">
        <v>112</v>
      </c>
      <c r="J51" s="25"/>
      <c r="K51" s="23" t="str">
        <f>"130,0"</f>
        <v>130,0</v>
      </c>
      <c r="L51" s="24" t="str">
        <f>"110,4804"</f>
        <v>110,4804</v>
      </c>
      <c r="M51" s="23" t="s">
        <v>22</v>
      </c>
    </row>
    <row r="52" spans="1:13">
      <c r="A52" s="26" t="s">
        <v>602</v>
      </c>
      <c r="B52" s="26" t="s">
        <v>603</v>
      </c>
      <c r="C52" s="26" t="s">
        <v>604</v>
      </c>
      <c r="D52" s="26" t="s">
        <v>1437</v>
      </c>
      <c r="E52" s="26" t="s">
        <v>253</v>
      </c>
      <c r="F52" s="26" t="s">
        <v>605</v>
      </c>
      <c r="G52" s="27" t="s">
        <v>92</v>
      </c>
      <c r="H52" s="27" t="s">
        <v>486</v>
      </c>
      <c r="I52" s="28" t="s">
        <v>98</v>
      </c>
      <c r="J52" s="28"/>
      <c r="K52" s="26" t="str">
        <f>"122,5"</f>
        <v>122,5</v>
      </c>
      <c r="L52" s="27" t="str">
        <f>"134,8614"</f>
        <v>134,8614</v>
      </c>
      <c r="M52" s="26" t="s">
        <v>22</v>
      </c>
    </row>
    <row r="54" spans="1:13" ht="16">
      <c r="A54" s="59" t="s">
        <v>169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</row>
    <row r="55" spans="1:13">
      <c r="A55" s="20" t="s">
        <v>607</v>
      </c>
      <c r="B55" s="20" t="s">
        <v>608</v>
      </c>
      <c r="C55" s="20" t="s">
        <v>609</v>
      </c>
      <c r="D55" s="20" t="s">
        <v>1426</v>
      </c>
      <c r="E55" s="20" t="s">
        <v>502</v>
      </c>
      <c r="F55" s="20" t="s">
        <v>62</v>
      </c>
      <c r="G55" s="21" t="s">
        <v>98</v>
      </c>
      <c r="H55" s="22" t="s">
        <v>381</v>
      </c>
      <c r="I55" s="21" t="s">
        <v>381</v>
      </c>
      <c r="J55" s="22"/>
      <c r="K55" s="20" t="str">
        <f>"142,5"</f>
        <v>142,5</v>
      </c>
      <c r="L55" s="21" t="str">
        <f>"81,0326"</f>
        <v>81,0326</v>
      </c>
      <c r="M55" s="20" t="s">
        <v>22</v>
      </c>
    </row>
    <row r="56" spans="1:13">
      <c r="A56" s="23" t="s">
        <v>611</v>
      </c>
      <c r="B56" s="23" t="s">
        <v>612</v>
      </c>
      <c r="C56" s="23" t="s">
        <v>613</v>
      </c>
      <c r="D56" s="23" t="s">
        <v>1427</v>
      </c>
      <c r="E56" s="23" t="s">
        <v>14</v>
      </c>
      <c r="F56" s="23" t="s">
        <v>62</v>
      </c>
      <c r="G56" s="24" t="s">
        <v>614</v>
      </c>
      <c r="H56" s="25" t="s">
        <v>135</v>
      </c>
      <c r="I56" s="24" t="s">
        <v>615</v>
      </c>
      <c r="J56" s="25"/>
      <c r="K56" s="23" t="str">
        <f>"187,5"</f>
        <v>187,5</v>
      </c>
      <c r="L56" s="24" t="str">
        <f>"105,4125"</f>
        <v>105,4125</v>
      </c>
      <c r="M56" s="23" t="s">
        <v>22</v>
      </c>
    </row>
    <row r="57" spans="1:13">
      <c r="A57" s="23" t="s">
        <v>617</v>
      </c>
      <c r="B57" s="23" t="s">
        <v>618</v>
      </c>
      <c r="C57" s="23" t="s">
        <v>619</v>
      </c>
      <c r="D57" s="23" t="s">
        <v>1427</v>
      </c>
      <c r="E57" s="23" t="s">
        <v>14</v>
      </c>
      <c r="F57" s="23" t="s">
        <v>62</v>
      </c>
      <c r="G57" s="24" t="s">
        <v>102</v>
      </c>
      <c r="H57" s="24" t="s">
        <v>103</v>
      </c>
      <c r="I57" s="24" t="s">
        <v>144</v>
      </c>
      <c r="J57" s="25"/>
      <c r="K57" s="23" t="str">
        <f>"175,0"</f>
        <v>175,0</v>
      </c>
      <c r="L57" s="24" t="str">
        <f>"97,3875"</f>
        <v>97,3875</v>
      </c>
      <c r="M57" s="23" t="s">
        <v>22</v>
      </c>
    </row>
    <row r="58" spans="1:13">
      <c r="A58" s="23" t="s">
        <v>621</v>
      </c>
      <c r="B58" s="23" t="s">
        <v>622</v>
      </c>
      <c r="C58" s="23" t="s">
        <v>623</v>
      </c>
      <c r="D58" s="23" t="s">
        <v>1427</v>
      </c>
      <c r="E58" s="23" t="s">
        <v>347</v>
      </c>
      <c r="F58" s="23" t="s">
        <v>348</v>
      </c>
      <c r="G58" s="24" t="s">
        <v>158</v>
      </c>
      <c r="H58" s="24" t="s">
        <v>102</v>
      </c>
      <c r="I58" s="24" t="s">
        <v>545</v>
      </c>
      <c r="J58" s="25"/>
      <c r="K58" s="23" t="str">
        <f>"162,5"</f>
        <v>162,5</v>
      </c>
      <c r="L58" s="24" t="str">
        <f>"91,2112"</f>
        <v>91,2112</v>
      </c>
      <c r="M58" s="23" t="s">
        <v>22</v>
      </c>
    </row>
    <row r="59" spans="1:13">
      <c r="A59" s="23" t="s">
        <v>625</v>
      </c>
      <c r="B59" s="23" t="s">
        <v>626</v>
      </c>
      <c r="C59" s="23" t="s">
        <v>627</v>
      </c>
      <c r="D59" s="23" t="s">
        <v>1427</v>
      </c>
      <c r="E59" s="23" t="s">
        <v>166</v>
      </c>
      <c r="F59" s="23" t="s">
        <v>62</v>
      </c>
      <c r="G59" s="24" t="s">
        <v>158</v>
      </c>
      <c r="H59" s="25" t="s">
        <v>142</v>
      </c>
      <c r="I59" s="25"/>
      <c r="J59" s="25"/>
      <c r="K59" s="23" t="str">
        <f>"150,0"</f>
        <v>150,0</v>
      </c>
      <c r="L59" s="24" t="str">
        <f>"83,1750"</f>
        <v>83,1750</v>
      </c>
      <c r="M59" s="23" t="s">
        <v>22</v>
      </c>
    </row>
    <row r="60" spans="1:13">
      <c r="A60" s="23" t="s">
        <v>629</v>
      </c>
      <c r="B60" s="23" t="s">
        <v>630</v>
      </c>
      <c r="C60" s="23" t="s">
        <v>631</v>
      </c>
      <c r="D60" s="23" t="s">
        <v>1427</v>
      </c>
      <c r="E60" s="23" t="s">
        <v>14</v>
      </c>
      <c r="F60" s="23" t="s">
        <v>336</v>
      </c>
      <c r="G60" s="24" t="s">
        <v>112</v>
      </c>
      <c r="H60" s="24" t="s">
        <v>381</v>
      </c>
      <c r="I60" s="24" t="s">
        <v>113</v>
      </c>
      <c r="J60" s="25"/>
      <c r="K60" s="23" t="str">
        <f>"145,0"</f>
        <v>145,0</v>
      </c>
      <c r="L60" s="24" t="str">
        <f>"81,2725"</f>
        <v>81,2725</v>
      </c>
      <c r="M60" s="23" t="s">
        <v>22</v>
      </c>
    </row>
    <row r="61" spans="1:13">
      <c r="A61" s="23" t="s">
        <v>633</v>
      </c>
      <c r="B61" s="23" t="s">
        <v>634</v>
      </c>
      <c r="C61" s="23" t="s">
        <v>635</v>
      </c>
      <c r="D61" s="23" t="s">
        <v>1427</v>
      </c>
      <c r="E61" s="23" t="s">
        <v>14</v>
      </c>
      <c r="F61" s="23" t="s">
        <v>62</v>
      </c>
      <c r="G61" s="24" t="s">
        <v>381</v>
      </c>
      <c r="H61" s="25" t="s">
        <v>158</v>
      </c>
      <c r="I61" s="25" t="s">
        <v>158</v>
      </c>
      <c r="J61" s="25"/>
      <c r="K61" s="23" t="str">
        <f>"142,5"</f>
        <v>142,5</v>
      </c>
      <c r="L61" s="24" t="str">
        <f>"80,9115"</f>
        <v>80,9115</v>
      </c>
      <c r="M61" s="23" t="s">
        <v>22</v>
      </c>
    </row>
    <row r="62" spans="1:13">
      <c r="A62" s="23" t="s">
        <v>637</v>
      </c>
      <c r="B62" s="23" t="s">
        <v>638</v>
      </c>
      <c r="C62" s="23" t="s">
        <v>627</v>
      </c>
      <c r="D62" s="23" t="s">
        <v>1427</v>
      </c>
      <c r="E62" s="23" t="s">
        <v>47</v>
      </c>
      <c r="F62" s="23" t="s">
        <v>48</v>
      </c>
      <c r="G62" s="25" t="s">
        <v>91</v>
      </c>
      <c r="H62" s="24" t="s">
        <v>91</v>
      </c>
      <c r="I62" s="25" t="s">
        <v>174</v>
      </c>
      <c r="J62" s="25"/>
      <c r="K62" s="23" t="str">
        <f>"110,0"</f>
        <v>110,0</v>
      </c>
      <c r="L62" s="24" t="str">
        <f>"60,9950"</f>
        <v>60,9950</v>
      </c>
      <c r="M62" s="23" t="s">
        <v>22</v>
      </c>
    </row>
    <row r="63" spans="1:13">
      <c r="A63" s="23" t="s">
        <v>639</v>
      </c>
      <c r="B63" s="23" t="s">
        <v>640</v>
      </c>
      <c r="C63" s="23" t="s">
        <v>623</v>
      </c>
      <c r="D63" s="23" t="s">
        <v>1431</v>
      </c>
      <c r="E63" s="23" t="s">
        <v>347</v>
      </c>
      <c r="F63" s="23" t="s">
        <v>348</v>
      </c>
      <c r="G63" s="24" t="s">
        <v>158</v>
      </c>
      <c r="H63" s="24" t="s">
        <v>102</v>
      </c>
      <c r="I63" s="24" t="s">
        <v>545</v>
      </c>
      <c r="J63" s="25"/>
      <c r="K63" s="23" t="str">
        <f>"162,5"</f>
        <v>162,5</v>
      </c>
      <c r="L63" s="24" t="str">
        <f>"94,0388"</f>
        <v>94,0388</v>
      </c>
      <c r="M63" s="23" t="s">
        <v>22</v>
      </c>
    </row>
    <row r="64" spans="1:13">
      <c r="A64" s="26" t="s">
        <v>397</v>
      </c>
      <c r="B64" s="26" t="s">
        <v>398</v>
      </c>
      <c r="C64" s="26" t="s">
        <v>399</v>
      </c>
      <c r="D64" s="26" t="s">
        <v>1435</v>
      </c>
      <c r="E64" s="26" t="s">
        <v>118</v>
      </c>
      <c r="F64" s="26" t="s">
        <v>119</v>
      </c>
      <c r="G64" s="27" t="s">
        <v>99</v>
      </c>
      <c r="H64" s="27" t="s">
        <v>381</v>
      </c>
      <c r="I64" s="27" t="s">
        <v>113</v>
      </c>
      <c r="J64" s="28"/>
      <c r="K64" s="26" t="str">
        <f>"145,0"</f>
        <v>145,0</v>
      </c>
      <c r="L64" s="27" t="str">
        <f>"95,2306"</f>
        <v>95,2306</v>
      </c>
      <c r="M64" s="26" t="s">
        <v>22</v>
      </c>
    </row>
    <row r="66" spans="1:13" ht="16">
      <c r="A66" s="59" t="s">
        <v>176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</row>
    <row r="67" spans="1:13">
      <c r="A67" s="20" t="s">
        <v>642</v>
      </c>
      <c r="B67" s="20" t="s">
        <v>643</v>
      </c>
      <c r="C67" s="20" t="s">
        <v>644</v>
      </c>
      <c r="D67" s="20" t="s">
        <v>1427</v>
      </c>
      <c r="E67" s="20" t="s">
        <v>14</v>
      </c>
      <c r="F67" s="20" t="s">
        <v>62</v>
      </c>
      <c r="G67" s="21" t="s">
        <v>102</v>
      </c>
      <c r="H67" s="21" t="s">
        <v>645</v>
      </c>
      <c r="I67" s="21" t="s">
        <v>272</v>
      </c>
      <c r="J67" s="22"/>
      <c r="K67" s="20" t="str">
        <f>"175,0"</f>
        <v>175,0</v>
      </c>
      <c r="L67" s="21" t="str">
        <f>"95,3400"</f>
        <v>95,3400</v>
      </c>
      <c r="M67" s="20" t="s">
        <v>22</v>
      </c>
    </row>
    <row r="68" spans="1:13">
      <c r="A68" s="26" t="s">
        <v>647</v>
      </c>
      <c r="B68" s="26" t="s">
        <v>648</v>
      </c>
      <c r="C68" s="26" t="s">
        <v>187</v>
      </c>
      <c r="D68" s="26" t="s">
        <v>1427</v>
      </c>
      <c r="E68" s="26" t="s">
        <v>347</v>
      </c>
      <c r="F68" s="26" t="s">
        <v>348</v>
      </c>
      <c r="G68" s="28" t="s">
        <v>158</v>
      </c>
      <c r="H68" s="28"/>
      <c r="I68" s="28"/>
      <c r="J68" s="28"/>
      <c r="K68" s="26" t="str">
        <f>"0.00"</f>
        <v>0.00</v>
      </c>
      <c r="L68" s="27" t="str">
        <f>"0,0000"</f>
        <v>0,0000</v>
      </c>
      <c r="M68" s="26" t="s">
        <v>22</v>
      </c>
    </row>
    <row r="70" spans="1:13" ht="16">
      <c r="A70" s="59" t="s">
        <v>262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</row>
    <row r="71" spans="1:13">
      <c r="A71" s="20" t="s">
        <v>650</v>
      </c>
      <c r="B71" s="20" t="s">
        <v>651</v>
      </c>
      <c r="C71" s="20" t="s">
        <v>652</v>
      </c>
      <c r="D71" s="20" t="s">
        <v>1427</v>
      </c>
      <c r="E71" s="20" t="s">
        <v>347</v>
      </c>
      <c r="F71" s="20" t="s">
        <v>348</v>
      </c>
      <c r="G71" s="21" t="s">
        <v>143</v>
      </c>
      <c r="H71" s="21" t="s">
        <v>144</v>
      </c>
      <c r="I71" s="21" t="s">
        <v>135</v>
      </c>
      <c r="J71" s="22"/>
      <c r="K71" s="20" t="str">
        <f>"180,0"</f>
        <v>180,0</v>
      </c>
      <c r="L71" s="21" t="str">
        <f>"95,5080"</f>
        <v>95,5080</v>
      </c>
      <c r="M71" s="20" t="s">
        <v>22</v>
      </c>
    </row>
    <row r="72" spans="1:13">
      <c r="A72" s="23" t="s">
        <v>654</v>
      </c>
      <c r="B72" s="23" t="s">
        <v>655</v>
      </c>
      <c r="C72" s="23" t="s">
        <v>656</v>
      </c>
      <c r="D72" s="23" t="s">
        <v>1427</v>
      </c>
      <c r="E72" s="23" t="s">
        <v>188</v>
      </c>
      <c r="F72" s="23" t="s">
        <v>83</v>
      </c>
      <c r="G72" s="24" t="s">
        <v>158</v>
      </c>
      <c r="H72" s="24" t="s">
        <v>102</v>
      </c>
      <c r="I72" s="25" t="s">
        <v>103</v>
      </c>
      <c r="J72" s="25"/>
      <c r="K72" s="23" t="str">
        <f>"160,0"</f>
        <v>160,0</v>
      </c>
      <c r="L72" s="24" t="str">
        <f>"83,4240"</f>
        <v>83,4240</v>
      </c>
      <c r="M72" s="23" t="s">
        <v>22</v>
      </c>
    </row>
    <row r="73" spans="1:13">
      <c r="A73" s="26" t="s">
        <v>658</v>
      </c>
      <c r="B73" s="26" t="s">
        <v>659</v>
      </c>
      <c r="C73" s="26" t="s">
        <v>660</v>
      </c>
      <c r="D73" s="26" t="s">
        <v>1431</v>
      </c>
      <c r="E73" s="26" t="s">
        <v>253</v>
      </c>
      <c r="F73" s="26" t="s">
        <v>661</v>
      </c>
      <c r="G73" s="27" t="s">
        <v>135</v>
      </c>
      <c r="H73" s="27" t="s">
        <v>128</v>
      </c>
      <c r="I73" s="27" t="s">
        <v>662</v>
      </c>
      <c r="J73" s="28"/>
      <c r="K73" s="26" t="str">
        <f>"195,0"</f>
        <v>195,0</v>
      </c>
      <c r="L73" s="27" t="str">
        <f>"103,7383"</f>
        <v>103,7383</v>
      </c>
      <c r="M73" s="26" t="s">
        <v>22</v>
      </c>
    </row>
    <row r="75" spans="1:13" ht="16">
      <c r="A75" s="59" t="s">
        <v>410</v>
      </c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</row>
    <row r="76" spans="1:13">
      <c r="A76" s="8" t="s">
        <v>412</v>
      </c>
      <c r="B76" s="8" t="s">
        <v>413</v>
      </c>
      <c r="C76" s="8" t="s">
        <v>414</v>
      </c>
      <c r="D76" s="8" t="s">
        <v>1427</v>
      </c>
      <c r="E76" s="8" t="s">
        <v>14</v>
      </c>
      <c r="F76" s="8" t="s">
        <v>415</v>
      </c>
      <c r="G76" s="9" t="s">
        <v>663</v>
      </c>
      <c r="H76" s="9" t="s">
        <v>664</v>
      </c>
      <c r="I76" s="9" t="s">
        <v>665</v>
      </c>
      <c r="J76" s="10"/>
      <c r="K76" s="8" t="str">
        <f>"240,0"</f>
        <v>240,0</v>
      </c>
      <c r="L76" s="9" t="str">
        <f>"122,9664"</f>
        <v>122,9664</v>
      </c>
      <c r="M76" s="8" t="s">
        <v>22</v>
      </c>
    </row>
    <row r="78" spans="1:13" ht="16">
      <c r="E78" s="12" t="s">
        <v>23</v>
      </c>
      <c r="F78" s="12" t="s">
        <v>1130</v>
      </c>
    </row>
    <row r="79" spans="1:13" ht="16">
      <c r="E79" s="12" t="s">
        <v>26</v>
      </c>
      <c r="F79" s="12" t="s">
        <v>1131</v>
      </c>
    </row>
    <row r="80" spans="1:13" ht="16">
      <c r="E80" s="12" t="s">
        <v>24</v>
      </c>
      <c r="F80" s="12" t="s">
        <v>1130</v>
      </c>
    </row>
    <row r="81" spans="1:6" ht="16">
      <c r="E81" s="12" t="s">
        <v>25</v>
      </c>
      <c r="F81" s="12" t="s">
        <v>1416</v>
      </c>
    </row>
    <row r="82" spans="1:6" ht="16">
      <c r="E82" s="12" t="s">
        <v>25</v>
      </c>
      <c r="F82" s="12" t="s">
        <v>1372</v>
      </c>
    </row>
    <row r="83" spans="1:6" ht="16">
      <c r="E83" s="12"/>
      <c r="F83" s="12"/>
    </row>
    <row r="84" spans="1:6" ht="16">
      <c r="E84" s="12"/>
    </row>
    <row r="86" spans="1:6" ht="18">
      <c r="A86" s="13" t="s">
        <v>27</v>
      </c>
      <c r="B86" s="13"/>
    </row>
    <row r="87" spans="1:6" ht="16">
      <c r="A87" s="14" t="s">
        <v>193</v>
      </c>
      <c r="B87" s="14"/>
    </row>
    <row r="88" spans="1:6" ht="14">
      <c r="A88" s="16"/>
      <c r="B88" s="17" t="s">
        <v>666</v>
      </c>
    </row>
    <row r="89" spans="1:6" ht="14">
      <c r="A89" s="18" t="s">
        <v>30</v>
      </c>
      <c r="B89" s="18" t="s">
        <v>31</v>
      </c>
      <c r="C89" s="18" t="s">
        <v>32</v>
      </c>
      <c r="D89" s="18" t="s">
        <v>33</v>
      </c>
      <c r="E89" s="18" t="s">
        <v>34</v>
      </c>
    </row>
    <row r="90" spans="1:6">
      <c r="A90" s="15" t="s">
        <v>510</v>
      </c>
      <c r="B90" s="4" t="s">
        <v>200</v>
      </c>
      <c r="C90" s="4" t="s">
        <v>298</v>
      </c>
      <c r="D90" s="4" t="s">
        <v>509</v>
      </c>
      <c r="E90" s="19" t="s">
        <v>667</v>
      </c>
    </row>
    <row r="91" spans="1:6">
      <c r="A91" s="15" t="s">
        <v>522</v>
      </c>
      <c r="B91" s="4" t="s">
        <v>204</v>
      </c>
      <c r="C91" s="4" t="s">
        <v>201</v>
      </c>
      <c r="D91" s="4" t="s">
        <v>52</v>
      </c>
      <c r="E91" s="19" t="s">
        <v>668</v>
      </c>
    </row>
    <row r="93" spans="1:6" ht="14">
      <c r="A93" s="16"/>
      <c r="B93" s="17" t="s">
        <v>29</v>
      </c>
    </row>
    <row r="94" spans="1:6" ht="14">
      <c r="A94" s="18" t="s">
        <v>30</v>
      </c>
      <c r="B94" s="18" t="s">
        <v>31</v>
      </c>
      <c r="C94" s="18" t="s">
        <v>32</v>
      </c>
      <c r="D94" s="18" t="s">
        <v>33</v>
      </c>
      <c r="E94" s="18" t="s">
        <v>34</v>
      </c>
    </row>
    <row r="95" spans="1:6">
      <c r="A95" s="15" t="s">
        <v>498</v>
      </c>
      <c r="B95" s="4" t="s">
        <v>29</v>
      </c>
      <c r="C95" s="4" t="s">
        <v>196</v>
      </c>
      <c r="D95" s="4" t="s">
        <v>67</v>
      </c>
      <c r="E95" s="19" t="s">
        <v>669</v>
      </c>
    </row>
    <row r="96" spans="1:6">
      <c r="A96" s="15" t="s">
        <v>514</v>
      </c>
      <c r="B96" s="4" t="s">
        <v>29</v>
      </c>
      <c r="C96" s="4" t="s">
        <v>298</v>
      </c>
      <c r="D96" s="4" t="s">
        <v>52</v>
      </c>
      <c r="E96" s="19" t="s">
        <v>670</v>
      </c>
    </row>
    <row r="97" spans="1:5">
      <c r="A97" s="15" t="s">
        <v>505</v>
      </c>
      <c r="B97" s="4" t="s">
        <v>29</v>
      </c>
      <c r="C97" s="4" t="s">
        <v>196</v>
      </c>
      <c r="D97" s="4" t="s">
        <v>508</v>
      </c>
      <c r="E97" s="19" t="s">
        <v>671</v>
      </c>
    </row>
    <row r="99" spans="1:5" ht="14">
      <c r="A99" s="16"/>
      <c r="B99" s="17" t="s">
        <v>280</v>
      </c>
    </row>
    <row r="100" spans="1:5" ht="14">
      <c r="A100" s="18" t="s">
        <v>30</v>
      </c>
      <c r="B100" s="18" t="s">
        <v>31</v>
      </c>
      <c r="C100" s="18" t="s">
        <v>32</v>
      </c>
      <c r="D100" s="18" t="s">
        <v>33</v>
      </c>
      <c r="E100" s="18" t="s">
        <v>34</v>
      </c>
    </row>
    <row r="101" spans="1:5">
      <c r="A101" s="15" t="s">
        <v>518</v>
      </c>
      <c r="B101" s="4" t="s">
        <v>672</v>
      </c>
      <c r="C101" s="4" t="s">
        <v>421</v>
      </c>
      <c r="D101" s="4" t="s">
        <v>84</v>
      </c>
      <c r="E101" s="19" t="s">
        <v>673</v>
      </c>
    </row>
    <row r="104" spans="1:5" ht="16">
      <c r="A104" s="14" t="s">
        <v>28</v>
      </c>
      <c r="B104" s="14"/>
    </row>
    <row r="105" spans="1:5" ht="14">
      <c r="A105" s="16"/>
      <c r="B105" s="17" t="s">
        <v>199</v>
      </c>
    </row>
    <row r="106" spans="1:5" ht="14">
      <c r="A106" s="18" t="s">
        <v>30</v>
      </c>
      <c r="B106" s="18" t="s">
        <v>31</v>
      </c>
      <c r="C106" s="18" t="s">
        <v>32</v>
      </c>
      <c r="D106" s="18" t="s">
        <v>33</v>
      </c>
      <c r="E106" s="18" t="s">
        <v>34</v>
      </c>
    </row>
    <row r="107" spans="1:5">
      <c r="A107" s="49" t="s">
        <v>1421</v>
      </c>
      <c r="B107" s="29" t="s">
        <v>1420</v>
      </c>
      <c r="C107" s="4" t="s">
        <v>35</v>
      </c>
      <c r="D107" s="4" t="s">
        <v>158</v>
      </c>
      <c r="E107" s="19" t="s">
        <v>674</v>
      </c>
    </row>
    <row r="108" spans="1:5">
      <c r="A108" s="15" t="s">
        <v>360</v>
      </c>
      <c r="B108" s="4" t="s">
        <v>204</v>
      </c>
      <c r="C108" s="4" t="s">
        <v>35</v>
      </c>
      <c r="D108" s="4" t="s">
        <v>381</v>
      </c>
      <c r="E108" s="19" t="s">
        <v>675</v>
      </c>
    </row>
    <row r="109" spans="1:5">
      <c r="A109" s="15" t="s">
        <v>527</v>
      </c>
      <c r="B109" s="4" t="s">
        <v>200</v>
      </c>
      <c r="C109" s="4" t="s">
        <v>196</v>
      </c>
      <c r="D109" s="4" t="s">
        <v>55</v>
      </c>
      <c r="E109" s="19" t="s">
        <v>676</v>
      </c>
    </row>
    <row r="110" spans="1:5">
      <c r="A110" s="15" t="s">
        <v>558</v>
      </c>
      <c r="B110" s="4" t="s">
        <v>297</v>
      </c>
      <c r="C110" s="4" t="s">
        <v>201</v>
      </c>
      <c r="D110" s="4" t="s">
        <v>91</v>
      </c>
      <c r="E110" s="19" t="s">
        <v>677</v>
      </c>
    </row>
    <row r="111" spans="1:5">
      <c r="A111" s="15" t="s">
        <v>534</v>
      </c>
      <c r="B111" s="4" t="s">
        <v>200</v>
      </c>
      <c r="C111" s="4" t="s">
        <v>421</v>
      </c>
      <c r="D111" s="4" t="s">
        <v>56</v>
      </c>
      <c r="E111" s="19" t="s">
        <v>678</v>
      </c>
    </row>
    <row r="112" spans="1:5">
      <c r="A112" s="15" t="s">
        <v>568</v>
      </c>
      <c r="B112" s="4" t="s">
        <v>200</v>
      </c>
      <c r="C112" s="4" t="s">
        <v>35</v>
      </c>
      <c r="D112" s="4" t="s">
        <v>91</v>
      </c>
      <c r="E112" s="19" t="s">
        <v>679</v>
      </c>
    </row>
    <row r="113" spans="1:5">
      <c r="A113" s="15" t="s">
        <v>326</v>
      </c>
      <c r="B113" s="4" t="s">
        <v>200</v>
      </c>
      <c r="C113" s="4" t="s">
        <v>421</v>
      </c>
      <c r="D113" s="4" t="s">
        <v>54</v>
      </c>
      <c r="E113" s="19" t="s">
        <v>680</v>
      </c>
    </row>
    <row r="115" spans="1:5" ht="14">
      <c r="A115" s="16"/>
      <c r="B115" s="17" t="s">
        <v>213</v>
      </c>
    </row>
    <row r="116" spans="1:5" ht="14">
      <c r="A116" s="18" t="s">
        <v>30</v>
      </c>
      <c r="B116" s="18" t="s">
        <v>31</v>
      </c>
      <c r="C116" s="18" t="s">
        <v>32</v>
      </c>
      <c r="D116" s="18" t="s">
        <v>33</v>
      </c>
      <c r="E116" s="18" t="s">
        <v>34</v>
      </c>
    </row>
    <row r="117" spans="1:5">
      <c r="A117" s="15" t="s">
        <v>540</v>
      </c>
      <c r="B117" s="4" t="s">
        <v>214</v>
      </c>
      <c r="C117" s="4" t="s">
        <v>418</v>
      </c>
      <c r="D117" s="4" t="s">
        <v>102</v>
      </c>
      <c r="E117" s="19" t="s">
        <v>681</v>
      </c>
    </row>
    <row r="118" spans="1:5">
      <c r="A118" s="15" t="s">
        <v>546</v>
      </c>
      <c r="B118" s="4" t="s">
        <v>214</v>
      </c>
      <c r="C118" s="4" t="s">
        <v>418</v>
      </c>
      <c r="D118" s="4" t="s">
        <v>99</v>
      </c>
      <c r="E118" s="19" t="s">
        <v>682</v>
      </c>
    </row>
    <row r="119" spans="1:5">
      <c r="A119" s="15" t="s">
        <v>561</v>
      </c>
      <c r="B119" s="4" t="s">
        <v>214</v>
      </c>
      <c r="C119" s="4" t="s">
        <v>201</v>
      </c>
      <c r="D119" s="4" t="s">
        <v>98</v>
      </c>
      <c r="E119" s="19" t="s">
        <v>683</v>
      </c>
    </row>
    <row r="120" spans="1:5">
      <c r="A120" s="15" t="s">
        <v>606</v>
      </c>
      <c r="B120" s="4" t="s">
        <v>214</v>
      </c>
      <c r="C120" s="4" t="s">
        <v>232</v>
      </c>
      <c r="D120" s="4" t="s">
        <v>381</v>
      </c>
      <c r="E120" s="19" t="s">
        <v>684</v>
      </c>
    </row>
    <row r="121" spans="1:5">
      <c r="A121" s="15" t="s">
        <v>338</v>
      </c>
      <c r="B121" s="4" t="s">
        <v>214</v>
      </c>
      <c r="C121" s="4" t="s">
        <v>418</v>
      </c>
      <c r="D121" s="4" t="s">
        <v>349</v>
      </c>
      <c r="E121" s="19" t="s">
        <v>685</v>
      </c>
    </row>
    <row r="122" spans="1:5">
      <c r="A122" s="15" t="s">
        <v>351</v>
      </c>
      <c r="B122" s="4" t="s">
        <v>214</v>
      </c>
      <c r="C122" s="4" t="s">
        <v>201</v>
      </c>
      <c r="D122" s="4" t="s">
        <v>349</v>
      </c>
      <c r="E122" s="19" t="s">
        <v>686</v>
      </c>
    </row>
    <row r="124" spans="1:5" ht="14">
      <c r="A124" s="16"/>
      <c r="B124" s="17" t="s">
        <v>29</v>
      </c>
    </row>
    <row r="125" spans="1:5" ht="14">
      <c r="A125" s="18" t="s">
        <v>30</v>
      </c>
      <c r="B125" s="18" t="s">
        <v>31</v>
      </c>
      <c r="C125" s="18" t="s">
        <v>32</v>
      </c>
      <c r="D125" s="18" t="s">
        <v>33</v>
      </c>
      <c r="E125" s="18" t="s">
        <v>34</v>
      </c>
    </row>
    <row r="126" spans="1:5">
      <c r="A126" s="15" t="s">
        <v>411</v>
      </c>
      <c r="B126" s="4" t="s">
        <v>29</v>
      </c>
      <c r="C126" s="4" t="s">
        <v>427</v>
      </c>
      <c r="D126" s="4" t="s">
        <v>191</v>
      </c>
      <c r="E126" s="19" t="s">
        <v>687</v>
      </c>
    </row>
    <row r="127" spans="1:5">
      <c r="A127" s="15" t="s">
        <v>553</v>
      </c>
      <c r="B127" s="4" t="s">
        <v>29</v>
      </c>
      <c r="C127" s="4" t="s">
        <v>418</v>
      </c>
      <c r="D127" s="4" t="s">
        <v>113</v>
      </c>
      <c r="E127" s="19" t="s">
        <v>688</v>
      </c>
    </row>
    <row r="128" spans="1:5">
      <c r="A128" s="15" t="s">
        <v>610</v>
      </c>
      <c r="B128" s="4" t="s">
        <v>29</v>
      </c>
      <c r="C128" s="4" t="s">
        <v>232</v>
      </c>
      <c r="D128" s="4" t="s">
        <v>689</v>
      </c>
      <c r="E128" s="19" t="s">
        <v>690</v>
      </c>
    </row>
    <row r="129" spans="1:5">
      <c r="A129" s="15" t="s">
        <v>616</v>
      </c>
      <c r="B129" s="4" t="s">
        <v>29</v>
      </c>
      <c r="C129" s="4" t="s">
        <v>232</v>
      </c>
      <c r="D129" s="4" t="s">
        <v>144</v>
      </c>
      <c r="E129" s="19" t="s">
        <v>691</v>
      </c>
    </row>
    <row r="130" spans="1:5">
      <c r="A130" s="15" t="s">
        <v>580</v>
      </c>
      <c r="B130" s="4" t="s">
        <v>29</v>
      </c>
      <c r="C130" s="4" t="s">
        <v>219</v>
      </c>
      <c r="D130" s="4" t="s">
        <v>102</v>
      </c>
      <c r="E130" s="19" t="s">
        <v>692</v>
      </c>
    </row>
    <row r="131" spans="1:5">
      <c r="A131" s="15" t="s">
        <v>649</v>
      </c>
      <c r="B131" s="4" t="s">
        <v>29</v>
      </c>
      <c r="C131" s="4" t="s">
        <v>277</v>
      </c>
      <c r="D131" s="4" t="s">
        <v>135</v>
      </c>
      <c r="E131" s="19" t="s">
        <v>693</v>
      </c>
    </row>
    <row r="132" spans="1:5">
      <c r="A132" s="15" t="s">
        <v>641</v>
      </c>
      <c r="B132" s="4" t="s">
        <v>29</v>
      </c>
      <c r="C132" s="4" t="s">
        <v>222</v>
      </c>
      <c r="D132" s="4" t="s">
        <v>144</v>
      </c>
      <c r="E132" s="19" t="s">
        <v>694</v>
      </c>
    </row>
    <row r="133" spans="1:5">
      <c r="A133" s="15" t="s">
        <v>620</v>
      </c>
      <c r="B133" s="4" t="s">
        <v>29</v>
      </c>
      <c r="C133" s="4" t="s">
        <v>232</v>
      </c>
      <c r="D133" s="4" t="s">
        <v>545</v>
      </c>
      <c r="E133" s="19" t="s">
        <v>695</v>
      </c>
    </row>
    <row r="134" spans="1:5">
      <c r="A134" s="15" t="s">
        <v>653</v>
      </c>
      <c r="B134" s="4" t="s">
        <v>29</v>
      </c>
      <c r="C134" s="4" t="s">
        <v>277</v>
      </c>
      <c r="D134" s="4" t="s">
        <v>102</v>
      </c>
      <c r="E134" s="19" t="s">
        <v>696</v>
      </c>
    </row>
    <row r="135" spans="1:5">
      <c r="A135" s="15" t="s">
        <v>624</v>
      </c>
      <c r="B135" s="4" t="s">
        <v>29</v>
      </c>
      <c r="C135" s="4" t="s">
        <v>232</v>
      </c>
      <c r="D135" s="4" t="s">
        <v>158</v>
      </c>
      <c r="E135" s="19" t="s">
        <v>697</v>
      </c>
    </row>
    <row r="136" spans="1:5">
      <c r="A136" s="15" t="s">
        <v>628</v>
      </c>
      <c r="B136" s="4" t="s">
        <v>29</v>
      </c>
      <c r="C136" s="4" t="s">
        <v>232</v>
      </c>
      <c r="D136" s="4" t="s">
        <v>113</v>
      </c>
      <c r="E136" s="19" t="s">
        <v>698</v>
      </c>
    </row>
    <row r="137" spans="1:5">
      <c r="A137" s="15" t="s">
        <v>632</v>
      </c>
      <c r="B137" s="4" t="s">
        <v>29</v>
      </c>
      <c r="C137" s="4" t="s">
        <v>232</v>
      </c>
      <c r="D137" s="4" t="s">
        <v>381</v>
      </c>
      <c r="E137" s="19" t="s">
        <v>699</v>
      </c>
    </row>
    <row r="138" spans="1:5">
      <c r="A138" s="15" t="s">
        <v>572</v>
      </c>
      <c r="B138" s="4" t="s">
        <v>29</v>
      </c>
      <c r="C138" s="4" t="s">
        <v>35</v>
      </c>
      <c r="D138" s="4" t="s">
        <v>98</v>
      </c>
      <c r="E138" s="19" t="s">
        <v>700</v>
      </c>
    </row>
    <row r="139" spans="1:5">
      <c r="A139" s="15" t="s">
        <v>584</v>
      </c>
      <c r="B139" s="4" t="s">
        <v>29</v>
      </c>
      <c r="C139" s="4" t="s">
        <v>219</v>
      </c>
      <c r="D139" s="4" t="s">
        <v>112</v>
      </c>
      <c r="E139" s="19" t="s">
        <v>701</v>
      </c>
    </row>
    <row r="140" spans="1:5">
      <c r="A140" s="15" t="s">
        <v>636</v>
      </c>
      <c r="B140" s="4" t="s">
        <v>29</v>
      </c>
      <c r="C140" s="4" t="s">
        <v>232</v>
      </c>
      <c r="D140" s="4" t="s">
        <v>91</v>
      </c>
      <c r="E140" s="19" t="s">
        <v>702</v>
      </c>
    </row>
    <row r="142" spans="1:5" ht="14">
      <c r="A142" s="16"/>
      <c r="B142" s="17" t="s">
        <v>280</v>
      </c>
    </row>
    <row r="143" spans="1:5" ht="14">
      <c r="A143" s="18" t="s">
        <v>30</v>
      </c>
      <c r="B143" s="18" t="s">
        <v>31</v>
      </c>
      <c r="C143" s="18" t="s">
        <v>32</v>
      </c>
      <c r="D143" s="18" t="s">
        <v>33</v>
      </c>
      <c r="E143" s="18" t="s">
        <v>34</v>
      </c>
    </row>
    <row r="144" spans="1:5">
      <c r="A144" s="15" t="s">
        <v>601</v>
      </c>
      <c r="B144" s="4" t="s">
        <v>672</v>
      </c>
      <c r="C144" s="4" t="s">
        <v>219</v>
      </c>
      <c r="D144" s="4" t="s">
        <v>486</v>
      </c>
      <c r="E144" s="19" t="s">
        <v>703</v>
      </c>
    </row>
    <row r="145" spans="1:5">
      <c r="A145" s="15" t="s">
        <v>596</v>
      </c>
      <c r="B145" s="4" t="s">
        <v>468</v>
      </c>
      <c r="C145" s="4" t="s">
        <v>219</v>
      </c>
      <c r="D145" s="4" t="s">
        <v>98</v>
      </c>
      <c r="E145" s="19" t="s">
        <v>704</v>
      </c>
    </row>
    <row r="146" spans="1:5">
      <c r="A146" s="15" t="s">
        <v>657</v>
      </c>
      <c r="B146" s="4" t="s">
        <v>314</v>
      </c>
      <c r="C146" s="4" t="s">
        <v>277</v>
      </c>
      <c r="D146" s="4" t="s">
        <v>662</v>
      </c>
      <c r="E146" s="19" t="s">
        <v>705</v>
      </c>
    </row>
    <row r="147" spans="1:5">
      <c r="A147" s="15" t="s">
        <v>576</v>
      </c>
      <c r="B147" s="4" t="s">
        <v>314</v>
      </c>
      <c r="C147" s="4" t="s">
        <v>35</v>
      </c>
      <c r="D147" s="4" t="s">
        <v>142</v>
      </c>
      <c r="E147" s="19" t="s">
        <v>706</v>
      </c>
    </row>
    <row r="148" spans="1:5">
      <c r="A148" s="15" t="s">
        <v>396</v>
      </c>
      <c r="B148" s="4" t="s">
        <v>281</v>
      </c>
      <c r="C148" s="4" t="s">
        <v>232</v>
      </c>
      <c r="D148" s="4" t="s">
        <v>113</v>
      </c>
      <c r="E148" s="19" t="s">
        <v>438</v>
      </c>
    </row>
    <row r="149" spans="1:5">
      <c r="A149" s="15" t="s">
        <v>620</v>
      </c>
      <c r="B149" s="4" t="s">
        <v>314</v>
      </c>
      <c r="C149" s="4" t="s">
        <v>232</v>
      </c>
      <c r="D149" s="4" t="s">
        <v>545</v>
      </c>
      <c r="E149" s="19" t="s">
        <v>707</v>
      </c>
    </row>
    <row r="150" spans="1:5">
      <c r="A150" s="15" t="s">
        <v>588</v>
      </c>
      <c r="B150" s="4" t="s">
        <v>314</v>
      </c>
      <c r="C150" s="4" t="s">
        <v>219</v>
      </c>
      <c r="D150" s="4" t="s">
        <v>120</v>
      </c>
      <c r="E150" s="19" t="s">
        <v>708</v>
      </c>
    </row>
    <row r="151" spans="1:5">
      <c r="A151" s="15" t="s">
        <v>592</v>
      </c>
      <c r="B151" s="4" t="s">
        <v>314</v>
      </c>
      <c r="C151" s="4" t="s">
        <v>219</v>
      </c>
      <c r="D151" s="4" t="s">
        <v>141</v>
      </c>
      <c r="E151" s="19" t="s">
        <v>709</v>
      </c>
    </row>
    <row r="156" spans="1:5" ht="18">
      <c r="A156" s="13" t="s">
        <v>36</v>
      </c>
      <c r="B156" s="13"/>
    </row>
    <row r="157" spans="1:5" ht="14">
      <c r="A157" s="18" t="s">
        <v>37</v>
      </c>
      <c r="B157" s="18" t="s">
        <v>38</v>
      </c>
      <c r="C157" s="18" t="s">
        <v>39</v>
      </c>
    </row>
    <row r="158" spans="1:5">
      <c r="A158" s="4" t="s">
        <v>14</v>
      </c>
      <c r="B158" s="4" t="s">
        <v>710</v>
      </c>
      <c r="C158" s="4" t="s">
        <v>711</v>
      </c>
    </row>
    <row r="159" spans="1:5">
      <c r="A159" s="4" t="s">
        <v>253</v>
      </c>
      <c r="B159" s="4" t="s">
        <v>444</v>
      </c>
      <c r="C159" s="4" t="s">
        <v>712</v>
      </c>
    </row>
    <row r="160" spans="1:5">
      <c r="A160" s="4" t="s">
        <v>118</v>
      </c>
      <c r="B160" s="4" t="s">
        <v>713</v>
      </c>
      <c r="C160" s="4" t="s">
        <v>714</v>
      </c>
    </row>
    <row r="161" spans="1:3">
      <c r="A161" s="4" t="s">
        <v>47</v>
      </c>
      <c r="B161" s="4" t="s">
        <v>715</v>
      </c>
      <c r="C161" s="4" t="s">
        <v>716</v>
      </c>
    </row>
    <row r="162" spans="1:3">
      <c r="A162" s="4" t="s">
        <v>347</v>
      </c>
      <c r="B162" s="4" t="s">
        <v>717</v>
      </c>
      <c r="C162" s="4" t="s">
        <v>718</v>
      </c>
    </row>
    <row r="163" spans="1:3">
      <c r="A163" s="4" t="s">
        <v>502</v>
      </c>
      <c r="B163" s="4" t="s">
        <v>241</v>
      </c>
      <c r="C163" s="4" t="s">
        <v>719</v>
      </c>
    </row>
    <row r="164" spans="1:3">
      <c r="A164" s="4" t="s">
        <v>82</v>
      </c>
      <c r="B164" s="4" t="s">
        <v>241</v>
      </c>
      <c r="C164" s="4" t="s">
        <v>720</v>
      </c>
    </row>
    <row r="165" spans="1:3">
      <c r="A165" s="4" t="s">
        <v>72</v>
      </c>
      <c r="B165" s="4" t="s">
        <v>40</v>
      </c>
      <c r="C165" s="4" t="s">
        <v>721</v>
      </c>
    </row>
    <row r="166" spans="1:3">
      <c r="A166" s="4" t="s">
        <v>188</v>
      </c>
      <c r="B166" s="4" t="s">
        <v>246</v>
      </c>
      <c r="C166" s="4" t="s">
        <v>722</v>
      </c>
    </row>
    <row r="167" spans="1:3">
      <c r="A167" s="4" t="s">
        <v>166</v>
      </c>
      <c r="B167" s="4" t="s">
        <v>723</v>
      </c>
      <c r="C167" s="4" t="s">
        <v>724</v>
      </c>
    </row>
  </sheetData>
  <mergeCells count="25">
    <mergeCell ref="A1:M2"/>
    <mergeCell ref="A3:A4"/>
    <mergeCell ref="B3:B4"/>
    <mergeCell ref="C3:C4"/>
    <mergeCell ref="D3:D4"/>
    <mergeCell ref="E3:E4"/>
    <mergeCell ref="F3:F4"/>
    <mergeCell ref="G3:J3"/>
    <mergeCell ref="A39:L39"/>
    <mergeCell ref="K3:K4"/>
    <mergeCell ref="L3:L4"/>
    <mergeCell ref="M3:M4"/>
    <mergeCell ref="A5:L5"/>
    <mergeCell ref="A9:L9"/>
    <mergeCell ref="A13:L13"/>
    <mergeCell ref="A16:L16"/>
    <mergeCell ref="A19:L19"/>
    <mergeCell ref="A22:L22"/>
    <mergeCell ref="A27:L27"/>
    <mergeCell ref="A33:L33"/>
    <mergeCell ref="A46:L46"/>
    <mergeCell ref="A54:L54"/>
    <mergeCell ref="A66:L66"/>
    <mergeCell ref="A70:L70"/>
    <mergeCell ref="A75:L7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16"/>
  <sheetViews>
    <sheetView workbookViewId="0">
      <selection activeCell="D6" sqref="D6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9.6640625" style="4" bestFit="1" customWidth="1"/>
    <col min="4" max="4" width="9.33203125" style="4" bestFit="1" customWidth="1"/>
    <col min="5" max="5" width="22.6640625" style="4" bestFit="1" customWidth="1"/>
    <col min="6" max="6" width="24.1640625" style="4" bestFit="1" customWidth="1"/>
    <col min="7" max="7" width="5.5" style="3" bestFit="1" customWidth="1"/>
    <col min="8" max="9" width="2.1640625" style="3" bestFit="1" customWidth="1"/>
    <col min="10" max="10" width="4.83203125" style="3" bestFit="1" customWidth="1"/>
    <col min="11" max="11" width="11.83203125" style="4" customWidth="1"/>
    <col min="12" max="12" width="6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73" t="s">
        <v>1146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3" s="2" customFormat="1" ht="113.25" customHeight="1" thickBot="1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66" t="s">
        <v>0</v>
      </c>
      <c r="B3" s="68" t="s">
        <v>1423</v>
      </c>
      <c r="C3" s="68" t="s">
        <v>8</v>
      </c>
      <c r="D3" s="70" t="s">
        <v>1424</v>
      </c>
      <c r="E3" s="70" t="s">
        <v>5</v>
      </c>
      <c r="F3" s="70" t="s">
        <v>9</v>
      </c>
      <c r="G3" s="70" t="s">
        <v>11</v>
      </c>
      <c r="H3" s="70"/>
      <c r="I3" s="70"/>
      <c r="J3" s="70"/>
      <c r="K3" s="70" t="s">
        <v>449</v>
      </c>
      <c r="L3" s="70" t="s">
        <v>4</v>
      </c>
      <c r="M3" s="71" t="s">
        <v>3</v>
      </c>
    </row>
    <row r="4" spans="1:13" s="1" customFormat="1" ht="21" customHeight="1" thickBot="1">
      <c r="A4" s="67"/>
      <c r="B4" s="69"/>
      <c r="C4" s="69"/>
      <c r="D4" s="69"/>
      <c r="E4" s="69"/>
      <c r="F4" s="69"/>
      <c r="G4" s="7">
        <v>1</v>
      </c>
      <c r="H4" s="7">
        <v>2</v>
      </c>
      <c r="I4" s="7">
        <v>3</v>
      </c>
      <c r="J4" s="7" t="s">
        <v>6</v>
      </c>
      <c r="K4" s="69"/>
      <c r="L4" s="69"/>
      <c r="M4" s="72"/>
    </row>
    <row r="5" spans="1:13" ht="16">
      <c r="A5" s="58" t="s">
        <v>262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3">
      <c r="A6" s="8" t="s">
        <v>493</v>
      </c>
      <c r="B6" s="8" t="s">
        <v>494</v>
      </c>
      <c r="C6" s="8" t="s">
        <v>495</v>
      </c>
      <c r="D6" s="8" t="s">
        <v>1427</v>
      </c>
      <c r="E6" s="32" t="s">
        <v>1147</v>
      </c>
      <c r="F6" s="8" t="s">
        <v>348</v>
      </c>
      <c r="G6" s="31" t="s">
        <v>161</v>
      </c>
      <c r="H6" s="10"/>
      <c r="I6" s="10"/>
      <c r="J6" s="10"/>
      <c r="K6" s="8" t="str">
        <f>"0.00"</f>
        <v>0.00</v>
      </c>
      <c r="L6" s="9" t="str">
        <f>"0,0000"</f>
        <v>0,0000</v>
      </c>
      <c r="M6" s="8" t="s">
        <v>22</v>
      </c>
    </row>
    <row r="8" spans="1:13" ht="16">
      <c r="E8" s="12" t="s">
        <v>23</v>
      </c>
      <c r="F8" s="12" t="s">
        <v>1130</v>
      </c>
    </row>
    <row r="9" spans="1:13" ht="16">
      <c r="E9" s="12" t="s">
        <v>26</v>
      </c>
      <c r="F9" s="12" t="s">
        <v>1131</v>
      </c>
    </row>
    <row r="10" spans="1:13" ht="16">
      <c r="E10" s="12" t="s">
        <v>24</v>
      </c>
      <c r="F10" s="12" t="s">
        <v>1130</v>
      </c>
    </row>
    <row r="11" spans="1:13" ht="16">
      <c r="E11" s="12" t="s">
        <v>25</v>
      </c>
      <c r="F11" s="12" t="s">
        <v>1416</v>
      </c>
    </row>
    <row r="12" spans="1:13" ht="16">
      <c r="E12" s="12" t="s">
        <v>25</v>
      </c>
      <c r="F12" s="12" t="s">
        <v>1372</v>
      </c>
    </row>
    <row r="13" spans="1:13" ht="16">
      <c r="E13" s="12"/>
      <c r="F13" s="12"/>
    </row>
    <row r="14" spans="1:13" ht="16">
      <c r="E14" s="12"/>
    </row>
    <row r="16" spans="1:13" ht="18">
      <c r="A16" s="13" t="s">
        <v>27</v>
      </c>
      <c r="B16" s="13"/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40"/>
  <sheetViews>
    <sheetView workbookViewId="0">
      <selection activeCell="D12" sqref="D12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17.6640625" style="4" bestFit="1" customWidth="1"/>
    <col min="4" max="4" width="9.33203125" style="4" bestFit="1" customWidth="1"/>
    <col min="5" max="5" width="22.6640625" style="4" bestFit="1" customWidth="1"/>
    <col min="6" max="6" width="30.33203125" style="4" bestFit="1" customWidth="1"/>
    <col min="7" max="9" width="5.5" style="3" bestFit="1" customWidth="1"/>
    <col min="10" max="10" width="4.83203125" style="3" bestFit="1" customWidth="1"/>
    <col min="11" max="11" width="7.83203125" style="4" bestFit="1" customWidth="1"/>
    <col min="12" max="12" width="7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73" t="s">
        <v>1148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3" s="2" customFormat="1" ht="104.25" customHeight="1" thickBot="1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66" t="s">
        <v>0</v>
      </c>
      <c r="B3" s="68" t="s">
        <v>1423</v>
      </c>
      <c r="C3" s="68" t="s">
        <v>8</v>
      </c>
      <c r="D3" s="70" t="s">
        <v>1424</v>
      </c>
      <c r="E3" s="70" t="s">
        <v>5</v>
      </c>
      <c r="F3" s="70" t="s">
        <v>9</v>
      </c>
      <c r="G3" s="70" t="s">
        <v>11</v>
      </c>
      <c r="H3" s="70"/>
      <c r="I3" s="70"/>
      <c r="J3" s="70"/>
      <c r="K3" s="70" t="s">
        <v>449</v>
      </c>
      <c r="L3" s="70" t="s">
        <v>4</v>
      </c>
      <c r="M3" s="71" t="s">
        <v>3</v>
      </c>
    </row>
    <row r="4" spans="1:13" s="1" customFormat="1" ht="21" customHeight="1" thickBot="1">
      <c r="A4" s="67"/>
      <c r="B4" s="69"/>
      <c r="C4" s="69"/>
      <c r="D4" s="69"/>
      <c r="E4" s="69"/>
      <c r="F4" s="69"/>
      <c r="G4" s="7">
        <v>1</v>
      </c>
      <c r="H4" s="7">
        <v>2</v>
      </c>
      <c r="I4" s="7">
        <v>3</v>
      </c>
      <c r="J4" s="7" t="s">
        <v>6</v>
      </c>
      <c r="K4" s="69"/>
      <c r="L4" s="69"/>
      <c r="M4" s="72"/>
    </row>
    <row r="5" spans="1:13" ht="16">
      <c r="A5" s="58" t="s">
        <v>325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3">
      <c r="A6" s="8" t="s">
        <v>475</v>
      </c>
      <c r="B6" s="8" t="s">
        <v>476</v>
      </c>
      <c r="C6" s="8" t="s">
        <v>477</v>
      </c>
      <c r="D6" s="8" t="s">
        <v>1431</v>
      </c>
      <c r="E6" s="8" t="s">
        <v>253</v>
      </c>
      <c r="F6" s="8" t="s">
        <v>254</v>
      </c>
      <c r="G6" s="9" t="s">
        <v>49</v>
      </c>
      <c r="H6" s="9" t="s">
        <v>67</v>
      </c>
      <c r="I6" s="10" t="s">
        <v>54</v>
      </c>
      <c r="J6" s="10"/>
      <c r="K6" s="8" t="str">
        <f>"75,0"</f>
        <v>75,0</v>
      </c>
      <c r="L6" s="9" t="str">
        <f>"63,7141"</f>
        <v>63,7141</v>
      </c>
      <c r="M6" s="8" t="s">
        <v>22</v>
      </c>
    </row>
    <row r="8" spans="1:13" ht="16">
      <c r="A8" s="59" t="s">
        <v>152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3">
      <c r="A9" s="8" t="s">
        <v>479</v>
      </c>
      <c r="B9" s="8" t="s">
        <v>480</v>
      </c>
      <c r="C9" s="8" t="s">
        <v>481</v>
      </c>
      <c r="D9" s="8" t="s">
        <v>1427</v>
      </c>
      <c r="E9" s="8" t="s">
        <v>47</v>
      </c>
      <c r="F9" s="8" t="s">
        <v>48</v>
      </c>
      <c r="G9" s="9" t="s">
        <v>93</v>
      </c>
      <c r="H9" s="9" t="s">
        <v>364</v>
      </c>
      <c r="I9" s="9" t="s">
        <v>141</v>
      </c>
      <c r="J9" s="10"/>
      <c r="K9" s="8" t="str">
        <f>"132,5"</f>
        <v>132,5</v>
      </c>
      <c r="L9" s="9" t="str">
        <f>"77,9763"</f>
        <v>77,9763</v>
      </c>
      <c r="M9" s="8" t="s">
        <v>22</v>
      </c>
    </row>
    <row r="11" spans="1:13" ht="16">
      <c r="A11" s="59" t="s">
        <v>176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1:13">
      <c r="A12" s="8" t="s">
        <v>483</v>
      </c>
      <c r="B12" s="8" t="s">
        <v>484</v>
      </c>
      <c r="C12" s="8" t="s">
        <v>485</v>
      </c>
      <c r="D12" s="8" t="s">
        <v>1436</v>
      </c>
      <c r="E12" s="8" t="s">
        <v>294</v>
      </c>
      <c r="F12" s="8" t="s">
        <v>62</v>
      </c>
      <c r="G12" s="9" t="s">
        <v>486</v>
      </c>
      <c r="H12" s="10" t="s">
        <v>98</v>
      </c>
      <c r="I12" s="10" t="s">
        <v>98</v>
      </c>
      <c r="J12" s="10"/>
      <c r="K12" s="8" t="str">
        <f>"122,5"</f>
        <v>122,5</v>
      </c>
      <c r="L12" s="9" t="str">
        <f>"91,5068"</f>
        <v>91,5068</v>
      </c>
      <c r="M12" s="8" t="s">
        <v>22</v>
      </c>
    </row>
    <row r="14" spans="1:13" ht="16">
      <c r="E14" s="12" t="s">
        <v>23</v>
      </c>
      <c r="F14" s="12" t="s">
        <v>1130</v>
      </c>
    </row>
    <row r="15" spans="1:13" ht="16">
      <c r="E15" s="12" t="s">
        <v>26</v>
      </c>
      <c r="F15" s="12" t="s">
        <v>1131</v>
      </c>
    </row>
    <row r="16" spans="1:13" ht="16">
      <c r="E16" s="12" t="s">
        <v>24</v>
      </c>
      <c r="F16" s="12" t="s">
        <v>1130</v>
      </c>
    </row>
    <row r="17" spans="1:6" ht="16">
      <c r="E17" s="12" t="s">
        <v>25</v>
      </c>
      <c r="F17" s="12" t="s">
        <v>1416</v>
      </c>
    </row>
    <row r="18" spans="1:6" ht="16">
      <c r="E18" s="12" t="s">
        <v>25</v>
      </c>
      <c r="F18" s="12" t="s">
        <v>1372</v>
      </c>
    </row>
    <row r="19" spans="1:6" ht="16">
      <c r="E19" s="12"/>
      <c r="F19" s="12"/>
    </row>
    <row r="20" spans="1:6" ht="16">
      <c r="E20" s="12"/>
    </row>
    <row r="22" spans="1:6" ht="18">
      <c r="A22" s="13" t="s">
        <v>27</v>
      </c>
      <c r="B22" s="13"/>
    </row>
    <row r="23" spans="1:6" ht="16">
      <c r="A23" s="14" t="s">
        <v>28</v>
      </c>
      <c r="B23" s="14"/>
    </row>
    <row r="24" spans="1:6" ht="14">
      <c r="A24" s="16"/>
      <c r="B24" s="17" t="s">
        <v>29</v>
      </c>
    </row>
    <row r="25" spans="1:6" ht="14">
      <c r="A25" s="18" t="s">
        <v>30</v>
      </c>
      <c r="B25" s="18" t="s">
        <v>31</v>
      </c>
      <c r="C25" s="18" t="s">
        <v>32</v>
      </c>
      <c r="D25" s="18" t="s">
        <v>33</v>
      </c>
      <c r="E25" s="18" t="s">
        <v>34</v>
      </c>
    </row>
    <row r="26" spans="1:6">
      <c r="A26" s="15" t="s">
        <v>478</v>
      </c>
      <c r="B26" s="4" t="s">
        <v>29</v>
      </c>
      <c r="C26" s="4" t="s">
        <v>219</v>
      </c>
      <c r="D26" s="4" t="s">
        <v>141</v>
      </c>
      <c r="E26" s="19" t="s">
        <v>487</v>
      </c>
    </row>
    <row r="28" spans="1:6" ht="14">
      <c r="A28" s="16"/>
      <c r="B28" s="17" t="s">
        <v>280</v>
      </c>
    </row>
    <row r="29" spans="1:6" ht="14">
      <c r="A29" s="18" t="s">
        <v>30</v>
      </c>
      <c r="B29" s="18" t="s">
        <v>31</v>
      </c>
      <c r="C29" s="18" t="s">
        <v>32</v>
      </c>
      <c r="D29" s="18" t="s">
        <v>33</v>
      </c>
      <c r="E29" s="18" t="s">
        <v>34</v>
      </c>
    </row>
    <row r="30" spans="1:6">
      <c r="A30" s="15" t="s">
        <v>482</v>
      </c>
      <c r="B30" s="4" t="s">
        <v>468</v>
      </c>
      <c r="C30" s="4" t="s">
        <v>222</v>
      </c>
      <c r="D30" s="4" t="s">
        <v>486</v>
      </c>
      <c r="E30" s="19" t="s">
        <v>488</v>
      </c>
    </row>
    <row r="31" spans="1:6">
      <c r="A31" s="15" t="s">
        <v>474</v>
      </c>
      <c r="B31" s="4" t="s">
        <v>314</v>
      </c>
      <c r="C31" s="4" t="s">
        <v>421</v>
      </c>
      <c r="D31" s="4" t="s">
        <v>67</v>
      </c>
      <c r="E31" s="19" t="s">
        <v>489</v>
      </c>
    </row>
    <row r="36" spans="1:3" ht="18">
      <c r="A36" s="13" t="s">
        <v>36</v>
      </c>
      <c r="B36" s="13"/>
    </row>
    <row r="37" spans="1:3" ht="14">
      <c r="A37" s="18" t="s">
        <v>37</v>
      </c>
      <c r="B37" s="18" t="s">
        <v>38</v>
      </c>
      <c r="C37" s="18" t="s">
        <v>39</v>
      </c>
    </row>
    <row r="38" spans="1:3">
      <c r="A38" s="4" t="s">
        <v>294</v>
      </c>
      <c r="B38" s="4" t="s">
        <v>40</v>
      </c>
      <c r="C38" s="4" t="s">
        <v>490</v>
      </c>
    </row>
    <row r="39" spans="1:3">
      <c r="A39" s="4" t="s">
        <v>253</v>
      </c>
      <c r="B39" s="4" t="s">
        <v>40</v>
      </c>
      <c r="C39" s="4" t="s">
        <v>491</v>
      </c>
    </row>
    <row r="40" spans="1:3">
      <c r="A40" s="4" t="s">
        <v>47</v>
      </c>
      <c r="B40" s="4" t="s">
        <v>40</v>
      </c>
      <c r="C40" s="4" t="s">
        <v>492</v>
      </c>
    </row>
  </sheetData>
  <mergeCells count="14"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40"/>
  <sheetViews>
    <sheetView workbookViewId="0">
      <selection activeCell="D12" sqref="D12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29.5" style="4" bestFit="1" customWidth="1"/>
    <col min="4" max="4" width="9.33203125" style="4" bestFit="1" customWidth="1"/>
    <col min="5" max="5" width="22.6640625" style="4" bestFit="1" customWidth="1"/>
    <col min="6" max="6" width="29" style="4" bestFit="1" customWidth="1"/>
    <col min="7" max="9" width="5.5" style="3" bestFit="1" customWidth="1"/>
    <col min="10" max="10" width="4.83203125" style="3" bestFit="1" customWidth="1"/>
    <col min="11" max="11" width="7.83203125" style="4" bestFit="1" customWidth="1"/>
    <col min="12" max="12" width="8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73" t="s">
        <v>1149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3" s="2" customFormat="1" ht="126" customHeight="1" thickBot="1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66" t="s">
        <v>0</v>
      </c>
      <c r="B3" s="68" t="s">
        <v>1423</v>
      </c>
      <c r="C3" s="68" t="s">
        <v>8</v>
      </c>
      <c r="D3" s="70" t="s">
        <v>1424</v>
      </c>
      <c r="E3" s="70" t="s">
        <v>5</v>
      </c>
      <c r="F3" s="70" t="s">
        <v>9</v>
      </c>
      <c r="G3" s="70" t="s">
        <v>11</v>
      </c>
      <c r="H3" s="70"/>
      <c r="I3" s="70"/>
      <c r="J3" s="70"/>
      <c r="K3" s="70" t="s">
        <v>449</v>
      </c>
      <c r="L3" s="70" t="s">
        <v>4</v>
      </c>
      <c r="M3" s="71" t="s">
        <v>3</v>
      </c>
    </row>
    <row r="4" spans="1:13" s="1" customFormat="1" ht="21" customHeight="1" thickBot="1">
      <c r="A4" s="67"/>
      <c r="B4" s="69"/>
      <c r="C4" s="69"/>
      <c r="D4" s="69"/>
      <c r="E4" s="69"/>
      <c r="F4" s="69"/>
      <c r="G4" s="7">
        <v>1</v>
      </c>
      <c r="H4" s="7">
        <v>2</v>
      </c>
      <c r="I4" s="7">
        <v>3</v>
      </c>
      <c r="J4" s="7" t="s">
        <v>6</v>
      </c>
      <c r="K4" s="69"/>
      <c r="L4" s="69"/>
      <c r="M4" s="72"/>
    </row>
    <row r="5" spans="1:13" ht="16">
      <c r="A5" s="58" t="s">
        <v>152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3">
      <c r="A6" s="8" t="s">
        <v>451</v>
      </c>
      <c r="B6" s="8" t="s">
        <v>452</v>
      </c>
      <c r="C6" s="8" t="s">
        <v>453</v>
      </c>
      <c r="D6" s="8" t="s">
        <v>1436</v>
      </c>
      <c r="E6" s="8" t="s">
        <v>47</v>
      </c>
      <c r="F6" s="8" t="s">
        <v>48</v>
      </c>
      <c r="G6" s="9" t="s">
        <v>100</v>
      </c>
      <c r="H6" s="9" t="s">
        <v>85</v>
      </c>
      <c r="I6" s="10" t="s">
        <v>91</v>
      </c>
      <c r="J6" s="10"/>
      <c r="K6" s="8" t="str">
        <f>"105,0"</f>
        <v>105,0</v>
      </c>
      <c r="L6" s="9" t="str">
        <f>"92,5562"</f>
        <v>92,5562</v>
      </c>
      <c r="M6" s="8" t="s">
        <v>22</v>
      </c>
    </row>
    <row r="8" spans="1:13" ht="16">
      <c r="A8" s="59" t="s">
        <v>176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3">
      <c r="A9" s="20" t="s">
        <v>455</v>
      </c>
      <c r="B9" s="20" t="s">
        <v>456</v>
      </c>
      <c r="C9" s="20" t="s">
        <v>457</v>
      </c>
      <c r="D9" s="20" t="s">
        <v>1427</v>
      </c>
      <c r="E9" s="20" t="s">
        <v>347</v>
      </c>
      <c r="F9" s="20" t="s">
        <v>348</v>
      </c>
      <c r="G9" s="21" t="s">
        <v>113</v>
      </c>
      <c r="H9" s="21" t="s">
        <v>142</v>
      </c>
      <c r="I9" s="21" t="s">
        <v>102</v>
      </c>
      <c r="J9" s="22"/>
      <c r="K9" s="20" t="str">
        <f>"160,0"</f>
        <v>160,0</v>
      </c>
      <c r="L9" s="21" t="str">
        <f>"86,5280"</f>
        <v>86,5280</v>
      </c>
      <c r="M9" s="20" t="s">
        <v>22</v>
      </c>
    </row>
    <row r="10" spans="1:13">
      <c r="A10" s="23" t="s">
        <v>459</v>
      </c>
      <c r="B10" s="23" t="s">
        <v>460</v>
      </c>
      <c r="C10" s="23" t="s">
        <v>461</v>
      </c>
      <c r="D10" s="23" t="s">
        <v>1435</v>
      </c>
      <c r="E10" s="23" t="s">
        <v>253</v>
      </c>
      <c r="F10" s="23" t="s">
        <v>254</v>
      </c>
      <c r="G10" s="24" t="s">
        <v>102</v>
      </c>
      <c r="H10" s="24" t="s">
        <v>143</v>
      </c>
      <c r="I10" s="25" t="s">
        <v>271</v>
      </c>
      <c r="J10" s="25"/>
      <c r="K10" s="23" t="str">
        <f>"165,0"</f>
        <v>165,0</v>
      </c>
      <c r="L10" s="24" t="str">
        <f>"113,3973"</f>
        <v>113,3973</v>
      </c>
      <c r="M10" s="23" t="s">
        <v>22</v>
      </c>
    </row>
    <row r="11" spans="1:13">
      <c r="A11" s="26" t="s">
        <v>463</v>
      </c>
      <c r="B11" s="26" t="s">
        <v>464</v>
      </c>
      <c r="C11" s="26" t="s">
        <v>465</v>
      </c>
      <c r="D11" s="26" t="s">
        <v>1435</v>
      </c>
      <c r="E11" s="26" t="s">
        <v>47</v>
      </c>
      <c r="F11" s="26" t="s">
        <v>48</v>
      </c>
      <c r="G11" s="27" t="s">
        <v>91</v>
      </c>
      <c r="H11" s="27" t="s">
        <v>93</v>
      </c>
      <c r="I11" s="27" t="s">
        <v>174</v>
      </c>
      <c r="J11" s="28"/>
      <c r="K11" s="26" t="str">
        <f>"125,0"</f>
        <v>125,0</v>
      </c>
      <c r="L11" s="27" t="str">
        <f>"81,1239"</f>
        <v>81,1239</v>
      </c>
      <c r="M11" s="26" t="s">
        <v>22</v>
      </c>
    </row>
    <row r="13" spans="1:13" ht="16">
      <c r="E13" s="12" t="s">
        <v>23</v>
      </c>
      <c r="F13" s="12" t="s">
        <v>1130</v>
      </c>
    </row>
    <row r="14" spans="1:13" ht="16">
      <c r="E14" s="12" t="s">
        <v>26</v>
      </c>
      <c r="F14" s="12" t="s">
        <v>1131</v>
      </c>
    </row>
    <row r="15" spans="1:13" ht="16">
      <c r="E15" s="12" t="s">
        <v>24</v>
      </c>
      <c r="F15" s="12" t="s">
        <v>1130</v>
      </c>
    </row>
    <row r="16" spans="1:13" ht="16">
      <c r="E16" s="12" t="s">
        <v>25</v>
      </c>
      <c r="F16" s="12" t="s">
        <v>1416</v>
      </c>
    </row>
    <row r="17" spans="1:6" ht="16">
      <c r="E17" s="12" t="s">
        <v>25</v>
      </c>
      <c r="F17" s="12" t="s">
        <v>1372</v>
      </c>
    </row>
    <row r="18" spans="1:6" ht="16">
      <c r="E18" s="12"/>
      <c r="F18" s="12"/>
    </row>
    <row r="19" spans="1:6" ht="16">
      <c r="E19" s="12"/>
    </row>
    <row r="21" spans="1:6" ht="18">
      <c r="A21" s="13" t="s">
        <v>27</v>
      </c>
      <c r="B21" s="13"/>
    </row>
    <row r="22" spans="1:6" ht="16">
      <c r="A22" s="14" t="s">
        <v>28</v>
      </c>
      <c r="B22" s="14"/>
    </row>
    <row r="23" spans="1:6" ht="14">
      <c r="A23" s="16"/>
      <c r="B23" s="17" t="s">
        <v>29</v>
      </c>
    </row>
    <row r="24" spans="1:6" ht="14">
      <c r="A24" s="18" t="s">
        <v>30</v>
      </c>
      <c r="B24" s="18" t="s">
        <v>31</v>
      </c>
      <c r="C24" s="18" t="s">
        <v>32</v>
      </c>
      <c r="D24" s="18" t="s">
        <v>33</v>
      </c>
      <c r="E24" s="18" t="s">
        <v>34</v>
      </c>
    </row>
    <row r="25" spans="1:6">
      <c r="A25" s="15" t="s">
        <v>454</v>
      </c>
      <c r="B25" s="4" t="s">
        <v>29</v>
      </c>
      <c r="C25" s="4" t="s">
        <v>222</v>
      </c>
      <c r="D25" s="4" t="s">
        <v>102</v>
      </c>
      <c r="E25" s="19" t="s">
        <v>466</v>
      </c>
    </row>
    <row r="27" spans="1:6" ht="14">
      <c r="A27" s="16"/>
      <c r="B27" s="17" t="s">
        <v>280</v>
      </c>
    </row>
    <row r="28" spans="1:6" ht="14">
      <c r="A28" s="18" t="s">
        <v>30</v>
      </c>
      <c r="B28" s="18" t="s">
        <v>31</v>
      </c>
      <c r="C28" s="18" t="s">
        <v>32</v>
      </c>
      <c r="D28" s="18" t="s">
        <v>33</v>
      </c>
      <c r="E28" s="18" t="s">
        <v>34</v>
      </c>
    </row>
    <row r="29" spans="1:6">
      <c r="A29" s="15" t="s">
        <v>458</v>
      </c>
      <c r="B29" s="4" t="s">
        <v>281</v>
      </c>
      <c r="C29" s="4" t="s">
        <v>222</v>
      </c>
      <c r="D29" s="4" t="s">
        <v>143</v>
      </c>
      <c r="E29" s="19" t="s">
        <v>467</v>
      </c>
    </row>
    <row r="30" spans="1:6">
      <c r="A30" s="15" t="s">
        <v>450</v>
      </c>
      <c r="B30" s="4" t="s">
        <v>468</v>
      </c>
      <c r="C30" s="4" t="s">
        <v>219</v>
      </c>
      <c r="D30" s="4" t="s">
        <v>85</v>
      </c>
      <c r="E30" s="19" t="s">
        <v>469</v>
      </c>
    </row>
    <row r="31" spans="1:6">
      <c r="A31" s="15" t="s">
        <v>462</v>
      </c>
      <c r="B31" s="4" t="s">
        <v>281</v>
      </c>
      <c r="C31" s="4" t="s">
        <v>222</v>
      </c>
      <c r="D31" s="4" t="s">
        <v>174</v>
      </c>
      <c r="E31" s="19" t="s">
        <v>470</v>
      </c>
    </row>
    <row r="36" spans="1:3" ht="18">
      <c r="A36" s="13" t="s">
        <v>36</v>
      </c>
      <c r="B36" s="13"/>
    </row>
    <row r="37" spans="1:3" ht="14">
      <c r="A37" s="18" t="s">
        <v>37</v>
      </c>
      <c r="B37" s="18" t="s">
        <v>38</v>
      </c>
      <c r="C37" s="18" t="s">
        <v>39</v>
      </c>
    </row>
    <row r="38" spans="1:3">
      <c r="A38" s="4" t="s">
        <v>47</v>
      </c>
      <c r="B38" s="4" t="s">
        <v>244</v>
      </c>
      <c r="C38" s="4" t="s">
        <v>471</v>
      </c>
    </row>
    <row r="39" spans="1:3">
      <c r="A39" s="4" t="s">
        <v>347</v>
      </c>
      <c r="B39" s="4" t="s">
        <v>40</v>
      </c>
      <c r="C39" s="4" t="s">
        <v>472</v>
      </c>
    </row>
    <row r="40" spans="1:3">
      <c r="A40" s="4" t="s">
        <v>253</v>
      </c>
      <c r="B40" s="4" t="s">
        <v>40</v>
      </c>
      <c r="C40" s="4" t="s">
        <v>473</v>
      </c>
    </row>
  </sheetData>
  <mergeCells count="13"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100"/>
  <sheetViews>
    <sheetView workbookViewId="0">
      <selection activeCell="D44" sqref="D44"/>
    </sheetView>
  </sheetViews>
  <sheetFormatPr baseColWidth="10" defaultColWidth="9.1640625" defaultRowHeight="13"/>
  <cols>
    <col min="1" max="1" width="31.83203125" style="4" bestFit="1" customWidth="1"/>
    <col min="2" max="2" width="35.83203125" style="4" bestFit="1" customWidth="1"/>
    <col min="3" max="3" width="28.33203125" style="4" customWidth="1"/>
    <col min="4" max="4" width="9.33203125" style="4" bestFit="1" customWidth="1"/>
    <col min="5" max="5" width="22.6640625" style="4" bestFit="1" customWidth="1"/>
    <col min="6" max="6" width="38.33203125" style="4" bestFit="1" customWidth="1"/>
    <col min="7" max="8" width="6.5" style="3" bestFit="1" customWidth="1"/>
    <col min="9" max="9" width="5.5" style="3" bestFit="1" customWidth="1"/>
    <col min="10" max="10" width="4.83203125" style="3" bestFit="1" customWidth="1"/>
    <col min="11" max="11" width="7.83203125" style="4" bestFit="1" customWidth="1"/>
    <col min="12" max="12" width="8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73" t="s">
        <v>1150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3" s="2" customFormat="1" ht="110.25" customHeight="1" thickBot="1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66" t="s">
        <v>0</v>
      </c>
      <c r="B3" s="68" t="s">
        <v>1423</v>
      </c>
      <c r="C3" s="68" t="s">
        <v>8</v>
      </c>
      <c r="D3" s="70" t="s">
        <v>1424</v>
      </c>
      <c r="E3" s="70" t="s">
        <v>5</v>
      </c>
      <c r="F3" s="70" t="s">
        <v>9</v>
      </c>
      <c r="G3" s="70" t="s">
        <v>11</v>
      </c>
      <c r="H3" s="70"/>
      <c r="I3" s="70"/>
      <c r="J3" s="70"/>
      <c r="K3" s="70" t="s">
        <v>449</v>
      </c>
      <c r="L3" s="70" t="s">
        <v>4</v>
      </c>
      <c r="M3" s="71" t="s">
        <v>3</v>
      </c>
    </row>
    <row r="4" spans="1:13" s="1" customFormat="1" ht="21" customHeight="1" thickBot="1">
      <c r="A4" s="67"/>
      <c r="B4" s="69"/>
      <c r="C4" s="69"/>
      <c r="D4" s="69"/>
      <c r="E4" s="69"/>
      <c r="F4" s="69"/>
      <c r="G4" s="7">
        <v>1</v>
      </c>
      <c r="H4" s="7">
        <v>2</v>
      </c>
      <c r="I4" s="7">
        <v>3</v>
      </c>
      <c r="J4" s="7" t="s">
        <v>6</v>
      </c>
      <c r="K4" s="69"/>
      <c r="L4" s="69"/>
      <c r="M4" s="72"/>
    </row>
    <row r="5" spans="1:13" ht="16">
      <c r="A5" s="58" t="s">
        <v>318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3">
      <c r="A6" s="8" t="s">
        <v>320</v>
      </c>
      <c r="B6" s="8" t="s">
        <v>321</v>
      </c>
      <c r="C6" s="8" t="s">
        <v>322</v>
      </c>
      <c r="D6" s="8" t="s">
        <v>1427</v>
      </c>
      <c r="E6" s="8" t="s">
        <v>14</v>
      </c>
      <c r="F6" s="8" t="s">
        <v>267</v>
      </c>
      <c r="G6" s="9" t="s">
        <v>323</v>
      </c>
      <c r="H6" s="10" t="s">
        <v>64</v>
      </c>
      <c r="I6" s="9" t="s">
        <v>324</v>
      </c>
      <c r="J6" s="10"/>
      <c r="K6" s="8" t="str">
        <f>"67,5"</f>
        <v>67,5</v>
      </c>
      <c r="L6" s="9" t="str">
        <f>"53,0010"</f>
        <v>53,0010</v>
      </c>
      <c r="M6" s="8" t="s">
        <v>22</v>
      </c>
    </row>
    <row r="8" spans="1:13" ht="16">
      <c r="A8" s="59" t="s">
        <v>325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3">
      <c r="A9" s="20" t="s">
        <v>327</v>
      </c>
      <c r="B9" s="20" t="s">
        <v>328</v>
      </c>
      <c r="C9" s="20" t="s">
        <v>329</v>
      </c>
      <c r="D9" s="20" t="s">
        <v>1434</v>
      </c>
      <c r="E9" s="20" t="s">
        <v>118</v>
      </c>
      <c r="F9" s="20" t="s">
        <v>119</v>
      </c>
      <c r="G9" s="21" t="s">
        <v>330</v>
      </c>
      <c r="H9" s="21" t="s">
        <v>331</v>
      </c>
      <c r="I9" s="21" t="s">
        <v>67</v>
      </c>
      <c r="J9" s="22"/>
      <c r="K9" s="20" t="str">
        <f>"75,0"</f>
        <v>75,0</v>
      </c>
      <c r="L9" s="21" t="str">
        <f>"69,0034"</f>
        <v>69,0034</v>
      </c>
      <c r="M9" s="20" t="s">
        <v>22</v>
      </c>
    </row>
    <row r="10" spans="1:13">
      <c r="A10" s="23" t="s">
        <v>333</v>
      </c>
      <c r="B10" s="23" t="s">
        <v>334</v>
      </c>
      <c r="C10" s="23" t="s">
        <v>335</v>
      </c>
      <c r="D10" s="23" t="s">
        <v>1426</v>
      </c>
      <c r="E10" s="23" t="s">
        <v>14</v>
      </c>
      <c r="F10" s="23" t="s">
        <v>336</v>
      </c>
      <c r="G10" s="24" t="s">
        <v>56</v>
      </c>
      <c r="H10" s="24" t="s">
        <v>101</v>
      </c>
      <c r="I10" s="25"/>
      <c r="J10" s="25"/>
      <c r="K10" s="23" t="str">
        <f>"100,0"</f>
        <v>100,0</v>
      </c>
      <c r="L10" s="24" t="str">
        <f>"82,9056"</f>
        <v>82,9056</v>
      </c>
      <c r="M10" s="23" t="s">
        <v>22</v>
      </c>
    </row>
    <row r="11" spans="1:13">
      <c r="A11" s="26" t="s">
        <v>333</v>
      </c>
      <c r="B11" s="26" t="s">
        <v>337</v>
      </c>
      <c r="C11" s="26" t="s">
        <v>335</v>
      </c>
      <c r="D11" s="26" t="s">
        <v>1427</v>
      </c>
      <c r="E11" s="26" t="s">
        <v>14</v>
      </c>
      <c r="F11" s="26" t="s">
        <v>336</v>
      </c>
      <c r="G11" s="27" t="s">
        <v>56</v>
      </c>
      <c r="H11" s="27" t="s">
        <v>101</v>
      </c>
      <c r="I11" s="28"/>
      <c r="J11" s="28"/>
      <c r="K11" s="26" t="str">
        <f>"100,0"</f>
        <v>100,0</v>
      </c>
      <c r="L11" s="27" t="str">
        <f>"81,2800"</f>
        <v>81,2800</v>
      </c>
      <c r="M11" s="26" t="s">
        <v>22</v>
      </c>
    </row>
    <row r="13" spans="1:13" ht="16">
      <c r="A13" s="59" t="s">
        <v>318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1:13">
      <c r="A14" s="20" t="s">
        <v>339</v>
      </c>
      <c r="B14" s="20" t="s">
        <v>340</v>
      </c>
      <c r="C14" s="20" t="s">
        <v>341</v>
      </c>
      <c r="D14" s="20" t="s">
        <v>1426</v>
      </c>
      <c r="E14" s="20" t="s">
        <v>118</v>
      </c>
      <c r="F14" s="20" t="s">
        <v>119</v>
      </c>
      <c r="G14" s="21" t="s">
        <v>56</v>
      </c>
      <c r="H14" s="21" t="s">
        <v>100</v>
      </c>
      <c r="I14" s="21" t="s">
        <v>342</v>
      </c>
      <c r="J14" s="22"/>
      <c r="K14" s="20" t="str">
        <f>"97,5"</f>
        <v>97,5</v>
      </c>
      <c r="L14" s="21" t="str">
        <f>"72,9167"</f>
        <v>72,9167</v>
      </c>
      <c r="M14" s="20" t="s">
        <v>22</v>
      </c>
    </row>
    <row r="15" spans="1:13">
      <c r="A15" s="26" t="s">
        <v>344</v>
      </c>
      <c r="B15" s="26" t="s">
        <v>345</v>
      </c>
      <c r="C15" s="26" t="s">
        <v>346</v>
      </c>
      <c r="D15" s="26" t="s">
        <v>1427</v>
      </c>
      <c r="E15" s="26" t="s">
        <v>347</v>
      </c>
      <c r="F15" s="26" t="s">
        <v>348</v>
      </c>
      <c r="G15" s="27" t="s">
        <v>100</v>
      </c>
      <c r="H15" s="27" t="s">
        <v>349</v>
      </c>
      <c r="I15" s="28" t="s">
        <v>350</v>
      </c>
      <c r="J15" s="28"/>
      <c r="K15" s="26" t="str">
        <f>"102,5"</f>
        <v>102,5</v>
      </c>
      <c r="L15" s="27" t="str">
        <f>"79,9705"</f>
        <v>79,9705</v>
      </c>
      <c r="M15" s="26" t="s">
        <v>22</v>
      </c>
    </row>
    <row r="17" spans="1:13" ht="16">
      <c r="A17" s="59" t="s">
        <v>86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8" spans="1:13">
      <c r="A18" s="20" t="s">
        <v>352</v>
      </c>
      <c r="B18" s="20" t="s">
        <v>353</v>
      </c>
      <c r="C18" s="20" t="s">
        <v>354</v>
      </c>
      <c r="D18" s="20" t="s">
        <v>1426</v>
      </c>
      <c r="E18" s="20" t="s">
        <v>118</v>
      </c>
      <c r="F18" s="20" t="s">
        <v>119</v>
      </c>
      <c r="G18" s="21" t="s">
        <v>100</v>
      </c>
      <c r="H18" s="21" t="s">
        <v>342</v>
      </c>
      <c r="I18" s="22" t="s">
        <v>101</v>
      </c>
      <c r="J18" s="22"/>
      <c r="K18" s="20" t="str">
        <f>"97,5"</f>
        <v>97,5</v>
      </c>
      <c r="L18" s="21" t="str">
        <f>"66,0845"</f>
        <v>66,0845</v>
      </c>
      <c r="M18" s="20" t="s">
        <v>22</v>
      </c>
    </row>
    <row r="19" spans="1:13">
      <c r="A19" s="26" t="s">
        <v>356</v>
      </c>
      <c r="B19" s="26" t="s">
        <v>357</v>
      </c>
      <c r="C19" s="26" t="s">
        <v>358</v>
      </c>
      <c r="D19" s="26" t="s">
        <v>1427</v>
      </c>
      <c r="E19" s="26" t="s">
        <v>118</v>
      </c>
      <c r="F19" s="26" t="s">
        <v>119</v>
      </c>
      <c r="G19" s="27" t="s">
        <v>151</v>
      </c>
      <c r="H19" s="27" t="s">
        <v>359</v>
      </c>
      <c r="I19" s="27" t="s">
        <v>92</v>
      </c>
      <c r="J19" s="28"/>
      <c r="K19" s="26" t="str">
        <f>"115,0"</f>
        <v>115,0</v>
      </c>
      <c r="L19" s="27" t="str">
        <f>"76,6590"</f>
        <v>76,6590</v>
      </c>
      <c r="M19" s="26" t="s">
        <v>22</v>
      </c>
    </row>
    <row r="21" spans="1:13" ht="16">
      <c r="A21" s="59" t="s">
        <v>13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</row>
    <row r="22" spans="1:13">
      <c r="A22" s="20" t="s">
        <v>361</v>
      </c>
      <c r="B22" s="20" t="s">
        <v>362</v>
      </c>
      <c r="C22" s="20" t="s">
        <v>363</v>
      </c>
      <c r="D22" s="20" t="s">
        <v>1430</v>
      </c>
      <c r="E22" s="20" t="s">
        <v>118</v>
      </c>
      <c r="F22" s="20" t="s">
        <v>119</v>
      </c>
      <c r="G22" s="21" t="s">
        <v>93</v>
      </c>
      <c r="H22" s="21" t="s">
        <v>364</v>
      </c>
      <c r="I22" s="21" t="s">
        <v>98</v>
      </c>
      <c r="J22" s="22"/>
      <c r="K22" s="20" t="str">
        <f>"130,0"</f>
        <v>130,0</v>
      </c>
      <c r="L22" s="21" t="str">
        <f>"88,0287"</f>
        <v>88,0287</v>
      </c>
      <c r="M22" s="20" t="s">
        <v>22</v>
      </c>
    </row>
    <row r="23" spans="1:13">
      <c r="A23" s="23" t="s">
        <v>366</v>
      </c>
      <c r="B23" s="23" t="s">
        <v>367</v>
      </c>
      <c r="C23" s="23" t="s">
        <v>368</v>
      </c>
      <c r="D23" s="23" t="s">
        <v>1427</v>
      </c>
      <c r="E23" s="23" t="s">
        <v>118</v>
      </c>
      <c r="F23" s="23" t="s">
        <v>119</v>
      </c>
      <c r="G23" s="24" t="s">
        <v>85</v>
      </c>
      <c r="H23" s="25" t="s">
        <v>151</v>
      </c>
      <c r="I23" s="25"/>
      <c r="J23" s="25"/>
      <c r="K23" s="23" t="str">
        <f>"105,0"</f>
        <v>105,0</v>
      </c>
      <c r="L23" s="24" t="str">
        <f>"65,4675"</f>
        <v>65,4675</v>
      </c>
      <c r="M23" s="23" t="s">
        <v>22</v>
      </c>
    </row>
    <row r="24" spans="1:13">
      <c r="A24" s="26" t="s">
        <v>370</v>
      </c>
      <c r="B24" s="26" t="s">
        <v>371</v>
      </c>
      <c r="C24" s="26" t="s">
        <v>372</v>
      </c>
      <c r="D24" s="26" t="s">
        <v>1427</v>
      </c>
      <c r="E24" s="26" t="s">
        <v>118</v>
      </c>
      <c r="F24" s="26" t="s">
        <v>119</v>
      </c>
      <c r="G24" s="27" t="s">
        <v>342</v>
      </c>
      <c r="H24" s="27" t="s">
        <v>349</v>
      </c>
      <c r="I24" s="28" t="s">
        <v>85</v>
      </c>
      <c r="J24" s="28"/>
      <c r="K24" s="26" t="str">
        <f>"102,5"</f>
        <v>102,5</v>
      </c>
      <c r="L24" s="27" t="str">
        <f>"63,5807"</f>
        <v>63,5807</v>
      </c>
      <c r="M24" s="26" t="s">
        <v>22</v>
      </c>
    </row>
    <row r="26" spans="1:13" ht="16">
      <c r="A26" s="59" t="s">
        <v>152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</row>
    <row r="27" spans="1:13">
      <c r="A27" s="20" t="s">
        <v>374</v>
      </c>
      <c r="B27" s="20" t="s">
        <v>375</v>
      </c>
      <c r="C27" s="20" t="s">
        <v>376</v>
      </c>
      <c r="D27" s="20" t="s">
        <v>1430</v>
      </c>
      <c r="E27" s="20" t="s">
        <v>118</v>
      </c>
      <c r="F27" s="20" t="s">
        <v>119</v>
      </c>
      <c r="G27" s="21" t="s">
        <v>91</v>
      </c>
      <c r="H27" s="22" t="s">
        <v>174</v>
      </c>
      <c r="I27" s="22" t="s">
        <v>174</v>
      </c>
      <c r="J27" s="22"/>
      <c r="K27" s="20" t="str">
        <f>"110,0"</f>
        <v>110,0</v>
      </c>
      <c r="L27" s="21" t="str">
        <f>"67,4159"</f>
        <v>67,4159</v>
      </c>
      <c r="M27" s="20" t="s">
        <v>22</v>
      </c>
    </row>
    <row r="28" spans="1:13">
      <c r="A28" s="23" t="s">
        <v>378</v>
      </c>
      <c r="B28" s="30" t="s">
        <v>1422</v>
      </c>
      <c r="C28" s="23" t="s">
        <v>379</v>
      </c>
      <c r="D28" s="23" t="s">
        <v>1427</v>
      </c>
      <c r="E28" s="23" t="s">
        <v>14</v>
      </c>
      <c r="F28" s="23" t="s">
        <v>380</v>
      </c>
      <c r="G28" s="24" t="s">
        <v>381</v>
      </c>
      <c r="H28" s="24" t="s">
        <v>158</v>
      </c>
      <c r="I28" s="24" t="s">
        <v>382</v>
      </c>
      <c r="J28" s="25"/>
      <c r="K28" s="23" t="str">
        <f>"152,5"</f>
        <v>152,5</v>
      </c>
      <c r="L28" s="24" t="str">
        <f>"90,5698"</f>
        <v>90,5698</v>
      </c>
      <c r="M28" s="23" t="s">
        <v>22</v>
      </c>
    </row>
    <row r="29" spans="1:13">
      <c r="A29" s="23" t="s">
        <v>384</v>
      </c>
      <c r="B29" s="23" t="s">
        <v>385</v>
      </c>
      <c r="C29" s="23" t="s">
        <v>386</v>
      </c>
      <c r="D29" s="23" t="s">
        <v>1427</v>
      </c>
      <c r="E29" s="23" t="s">
        <v>347</v>
      </c>
      <c r="F29" s="23" t="s">
        <v>348</v>
      </c>
      <c r="G29" s="24" t="s">
        <v>112</v>
      </c>
      <c r="H29" s="25" t="s">
        <v>381</v>
      </c>
      <c r="I29" s="24" t="s">
        <v>381</v>
      </c>
      <c r="J29" s="25"/>
      <c r="K29" s="23" t="str">
        <f>"142,5"</f>
        <v>142,5</v>
      </c>
      <c r="L29" s="24" t="str">
        <f>"83,8043"</f>
        <v>83,8043</v>
      </c>
      <c r="M29" s="23" t="s">
        <v>22</v>
      </c>
    </row>
    <row r="30" spans="1:13">
      <c r="A30" s="26" t="s">
        <v>388</v>
      </c>
      <c r="B30" s="26" t="s">
        <v>389</v>
      </c>
      <c r="C30" s="26" t="s">
        <v>390</v>
      </c>
      <c r="D30" s="26" t="s">
        <v>1435</v>
      </c>
      <c r="E30" s="26" t="s">
        <v>14</v>
      </c>
      <c r="F30" s="26" t="s">
        <v>62</v>
      </c>
      <c r="G30" s="27" t="s">
        <v>91</v>
      </c>
      <c r="H30" s="27" t="s">
        <v>391</v>
      </c>
      <c r="I30" s="28" t="s">
        <v>174</v>
      </c>
      <c r="J30" s="28"/>
      <c r="K30" s="26" t="str">
        <f>"115,0"</f>
        <v>115,0</v>
      </c>
      <c r="L30" s="27" t="str">
        <f>"88,2859"</f>
        <v>88,2859</v>
      </c>
      <c r="M30" s="26" t="s">
        <v>22</v>
      </c>
    </row>
    <row r="32" spans="1:13" ht="16">
      <c r="A32" s="59" t="s">
        <v>169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</row>
    <row r="33" spans="1:13">
      <c r="A33" s="20" t="s">
        <v>393</v>
      </c>
      <c r="B33" s="20" t="s">
        <v>394</v>
      </c>
      <c r="C33" s="20" t="s">
        <v>395</v>
      </c>
      <c r="D33" s="20" t="s">
        <v>1427</v>
      </c>
      <c r="E33" s="20" t="s">
        <v>118</v>
      </c>
      <c r="F33" s="20" t="s">
        <v>119</v>
      </c>
      <c r="G33" s="21" t="s">
        <v>91</v>
      </c>
      <c r="H33" s="21" t="s">
        <v>359</v>
      </c>
      <c r="I33" s="21" t="s">
        <v>92</v>
      </c>
      <c r="J33" s="22"/>
      <c r="K33" s="20" t="str">
        <f>"115,0"</f>
        <v>115,0</v>
      </c>
      <c r="L33" s="21" t="str">
        <f>"63,7100"</f>
        <v>63,7100</v>
      </c>
      <c r="M33" s="20" t="s">
        <v>22</v>
      </c>
    </row>
    <row r="34" spans="1:13">
      <c r="A34" s="26" t="s">
        <v>397</v>
      </c>
      <c r="B34" s="26" t="s">
        <v>398</v>
      </c>
      <c r="C34" s="26" t="s">
        <v>399</v>
      </c>
      <c r="D34" s="26" t="s">
        <v>1435</v>
      </c>
      <c r="E34" s="26" t="s">
        <v>118</v>
      </c>
      <c r="F34" s="26" t="s">
        <v>119</v>
      </c>
      <c r="G34" s="27" t="s">
        <v>99</v>
      </c>
      <c r="H34" s="27" t="s">
        <v>113</v>
      </c>
      <c r="I34" s="28" t="s">
        <v>400</v>
      </c>
      <c r="J34" s="28"/>
      <c r="K34" s="26" t="str">
        <f>"145,0"</f>
        <v>145,0</v>
      </c>
      <c r="L34" s="27" t="str">
        <f>"95,2306"</f>
        <v>95,2306</v>
      </c>
      <c r="M34" s="26" t="s">
        <v>22</v>
      </c>
    </row>
    <row r="36" spans="1:13" ht="16">
      <c r="A36" s="59" t="s">
        <v>176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</row>
    <row r="37" spans="1:13">
      <c r="A37" s="8" t="s">
        <v>402</v>
      </c>
      <c r="B37" s="8" t="s">
        <v>403</v>
      </c>
      <c r="C37" s="8" t="s">
        <v>404</v>
      </c>
      <c r="D37" s="8" t="s">
        <v>1427</v>
      </c>
      <c r="E37" s="8" t="s">
        <v>14</v>
      </c>
      <c r="F37" s="8" t="s">
        <v>380</v>
      </c>
      <c r="G37" s="10" t="s">
        <v>113</v>
      </c>
      <c r="H37" s="9" t="s">
        <v>405</v>
      </c>
      <c r="I37" s="10" t="s">
        <v>142</v>
      </c>
      <c r="J37" s="10"/>
      <c r="K37" s="8" t="str">
        <f>"145,0"</f>
        <v>145,0</v>
      </c>
      <c r="L37" s="9" t="str">
        <f>"78,0970"</f>
        <v>78,0970</v>
      </c>
      <c r="M37" s="8" t="s">
        <v>22</v>
      </c>
    </row>
    <row r="39" spans="1:13" ht="16">
      <c r="A39" s="59" t="s">
        <v>262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</row>
    <row r="40" spans="1:13">
      <c r="A40" s="8" t="s">
        <v>407</v>
      </c>
      <c r="B40" s="8" t="s">
        <v>408</v>
      </c>
      <c r="C40" s="8" t="s">
        <v>409</v>
      </c>
      <c r="D40" s="8" t="s">
        <v>1425</v>
      </c>
      <c r="E40" s="8" t="s">
        <v>253</v>
      </c>
      <c r="F40" s="8" t="s">
        <v>254</v>
      </c>
      <c r="G40" s="9" t="s">
        <v>174</v>
      </c>
      <c r="H40" s="9" t="s">
        <v>112</v>
      </c>
      <c r="I40" s="9" t="s">
        <v>381</v>
      </c>
      <c r="J40" s="10"/>
      <c r="K40" s="8" t="str">
        <f>"142,5"</f>
        <v>142,5</v>
      </c>
      <c r="L40" s="9" t="str">
        <f>"80,2792"</f>
        <v>80,2792</v>
      </c>
      <c r="M40" s="8" t="s">
        <v>22</v>
      </c>
    </row>
    <row r="42" spans="1:13" ht="16">
      <c r="A42" s="59" t="s">
        <v>410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</row>
    <row r="43" spans="1:13">
      <c r="A43" s="8" t="s">
        <v>412</v>
      </c>
      <c r="B43" s="8" t="s">
        <v>413</v>
      </c>
      <c r="C43" s="8" t="s">
        <v>414</v>
      </c>
      <c r="D43" s="8" t="s">
        <v>1427</v>
      </c>
      <c r="E43" s="8" t="s">
        <v>14</v>
      </c>
      <c r="F43" s="8" t="s">
        <v>415</v>
      </c>
      <c r="G43" s="9" t="s">
        <v>416</v>
      </c>
      <c r="H43" s="9" t="s">
        <v>417</v>
      </c>
      <c r="I43" s="10"/>
      <c r="J43" s="10"/>
      <c r="K43" s="8" t="str">
        <f>"225,0"</f>
        <v>225,0</v>
      </c>
      <c r="L43" s="9" t="str">
        <f>"115,2810"</f>
        <v>115,2810</v>
      </c>
      <c r="M43" s="8" t="s">
        <v>22</v>
      </c>
    </row>
    <row r="45" spans="1:13" ht="16">
      <c r="E45" s="12" t="s">
        <v>23</v>
      </c>
      <c r="F45" s="12" t="s">
        <v>1130</v>
      </c>
    </row>
    <row r="46" spans="1:13" ht="16">
      <c r="E46" s="12" t="s">
        <v>26</v>
      </c>
      <c r="F46" s="12" t="s">
        <v>1131</v>
      </c>
    </row>
    <row r="47" spans="1:13" ht="16">
      <c r="E47" s="12" t="s">
        <v>24</v>
      </c>
      <c r="F47" s="12" t="s">
        <v>1130</v>
      </c>
    </row>
    <row r="48" spans="1:13" ht="16">
      <c r="E48" s="12" t="s">
        <v>25</v>
      </c>
      <c r="F48" s="12" t="s">
        <v>1416</v>
      </c>
    </row>
    <row r="49" spans="1:6" ht="16">
      <c r="E49" s="12" t="s">
        <v>25</v>
      </c>
      <c r="F49" s="12" t="s">
        <v>1372</v>
      </c>
    </row>
    <row r="50" spans="1:6" ht="16">
      <c r="E50" s="12"/>
      <c r="F50" s="12"/>
    </row>
    <row r="51" spans="1:6" ht="16">
      <c r="E51" s="12"/>
    </row>
    <row r="53" spans="1:6" ht="18">
      <c r="A53" s="13" t="s">
        <v>27</v>
      </c>
      <c r="B53" s="13"/>
    </row>
    <row r="54" spans="1:6" ht="16">
      <c r="A54" s="14" t="s">
        <v>193</v>
      </c>
      <c r="B54" s="14"/>
    </row>
    <row r="55" spans="1:6" ht="14">
      <c r="A55" s="16"/>
      <c r="B55" s="17" t="s">
        <v>29</v>
      </c>
    </row>
    <row r="56" spans="1:6" ht="14">
      <c r="A56" s="18" t="s">
        <v>30</v>
      </c>
      <c r="B56" s="18" t="s">
        <v>31</v>
      </c>
      <c r="C56" s="18" t="s">
        <v>32</v>
      </c>
      <c r="D56" s="18" t="s">
        <v>33</v>
      </c>
      <c r="E56" s="18" t="s">
        <v>34</v>
      </c>
    </row>
    <row r="57" spans="1:6">
      <c r="A57" s="15" t="s">
        <v>319</v>
      </c>
      <c r="B57" s="4" t="s">
        <v>29</v>
      </c>
      <c r="C57" s="4" t="s">
        <v>418</v>
      </c>
      <c r="D57" s="4" t="s">
        <v>330</v>
      </c>
      <c r="E57" s="19" t="s">
        <v>419</v>
      </c>
    </row>
    <row r="60" spans="1:6" ht="16">
      <c r="A60" s="14" t="s">
        <v>28</v>
      </c>
      <c r="B60" s="14"/>
    </row>
    <row r="61" spans="1:6" ht="14">
      <c r="A61" s="16"/>
      <c r="B61" s="17" t="s">
        <v>199</v>
      </c>
    </row>
    <row r="62" spans="1:6" ht="14">
      <c r="A62" s="18" t="s">
        <v>30</v>
      </c>
      <c r="B62" s="18" t="s">
        <v>31</v>
      </c>
      <c r="C62" s="18" t="s">
        <v>32</v>
      </c>
      <c r="D62" s="18" t="s">
        <v>33</v>
      </c>
      <c r="E62" s="18" t="s">
        <v>34</v>
      </c>
    </row>
    <row r="63" spans="1:6">
      <c r="A63" s="15" t="s">
        <v>360</v>
      </c>
      <c r="B63" s="4" t="s">
        <v>204</v>
      </c>
      <c r="C63" s="4" t="s">
        <v>35</v>
      </c>
      <c r="D63" s="4" t="s">
        <v>98</v>
      </c>
      <c r="E63" s="19" t="s">
        <v>420</v>
      </c>
    </row>
    <row r="64" spans="1:6">
      <c r="A64" s="15" t="s">
        <v>326</v>
      </c>
      <c r="B64" s="4" t="s">
        <v>200</v>
      </c>
      <c r="C64" s="4" t="s">
        <v>421</v>
      </c>
      <c r="D64" s="4" t="s">
        <v>67</v>
      </c>
      <c r="E64" s="19" t="s">
        <v>422</v>
      </c>
    </row>
    <row r="65" spans="1:5">
      <c r="A65" s="15" t="s">
        <v>373</v>
      </c>
      <c r="B65" s="4" t="s">
        <v>204</v>
      </c>
      <c r="C65" s="4" t="s">
        <v>219</v>
      </c>
      <c r="D65" s="4" t="s">
        <v>91</v>
      </c>
      <c r="E65" s="19" t="s">
        <v>423</v>
      </c>
    </row>
    <row r="67" spans="1:5" ht="14">
      <c r="A67" s="16"/>
      <c r="B67" s="17" t="s">
        <v>213</v>
      </c>
    </row>
    <row r="68" spans="1:5" ht="14">
      <c r="A68" s="18" t="s">
        <v>30</v>
      </c>
      <c r="B68" s="18" t="s">
        <v>31</v>
      </c>
      <c r="C68" s="18" t="s">
        <v>32</v>
      </c>
      <c r="D68" s="18" t="s">
        <v>33</v>
      </c>
      <c r="E68" s="18" t="s">
        <v>34</v>
      </c>
    </row>
    <row r="69" spans="1:5">
      <c r="A69" s="15" t="s">
        <v>332</v>
      </c>
      <c r="B69" s="4" t="s">
        <v>214</v>
      </c>
      <c r="C69" s="4" t="s">
        <v>421</v>
      </c>
      <c r="D69" s="4" t="s">
        <v>101</v>
      </c>
      <c r="E69" s="19" t="s">
        <v>424</v>
      </c>
    </row>
    <row r="70" spans="1:5">
      <c r="A70" s="15" t="s">
        <v>338</v>
      </c>
      <c r="B70" s="4" t="s">
        <v>214</v>
      </c>
      <c r="C70" s="4" t="s">
        <v>418</v>
      </c>
      <c r="D70" s="4" t="s">
        <v>342</v>
      </c>
      <c r="E70" s="19" t="s">
        <v>425</v>
      </c>
    </row>
    <row r="71" spans="1:5">
      <c r="A71" s="15" t="s">
        <v>351</v>
      </c>
      <c r="B71" s="4" t="s">
        <v>214</v>
      </c>
      <c r="C71" s="4" t="s">
        <v>201</v>
      </c>
      <c r="D71" s="4" t="s">
        <v>342</v>
      </c>
      <c r="E71" s="19" t="s">
        <v>426</v>
      </c>
    </row>
    <row r="73" spans="1:5" ht="14">
      <c r="A73" s="16"/>
      <c r="B73" s="17" t="s">
        <v>29</v>
      </c>
    </row>
    <row r="74" spans="1:5" ht="14">
      <c r="A74" s="18" t="s">
        <v>30</v>
      </c>
      <c r="B74" s="18" t="s">
        <v>31</v>
      </c>
      <c r="C74" s="18" t="s">
        <v>32</v>
      </c>
      <c r="D74" s="18" t="s">
        <v>33</v>
      </c>
      <c r="E74" s="18" t="s">
        <v>34</v>
      </c>
    </row>
    <row r="75" spans="1:5">
      <c r="A75" s="15" t="s">
        <v>411</v>
      </c>
      <c r="B75" s="4" t="s">
        <v>29</v>
      </c>
      <c r="C75" s="4" t="s">
        <v>427</v>
      </c>
      <c r="D75" s="4" t="s">
        <v>255</v>
      </c>
      <c r="E75" s="19" t="s">
        <v>428</v>
      </c>
    </row>
    <row r="76" spans="1:5">
      <c r="A76" s="15" t="s">
        <v>377</v>
      </c>
      <c r="B76" s="4" t="s">
        <v>29</v>
      </c>
      <c r="C76" s="4" t="s">
        <v>219</v>
      </c>
      <c r="D76" s="4" t="s">
        <v>382</v>
      </c>
      <c r="E76" s="19" t="s">
        <v>429</v>
      </c>
    </row>
    <row r="77" spans="1:5">
      <c r="A77" s="15" t="s">
        <v>383</v>
      </c>
      <c r="B77" s="4" t="s">
        <v>29</v>
      </c>
      <c r="C77" s="4" t="s">
        <v>219</v>
      </c>
      <c r="D77" s="4" t="s">
        <v>381</v>
      </c>
      <c r="E77" s="19" t="s">
        <v>430</v>
      </c>
    </row>
    <row r="78" spans="1:5">
      <c r="A78" s="15" t="s">
        <v>332</v>
      </c>
      <c r="B78" s="4" t="s">
        <v>29</v>
      </c>
      <c r="C78" s="4" t="s">
        <v>421</v>
      </c>
      <c r="D78" s="4" t="s">
        <v>101</v>
      </c>
      <c r="E78" s="19" t="s">
        <v>431</v>
      </c>
    </row>
    <row r="79" spans="1:5">
      <c r="A79" s="15" t="s">
        <v>343</v>
      </c>
      <c r="B79" s="4" t="s">
        <v>29</v>
      </c>
      <c r="C79" s="4" t="s">
        <v>418</v>
      </c>
      <c r="D79" s="4" t="s">
        <v>349</v>
      </c>
      <c r="E79" s="19" t="s">
        <v>432</v>
      </c>
    </row>
    <row r="80" spans="1:5">
      <c r="A80" s="15" t="s">
        <v>401</v>
      </c>
      <c r="B80" s="4" t="s">
        <v>29</v>
      </c>
      <c r="C80" s="4" t="s">
        <v>222</v>
      </c>
      <c r="D80" s="4" t="s">
        <v>113</v>
      </c>
      <c r="E80" s="19" t="s">
        <v>433</v>
      </c>
    </row>
    <row r="81" spans="1:5">
      <c r="A81" s="15" t="s">
        <v>355</v>
      </c>
      <c r="B81" s="4" t="s">
        <v>29</v>
      </c>
      <c r="C81" s="4" t="s">
        <v>201</v>
      </c>
      <c r="D81" s="4" t="s">
        <v>92</v>
      </c>
      <c r="E81" s="19" t="s">
        <v>434</v>
      </c>
    </row>
    <row r="82" spans="1:5">
      <c r="A82" s="15" t="s">
        <v>365</v>
      </c>
      <c r="B82" s="4" t="s">
        <v>29</v>
      </c>
      <c r="C82" s="4" t="s">
        <v>35</v>
      </c>
      <c r="D82" s="4" t="s">
        <v>85</v>
      </c>
      <c r="E82" s="19" t="s">
        <v>435</v>
      </c>
    </row>
    <row r="83" spans="1:5">
      <c r="A83" s="15" t="s">
        <v>392</v>
      </c>
      <c r="B83" s="4" t="s">
        <v>29</v>
      </c>
      <c r="C83" s="4" t="s">
        <v>232</v>
      </c>
      <c r="D83" s="4" t="s">
        <v>92</v>
      </c>
      <c r="E83" s="19" t="s">
        <v>436</v>
      </c>
    </row>
    <row r="84" spans="1:5">
      <c r="A84" s="15" t="s">
        <v>369</v>
      </c>
      <c r="B84" s="4" t="s">
        <v>29</v>
      </c>
      <c r="C84" s="4" t="s">
        <v>35</v>
      </c>
      <c r="D84" s="4" t="s">
        <v>349</v>
      </c>
      <c r="E84" s="19" t="s">
        <v>437</v>
      </c>
    </row>
    <row r="86" spans="1:5" ht="14">
      <c r="A86" s="16"/>
      <c r="B86" s="17" t="s">
        <v>280</v>
      </c>
    </row>
    <row r="87" spans="1:5" ht="14">
      <c r="A87" s="18" t="s">
        <v>30</v>
      </c>
      <c r="B87" s="18" t="s">
        <v>31</v>
      </c>
      <c r="C87" s="18" t="s">
        <v>32</v>
      </c>
      <c r="D87" s="18" t="s">
        <v>33</v>
      </c>
      <c r="E87" s="18" t="s">
        <v>34</v>
      </c>
    </row>
    <row r="88" spans="1:5">
      <c r="A88" s="15" t="s">
        <v>396</v>
      </c>
      <c r="B88" s="4" t="s">
        <v>281</v>
      </c>
      <c r="C88" s="4" t="s">
        <v>232</v>
      </c>
      <c r="D88" s="4" t="s">
        <v>113</v>
      </c>
      <c r="E88" s="19" t="s">
        <v>438</v>
      </c>
    </row>
    <row r="89" spans="1:5">
      <c r="A89" s="15" t="s">
        <v>387</v>
      </c>
      <c r="B89" s="4" t="s">
        <v>281</v>
      </c>
      <c r="C89" s="4" t="s">
        <v>219</v>
      </c>
      <c r="D89" s="4" t="s">
        <v>92</v>
      </c>
      <c r="E89" s="19" t="s">
        <v>439</v>
      </c>
    </row>
    <row r="90" spans="1:5">
      <c r="A90" s="15" t="s">
        <v>406</v>
      </c>
      <c r="B90" s="4" t="s">
        <v>440</v>
      </c>
      <c r="C90" s="4" t="s">
        <v>277</v>
      </c>
      <c r="D90" s="4" t="s">
        <v>381</v>
      </c>
      <c r="E90" s="19" t="s">
        <v>441</v>
      </c>
    </row>
    <row r="95" spans="1:5" ht="18">
      <c r="A95" s="13" t="s">
        <v>36</v>
      </c>
      <c r="B95" s="13"/>
    </row>
    <row r="96" spans="1:5" ht="14">
      <c r="A96" s="18" t="s">
        <v>37</v>
      </c>
      <c r="B96" s="18" t="s">
        <v>38</v>
      </c>
      <c r="C96" s="18" t="s">
        <v>39</v>
      </c>
    </row>
    <row r="97" spans="1:3">
      <c r="A97" s="4" t="s">
        <v>118</v>
      </c>
      <c r="B97" s="4" t="s">
        <v>442</v>
      </c>
      <c r="C97" s="4" t="s">
        <v>443</v>
      </c>
    </row>
    <row r="98" spans="1:3">
      <c r="A98" s="4" t="s">
        <v>14</v>
      </c>
      <c r="B98" s="4" t="s">
        <v>444</v>
      </c>
      <c r="C98" s="4" t="s">
        <v>445</v>
      </c>
    </row>
    <row r="99" spans="1:3">
      <c r="A99" s="4" t="s">
        <v>347</v>
      </c>
      <c r="B99" s="4" t="s">
        <v>446</v>
      </c>
      <c r="C99" s="4" t="s">
        <v>447</v>
      </c>
    </row>
    <row r="100" spans="1:3">
      <c r="A100" s="4" t="s">
        <v>253</v>
      </c>
      <c r="B100" s="4" t="s">
        <v>40</v>
      </c>
      <c r="C100" s="4" t="s">
        <v>448</v>
      </c>
    </row>
  </sheetData>
  <mergeCells count="21">
    <mergeCell ref="A13:L13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  <mergeCell ref="A42:L42"/>
    <mergeCell ref="A17:L17"/>
    <mergeCell ref="A21:L21"/>
    <mergeCell ref="A26:L26"/>
    <mergeCell ref="A32:L32"/>
    <mergeCell ref="A36:L36"/>
    <mergeCell ref="A39:L39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U27"/>
  <sheetViews>
    <sheetView workbookViewId="0">
      <selection activeCell="E14" sqref="E14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17.6640625" style="4" bestFit="1" customWidth="1"/>
    <col min="4" max="4" width="9.33203125" style="4" bestFit="1" customWidth="1"/>
    <col min="5" max="5" width="22.6640625" style="4" bestFit="1" customWidth="1"/>
    <col min="6" max="6" width="30.33203125" style="4" bestFit="1" customWidth="1"/>
    <col min="7" max="7" width="6.5" style="3" bestFit="1" customWidth="1"/>
    <col min="8" max="9" width="5.5" style="3" bestFit="1" customWidth="1"/>
    <col min="10" max="10" width="4.83203125" style="3" bestFit="1" customWidth="1"/>
    <col min="11" max="12" width="5.5" style="3" bestFit="1" customWidth="1"/>
    <col min="13" max="13" width="6.5" style="3" bestFit="1" customWidth="1"/>
    <col min="14" max="14" width="4.83203125" style="3" bestFit="1" customWidth="1"/>
    <col min="15" max="16" width="6.5" style="3" bestFit="1" customWidth="1"/>
    <col min="17" max="17" width="5.5" style="3" bestFit="1" customWidth="1"/>
    <col min="18" max="18" width="4.83203125" style="3" bestFit="1" customWidth="1"/>
    <col min="19" max="19" width="7.83203125" style="4" bestFit="1" customWidth="1"/>
    <col min="20" max="20" width="8.5" style="3" bestFit="1" customWidth="1"/>
    <col min="21" max="21" width="8.83203125" style="4" bestFit="1" customWidth="1"/>
    <col min="22" max="16384" width="9.1640625" style="3"/>
  </cols>
  <sheetData>
    <row r="1" spans="1:21" s="2" customFormat="1" ht="29" customHeight="1">
      <c r="A1" s="73" t="s">
        <v>1151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5"/>
    </row>
    <row r="2" spans="1:21" s="2" customFormat="1" ht="101.25" customHeight="1" thickBot="1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8"/>
    </row>
    <row r="3" spans="1:21" s="1" customFormat="1" ht="12.75" customHeight="1">
      <c r="A3" s="66" t="s">
        <v>0</v>
      </c>
      <c r="B3" s="68" t="s">
        <v>1423</v>
      </c>
      <c r="C3" s="68" t="s">
        <v>8</v>
      </c>
      <c r="D3" s="70" t="s">
        <v>1424</v>
      </c>
      <c r="E3" s="70" t="s">
        <v>5</v>
      </c>
      <c r="F3" s="70" t="s">
        <v>9</v>
      </c>
      <c r="G3" s="70" t="s">
        <v>10</v>
      </c>
      <c r="H3" s="70"/>
      <c r="I3" s="70"/>
      <c r="J3" s="70"/>
      <c r="K3" s="70" t="s">
        <v>11</v>
      </c>
      <c r="L3" s="70"/>
      <c r="M3" s="70"/>
      <c r="N3" s="70"/>
      <c r="O3" s="70" t="s">
        <v>12</v>
      </c>
      <c r="P3" s="70"/>
      <c r="Q3" s="70"/>
      <c r="R3" s="70"/>
      <c r="S3" s="70" t="s">
        <v>2</v>
      </c>
      <c r="T3" s="70" t="s">
        <v>4</v>
      </c>
      <c r="U3" s="71" t="s">
        <v>3</v>
      </c>
    </row>
    <row r="4" spans="1:21" s="1" customFormat="1" ht="21" customHeight="1" thickBot="1">
      <c r="A4" s="67"/>
      <c r="B4" s="69"/>
      <c r="C4" s="69"/>
      <c r="D4" s="69"/>
      <c r="E4" s="69"/>
      <c r="F4" s="69"/>
      <c r="G4" s="7">
        <v>1</v>
      </c>
      <c r="H4" s="7">
        <v>2</v>
      </c>
      <c r="I4" s="7">
        <v>3</v>
      </c>
      <c r="J4" s="7" t="s">
        <v>6</v>
      </c>
      <c r="K4" s="7">
        <v>1</v>
      </c>
      <c r="L4" s="7">
        <v>2</v>
      </c>
      <c r="M4" s="7">
        <v>3</v>
      </c>
      <c r="N4" s="7" t="s">
        <v>6</v>
      </c>
      <c r="O4" s="7">
        <v>1</v>
      </c>
      <c r="P4" s="7">
        <v>2</v>
      </c>
      <c r="Q4" s="7">
        <v>3</v>
      </c>
      <c r="R4" s="7" t="s">
        <v>6</v>
      </c>
      <c r="S4" s="69"/>
      <c r="T4" s="69"/>
      <c r="U4" s="72"/>
    </row>
    <row r="5" spans="1:21" ht="16">
      <c r="A5" s="58" t="s">
        <v>169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1:21">
      <c r="A6" s="8" t="s">
        <v>305</v>
      </c>
      <c r="B6" s="8" t="s">
        <v>306</v>
      </c>
      <c r="C6" s="8" t="s">
        <v>307</v>
      </c>
      <c r="D6" s="8" t="s">
        <v>1431</v>
      </c>
      <c r="E6" s="8" t="s">
        <v>14</v>
      </c>
      <c r="F6" s="8" t="s">
        <v>62</v>
      </c>
      <c r="G6" s="9" t="s">
        <v>159</v>
      </c>
      <c r="H6" s="10" t="s">
        <v>308</v>
      </c>
      <c r="I6" s="10" t="s">
        <v>309</v>
      </c>
      <c r="J6" s="10"/>
      <c r="K6" s="10" t="s">
        <v>128</v>
      </c>
      <c r="L6" s="10" t="s">
        <v>128</v>
      </c>
      <c r="M6" s="9" t="s">
        <v>310</v>
      </c>
      <c r="N6" s="10"/>
      <c r="O6" s="9" t="s">
        <v>311</v>
      </c>
      <c r="P6" s="9" t="s">
        <v>312</v>
      </c>
      <c r="Q6" s="10" t="s">
        <v>313</v>
      </c>
      <c r="R6" s="10"/>
      <c r="S6" s="8" t="str">
        <f>"755.00o"</f>
        <v>755.00o</v>
      </c>
      <c r="T6" s="9" t="str">
        <f>"422,2630"</f>
        <v>422,2630</v>
      </c>
      <c r="U6" s="8" t="s">
        <v>22</v>
      </c>
    </row>
    <row r="8" spans="1:21" ht="16">
      <c r="E8" s="12" t="s">
        <v>23</v>
      </c>
      <c r="F8" s="12" t="s">
        <v>1130</v>
      </c>
    </row>
    <row r="9" spans="1:21" ht="16">
      <c r="E9" s="12" t="s">
        <v>26</v>
      </c>
      <c r="F9" s="12" t="s">
        <v>1131</v>
      </c>
    </row>
    <row r="10" spans="1:21" ht="16">
      <c r="E10" s="12" t="s">
        <v>24</v>
      </c>
      <c r="F10" s="12" t="s">
        <v>1130</v>
      </c>
    </row>
    <row r="11" spans="1:21" ht="16">
      <c r="E11" s="12" t="s">
        <v>25</v>
      </c>
      <c r="F11" s="12" t="s">
        <v>1416</v>
      </c>
    </row>
    <row r="12" spans="1:21" ht="16">
      <c r="E12" s="12" t="s">
        <v>25</v>
      </c>
      <c r="F12" s="12" t="s">
        <v>1372</v>
      </c>
    </row>
    <row r="13" spans="1:21" ht="16">
      <c r="E13" s="12"/>
      <c r="F13" s="12"/>
    </row>
    <row r="14" spans="1:21" ht="16">
      <c r="E14" s="12"/>
    </row>
    <row r="16" spans="1:21" ht="18">
      <c r="A16" s="13" t="s">
        <v>27</v>
      </c>
      <c r="B16" s="13"/>
    </row>
    <row r="17" spans="1:5" ht="16">
      <c r="A17" s="14" t="s">
        <v>28</v>
      </c>
      <c r="B17" s="14"/>
    </row>
    <row r="18" spans="1:5" ht="14">
      <c r="A18" s="16"/>
      <c r="B18" s="17" t="s">
        <v>280</v>
      </c>
    </row>
    <row r="19" spans="1:5" ht="14">
      <c r="A19" s="18" t="s">
        <v>30</v>
      </c>
      <c r="B19" s="18" t="s">
        <v>31</v>
      </c>
      <c r="C19" s="18" t="s">
        <v>32</v>
      </c>
      <c r="D19" s="18" t="s">
        <v>33</v>
      </c>
      <c r="E19" s="18" t="s">
        <v>34</v>
      </c>
    </row>
    <row r="20" spans="1:5">
      <c r="A20" s="15" t="s">
        <v>304</v>
      </c>
      <c r="B20" s="4" t="s">
        <v>314</v>
      </c>
      <c r="C20" s="4" t="s">
        <v>232</v>
      </c>
      <c r="D20" s="4" t="s">
        <v>315</v>
      </c>
      <c r="E20" s="19" t="s">
        <v>316</v>
      </c>
    </row>
    <row r="25" spans="1:5" ht="18">
      <c r="A25" s="13" t="s">
        <v>36</v>
      </c>
      <c r="B25" s="13"/>
    </row>
    <row r="26" spans="1:5" ht="14">
      <c r="A26" s="18" t="s">
        <v>37</v>
      </c>
      <c r="B26" s="18" t="s">
        <v>38</v>
      </c>
      <c r="C26" s="18" t="s">
        <v>39</v>
      </c>
    </row>
    <row r="27" spans="1:5">
      <c r="A27" s="4" t="s">
        <v>14</v>
      </c>
      <c r="B27" s="4" t="s">
        <v>40</v>
      </c>
      <c r="C27" s="4" t="s">
        <v>317</v>
      </c>
    </row>
  </sheetData>
  <mergeCells count="14">
    <mergeCell ref="S3:S4"/>
    <mergeCell ref="T3:T4"/>
    <mergeCell ref="U3:U4"/>
    <mergeCell ref="A5:T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U35"/>
  <sheetViews>
    <sheetView workbookViewId="0">
      <selection sqref="A1:U2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19" style="4" bestFit="1" customWidth="1"/>
    <col min="4" max="4" width="9.33203125" style="4" bestFit="1" customWidth="1"/>
    <col min="5" max="5" width="22.6640625" style="4" bestFit="1" customWidth="1"/>
    <col min="6" max="6" width="30.83203125" style="4" bestFit="1" customWidth="1"/>
    <col min="7" max="9" width="5.5" style="3" bestFit="1" customWidth="1"/>
    <col min="10" max="10" width="4.83203125" style="3" bestFit="1" customWidth="1"/>
    <col min="11" max="13" width="5.5" style="3" bestFit="1" customWidth="1"/>
    <col min="14" max="14" width="4.83203125" style="3" bestFit="1" customWidth="1"/>
    <col min="15" max="17" width="5.5" style="3" bestFit="1" customWidth="1"/>
    <col min="18" max="18" width="4.83203125" style="3" bestFit="1" customWidth="1"/>
    <col min="19" max="19" width="7.83203125" style="4" bestFit="1" customWidth="1"/>
    <col min="20" max="20" width="8.5" style="3" bestFit="1" customWidth="1"/>
    <col min="21" max="21" width="8.83203125" style="4" bestFit="1" customWidth="1"/>
    <col min="22" max="16384" width="9.1640625" style="3"/>
  </cols>
  <sheetData>
    <row r="1" spans="1:21" s="2" customFormat="1" ht="29" customHeight="1">
      <c r="A1" s="73" t="s">
        <v>1152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5"/>
    </row>
    <row r="2" spans="1:21" s="2" customFormat="1" ht="118.5" customHeight="1" thickBot="1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8"/>
    </row>
    <row r="3" spans="1:21" s="1" customFormat="1" ht="12.75" customHeight="1">
      <c r="A3" s="66" t="s">
        <v>0</v>
      </c>
      <c r="B3" s="68" t="s">
        <v>1423</v>
      </c>
      <c r="C3" s="68" t="s">
        <v>8</v>
      </c>
      <c r="D3" s="70" t="s">
        <v>1424</v>
      </c>
      <c r="E3" s="70" t="s">
        <v>5</v>
      </c>
      <c r="F3" s="70" t="s">
        <v>9</v>
      </c>
      <c r="G3" s="70" t="s">
        <v>10</v>
      </c>
      <c r="H3" s="70"/>
      <c r="I3" s="70"/>
      <c r="J3" s="70"/>
      <c r="K3" s="70" t="s">
        <v>11</v>
      </c>
      <c r="L3" s="70"/>
      <c r="M3" s="70"/>
      <c r="N3" s="70"/>
      <c r="O3" s="70" t="s">
        <v>12</v>
      </c>
      <c r="P3" s="70"/>
      <c r="Q3" s="70"/>
      <c r="R3" s="70"/>
      <c r="S3" s="70" t="s">
        <v>2</v>
      </c>
      <c r="T3" s="70" t="s">
        <v>4</v>
      </c>
      <c r="U3" s="71" t="s">
        <v>3</v>
      </c>
    </row>
    <row r="4" spans="1:21" s="1" customFormat="1" ht="21" customHeight="1" thickBot="1">
      <c r="A4" s="67"/>
      <c r="B4" s="69"/>
      <c r="C4" s="69"/>
      <c r="D4" s="69"/>
      <c r="E4" s="69"/>
      <c r="F4" s="69"/>
      <c r="G4" s="7">
        <v>1</v>
      </c>
      <c r="H4" s="7">
        <v>2</v>
      </c>
      <c r="I4" s="7">
        <v>3</v>
      </c>
      <c r="J4" s="7" t="s">
        <v>6</v>
      </c>
      <c r="K4" s="7">
        <v>1</v>
      </c>
      <c r="L4" s="7">
        <v>2</v>
      </c>
      <c r="M4" s="7">
        <v>3</v>
      </c>
      <c r="N4" s="7" t="s">
        <v>6</v>
      </c>
      <c r="O4" s="7">
        <v>1</v>
      </c>
      <c r="P4" s="7">
        <v>2</v>
      </c>
      <c r="Q4" s="7">
        <v>3</v>
      </c>
      <c r="R4" s="7" t="s">
        <v>6</v>
      </c>
      <c r="S4" s="69"/>
      <c r="T4" s="69"/>
      <c r="U4" s="72"/>
    </row>
    <row r="5" spans="1:21" ht="16">
      <c r="A5" s="58" t="s">
        <v>77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1:21">
      <c r="A6" s="8" t="s">
        <v>287</v>
      </c>
      <c r="B6" s="8" t="s">
        <v>288</v>
      </c>
      <c r="C6" s="8" t="s">
        <v>289</v>
      </c>
      <c r="D6" s="8" t="s">
        <v>1440</v>
      </c>
      <c r="E6" s="8" t="s">
        <v>166</v>
      </c>
      <c r="F6" s="8" t="s">
        <v>167</v>
      </c>
      <c r="G6" s="9" t="s">
        <v>54</v>
      </c>
      <c r="H6" s="9" t="s">
        <v>56</v>
      </c>
      <c r="I6" s="9" t="s">
        <v>101</v>
      </c>
      <c r="J6" s="10"/>
      <c r="K6" s="9" t="s">
        <v>63</v>
      </c>
      <c r="L6" s="9" t="s">
        <v>49</v>
      </c>
      <c r="M6" s="10" t="s">
        <v>67</v>
      </c>
      <c r="N6" s="10"/>
      <c r="O6" s="9" t="s">
        <v>54</v>
      </c>
      <c r="P6" s="9" t="s">
        <v>56</v>
      </c>
      <c r="Q6" s="10" t="s">
        <v>101</v>
      </c>
      <c r="R6" s="10"/>
      <c r="S6" s="8" t="str">
        <f>"260,0"</f>
        <v>260,0</v>
      </c>
      <c r="T6" s="9" t="str">
        <f>"284,2382"</f>
        <v>284,2382</v>
      </c>
      <c r="U6" s="8" t="s">
        <v>22</v>
      </c>
    </row>
    <row r="8" spans="1:21" ht="16">
      <c r="A8" s="59" t="s">
        <v>262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spans="1:21">
      <c r="A9" s="8" t="s">
        <v>291</v>
      </c>
      <c r="B9" s="8" t="s">
        <v>292</v>
      </c>
      <c r="C9" s="8" t="s">
        <v>293</v>
      </c>
      <c r="D9" s="8" t="s">
        <v>1426</v>
      </c>
      <c r="E9" s="8" t="s">
        <v>294</v>
      </c>
      <c r="F9" s="8" t="s">
        <v>62</v>
      </c>
      <c r="G9" s="9" t="s">
        <v>136</v>
      </c>
      <c r="H9" s="10" t="s">
        <v>168</v>
      </c>
      <c r="I9" s="10" t="s">
        <v>168</v>
      </c>
      <c r="J9" s="10"/>
      <c r="K9" s="9" t="s">
        <v>168</v>
      </c>
      <c r="L9" s="9" t="s">
        <v>295</v>
      </c>
      <c r="M9" s="10" t="s">
        <v>296</v>
      </c>
      <c r="N9" s="10"/>
      <c r="O9" s="9" t="s">
        <v>191</v>
      </c>
      <c r="P9" s="9" t="s">
        <v>296</v>
      </c>
      <c r="Q9" s="10" t="s">
        <v>182</v>
      </c>
      <c r="R9" s="10"/>
      <c r="S9" s="8" t="str">
        <f>"680,0"</f>
        <v>680,0</v>
      </c>
      <c r="T9" s="9" t="str">
        <f>"366,3595"</f>
        <v>366,3595</v>
      </c>
      <c r="U9" s="8" t="s">
        <v>22</v>
      </c>
    </row>
    <row r="11" spans="1:21" ht="16">
      <c r="E11" s="12" t="s">
        <v>23</v>
      </c>
      <c r="F11" s="12" t="s">
        <v>1130</v>
      </c>
    </row>
    <row r="12" spans="1:21" ht="16">
      <c r="E12" s="12" t="s">
        <v>26</v>
      </c>
      <c r="F12" s="12" t="s">
        <v>1131</v>
      </c>
    </row>
    <row r="13" spans="1:21" ht="16">
      <c r="E13" s="12" t="s">
        <v>24</v>
      </c>
      <c r="F13" s="12" t="s">
        <v>1130</v>
      </c>
    </row>
    <row r="14" spans="1:21" ht="16">
      <c r="E14" s="12" t="s">
        <v>25</v>
      </c>
      <c r="F14" s="12" t="s">
        <v>1416</v>
      </c>
    </row>
    <row r="15" spans="1:21" ht="16">
      <c r="E15" s="12" t="s">
        <v>25</v>
      </c>
      <c r="F15" s="12" t="s">
        <v>1372</v>
      </c>
    </row>
    <row r="16" spans="1:21" ht="16">
      <c r="E16" s="12"/>
      <c r="F16" s="12"/>
    </row>
    <row r="17" spans="1:5" ht="16">
      <c r="E17" s="12"/>
    </row>
    <row r="19" spans="1:5" ht="18">
      <c r="A19" s="13" t="s">
        <v>27</v>
      </c>
      <c r="B19" s="13"/>
    </row>
    <row r="20" spans="1:5" ht="16">
      <c r="A20" s="14" t="s">
        <v>28</v>
      </c>
      <c r="B20" s="14"/>
    </row>
    <row r="21" spans="1:5" ht="14">
      <c r="A21" s="16"/>
      <c r="B21" s="17" t="s">
        <v>199</v>
      </c>
    </row>
    <row r="22" spans="1:5" ht="14">
      <c r="A22" s="18" t="s">
        <v>30</v>
      </c>
      <c r="B22" s="18" t="s">
        <v>31</v>
      </c>
      <c r="C22" s="18" t="s">
        <v>32</v>
      </c>
      <c r="D22" s="18" t="s">
        <v>33</v>
      </c>
      <c r="E22" s="18" t="s">
        <v>34</v>
      </c>
    </row>
    <row r="23" spans="1:5">
      <c r="A23" s="15" t="s">
        <v>286</v>
      </c>
      <c r="B23" s="4" t="s">
        <v>297</v>
      </c>
      <c r="C23" s="4" t="s">
        <v>298</v>
      </c>
      <c r="D23" s="4" t="s">
        <v>182</v>
      </c>
      <c r="E23" s="19" t="s">
        <v>299</v>
      </c>
    </row>
    <row r="25" spans="1:5" ht="14">
      <c r="A25" s="16"/>
      <c r="B25" s="17" t="s">
        <v>213</v>
      </c>
    </row>
    <row r="26" spans="1:5" ht="14">
      <c r="A26" s="18" t="s">
        <v>30</v>
      </c>
      <c r="B26" s="18" t="s">
        <v>31</v>
      </c>
      <c r="C26" s="18" t="s">
        <v>32</v>
      </c>
      <c r="D26" s="18" t="s">
        <v>33</v>
      </c>
      <c r="E26" s="18" t="s">
        <v>34</v>
      </c>
    </row>
    <row r="27" spans="1:5">
      <c r="A27" s="15" t="s">
        <v>290</v>
      </c>
      <c r="B27" s="4" t="s">
        <v>214</v>
      </c>
      <c r="C27" s="4" t="s">
        <v>277</v>
      </c>
      <c r="D27" s="4" t="s">
        <v>300</v>
      </c>
      <c r="E27" s="19" t="s">
        <v>301</v>
      </c>
    </row>
    <row r="32" spans="1:5" ht="18">
      <c r="A32" s="13" t="s">
        <v>36</v>
      </c>
      <c r="B32" s="13"/>
    </row>
    <row r="33" spans="1:3" ht="14">
      <c r="A33" s="18" t="s">
        <v>37</v>
      </c>
      <c r="B33" s="18" t="s">
        <v>38</v>
      </c>
      <c r="C33" s="18" t="s">
        <v>39</v>
      </c>
    </row>
    <row r="34" spans="1:3">
      <c r="A34" s="4" t="s">
        <v>166</v>
      </c>
      <c r="B34" s="4" t="s">
        <v>40</v>
      </c>
      <c r="C34" s="4" t="s">
        <v>302</v>
      </c>
    </row>
    <row r="35" spans="1:3">
      <c r="A35" s="4" t="s">
        <v>294</v>
      </c>
      <c r="B35" s="4" t="s">
        <v>40</v>
      </c>
      <c r="C35" s="4" t="s">
        <v>303</v>
      </c>
    </row>
  </sheetData>
  <mergeCells count="15">
    <mergeCell ref="A5:T5"/>
    <mergeCell ref="A8:T8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U42"/>
  <sheetViews>
    <sheetView workbookViewId="0">
      <selection sqref="A1:U2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32" style="4" bestFit="1" customWidth="1"/>
    <col min="4" max="4" width="9.33203125" style="4" bestFit="1" customWidth="1"/>
    <col min="5" max="5" width="22.6640625" style="4" bestFit="1" customWidth="1"/>
    <col min="6" max="6" width="31.33203125" style="4" bestFit="1" customWidth="1"/>
    <col min="7" max="7" width="6.5" style="3" bestFit="1" customWidth="1"/>
    <col min="8" max="8" width="5.5" style="3" bestFit="1" customWidth="1"/>
    <col min="9" max="9" width="6.5" style="3" bestFit="1" customWidth="1"/>
    <col min="10" max="10" width="4.83203125" style="3" bestFit="1" customWidth="1"/>
    <col min="11" max="11" width="6.5" style="3" bestFit="1" customWidth="1"/>
    <col min="12" max="12" width="5.5" style="3" bestFit="1" customWidth="1"/>
    <col min="13" max="13" width="6.5" style="3" bestFit="1" customWidth="1"/>
    <col min="14" max="14" width="4.83203125" style="3" bestFit="1" customWidth="1"/>
    <col min="15" max="17" width="6.5" style="3" bestFit="1" customWidth="1"/>
    <col min="18" max="18" width="4.83203125" style="3" bestFit="1" customWidth="1"/>
    <col min="19" max="19" width="7.83203125" style="4" bestFit="1" customWidth="1"/>
    <col min="20" max="20" width="8.5" style="3" bestFit="1" customWidth="1"/>
    <col min="21" max="21" width="8.83203125" style="4" bestFit="1" customWidth="1"/>
    <col min="22" max="16384" width="9.1640625" style="3"/>
  </cols>
  <sheetData>
    <row r="1" spans="1:21" s="2" customFormat="1" ht="29" customHeight="1">
      <c r="A1" s="73" t="s">
        <v>1153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5"/>
    </row>
    <row r="2" spans="1:21" s="2" customFormat="1" ht="105" customHeight="1" thickBot="1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8"/>
    </row>
    <row r="3" spans="1:21" s="1" customFormat="1" ht="12.75" customHeight="1">
      <c r="A3" s="66" t="s">
        <v>0</v>
      </c>
      <c r="B3" s="68" t="s">
        <v>1423</v>
      </c>
      <c r="C3" s="68" t="s">
        <v>8</v>
      </c>
      <c r="D3" s="70" t="s">
        <v>1424</v>
      </c>
      <c r="E3" s="70" t="s">
        <v>5</v>
      </c>
      <c r="F3" s="70" t="s">
        <v>9</v>
      </c>
      <c r="G3" s="70" t="s">
        <v>10</v>
      </c>
      <c r="H3" s="70"/>
      <c r="I3" s="70"/>
      <c r="J3" s="70"/>
      <c r="K3" s="70" t="s">
        <v>11</v>
      </c>
      <c r="L3" s="70"/>
      <c r="M3" s="70"/>
      <c r="N3" s="70"/>
      <c r="O3" s="70" t="s">
        <v>12</v>
      </c>
      <c r="P3" s="70"/>
      <c r="Q3" s="70"/>
      <c r="R3" s="70"/>
      <c r="S3" s="70" t="s">
        <v>2</v>
      </c>
      <c r="T3" s="70" t="s">
        <v>4</v>
      </c>
      <c r="U3" s="71" t="s">
        <v>3</v>
      </c>
    </row>
    <row r="4" spans="1:21" s="1" customFormat="1" ht="21" customHeight="1" thickBot="1">
      <c r="A4" s="67"/>
      <c r="B4" s="69"/>
      <c r="C4" s="69"/>
      <c r="D4" s="69"/>
      <c r="E4" s="69"/>
      <c r="F4" s="69"/>
      <c r="G4" s="7">
        <v>1</v>
      </c>
      <c r="H4" s="7">
        <v>2</v>
      </c>
      <c r="I4" s="7">
        <v>3</v>
      </c>
      <c r="J4" s="7" t="s">
        <v>6</v>
      </c>
      <c r="K4" s="7">
        <v>1</v>
      </c>
      <c r="L4" s="7">
        <v>2</v>
      </c>
      <c r="M4" s="7">
        <v>3</v>
      </c>
      <c r="N4" s="7" t="s">
        <v>6</v>
      </c>
      <c r="O4" s="7">
        <v>1</v>
      </c>
      <c r="P4" s="7">
        <v>2</v>
      </c>
      <c r="Q4" s="7">
        <v>3</v>
      </c>
      <c r="R4" s="7" t="s">
        <v>6</v>
      </c>
      <c r="S4" s="69"/>
      <c r="T4" s="69"/>
      <c r="U4" s="72"/>
    </row>
    <row r="5" spans="1:21" ht="16">
      <c r="A5" s="58" t="s">
        <v>13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1:21">
      <c r="A6" s="8" t="s">
        <v>250</v>
      </c>
      <c r="B6" s="8" t="s">
        <v>251</v>
      </c>
      <c r="C6" s="8" t="s">
        <v>252</v>
      </c>
      <c r="D6" s="8" t="s">
        <v>1435</v>
      </c>
      <c r="E6" s="8" t="s">
        <v>253</v>
      </c>
      <c r="F6" s="8" t="s">
        <v>254</v>
      </c>
      <c r="G6" s="9" t="s">
        <v>143</v>
      </c>
      <c r="H6" s="9" t="s">
        <v>135</v>
      </c>
      <c r="I6" s="10" t="s">
        <v>128</v>
      </c>
      <c r="J6" s="10"/>
      <c r="K6" s="10" t="s">
        <v>92</v>
      </c>
      <c r="L6" s="9" t="s">
        <v>92</v>
      </c>
      <c r="M6" s="9" t="s">
        <v>93</v>
      </c>
      <c r="N6" s="10"/>
      <c r="O6" s="9" t="s">
        <v>122</v>
      </c>
      <c r="P6" s="9" t="s">
        <v>255</v>
      </c>
      <c r="Q6" s="9" t="s">
        <v>256</v>
      </c>
      <c r="R6" s="10"/>
      <c r="S6" s="8" t="str">
        <f>"532,5"</f>
        <v>532,5</v>
      </c>
      <c r="T6" s="9" t="str">
        <f>"439,4298"</f>
        <v>439,4298</v>
      </c>
      <c r="U6" s="8" t="s">
        <v>22</v>
      </c>
    </row>
    <row r="8" spans="1:21" ht="16">
      <c r="A8" s="59" t="s">
        <v>169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spans="1:21">
      <c r="A9" s="8" t="s">
        <v>258</v>
      </c>
      <c r="B9" s="8" t="s">
        <v>259</v>
      </c>
      <c r="C9" s="8" t="s">
        <v>260</v>
      </c>
      <c r="D9" s="8" t="s">
        <v>1426</v>
      </c>
      <c r="E9" s="8" t="s">
        <v>253</v>
      </c>
      <c r="F9" s="8" t="s">
        <v>261</v>
      </c>
      <c r="G9" s="9" t="s">
        <v>135</v>
      </c>
      <c r="H9" s="9" t="s">
        <v>128</v>
      </c>
      <c r="I9" s="9" t="s">
        <v>136</v>
      </c>
      <c r="J9" s="10"/>
      <c r="K9" s="9" t="s">
        <v>113</v>
      </c>
      <c r="L9" s="10" t="s">
        <v>142</v>
      </c>
      <c r="M9" s="10" t="s">
        <v>142</v>
      </c>
      <c r="N9" s="10"/>
      <c r="O9" s="9" t="s">
        <v>168</v>
      </c>
      <c r="P9" s="9" t="s">
        <v>191</v>
      </c>
      <c r="Q9" s="10" t="s">
        <v>182</v>
      </c>
      <c r="R9" s="10"/>
      <c r="S9" s="8" t="str">
        <f>"585,0"</f>
        <v>585,0</v>
      </c>
      <c r="T9" s="9" t="str">
        <f>"337,7322"</f>
        <v>337,7322</v>
      </c>
      <c r="U9" s="8" t="s">
        <v>22</v>
      </c>
    </row>
    <row r="11" spans="1:21" ht="16">
      <c r="A11" s="59" t="s">
        <v>262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1">
      <c r="A12" s="8" t="s">
        <v>264</v>
      </c>
      <c r="B12" s="8" t="s">
        <v>265</v>
      </c>
      <c r="C12" s="8" t="s">
        <v>266</v>
      </c>
      <c r="D12" s="8" t="s">
        <v>1427</v>
      </c>
      <c r="E12" s="8" t="s">
        <v>14</v>
      </c>
      <c r="F12" s="8" t="s">
        <v>267</v>
      </c>
      <c r="G12" s="9" t="s">
        <v>268</v>
      </c>
      <c r="H12" s="9" t="s">
        <v>269</v>
      </c>
      <c r="I12" s="9" t="s">
        <v>270</v>
      </c>
      <c r="J12" s="10"/>
      <c r="K12" s="9" t="s">
        <v>20</v>
      </c>
      <c r="L12" s="9" t="s">
        <v>271</v>
      </c>
      <c r="M12" s="9" t="s">
        <v>272</v>
      </c>
      <c r="N12" s="10"/>
      <c r="O12" s="9" t="s">
        <v>159</v>
      </c>
      <c r="P12" s="9" t="s">
        <v>273</v>
      </c>
      <c r="Q12" s="9" t="s">
        <v>274</v>
      </c>
      <c r="R12" s="10"/>
      <c r="S12" s="8" t="str">
        <f>"700.00o"</f>
        <v>700.00o</v>
      </c>
      <c r="T12" s="9" t="str">
        <f>"369,9500"</f>
        <v>369,9500</v>
      </c>
      <c r="U12" s="8" t="s">
        <v>22</v>
      </c>
    </row>
    <row r="14" spans="1:21" ht="16">
      <c r="E14" s="12" t="s">
        <v>23</v>
      </c>
      <c r="F14" s="12" t="s">
        <v>1130</v>
      </c>
    </row>
    <row r="15" spans="1:21" ht="16">
      <c r="E15" s="12" t="s">
        <v>26</v>
      </c>
      <c r="F15" s="12" t="s">
        <v>1131</v>
      </c>
    </row>
    <row r="16" spans="1:21" ht="16">
      <c r="E16" s="12" t="s">
        <v>24</v>
      </c>
      <c r="F16" s="12" t="s">
        <v>1130</v>
      </c>
    </row>
    <row r="17" spans="1:6" ht="16">
      <c r="E17" s="12" t="s">
        <v>25</v>
      </c>
      <c r="F17" s="12" t="s">
        <v>1416</v>
      </c>
    </row>
    <row r="18" spans="1:6" ht="16">
      <c r="E18" s="12" t="s">
        <v>25</v>
      </c>
      <c r="F18" s="12" t="s">
        <v>1372</v>
      </c>
    </row>
    <row r="19" spans="1:6" ht="16">
      <c r="E19" s="12"/>
      <c r="F19" s="12"/>
    </row>
    <row r="20" spans="1:6" ht="16">
      <c r="E20" s="12"/>
    </row>
    <row r="22" spans="1:6" ht="18">
      <c r="A22" s="13" t="s">
        <v>27</v>
      </c>
      <c r="B22" s="13"/>
    </row>
    <row r="23" spans="1:6" ht="16">
      <c r="A23" s="14" t="s">
        <v>28</v>
      </c>
      <c r="B23" s="14"/>
    </row>
    <row r="24" spans="1:6" ht="14">
      <c r="A24" s="16"/>
      <c r="B24" s="17" t="s">
        <v>213</v>
      </c>
    </row>
    <row r="25" spans="1:6" ht="14">
      <c r="A25" s="18" t="s">
        <v>30</v>
      </c>
      <c r="B25" s="18" t="s">
        <v>31</v>
      </c>
      <c r="C25" s="18" t="s">
        <v>32</v>
      </c>
      <c r="D25" s="18" t="s">
        <v>33</v>
      </c>
      <c r="E25" s="18" t="s">
        <v>34</v>
      </c>
    </row>
    <row r="26" spans="1:6">
      <c r="A26" s="15" t="s">
        <v>257</v>
      </c>
      <c r="B26" s="4" t="s">
        <v>214</v>
      </c>
      <c r="C26" s="4" t="s">
        <v>232</v>
      </c>
      <c r="D26" s="4" t="s">
        <v>275</v>
      </c>
      <c r="E26" s="19" t="s">
        <v>276</v>
      </c>
    </row>
    <row r="28" spans="1:6" ht="14">
      <c r="A28" s="16"/>
      <c r="B28" s="17" t="s">
        <v>29</v>
      </c>
    </row>
    <row r="29" spans="1:6" ht="14">
      <c r="A29" s="18" t="s">
        <v>30</v>
      </c>
      <c r="B29" s="18" t="s">
        <v>31</v>
      </c>
      <c r="C29" s="18" t="s">
        <v>32</v>
      </c>
      <c r="D29" s="18" t="s">
        <v>33</v>
      </c>
      <c r="E29" s="18" t="s">
        <v>34</v>
      </c>
    </row>
    <row r="30" spans="1:6">
      <c r="A30" s="15" t="s">
        <v>263</v>
      </c>
      <c r="B30" s="4" t="s">
        <v>29</v>
      </c>
      <c r="C30" s="4" t="s">
        <v>277</v>
      </c>
      <c r="D30" s="4" t="s">
        <v>278</v>
      </c>
      <c r="E30" s="19" t="s">
        <v>279</v>
      </c>
    </row>
    <row r="32" spans="1:6" ht="14">
      <c r="A32" s="16"/>
      <c r="B32" s="17" t="s">
        <v>280</v>
      </c>
    </row>
    <row r="33" spans="1:5" ht="14">
      <c r="A33" s="18" t="s">
        <v>30</v>
      </c>
      <c r="B33" s="18" t="s">
        <v>31</v>
      </c>
      <c r="C33" s="18" t="s">
        <v>32</v>
      </c>
      <c r="D33" s="18" t="s">
        <v>33</v>
      </c>
      <c r="E33" s="18" t="s">
        <v>34</v>
      </c>
    </row>
    <row r="34" spans="1:5">
      <c r="A34" s="15" t="s">
        <v>249</v>
      </c>
      <c r="B34" s="4" t="s">
        <v>281</v>
      </c>
      <c r="C34" s="4" t="s">
        <v>35</v>
      </c>
      <c r="D34" s="4" t="s">
        <v>282</v>
      </c>
      <c r="E34" s="19" t="s">
        <v>283</v>
      </c>
    </row>
    <row r="39" spans="1:5" ht="18">
      <c r="A39" s="13" t="s">
        <v>36</v>
      </c>
      <c r="B39" s="13"/>
    </row>
    <row r="40" spans="1:5" ht="14">
      <c r="A40" s="18" t="s">
        <v>37</v>
      </c>
      <c r="B40" s="18" t="s">
        <v>38</v>
      </c>
      <c r="C40" s="18" t="s">
        <v>39</v>
      </c>
    </row>
    <row r="41" spans="1:5">
      <c r="A41" s="4" t="s">
        <v>253</v>
      </c>
      <c r="B41" s="4" t="s">
        <v>241</v>
      </c>
      <c r="C41" s="4" t="s">
        <v>284</v>
      </c>
    </row>
    <row r="42" spans="1:5">
      <c r="A42" s="4" t="s">
        <v>14</v>
      </c>
      <c r="B42" s="4" t="s">
        <v>40</v>
      </c>
      <c r="C42" s="4" t="s">
        <v>285</v>
      </c>
    </row>
  </sheetData>
  <mergeCells count="16">
    <mergeCell ref="A11:T11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  <mergeCell ref="A5:T5"/>
    <mergeCell ref="A8:T8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U93"/>
  <sheetViews>
    <sheetView tabSelected="1" zoomScaleNormal="100" workbookViewId="0">
      <selection activeCell="D40" sqref="D40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22.83203125" style="4" customWidth="1"/>
    <col min="4" max="4" width="9.33203125" style="4" bestFit="1" customWidth="1"/>
    <col min="5" max="5" width="22.6640625" style="4" bestFit="1" customWidth="1"/>
    <col min="6" max="6" width="33.5" style="4" bestFit="1" customWidth="1"/>
    <col min="7" max="9" width="6.5" style="3" bestFit="1" customWidth="1"/>
    <col min="10" max="10" width="4.83203125" style="3" bestFit="1" customWidth="1"/>
    <col min="11" max="13" width="6.5" style="3" bestFit="1" customWidth="1"/>
    <col min="14" max="14" width="4.83203125" style="3" bestFit="1" customWidth="1"/>
    <col min="15" max="17" width="6.5" style="3" bestFit="1" customWidth="1"/>
    <col min="18" max="18" width="4.83203125" style="3" bestFit="1" customWidth="1"/>
    <col min="19" max="19" width="7.83203125" style="4" bestFit="1" customWidth="1"/>
    <col min="20" max="20" width="8.5" style="3" bestFit="1" customWidth="1"/>
    <col min="21" max="21" width="8.83203125" style="4" bestFit="1" customWidth="1"/>
    <col min="22" max="16384" width="9.1640625" style="3"/>
  </cols>
  <sheetData>
    <row r="1" spans="1:21" s="2" customFormat="1" ht="29" customHeight="1">
      <c r="A1" s="73" t="s">
        <v>1154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5"/>
    </row>
    <row r="2" spans="1:21" s="2" customFormat="1" ht="99.75" customHeight="1" thickBot="1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8"/>
    </row>
    <row r="3" spans="1:21" s="1" customFormat="1" ht="12.75" customHeight="1">
      <c r="A3" s="66" t="s">
        <v>0</v>
      </c>
      <c r="B3" s="68" t="s">
        <v>1423</v>
      </c>
      <c r="C3" s="68" t="s">
        <v>8</v>
      </c>
      <c r="D3" s="70" t="s">
        <v>1424</v>
      </c>
      <c r="E3" s="70" t="s">
        <v>5</v>
      </c>
      <c r="F3" s="70" t="s">
        <v>9</v>
      </c>
      <c r="G3" s="70" t="s">
        <v>10</v>
      </c>
      <c r="H3" s="70"/>
      <c r="I3" s="70"/>
      <c r="J3" s="70"/>
      <c r="K3" s="70" t="s">
        <v>11</v>
      </c>
      <c r="L3" s="70"/>
      <c r="M3" s="70"/>
      <c r="N3" s="70"/>
      <c r="O3" s="70" t="s">
        <v>12</v>
      </c>
      <c r="P3" s="70"/>
      <c r="Q3" s="70"/>
      <c r="R3" s="70"/>
      <c r="S3" s="70" t="s">
        <v>2</v>
      </c>
      <c r="T3" s="70" t="s">
        <v>4</v>
      </c>
      <c r="U3" s="71" t="s">
        <v>3</v>
      </c>
    </row>
    <row r="4" spans="1:21" s="1" customFormat="1" ht="21" customHeight="1" thickBot="1">
      <c r="A4" s="67"/>
      <c r="B4" s="69"/>
      <c r="C4" s="69"/>
      <c r="D4" s="69"/>
      <c r="E4" s="69"/>
      <c r="F4" s="69"/>
      <c r="G4" s="7">
        <v>1</v>
      </c>
      <c r="H4" s="7">
        <v>2</v>
      </c>
      <c r="I4" s="7">
        <v>3</v>
      </c>
      <c r="J4" s="7" t="s">
        <v>6</v>
      </c>
      <c r="K4" s="7">
        <v>1</v>
      </c>
      <c r="L4" s="7">
        <v>2</v>
      </c>
      <c r="M4" s="7">
        <v>3</v>
      </c>
      <c r="N4" s="7" t="s">
        <v>6</v>
      </c>
      <c r="O4" s="7">
        <v>1</v>
      </c>
      <c r="P4" s="7">
        <v>2</v>
      </c>
      <c r="Q4" s="7">
        <v>3</v>
      </c>
      <c r="R4" s="7" t="s">
        <v>6</v>
      </c>
      <c r="S4" s="69"/>
      <c r="T4" s="69"/>
      <c r="U4" s="72"/>
    </row>
    <row r="5" spans="1:21" ht="16">
      <c r="A5" s="58" t="s">
        <v>42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1:21">
      <c r="A6" s="8" t="s">
        <v>44</v>
      </c>
      <c r="B6" s="8" t="s">
        <v>45</v>
      </c>
      <c r="C6" s="8" t="s">
        <v>46</v>
      </c>
      <c r="D6" s="8" t="s">
        <v>1427</v>
      </c>
      <c r="E6" s="8" t="s">
        <v>47</v>
      </c>
      <c r="F6" s="8" t="s">
        <v>48</v>
      </c>
      <c r="G6" s="9" t="s">
        <v>49</v>
      </c>
      <c r="H6" s="9" t="s">
        <v>50</v>
      </c>
      <c r="I6" s="9" t="s">
        <v>51</v>
      </c>
      <c r="J6" s="10"/>
      <c r="K6" s="9" t="s">
        <v>52</v>
      </c>
      <c r="L6" s="10" t="s">
        <v>53</v>
      </c>
      <c r="M6" s="10" t="s">
        <v>53</v>
      </c>
      <c r="N6" s="10"/>
      <c r="O6" s="9" t="s">
        <v>54</v>
      </c>
      <c r="P6" s="9" t="s">
        <v>55</v>
      </c>
      <c r="Q6" s="10" t="s">
        <v>56</v>
      </c>
      <c r="R6" s="10"/>
      <c r="S6" s="8" t="str">
        <f>"220,0"</f>
        <v>220,0</v>
      </c>
      <c r="T6" s="9" t="str">
        <f>"243,9580"</f>
        <v>243,9580</v>
      </c>
      <c r="U6" s="8" t="s">
        <v>22</v>
      </c>
    </row>
    <row r="8" spans="1:21" ht="16">
      <c r="A8" s="59" t="s">
        <v>57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spans="1:21">
      <c r="A9" s="8" t="s">
        <v>59</v>
      </c>
      <c r="B9" s="8" t="s">
        <v>60</v>
      </c>
      <c r="C9" s="8" t="s">
        <v>61</v>
      </c>
      <c r="D9" s="8" t="s">
        <v>1427</v>
      </c>
      <c r="E9" s="8" t="s">
        <v>14</v>
      </c>
      <c r="F9" s="8" t="s">
        <v>62</v>
      </c>
      <c r="G9" s="10" t="s">
        <v>53</v>
      </c>
      <c r="H9" s="9" t="s">
        <v>63</v>
      </c>
      <c r="I9" s="9" t="s">
        <v>64</v>
      </c>
      <c r="J9" s="10"/>
      <c r="K9" s="9" t="s">
        <v>65</v>
      </c>
      <c r="L9" s="10" t="s">
        <v>66</v>
      </c>
      <c r="M9" s="10" t="s">
        <v>66</v>
      </c>
      <c r="N9" s="10"/>
      <c r="O9" s="9" t="s">
        <v>67</v>
      </c>
      <c r="P9" s="9" t="s">
        <v>54</v>
      </c>
      <c r="Q9" s="9" t="s">
        <v>51</v>
      </c>
      <c r="R9" s="10"/>
      <c r="S9" s="8" t="str">
        <f>"177,5"</f>
        <v>177,5</v>
      </c>
      <c r="T9" s="9" t="str">
        <f>"174,8020"</f>
        <v>174,8020</v>
      </c>
      <c r="U9" s="8" t="s">
        <v>22</v>
      </c>
    </row>
    <row r="11" spans="1:21" ht="16">
      <c r="A11" s="59" t="s">
        <v>57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1">
      <c r="A12" s="8" t="s">
        <v>69</v>
      </c>
      <c r="B12" s="8" t="s">
        <v>70</v>
      </c>
      <c r="C12" s="8" t="s">
        <v>71</v>
      </c>
      <c r="D12" s="8" t="s">
        <v>1432</v>
      </c>
      <c r="E12" s="8" t="s">
        <v>72</v>
      </c>
      <c r="F12" s="8" t="s">
        <v>62</v>
      </c>
      <c r="G12" s="10" t="s">
        <v>52</v>
      </c>
      <c r="H12" s="9" t="s">
        <v>53</v>
      </c>
      <c r="I12" s="9" t="s">
        <v>73</v>
      </c>
      <c r="J12" s="10"/>
      <c r="K12" s="9" t="s">
        <v>66</v>
      </c>
      <c r="L12" s="9" t="s">
        <v>74</v>
      </c>
      <c r="M12" s="10" t="s">
        <v>75</v>
      </c>
      <c r="N12" s="10"/>
      <c r="O12" s="9" t="s">
        <v>54</v>
      </c>
      <c r="P12" s="9" t="s">
        <v>76</v>
      </c>
      <c r="Q12" s="10"/>
      <c r="R12" s="10"/>
      <c r="S12" s="8" t="str">
        <f>"180,0"</f>
        <v>180,0</v>
      </c>
      <c r="T12" s="9" t="str">
        <f>"231,7837"</f>
        <v>231,7837</v>
      </c>
      <c r="U12" s="8" t="s">
        <v>22</v>
      </c>
    </row>
    <row r="14" spans="1:21" ht="16">
      <c r="A14" s="59" t="s">
        <v>77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</row>
    <row r="15" spans="1:21">
      <c r="A15" s="8" t="s">
        <v>79</v>
      </c>
      <c r="B15" s="8" t="s">
        <v>80</v>
      </c>
      <c r="C15" s="8" t="s">
        <v>81</v>
      </c>
      <c r="D15" s="8" t="s">
        <v>1440</v>
      </c>
      <c r="E15" s="8" t="s">
        <v>82</v>
      </c>
      <c r="F15" s="8" t="s">
        <v>83</v>
      </c>
      <c r="G15" s="10" t="s">
        <v>67</v>
      </c>
      <c r="H15" s="9" t="s">
        <v>67</v>
      </c>
      <c r="I15" s="10" t="s">
        <v>54</v>
      </c>
      <c r="J15" s="10"/>
      <c r="K15" s="10" t="s">
        <v>84</v>
      </c>
      <c r="L15" s="10" t="s">
        <v>84</v>
      </c>
      <c r="M15" s="10" t="s">
        <v>84</v>
      </c>
      <c r="N15" s="10"/>
      <c r="O15" s="10" t="s">
        <v>85</v>
      </c>
      <c r="P15" s="10"/>
      <c r="Q15" s="10"/>
      <c r="R15" s="10"/>
      <c r="S15" s="8" t="str">
        <f>"0.00"</f>
        <v>0.00</v>
      </c>
      <c r="T15" s="9" t="str">
        <f>"0,0000"</f>
        <v>0,0000</v>
      </c>
      <c r="U15" s="8" t="s">
        <v>22</v>
      </c>
    </row>
    <row r="17" spans="1:21" ht="16">
      <c r="A17" s="59" t="s">
        <v>86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</row>
    <row r="18" spans="1:21">
      <c r="A18" s="20" t="s">
        <v>88</v>
      </c>
      <c r="B18" s="20" t="s">
        <v>89</v>
      </c>
      <c r="C18" s="20" t="s">
        <v>90</v>
      </c>
      <c r="D18" s="20" t="s">
        <v>1432</v>
      </c>
      <c r="E18" s="20" t="s">
        <v>82</v>
      </c>
      <c r="F18" s="20" t="s">
        <v>83</v>
      </c>
      <c r="G18" s="21" t="s">
        <v>85</v>
      </c>
      <c r="H18" s="22" t="s">
        <v>91</v>
      </c>
      <c r="I18" s="22" t="s">
        <v>91</v>
      </c>
      <c r="J18" s="22"/>
      <c r="K18" s="21" t="s">
        <v>54</v>
      </c>
      <c r="L18" s="22" t="s">
        <v>76</v>
      </c>
      <c r="M18" s="22" t="s">
        <v>76</v>
      </c>
      <c r="N18" s="22"/>
      <c r="O18" s="21" t="s">
        <v>91</v>
      </c>
      <c r="P18" s="21" t="s">
        <v>92</v>
      </c>
      <c r="Q18" s="21" t="s">
        <v>93</v>
      </c>
      <c r="R18" s="22"/>
      <c r="S18" s="20" t="str">
        <f>"305,0"</f>
        <v>305,0</v>
      </c>
      <c r="T18" s="21" t="str">
        <f>"253,3013"</f>
        <v>253,3013</v>
      </c>
      <c r="U18" s="20" t="s">
        <v>22</v>
      </c>
    </row>
    <row r="19" spans="1:21">
      <c r="A19" s="23" t="s">
        <v>95</v>
      </c>
      <c r="B19" s="23" t="s">
        <v>96</v>
      </c>
      <c r="C19" s="23" t="s">
        <v>97</v>
      </c>
      <c r="D19" s="23" t="s">
        <v>1434</v>
      </c>
      <c r="E19" s="23" t="s">
        <v>82</v>
      </c>
      <c r="F19" s="23" t="s">
        <v>83</v>
      </c>
      <c r="G19" s="24" t="s">
        <v>93</v>
      </c>
      <c r="H19" s="24" t="s">
        <v>98</v>
      </c>
      <c r="I19" s="24" t="s">
        <v>99</v>
      </c>
      <c r="J19" s="25"/>
      <c r="K19" s="24" t="s">
        <v>56</v>
      </c>
      <c r="L19" s="24" t="s">
        <v>100</v>
      </c>
      <c r="M19" s="24" t="s">
        <v>101</v>
      </c>
      <c r="N19" s="25"/>
      <c r="O19" s="24" t="s">
        <v>102</v>
      </c>
      <c r="P19" s="24" t="s">
        <v>103</v>
      </c>
      <c r="Q19" s="25" t="s">
        <v>104</v>
      </c>
      <c r="R19" s="25"/>
      <c r="S19" s="23" t="str">
        <f>"410,0"</f>
        <v>410,0</v>
      </c>
      <c r="T19" s="24" t="str">
        <f>"329,8233"</f>
        <v>329,8233</v>
      </c>
      <c r="U19" s="23" t="s">
        <v>22</v>
      </c>
    </row>
    <row r="20" spans="1:21">
      <c r="A20" s="23" t="s">
        <v>106</v>
      </c>
      <c r="B20" s="23" t="s">
        <v>107</v>
      </c>
      <c r="C20" s="23" t="s">
        <v>108</v>
      </c>
      <c r="D20" s="23" t="s">
        <v>1430</v>
      </c>
      <c r="E20" s="23" t="s">
        <v>14</v>
      </c>
      <c r="F20" s="23" t="s">
        <v>62</v>
      </c>
      <c r="G20" s="25" t="s">
        <v>91</v>
      </c>
      <c r="H20" s="24" t="s">
        <v>19</v>
      </c>
      <c r="I20" s="24" t="s">
        <v>109</v>
      </c>
      <c r="J20" s="25"/>
      <c r="K20" s="24" t="s">
        <v>110</v>
      </c>
      <c r="L20" s="24" t="s">
        <v>111</v>
      </c>
      <c r="M20" s="24" t="s">
        <v>18</v>
      </c>
      <c r="N20" s="25"/>
      <c r="O20" s="24" t="s">
        <v>112</v>
      </c>
      <c r="P20" s="24" t="s">
        <v>113</v>
      </c>
      <c r="Q20" s="24" t="s">
        <v>17</v>
      </c>
      <c r="R20" s="25"/>
      <c r="S20" s="23" t="str">
        <f>"380.00o"</f>
        <v>380.00o</v>
      </c>
      <c r="T20" s="24" t="str">
        <f>"285,1012"</f>
        <v>285,1012</v>
      </c>
      <c r="U20" s="23" t="s">
        <v>22</v>
      </c>
    </row>
    <row r="21" spans="1:21">
      <c r="A21" s="26" t="s">
        <v>115</v>
      </c>
      <c r="B21" s="26" t="s">
        <v>116</v>
      </c>
      <c r="C21" s="26" t="s">
        <v>117</v>
      </c>
      <c r="D21" s="26" t="s">
        <v>1427</v>
      </c>
      <c r="E21" s="26" t="s">
        <v>118</v>
      </c>
      <c r="F21" s="26" t="s">
        <v>119</v>
      </c>
      <c r="G21" s="27" t="s">
        <v>103</v>
      </c>
      <c r="H21" s="28"/>
      <c r="I21" s="28"/>
      <c r="J21" s="28"/>
      <c r="K21" s="27" t="s">
        <v>98</v>
      </c>
      <c r="L21" s="27" t="s">
        <v>112</v>
      </c>
      <c r="M21" s="27" t="s">
        <v>120</v>
      </c>
      <c r="N21" s="28"/>
      <c r="O21" s="27" t="s">
        <v>121</v>
      </c>
      <c r="P21" s="28" t="s">
        <v>122</v>
      </c>
      <c r="Q21" s="28" t="s">
        <v>122</v>
      </c>
      <c r="R21" s="28"/>
      <c r="S21" s="26" t="str">
        <f>"512,5"</f>
        <v>512,5</v>
      </c>
      <c r="T21" s="27" t="str">
        <f>"345,0919"</f>
        <v>345,0919</v>
      </c>
      <c r="U21" s="26" t="s">
        <v>22</v>
      </c>
    </row>
    <row r="23" spans="1:21" ht="16">
      <c r="A23" s="59" t="s">
        <v>13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</row>
    <row r="24" spans="1:21">
      <c r="A24" s="20" t="s">
        <v>124</v>
      </c>
      <c r="B24" s="20" t="s">
        <v>125</v>
      </c>
      <c r="C24" s="20" t="s">
        <v>126</v>
      </c>
      <c r="D24" s="20" t="s">
        <v>1430</v>
      </c>
      <c r="E24" s="20" t="s">
        <v>14</v>
      </c>
      <c r="F24" s="20" t="s">
        <v>127</v>
      </c>
      <c r="G24" s="21" t="s">
        <v>21</v>
      </c>
      <c r="H24" s="21" t="s">
        <v>128</v>
      </c>
      <c r="I24" s="22" t="s">
        <v>129</v>
      </c>
      <c r="J24" s="22"/>
      <c r="K24" s="21" t="s">
        <v>19</v>
      </c>
      <c r="L24" s="22" t="s">
        <v>92</v>
      </c>
      <c r="M24" s="22"/>
      <c r="N24" s="22"/>
      <c r="O24" s="21" t="s">
        <v>21</v>
      </c>
      <c r="P24" s="21" t="s">
        <v>130</v>
      </c>
      <c r="Q24" s="22" t="s">
        <v>122</v>
      </c>
      <c r="R24" s="22"/>
      <c r="S24" s="20" t="str">
        <f>"500.00o"</f>
        <v>500.00o</v>
      </c>
      <c r="T24" s="21" t="str">
        <f>"327,3400"</f>
        <v>327,3400</v>
      </c>
      <c r="U24" s="20" t="s">
        <v>22</v>
      </c>
    </row>
    <row r="25" spans="1:21">
      <c r="A25" s="23" t="s">
        <v>132</v>
      </c>
      <c r="B25" s="23" t="s">
        <v>133</v>
      </c>
      <c r="C25" s="23" t="s">
        <v>134</v>
      </c>
      <c r="D25" s="23" t="s">
        <v>1426</v>
      </c>
      <c r="E25" s="23" t="s">
        <v>82</v>
      </c>
      <c r="F25" s="23" t="s">
        <v>83</v>
      </c>
      <c r="G25" s="24" t="s">
        <v>102</v>
      </c>
      <c r="H25" s="25" t="s">
        <v>103</v>
      </c>
      <c r="I25" s="25" t="s">
        <v>103</v>
      </c>
      <c r="J25" s="25"/>
      <c r="K25" s="24" t="s">
        <v>56</v>
      </c>
      <c r="L25" s="25" t="s">
        <v>101</v>
      </c>
      <c r="M25" s="24" t="s">
        <v>101</v>
      </c>
      <c r="N25" s="25"/>
      <c r="O25" s="24" t="s">
        <v>135</v>
      </c>
      <c r="P25" s="24" t="s">
        <v>136</v>
      </c>
      <c r="Q25" s="25" t="s">
        <v>122</v>
      </c>
      <c r="R25" s="25"/>
      <c r="S25" s="23" t="str">
        <f>"460,0"</f>
        <v>460,0</v>
      </c>
      <c r="T25" s="24" t="str">
        <f>"298,8257"</f>
        <v>298,8257</v>
      </c>
      <c r="U25" s="23" t="s">
        <v>22</v>
      </c>
    </row>
    <row r="26" spans="1:21">
      <c r="A26" s="23" t="s">
        <v>138</v>
      </c>
      <c r="B26" s="23" t="s">
        <v>139</v>
      </c>
      <c r="C26" s="23" t="s">
        <v>140</v>
      </c>
      <c r="D26" s="23" t="s">
        <v>1426</v>
      </c>
      <c r="E26" s="23" t="s">
        <v>118</v>
      </c>
      <c r="F26" s="23" t="s">
        <v>119</v>
      </c>
      <c r="G26" s="24" t="s">
        <v>98</v>
      </c>
      <c r="H26" s="24" t="s">
        <v>99</v>
      </c>
      <c r="I26" s="24" t="s">
        <v>113</v>
      </c>
      <c r="J26" s="25"/>
      <c r="K26" s="24" t="s">
        <v>93</v>
      </c>
      <c r="L26" s="24" t="s">
        <v>98</v>
      </c>
      <c r="M26" s="24" t="s">
        <v>141</v>
      </c>
      <c r="N26" s="25"/>
      <c r="O26" s="24" t="s">
        <v>142</v>
      </c>
      <c r="P26" s="24" t="s">
        <v>143</v>
      </c>
      <c r="Q26" s="24" t="s">
        <v>144</v>
      </c>
      <c r="R26" s="25"/>
      <c r="S26" s="23" t="str">
        <f>"452,5"</f>
        <v>452,5</v>
      </c>
      <c r="T26" s="24" t="str">
        <f>"299,9152"</f>
        <v>299,9152</v>
      </c>
      <c r="U26" s="23" t="s">
        <v>22</v>
      </c>
    </row>
    <row r="27" spans="1:21">
      <c r="A27" s="23" t="s">
        <v>124</v>
      </c>
      <c r="B27" s="23" t="s">
        <v>145</v>
      </c>
      <c r="C27" s="23" t="s">
        <v>126</v>
      </c>
      <c r="D27" s="23" t="s">
        <v>1427</v>
      </c>
      <c r="E27" s="23" t="s">
        <v>14</v>
      </c>
      <c r="F27" s="23" t="s">
        <v>127</v>
      </c>
      <c r="G27" s="24" t="s">
        <v>21</v>
      </c>
      <c r="H27" s="24" t="s">
        <v>128</v>
      </c>
      <c r="I27" s="25" t="s">
        <v>129</v>
      </c>
      <c r="J27" s="25"/>
      <c r="K27" s="24" t="s">
        <v>19</v>
      </c>
      <c r="L27" s="25" t="s">
        <v>92</v>
      </c>
      <c r="M27" s="25"/>
      <c r="N27" s="25"/>
      <c r="O27" s="24" t="s">
        <v>21</v>
      </c>
      <c r="P27" s="24" t="s">
        <v>130</v>
      </c>
      <c r="Q27" s="25" t="s">
        <v>122</v>
      </c>
      <c r="R27" s="25"/>
      <c r="S27" s="23" t="str">
        <f>"500.00o"</f>
        <v>500.00o</v>
      </c>
      <c r="T27" s="24" t="str">
        <f>"314,7500"</f>
        <v>314,7500</v>
      </c>
      <c r="U27" s="23" t="s">
        <v>22</v>
      </c>
    </row>
    <row r="28" spans="1:21">
      <c r="A28" s="26" t="s">
        <v>147</v>
      </c>
      <c r="B28" s="26" t="s">
        <v>148</v>
      </c>
      <c r="C28" s="26" t="s">
        <v>149</v>
      </c>
      <c r="D28" s="26" t="s">
        <v>1427</v>
      </c>
      <c r="E28" s="26" t="s">
        <v>14</v>
      </c>
      <c r="F28" s="26" t="s">
        <v>150</v>
      </c>
      <c r="G28" s="27" t="s">
        <v>109</v>
      </c>
      <c r="H28" s="27" t="s">
        <v>98</v>
      </c>
      <c r="I28" s="27" t="s">
        <v>99</v>
      </c>
      <c r="J28" s="28"/>
      <c r="K28" s="27" t="s">
        <v>111</v>
      </c>
      <c r="L28" s="28" t="s">
        <v>151</v>
      </c>
      <c r="M28" s="28" t="s">
        <v>151</v>
      </c>
      <c r="N28" s="28"/>
      <c r="O28" s="27" t="s">
        <v>103</v>
      </c>
      <c r="P28" s="27" t="s">
        <v>135</v>
      </c>
      <c r="Q28" s="27" t="s">
        <v>128</v>
      </c>
      <c r="R28" s="28"/>
      <c r="S28" s="26" t="str">
        <f>"430,0"</f>
        <v>430,0</v>
      </c>
      <c r="T28" s="27" t="str">
        <f>"268,7930"</f>
        <v>268,7930</v>
      </c>
      <c r="U28" s="26" t="s">
        <v>22</v>
      </c>
    </row>
    <row r="30" spans="1:21" ht="16">
      <c r="A30" s="59" t="s">
        <v>152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</row>
    <row r="31" spans="1:21">
      <c r="A31" s="20" t="s">
        <v>154</v>
      </c>
      <c r="B31" s="20" t="s">
        <v>155</v>
      </c>
      <c r="C31" s="20" t="s">
        <v>156</v>
      </c>
      <c r="D31" s="20" t="s">
        <v>1427</v>
      </c>
      <c r="E31" s="20" t="s">
        <v>14</v>
      </c>
      <c r="F31" s="20" t="s">
        <v>62</v>
      </c>
      <c r="G31" s="21" t="s">
        <v>21</v>
      </c>
      <c r="H31" s="21" t="s">
        <v>128</v>
      </c>
      <c r="I31" s="21" t="s">
        <v>130</v>
      </c>
      <c r="J31" s="22"/>
      <c r="K31" s="21" t="s">
        <v>157</v>
      </c>
      <c r="L31" s="22" t="s">
        <v>158</v>
      </c>
      <c r="M31" s="21" t="s">
        <v>16</v>
      </c>
      <c r="N31" s="22"/>
      <c r="O31" s="21" t="s">
        <v>159</v>
      </c>
      <c r="P31" s="21" t="s">
        <v>160</v>
      </c>
      <c r="Q31" s="22" t="s">
        <v>161</v>
      </c>
      <c r="R31" s="22"/>
      <c r="S31" s="20" t="str">
        <f>"620.00o"</f>
        <v>620.00o</v>
      </c>
      <c r="T31" s="21" t="str">
        <f>"364,3740"</f>
        <v>364,3740</v>
      </c>
      <c r="U31" s="20" t="s">
        <v>22</v>
      </c>
    </row>
    <row r="32" spans="1:21">
      <c r="A32" s="26" t="s">
        <v>163</v>
      </c>
      <c r="B32" s="26" t="s">
        <v>164</v>
      </c>
      <c r="C32" s="26" t="s">
        <v>165</v>
      </c>
      <c r="D32" s="26" t="s">
        <v>1427</v>
      </c>
      <c r="E32" s="26" t="s">
        <v>166</v>
      </c>
      <c r="F32" s="26" t="s">
        <v>167</v>
      </c>
      <c r="G32" s="27" t="s">
        <v>103</v>
      </c>
      <c r="H32" s="27" t="s">
        <v>135</v>
      </c>
      <c r="I32" s="28" t="s">
        <v>136</v>
      </c>
      <c r="J32" s="28"/>
      <c r="K32" s="27" t="s">
        <v>99</v>
      </c>
      <c r="L32" s="27" t="s">
        <v>113</v>
      </c>
      <c r="M32" s="27" t="s">
        <v>158</v>
      </c>
      <c r="N32" s="28"/>
      <c r="O32" s="27" t="s">
        <v>136</v>
      </c>
      <c r="P32" s="27" t="s">
        <v>122</v>
      </c>
      <c r="Q32" s="28" t="s">
        <v>168</v>
      </c>
      <c r="R32" s="28"/>
      <c r="S32" s="26" t="str">
        <f>"540,0"</f>
        <v>540,0</v>
      </c>
      <c r="T32" s="27" t="str">
        <f>"318,4380"</f>
        <v>318,4380</v>
      </c>
      <c r="U32" s="26" t="s">
        <v>22</v>
      </c>
    </row>
    <row r="34" spans="1:21" ht="16">
      <c r="A34" s="59" t="s">
        <v>169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</row>
    <row r="35" spans="1:21">
      <c r="A35" s="8" t="s">
        <v>171</v>
      </c>
      <c r="B35" s="8" t="s">
        <v>172</v>
      </c>
      <c r="C35" s="8" t="s">
        <v>173</v>
      </c>
      <c r="D35" s="8" t="s">
        <v>1427</v>
      </c>
      <c r="E35" s="8" t="s">
        <v>72</v>
      </c>
      <c r="F35" s="8" t="s">
        <v>62</v>
      </c>
      <c r="G35" s="9" t="s">
        <v>158</v>
      </c>
      <c r="H35" s="9" t="s">
        <v>102</v>
      </c>
      <c r="I35" s="9" t="s">
        <v>103</v>
      </c>
      <c r="J35" s="10"/>
      <c r="K35" s="9" t="s">
        <v>91</v>
      </c>
      <c r="L35" s="9" t="s">
        <v>93</v>
      </c>
      <c r="M35" s="9" t="s">
        <v>174</v>
      </c>
      <c r="N35" s="10"/>
      <c r="O35" s="9" t="s">
        <v>136</v>
      </c>
      <c r="P35" s="9" t="s">
        <v>175</v>
      </c>
      <c r="Q35" s="9" t="s">
        <v>168</v>
      </c>
      <c r="R35" s="10"/>
      <c r="S35" s="8" t="str">
        <f>"515,0"</f>
        <v>515,0</v>
      </c>
      <c r="T35" s="9" t="str">
        <f>"288,9150"</f>
        <v>288,9150</v>
      </c>
      <c r="U35" s="8" t="s">
        <v>22</v>
      </c>
    </row>
    <row r="37" spans="1:21" ht="16">
      <c r="A37" s="59" t="s">
        <v>176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</row>
    <row r="38" spans="1:21">
      <c r="A38" s="20" t="s">
        <v>178</v>
      </c>
      <c r="B38" s="20" t="s">
        <v>179</v>
      </c>
      <c r="C38" s="20" t="s">
        <v>180</v>
      </c>
      <c r="D38" s="20" t="s">
        <v>1427</v>
      </c>
      <c r="E38" s="20" t="s">
        <v>47</v>
      </c>
      <c r="F38" s="20" t="s">
        <v>181</v>
      </c>
      <c r="G38" s="21" t="s">
        <v>136</v>
      </c>
      <c r="H38" s="21" t="s">
        <v>122</v>
      </c>
      <c r="I38" s="21" t="s">
        <v>168</v>
      </c>
      <c r="J38" s="22"/>
      <c r="K38" s="21" t="s">
        <v>102</v>
      </c>
      <c r="L38" s="21" t="s">
        <v>143</v>
      </c>
      <c r="M38" s="22"/>
      <c r="N38" s="22"/>
      <c r="O38" s="21" t="s">
        <v>182</v>
      </c>
      <c r="P38" s="22" t="s">
        <v>183</v>
      </c>
      <c r="Q38" s="22" t="s">
        <v>183</v>
      </c>
      <c r="R38" s="22"/>
      <c r="S38" s="20" t="str">
        <f>"645,0"</f>
        <v>645,0</v>
      </c>
      <c r="T38" s="21" t="str">
        <f>"346,1070"</f>
        <v>346,1070</v>
      </c>
      <c r="U38" s="20" t="s">
        <v>22</v>
      </c>
    </row>
    <row r="39" spans="1:21">
      <c r="A39" s="26" t="s">
        <v>185</v>
      </c>
      <c r="B39" s="26" t="s">
        <v>186</v>
      </c>
      <c r="C39" s="26" t="s">
        <v>187</v>
      </c>
      <c r="D39" s="26" t="s">
        <v>1427</v>
      </c>
      <c r="E39" s="26" t="s">
        <v>188</v>
      </c>
      <c r="F39" s="26" t="s">
        <v>83</v>
      </c>
      <c r="G39" s="27" t="s">
        <v>121</v>
      </c>
      <c r="H39" s="27" t="s">
        <v>189</v>
      </c>
      <c r="I39" s="28" t="s">
        <v>190</v>
      </c>
      <c r="J39" s="28"/>
      <c r="K39" s="27" t="s">
        <v>113</v>
      </c>
      <c r="L39" s="27" t="s">
        <v>142</v>
      </c>
      <c r="M39" s="28" t="s">
        <v>102</v>
      </c>
      <c r="N39" s="28"/>
      <c r="O39" s="27" t="s">
        <v>191</v>
      </c>
      <c r="P39" s="27" t="s">
        <v>192</v>
      </c>
      <c r="Q39" s="28"/>
      <c r="R39" s="28"/>
      <c r="S39" s="26" t="str">
        <f>"625,0"</f>
        <v>625,0</v>
      </c>
      <c r="T39" s="27" t="str">
        <f>"340,6250"</f>
        <v>340,6250</v>
      </c>
      <c r="U39" s="26" t="s">
        <v>22</v>
      </c>
    </row>
    <row r="41" spans="1:21" ht="16">
      <c r="E41" s="12" t="s">
        <v>23</v>
      </c>
      <c r="F41" s="12" t="s">
        <v>1130</v>
      </c>
    </row>
    <row r="42" spans="1:21" ht="16">
      <c r="E42" s="12" t="s">
        <v>26</v>
      </c>
      <c r="F42" s="12" t="s">
        <v>1131</v>
      </c>
    </row>
    <row r="43" spans="1:21" ht="16">
      <c r="E43" s="12" t="s">
        <v>24</v>
      </c>
      <c r="F43" s="12" t="s">
        <v>1130</v>
      </c>
    </row>
    <row r="44" spans="1:21" ht="16">
      <c r="E44" s="12" t="s">
        <v>25</v>
      </c>
      <c r="F44" s="12" t="s">
        <v>1416</v>
      </c>
    </row>
    <row r="45" spans="1:21" ht="16">
      <c r="E45" s="12" t="s">
        <v>25</v>
      </c>
      <c r="F45" s="12" t="s">
        <v>1372</v>
      </c>
    </row>
    <row r="46" spans="1:21" ht="16">
      <c r="E46" s="12"/>
      <c r="F46" s="12"/>
    </row>
    <row r="47" spans="1:21" ht="16">
      <c r="E47" s="12"/>
    </row>
    <row r="49" spans="1:5" ht="18">
      <c r="A49" s="13" t="s">
        <v>27</v>
      </c>
      <c r="B49" s="13"/>
    </row>
    <row r="50" spans="1:5" ht="16">
      <c r="A50" s="14" t="s">
        <v>193</v>
      </c>
      <c r="B50" s="14"/>
    </row>
    <row r="51" spans="1:5" ht="14">
      <c r="A51" s="16"/>
      <c r="B51" s="17" t="s">
        <v>29</v>
      </c>
    </row>
    <row r="52" spans="1:5" ht="14">
      <c r="A52" s="18" t="s">
        <v>30</v>
      </c>
      <c r="B52" s="18" t="s">
        <v>31</v>
      </c>
      <c r="C52" s="18" t="s">
        <v>32</v>
      </c>
      <c r="D52" s="18" t="s">
        <v>33</v>
      </c>
      <c r="E52" s="18" t="s">
        <v>34</v>
      </c>
    </row>
    <row r="53" spans="1:5">
      <c r="A53" s="15" t="s">
        <v>43</v>
      </c>
      <c r="B53" s="4" t="s">
        <v>29</v>
      </c>
      <c r="C53" s="4" t="s">
        <v>194</v>
      </c>
      <c r="D53" s="4" t="s">
        <v>168</v>
      </c>
      <c r="E53" s="19" t="s">
        <v>195</v>
      </c>
    </row>
    <row r="54" spans="1:5">
      <c r="A54" s="15" t="s">
        <v>58</v>
      </c>
      <c r="B54" s="4" t="s">
        <v>29</v>
      </c>
      <c r="C54" s="4" t="s">
        <v>196</v>
      </c>
      <c r="D54" s="4" t="s">
        <v>197</v>
      </c>
      <c r="E54" s="19" t="s">
        <v>198</v>
      </c>
    </row>
    <row r="57" spans="1:5" ht="16">
      <c r="A57" s="14" t="s">
        <v>28</v>
      </c>
      <c r="B57" s="14"/>
    </row>
    <row r="58" spans="1:5" ht="14">
      <c r="A58" s="16"/>
      <c r="B58" s="17" t="s">
        <v>199</v>
      </c>
    </row>
    <row r="59" spans="1:5" ht="14">
      <c r="A59" s="18" t="s">
        <v>30</v>
      </c>
      <c r="B59" s="18" t="s">
        <v>31</v>
      </c>
      <c r="C59" s="18" t="s">
        <v>32</v>
      </c>
      <c r="D59" s="18" t="s">
        <v>33</v>
      </c>
      <c r="E59" s="18" t="s">
        <v>34</v>
      </c>
    </row>
    <row r="60" spans="1:5">
      <c r="A60" s="15" t="s">
        <v>94</v>
      </c>
      <c r="B60" s="4" t="s">
        <v>200</v>
      </c>
      <c r="C60" s="4" t="s">
        <v>201</v>
      </c>
      <c r="D60" s="4" t="s">
        <v>202</v>
      </c>
      <c r="E60" s="19" t="s">
        <v>203</v>
      </c>
    </row>
    <row r="61" spans="1:5">
      <c r="A61" s="15" t="s">
        <v>123</v>
      </c>
      <c r="B61" s="4" t="s">
        <v>204</v>
      </c>
      <c r="C61" s="4" t="s">
        <v>35</v>
      </c>
      <c r="D61" s="4" t="s">
        <v>205</v>
      </c>
      <c r="E61" s="19" t="s">
        <v>206</v>
      </c>
    </row>
    <row r="62" spans="1:5">
      <c r="A62" s="15" t="s">
        <v>105</v>
      </c>
      <c r="B62" s="4" t="s">
        <v>200</v>
      </c>
      <c r="C62" s="4" t="s">
        <v>201</v>
      </c>
      <c r="D62" s="4" t="s">
        <v>207</v>
      </c>
      <c r="E62" s="19" t="s">
        <v>208</v>
      </c>
    </row>
    <row r="63" spans="1:5">
      <c r="A63" s="15" t="s">
        <v>87</v>
      </c>
      <c r="B63" s="4" t="s">
        <v>209</v>
      </c>
      <c r="C63" s="4" t="s">
        <v>201</v>
      </c>
      <c r="D63" s="4" t="s">
        <v>210</v>
      </c>
      <c r="E63" s="19" t="s">
        <v>211</v>
      </c>
    </row>
    <row r="64" spans="1:5">
      <c r="A64" s="15" t="s">
        <v>68</v>
      </c>
      <c r="B64" s="4" t="s">
        <v>209</v>
      </c>
      <c r="C64" s="4" t="s">
        <v>196</v>
      </c>
      <c r="D64" s="4" t="s">
        <v>135</v>
      </c>
      <c r="E64" s="19" t="s">
        <v>212</v>
      </c>
    </row>
    <row r="66" spans="1:5" ht="14">
      <c r="A66" s="16"/>
      <c r="B66" s="17" t="s">
        <v>213</v>
      </c>
    </row>
    <row r="67" spans="1:5" ht="14">
      <c r="A67" s="18" t="s">
        <v>30</v>
      </c>
      <c r="B67" s="18" t="s">
        <v>31</v>
      </c>
      <c r="C67" s="18" t="s">
        <v>32</v>
      </c>
      <c r="D67" s="18" t="s">
        <v>33</v>
      </c>
      <c r="E67" s="18" t="s">
        <v>34</v>
      </c>
    </row>
    <row r="68" spans="1:5">
      <c r="A68" s="15" t="s">
        <v>137</v>
      </c>
      <c r="B68" s="4" t="s">
        <v>214</v>
      </c>
      <c r="C68" s="4" t="s">
        <v>35</v>
      </c>
      <c r="D68" s="4" t="s">
        <v>215</v>
      </c>
      <c r="E68" s="19" t="s">
        <v>216</v>
      </c>
    </row>
    <row r="69" spans="1:5">
      <c r="A69" s="15" t="s">
        <v>131</v>
      </c>
      <c r="B69" s="4" t="s">
        <v>214</v>
      </c>
      <c r="C69" s="4" t="s">
        <v>35</v>
      </c>
      <c r="D69" s="4" t="s">
        <v>217</v>
      </c>
      <c r="E69" s="19" t="s">
        <v>218</v>
      </c>
    </row>
    <row r="71" spans="1:5" ht="14">
      <c r="A71" s="16"/>
      <c r="B71" s="17" t="s">
        <v>29</v>
      </c>
    </row>
    <row r="72" spans="1:5" ht="14">
      <c r="A72" s="18" t="s">
        <v>30</v>
      </c>
      <c r="B72" s="18" t="s">
        <v>31</v>
      </c>
      <c r="C72" s="18" t="s">
        <v>32</v>
      </c>
      <c r="D72" s="18" t="s">
        <v>33</v>
      </c>
      <c r="E72" s="18" t="s">
        <v>34</v>
      </c>
    </row>
    <row r="73" spans="1:5">
      <c r="A73" s="15" t="s">
        <v>153</v>
      </c>
      <c r="B73" s="4" t="s">
        <v>29</v>
      </c>
      <c r="C73" s="4" t="s">
        <v>219</v>
      </c>
      <c r="D73" s="4" t="s">
        <v>220</v>
      </c>
      <c r="E73" s="19" t="s">
        <v>221</v>
      </c>
    </row>
    <row r="74" spans="1:5">
      <c r="A74" s="15" t="s">
        <v>177</v>
      </c>
      <c r="B74" s="4" t="s">
        <v>29</v>
      </c>
      <c r="C74" s="4" t="s">
        <v>222</v>
      </c>
      <c r="D74" s="4" t="s">
        <v>223</v>
      </c>
      <c r="E74" s="19" t="s">
        <v>224</v>
      </c>
    </row>
    <row r="75" spans="1:5">
      <c r="A75" s="15" t="s">
        <v>114</v>
      </c>
      <c r="B75" s="4" t="s">
        <v>29</v>
      </c>
      <c r="C75" s="4" t="s">
        <v>201</v>
      </c>
      <c r="D75" s="4" t="s">
        <v>225</v>
      </c>
      <c r="E75" s="19" t="s">
        <v>226</v>
      </c>
    </row>
    <row r="76" spans="1:5">
      <c r="A76" s="15" t="s">
        <v>184</v>
      </c>
      <c r="B76" s="4" t="s">
        <v>29</v>
      </c>
      <c r="C76" s="4" t="s">
        <v>222</v>
      </c>
      <c r="D76" s="4" t="s">
        <v>227</v>
      </c>
      <c r="E76" s="19" t="s">
        <v>228</v>
      </c>
    </row>
    <row r="77" spans="1:5">
      <c r="A77" s="15" t="s">
        <v>162</v>
      </c>
      <c r="B77" s="4" t="s">
        <v>29</v>
      </c>
      <c r="C77" s="4" t="s">
        <v>219</v>
      </c>
      <c r="D77" s="4" t="s">
        <v>229</v>
      </c>
      <c r="E77" s="19" t="s">
        <v>230</v>
      </c>
    </row>
    <row r="78" spans="1:5">
      <c r="A78" s="15" t="s">
        <v>123</v>
      </c>
      <c r="B78" s="4" t="s">
        <v>29</v>
      </c>
      <c r="C78" s="4" t="s">
        <v>35</v>
      </c>
      <c r="D78" s="4" t="s">
        <v>205</v>
      </c>
      <c r="E78" s="19" t="s">
        <v>231</v>
      </c>
    </row>
    <row r="79" spans="1:5">
      <c r="A79" s="15" t="s">
        <v>170</v>
      </c>
      <c r="B79" s="4" t="s">
        <v>29</v>
      </c>
      <c r="C79" s="4" t="s">
        <v>232</v>
      </c>
      <c r="D79" s="4" t="s">
        <v>233</v>
      </c>
      <c r="E79" s="19" t="s">
        <v>234</v>
      </c>
    </row>
    <row r="80" spans="1:5">
      <c r="A80" s="15" t="s">
        <v>146</v>
      </c>
      <c r="B80" s="4" t="s">
        <v>29</v>
      </c>
      <c r="C80" s="4" t="s">
        <v>35</v>
      </c>
      <c r="D80" s="4" t="s">
        <v>235</v>
      </c>
      <c r="E80" s="19" t="s">
        <v>236</v>
      </c>
    </row>
    <row r="85" spans="1:3" ht="18">
      <c r="A85" s="13" t="s">
        <v>36</v>
      </c>
      <c r="B85" s="13"/>
    </row>
    <row r="86" spans="1:3" ht="14">
      <c r="A86" s="18" t="s">
        <v>37</v>
      </c>
      <c r="B86" s="18" t="s">
        <v>38</v>
      </c>
      <c r="C86" s="18" t="s">
        <v>39</v>
      </c>
    </row>
    <row r="87" spans="1:3">
      <c r="A87" s="4" t="s">
        <v>14</v>
      </c>
      <c r="B87" s="4" t="s">
        <v>237</v>
      </c>
      <c r="C87" s="4" t="s">
        <v>238</v>
      </c>
    </row>
    <row r="88" spans="1:3">
      <c r="A88" s="4" t="s">
        <v>82</v>
      </c>
      <c r="B88" s="4" t="s">
        <v>239</v>
      </c>
      <c r="C88" s="4" t="s">
        <v>240</v>
      </c>
    </row>
    <row r="89" spans="1:3">
      <c r="A89" s="4" t="s">
        <v>72</v>
      </c>
      <c r="B89" s="4" t="s">
        <v>241</v>
      </c>
      <c r="C89" s="4" t="s">
        <v>242</v>
      </c>
    </row>
    <row r="90" spans="1:3">
      <c r="A90" s="4" t="s">
        <v>47</v>
      </c>
      <c r="B90" s="4" t="s">
        <v>241</v>
      </c>
      <c r="C90" s="4" t="s">
        <v>243</v>
      </c>
    </row>
    <row r="91" spans="1:3">
      <c r="A91" s="4" t="s">
        <v>118</v>
      </c>
      <c r="B91" s="4" t="s">
        <v>244</v>
      </c>
      <c r="C91" s="4" t="s">
        <v>245</v>
      </c>
    </row>
    <row r="92" spans="1:3">
      <c r="A92" s="4" t="s">
        <v>166</v>
      </c>
      <c r="B92" s="4" t="s">
        <v>246</v>
      </c>
      <c r="C92" s="4" t="s">
        <v>247</v>
      </c>
    </row>
    <row r="93" spans="1:3">
      <c r="A93" s="4" t="s">
        <v>188</v>
      </c>
      <c r="B93" s="4" t="s">
        <v>246</v>
      </c>
      <c r="C93" s="4" t="s">
        <v>248</v>
      </c>
    </row>
  </sheetData>
  <mergeCells count="22"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A37:T37"/>
    <mergeCell ref="S3:S4"/>
    <mergeCell ref="T3:T4"/>
    <mergeCell ref="U3:U4"/>
    <mergeCell ref="A5:T5"/>
    <mergeCell ref="A8:T8"/>
    <mergeCell ref="A11:T11"/>
    <mergeCell ref="A14:T14"/>
    <mergeCell ref="A17:T17"/>
    <mergeCell ref="A23:T23"/>
    <mergeCell ref="A30:T30"/>
    <mergeCell ref="A34:T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5"/>
  <sheetViews>
    <sheetView workbookViewId="0">
      <selection activeCell="D14" sqref="D14"/>
    </sheetView>
  </sheetViews>
  <sheetFormatPr baseColWidth="10" defaultColWidth="9.1640625" defaultRowHeight="13"/>
  <cols>
    <col min="1" max="1" width="34.5" style="19" bestFit="1" customWidth="1"/>
    <col min="2" max="2" width="28.5" style="36" bestFit="1" customWidth="1"/>
    <col min="3" max="3" width="30.33203125" style="36" bestFit="1" customWidth="1"/>
    <col min="4" max="4" width="9.33203125" style="36" bestFit="1" customWidth="1"/>
    <col min="5" max="5" width="22.6640625" style="29" bestFit="1" customWidth="1"/>
    <col min="6" max="6" width="29" style="29" bestFit="1" customWidth="1"/>
    <col min="7" max="10" width="4.5" style="36" bestFit="1" customWidth="1"/>
    <col min="11" max="11" width="7.83203125" style="19" bestFit="1" customWidth="1"/>
    <col min="12" max="12" width="7.5" style="36" bestFit="1" customWidth="1"/>
    <col min="13" max="13" width="8.83203125" style="29" bestFit="1" customWidth="1"/>
    <col min="14" max="16384" width="9.1640625" style="36"/>
  </cols>
  <sheetData>
    <row r="1" spans="1:13" ht="29" customHeight="1">
      <c r="A1" s="60" t="s">
        <v>1275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3" ht="98.25" customHeight="1" thickBot="1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0</v>
      </c>
      <c r="B3" s="68" t="s">
        <v>1423</v>
      </c>
      <c r="C3" s="68" t="s">
        <v>1199</v>
      </c>
      <c r="D3" s="70" t="s">
        <v>1424</v>
      </c>
      <c r="E3" s="70" t="s">
        <v>5</v>
      </c>
      <c r="F3" s="70" t="s">
        <v>9</v>
      </c>
      <c r="G3" s="70" t="s">
        <v>1</v>
      </c>
      <c r="H3" s="70"/>
      <c r="I3" s="70"/>
      <c r="J3" s="70"/>
      <c r="K3" s="70" t="s">
        <v>449</v>
      </c>
      <c r="L3" s="70" t="s">
        <v>4</v>
      </c>
      <c r="M3" s="71" t="s">
        <v>3</v>
      </c>
    </row>
    <row r="4" spans="1:13" s="1" customFormat="1" ht="21" customHeight="1" thickBot="1">
      <c r="A4" s="67"/>
      <c r="B4" s="69"/>
      <c r="C4" s="69"/>
      <c r="D4" s="69"/>
      <c r="E4" s="69"/>
      <c r="F4" s="69"/>
      <c r="G4" s="53">
        <v>1</v>
      </c>
      <c r="H4" s="53">
        <v>2</v>
      </c>
      <c r="I4" s="53">
        <v>3</v>
      </c>
      <c r="J4" s="53" t="s">
        <v>6</v>
      </c>
      <c r="K4" s="69"/>
      <c r="L4" s="69"/>
      <c r="M4" s="72"/>
    </row>
    <row r="5" spans="1:13" ht="16">
      <c r="A5" s="58" t="s">
        <v>86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3">
      <c r="A6" s="51" t="s">
        <v>727</v>
      </c>
      <c r="B6" s="50" t="s">
        <v>728</v>
      </c>
      <c r="C6" s="50" t="s">
        <v>729</v>
      </c>
      <c r="D6" s="50" t="s">
        <v>1432</v>
      </c>
      <c r="E6" s="49" t="s">
        <v>47</v>
      </c>
      <c r="F6" s="49" t="s">
        <v>48</v>
      </c>
      <c r="G6" s="50" t="s">
        <v>1170</v>
      </c>
      <c r="H6" s="50" t="s">
        <v>1272</v>
      </c>
      <c r="I6" s="22" t="s">
        <v>1172</v>
      </c>
      <c r="J6" s="22"/>
      <c r="K6" s="51" t="str">
        <f>"27,5"</f>
        <v>27,5</v>
      </c>
      <c r="L6" s="50" t="str">
        <f>"23,8399"</f>
        <v>23,8399</v>
      </c>
      <c r="M6" s="49" t="s">
        <v>22</v>
      </c>
    </row>
    <row r="7" spans="1:13">
      <c r="A7" s="46" t="s">
        <v>1274</v>
      </c>
      <c r="B7" s="45" t="s">
        <v>1273</v>
      </c>
      <c r="C7" s="45" t="s">
        <v>564</v>
      </c>
      <c r="D7" s="45" t="s">
        <v>1426</v>
      </c>
      <c r="E7" s="44" t="s">
        <v>253</v>
      </c>
      <c r="F7" s="44" t="s">
        <v>254</v>
      </c>
      <c r="G7" s="45" t="s">
        <v>63</v>
      </c>
      <c r="H7" s="45" t="s">
        <v>84</v>
      </c>
      <c r="I7" s="45" t="s">
        <v>49</v>
      </c>
      <c r="J7" s="28" t="s">
        <v>331</v>
      </c>
      <c r="K7" s="46" t="str">
        <f>"70,0"</f>
        <v>70,0</v>
      </c>
      <c r="L7" s="45" t="str">
        <f>"47,6306"</f>
        <v>47,6306</v>
      </c>
      <c r="M7" s="44" t="s">
        <v>22</v>
      </c>
    </row>
    <row r="9" spans="1:13" ht="16">
      <c r="A9" s="59" t="s">
        <v>169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</row>
    <row r="10" spans="1:13">
      <c r="A10" s="35" t="s">
        <v>1213</v>
      </c>
      <c r="B10" s="52" t="s">
        <v>1212</v>
      </c>
      <c r="C10" s="52" t="s">
        <v>1211</v>
      </c>
      <c r="D10" s="52" t="s">
        <v>1427</v>
      </c>
      <c r="E10" s="32" t="s">
        <v>253</v>
      </c>
      <c r="F10" s="32" t="s">
        <v>254</v>
      </c>
      <c r="G10" s="52" t="s">
        <v>84</v>
      </c>
      <c r="H10" s="52" t="s">
        <v>49</v>
      </c>
      <c r="I10" s="52" t="s">
        <v>331</v>
      </c>
      <c r="J10" s="10"/>
      <c r="K10" s="35" t="str">
        <f>"72,5"</f>
        <v>72,5</v>
      </c>
      <c r="L10" s="52" t="str">
        <f>"40,5783"</f>
        <v>40,5783</v>
      </c>
      <c r="M10" s="32" t="s">
        <v>22</v>
      </c>
    </row>
    <row r="12" spans="1:13" ht="16">
      <c r="A12" s="59" t="s">
        <v>176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1:13">
      <c r="A13" s="35" t="s">
        <v>1105</v>
      </c>
      <c r="B13" s="52" t="s">
        <v>1106</v>
      </c>
      <c r="C13" s="52" t="s">
        <v>1107</v>
      </c>
      <c r="D13" s="52" t="s">
        <v>1427</v>
      </c>
      <c r="E13" s="32" t="s">
        <v>347</v>
      </c>
      <c r="F13" s="32" t="s">
        <v>348</v>
      </c>
      <c r="G13" s="52" t="s">
        <v>49</v>
      </c>
      <c r="H13" s="52" t="s">
        <v>331</v>
      </c>
      <c r="I13" s="52" t="s">
        <v>50</v>
      </c>
      <c r="J13" s="10"/>
      <c r="K13" s="35" t="str">
        <f>"77,5"</f>
        <v>77,5</v>
      </c>
      <c r="L13" s="52" t="str">
        <f>"41,8577"</f>
        <v>41,8577</v>
      </c>
      <c r="M13" s="32" t="s">
        <v>22</v>
      </c>
    </row>
    <row r="15" spans="1:13" ht="16">
      <c r="E15" s="12" t="s">
        <v>23</v>
      </c>
      <c r="F15" s="12" t="s">
        <v>1130</v>
      </c>
    </row>
    <row r="16" spans="1:13" ht="16">
      <c r="E16" s="12" t="s">
        <v>26</v>
      </c>
      <c r="F16" s="12" t="s">
        <v>1131</v>
      </c>
    </row>
    <row r="17" spans="1:6" ht="16">
      <c r="E17" s="12" t="s">
        <v>24</v>
      </c>
      <c r="F17" s="12" t="s">
        <v>1130</v>
      </c>
    </row>
    <row r="18" spans="1:6" ht="16">
      <c r="E18" s="12" t="s">
        <v>25</v>
      </c>
      <c r="F18" s="12" t="s">
        <v>1416</v>
      </c>
    </row>
    <row r="19" spans="1:6" ht="16">
      <c r="E19" s="12" t="s">
        <v>25</v>
      </c>
      <c r="F19" s="12" t="s">
        <v>1372</v>
      </c>
    </row>
    <row r="20" spans="1:6" ht="16">
      <c r="E20" s="12"/>
      <c r="F20" s="12"/>
    </row>
    <row r="21" spans="1:6" ht="16">
      <c r="E21" s="12"/>
    </row>
    <row r="23" spans="1:6" ht="18">
      <c r="A23" s="38" t="s">
        <v>27</v>
      </c>
      <c r="B23" s="37"/>
    </row>
    <row r="24" spans="1:6" ht="16">
      <c r="A24" s="43" t="s">
        <v>28</v>
      </c>
      <c r="B24" s="42"/>
    </row>
    <row r="25" spans="1:6" ht="14">
      <c r="A25" s="41"/>
      <c r="B25" s="40" t="s">
        <v>199</v>
      </c>
    </row>
    <row r="26" spans="1:6" ht="14">
      <c r="A26" s="18" t="s">
        <v>30</v>
      </c>
      <c r="B26" s="18" t="s">
        <v>31</v>
      </c>
      <c r="C26" s="18" t="s">
        <v>32</v>
      </c>
      <c r="D26" s="18" t="s">
        <v>33</v>
      </c>
      <c r="E26" s="18" t="s">
        <v>34</v>
      </c>
    </row>
    <row r="27" spans="1:6">
      <c r="A27" s="39" t="s">
        <v>726</v>
      </c>
      <c r="B27" s="36" t="s">
        <v>209</v>
      </c>
      <c r="C27" s="36" t="s">
        <v>201</v>
      </c>
      <c r="D27" s="36" t="s">
        <v>1272</v>
      </c>
      <c r="E27" s="19" t="s">
        <v>1271</v>
      </c>
    </row>
    <row r="29" spans="1:6" ht="14">
      <c r="A29" s="41"/>
      <c r="B29" s="40" t="s">
        <v>213</v>
      </c>
    </row>
    <row r="30" spans="1:6" ht="14">
      <c r="A30" s="18" t="s">
        <v>30</v>
      </c>
      <c r="B30" s="18" t="s">
        <v>31</v>
      </c>
      <c r="C30" s="18" t="s">
        <v>32</v>
      </c>
      <c r="D30" s="18" t="s">
        <v>33</v>
      </c>
      <c r="E30" s="18" t="s">
        <v>34</v>
      </c>
    </row>
    <row r="31" spans="1:6">
      <c r="A31" s="39" t="s">
        <v>1270</v>
      </c>
      <c r="B31" s="36" t="s">
        <v>214</v>
      </c>
      <c r="C31" s="36" t="s">
        <v>201</v>
      </c>
      <c r="D31" s="36" t="s">
        <v>49</v>
      </c>
      <c r="E31" s="19" t="s">
        <v>1269</v>
      </c>
    </row>
    <row r="33" spans="1:5" ht="14">
      <c r="A33" s="41"/>
      <c r="B33" s="40" t="s">
        <v>29</v>
      </c>
    </row>
    <row r="34" spans="1:5" ht="14">
      <c r="A34" s="18" t="s">
        <v>30</v>
      </c>
      <c r="B34" s="18" t="s">
        <v>31</v>
      </c>
      <c r="C34" s="18" t="s">
        <v>32</v>
      </c>
      <c r="D34" s="18" t="s">
        <v>33</v>
      </c>
      <c r="E34" s="18" t="s">
        <v>34</v>
      </c>
    </row>
    <row r="35" spans="1:5">
      <c r="A35" s="39" t="s">
        <v>1104</v>
      </c>
      <c r="B35" s="36" t="s">
        <v>29</v>
      </c>
      <c r="C35" s="36" t="s">
        <v>222</v>
      </c>
      <c r="D35" s="36" t="s">
        <v>50</v>
      </c>
      <c r="E35" s="19" t="s">
        <v>1268</v>
      </c>
    </row>
    <row r="36" spans="1:5">
      <c r="A36" s="39" t="s">
        <v>1206</v>
      </c>
      <c r="B36" s="36" t="s">
        <v>29</v>
      </c>
      <c r="C36" s="36" t="s">
        <v>232</v>
      </c>
      <c r="D36" s="36" t="s">
        <v>331</v>
      </c>
      <c r="E36" s="19" t="s">
        <v>1267</v>
      </c>
    </row>
    <row r="41" spans="1:5" ht="18">
      <c r="A41" s="38" t="s">
        <v>36</v>
      </c>
      <c r="B41" s="37"/>
    </row>
    <row r="42" spans="1:5" ht="14">
      <c r="A42" s="18" t="s">
        <v>37</v>
      </c>
      <c r="B42" s="18" t="s">
        <v>38</v>
      </c>
      <c r="C42" s="18" t="s">
        <v>39</v>
      </c>
    </row>
    <row r="43" spans="1:5">
      <c r="A43" s="19" t="s">
        <v>253</v>
      </c>
      <c r="B43" s="36" t="s">
        <v>241</v>
      </c>
      <c r="C43" s="36" t="s">
        <v>1266</v>
      </c>
    </row>
    <row r="44" spans="1:5">
      <c r="A44" s="19" t="s">
        <v>347</v>
      </c>
      <c r="B44" s="36" t="s">
        <v>40</v>
      </c>
      <c r="C44" s="36" t="s">
        <v>1110</v>
      </c>
    </row>
    <row r="45" spans="1:5">
      <c r="A45" s="19" t="s">
        <v>47</v>
      </c>
      <c r="B45" s="36" t="s">
        <v>40</v>
      </c>
      <c r="C45" s="36" t="s">
        <v>1265</v>
      </c>
    </row>
  </sheetData>
  <mergeCells count="14">
    <mergeCell ref="A5:L5"/>
    <mergeCell ref="A9:L9"/>
    <mergeCell ref="A12:L12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U29"/>
  <sheetViews>
    <sheetView zoomScale="85" zoomScaleNormal="85" workbookViewId="0">
      <selection sqref="A1:U2"/>
    </sheetView>
  </sheetViews>
  <sheetFormatPr baseColWidth="10" defaultColWidth="9.1640625" defaultRowHeight="13"/>
  <cols>
    <col min="1" max="1" width="31.83203125" style="4" bestFit="1" customWidth="1"/>
    <col min="2" max="2" width="26.33203125" style="4" bestFit="1" customWidth="1"/>
    <col min="3" max="3" width="18.5" style="4" bestFit="1" customWidth="1"/>
    <col min="4" max="4" width="9.33203125" style="4" bestFit="1" customWidth="1"/>
    <col min="5" max="5" width="24.33203125" style="4" customWidth="1"/>
    <col min="6" max="6" width="17.33203125" style="4" bestFit="1" customWidth="1"/>
    <col min="7" max="8" width="6.5" style="3" bestFit="1" customWidth="1"/>
    <col min="9" max="9" width="2.1640625" style="3" bestFit="1" customWidth="1"/>
    <col min="10" max="10" width="4.83203125" style="3" bestFit="1" customWidth="1"/>
    <col min="11" max="12" width="6.5" style="3" bestFit="1" customWidth="1"/>
    <col min="13" max="13" width="2.1640625" style="3" bestFit="1" customWidth="1"/>
    <col min="14" max="14" width="4.83203125" style="3" bestFit="1" customWidth="1"/>
    <col min="15" max="16" width="6.5" style="3" bestFit="1" customWidth="1"/>
    <col min="17" max="17" width="2.1640625" style="3" bestFit="1" customWidth="1"/>
    <col min="18" max="18" width="4.83203125" style="3" bestFit="1" customWidth="1"/>
    <col min="19" max="19" width="7.83203125" style="4" bestFit="1" customWidth="1"/>
    <col min="20" max="20" width="8.5" style="3" bestFit="1" customWidth="1"/>
    <col min="21" max="21" width="8.83203125" style="4" bestFit="1" customWidth="1"/>
    <col min="22" max="16384" width="9.1640625" style="3"/>
  </cols>
  <sheetData>
    <row r="1" spans="1:21" s="2" customFormat="1" ht="29" customHeight="1">
      <c r="A1" s="73" t="s">
        <v>1155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5"/>
    </row>
    <row r="2" spans="1:21" s="2" customFormat="1" ht="102" customHeight="1" thickBot="1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8"/>
    </row>
    <row r="3" spans="1:21" s="1" customFormat="1" ht="12.75" customHeight="1">
      <c r="A3" s="66" t="s">
        <v>0</v>
      </c>
      <c r="B3" s="68" t="s">
        <v>1423</v>
      </c>
      <c r="C3" s="68" t="s">
        <v>8</v>
      </c>
      <c r="D3" s="70" t="s">
        <v>1424</v>
      </c>
      <c r="E3" s="70" t="s">
        <v>5</v>
      </c>
      <c r="F3" s="70" t="s">
        <v>9</v>
      </c>
      <c r="G3" s="70" t="s">
        <v>10</v>
      </c>
      <c r="H3" s="70"/>
      <c r="I3" s="70"/>
      <c r="J3" s="70"/>
      <c r="K3" s="70" t="s">
        <v>11</v>
      </c>
      <c r="L3" s="70"/>
      <c r="M3" s="70"/>
      <c r="N3" s="70"/>
      <c r="O3" s="70" t="s">
        <v>12</v>
      </c>
      <c r="P3" s="70"/>
      <c r="Q3" s="70"/>
      <c r="R3" s="70"/>
      <c r="S3" s="70" t="s">
        <v>2</v>
      </c>
      <c r="T3" s="70" t="s">
        <v>4</v>
      </c>
      <c r="U3" s="71" t="s">
        <v>3</v>
      </c>
    </row>
    <row r="4" spans="1:21" s="1" customFormat="1" ht="21" customHeight="1" thickBot="1">
      <c r="A4" s="67"/>
      <c r="B4" s="69"/>
      <c r="C4" s="69"/>
      <c r="D4" s="69"/>
      <c r="E4" s="69"/>
      <c r="F4" s="69"/>
      <c r="G4" s="55">
        <v>1</v>
      </c>
      <c r="H4" s="55">
        <v>2</v>
      </c>
      <c r="I4" s="55">
        <v>3</v>
      </c>
      <c r="J4" s="55" t="s">
        <v>6</v>
      </c>
      <c r="K4" s="55">
        <v>1</v>
      </c>
      <c r="L4" s="55">
        <v>2</v>
      </c>
      <c r="M4" s="55">
        <v>3</v>
      </c>
      <c r="N4" s="55" t="s">
        <v>6</v>
      </c>
      <c r="O4" s="55">
        <v>1</v>
      </c>
      <c r="P4" s="55">
        <v>2</v>
      </c>
      <c r="Q4" s="55">
        <v>3</v>
      </c>
      <c r="R4" s="55" t="s">
        <v>6</v>
      </c>
      <c r="S4" s="69"/>
      <c r="T4" s="69"/>
      <c r="U4" s="72"/>
    </row>
    <row r="5" spans="1:21" ht="16">
      <c r="A5" s="58" t="s">
        <v>13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1:21">
      <c r="A6" s="33" t="s">
        <v>1410</v>
      </c>
      <c r="B6" s="33" t="s">
        <v>1411</v>
      </c>
      <c r="C6" s="33" t="s">
        <v>1412</v>
      </c>
      <c r="D6" s="33" t="s">
        <v>1427</v>
      </c>
      <c r="E6" s="33" t="s">
        <v>14</v>
      </c>
      <c r="F6" s="33" t="s">
        <v>15</v>
      </c>
      <c r="G6" s="34" t="s">
        <v>16</v>
      </c>
      <c r="H6" s="34" t="s">
        <v>17</v>
      </c>
      <c r="I6" s="57"/>
      <c r="J6" s="57"/>
      <c r="K6" s="34" t="s">
        <v>18</v>
      </c>
      <c r="L6" s="34" t="s">
        <v>19</v>
      </c>
      <c r="M6" s="57"/>
      <c r="N6" s="57"/>
      <c r="O6" s="34" t="s">
        <v>20</v>
      </c>
      <c r="P6" s="34" t="s">
        <v>21</v>
      </c>
      <c r="Q6" s="57"/>
      <c r="R6" s="57"/>
      <c r="S6" s="33" t="str">
        <f>"445.00o"</f>
        <v>445.00o</v>
      </c>
      <c r="T6" s="34" t="str">
        <f>"290,0065"</f>
        <v>290,0065</v>
      </c>
      <c r="U6" s="33" t="s">
        <v>22</v>
      </c>
    </row>
    <row r="8" spans="1:21" ht="16">
      <c r="E8" s="12" t="s">
        <v>23</v>
      </c>
      <c r="F8" s="12" t="s">
        <v>1130</v>
      </c>
    </row>
    <row r="9" spans="1:21" ht="16">
      <c r="E9" s="12" t="s">
        <v>26</v>
      </c>
      <c r="F9" s="12" t="s">
        <v>1131</v>
      </c>
    </row>
    <row r="10" spans="1:21" ht="16">
      <c r="E10" s="12" t="s">
        <v>24</v>
      </c>
      <c r="F10" s="12" t="s">
        <v>1130</v>
      </c>
    </row>
    <row r="11" spans="1:21" ht="16">
      <c r="E11" s="12" t="s">
        <v>25</v>
      </c>
      <c r="F11" s="12" t="s">
        <v>1416</v>
      </c>
    </row>
    <row r="12" spans="1:21" ht="16">
      <c r="E12" s="12" t="s">
        <v>25</v>
      </c>
      <c r="F12" s="12" t="s">
        <v>1372</v>
      </c>
    </row>
    <row r="13" spans="1:21" ht="16">
      <c r="E13" s="12"/>
      <c r="F13" s="12"/>
    </row>
    <row r="14" spans="1:21" ht="16">
      <c r="E14" s="12"/>
    </row>
    <row r="16" spans="1:21" ht="18">
      <c r="A16" s="13" t="s">
        <v>27</v>
      </c>
      <c r="B16" s="13"/>
    </row>
    <row r="17" spans="1:5" ht="16">
      <c r="A17" s="14" t="s">
        <v>28</v>
      </c>
      <c r="B17" s="14"/>
    </row>
    <row r="18" spans="1:5" ht="14">
      <c r="A18" s="16"/>
      <c r="B18" s="17" t="s">
        <v>29</v>
      </c>
    </row>
    <row r="19" spans="1:5" ht="14">
      <c r="A19" s="56" t="s">
        <v>30</v>
      </c>
      <c r="B19" s="56" t="s">
        <v>31</v>
      </c>
      <c r="C19" s="56" t="s">
        <v>32</v>
      </c>
      <c r="D19" s="56" t="s">
        <v>33</v>
      </c>
      <c r="E19" s="56" t="s">
        <v>34</v>
      </c>
    </row>
    <row r="20" spans="1:5">
      <c r="A20" s="15" t="s">
        <v>1413</v>
      </c>
      <c r="B20" s="4" t="s">
        <v>29</v>
      </c>
      <c r="C20" s="4" t="s">
        <v>35</v>
      </c>
      <c r="D20" s="4" t="s">
        <v>1414</v>
      </c>
      <c r="E20" s="19" t="s">
        <v>1415</v>
      </c>
    </row>
    <row r="25" spans="1:5" ht="16">
      <c r="A25" s="12" t="s">
        <v>23</v>
      </c>
      <c r="B25" s="12" t="s">
        <v>1130</v>
      </c>
    </row>
    <row r="26" spans="1:5" ht="16">
      <c r="A26" s="12" t="s">
        <v>26</v>
      </c>
      <c r="B26" s="12" t="s">
        <v>1131</v>
      </c>
      <c r="C26" s="56" t="s">
        <v>39</v>
      </c>
    </row>
    <row r="27" spans="1:5" ht="16">
      <c r="A27" s="12" t="s">
        <v>24</v>
      </c>
      <c r="B27" s="12" t="s">
        <v>1130</v>
      </c>
      <c r="C27" s="4" t="s">
        <v>41</v>
      </c>
    </row>
    <row r="28" spans="1:5" ht="16">
      <c r="A28" s="12" t="s">
        <v>25</v>
      </c>
      <c r="B28" s="12" t="s">
        <v>1416</v>
      </c>
    </row>
    <row r="29" spans="1:5" ht="16">
      <c r="A29" s="12" t="s">
        <v>25</v>
      </c>
      <c r="B29" s="12" t="s">
        <v>1372</v>
      </c>
    </row>
  </sheetData>
  <mergeCells count="14">
    <mergeCell ref="S3:S4"/>
    <mergeCell ref="T3:T4"/>
    <mergeCell ref="U3:U4"/>
    <mergeCell ref="A5:T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U28"/>
  <sheetViews>
    <sheetView workbookViewId="0">
      <selection activeCell="K18" sqref="K18"/>
    </sheetView>
  </sheetViews>
  <sheetFormatPr baseColWidth="10" defaultColWidth="9.1640625" defaultRowHeight="13"/>
  <cols>
    <col min="1" max="1" width="25.83203125" style="4" bestFit="1" customWidth="1"/>
    <col min="2" max="2" width="27.83203125" style="4" customWidth="1"/>
    <col min="3" max="3" width="10" style="4" customWidth="1"/>
    <col min="4" max="4" width="21.33203125" style="5" customWidth="1"/>
    <col min="5" max="5" width="23.6640625" style="4" bestFit="1" customWidth="1"/>
    <col min="6" max="6" width="10" style="4" customWidth="1"/>
    <col min="7" max="7" width="5.5" style="3" bestFit="1" customWidth="1"/>
    <col min="8" max="8" width="7" style="3" customWidth="1"/>
    <col min="9" max="9" width="13.33203125" style="3" customWidth="1"/>
    <col min="10" max="10" width="17.33203125" style="3" customWidth="1"/>
    <col min="11" max="11" width="11.33203125" style="3" customWidth="1"/>
    <col min="12" max="13" width="7" style="3" hidden="1" customWidth="1"/>
    <col min="14" max="14" width="5.5" style="3" hidden="1" customWidth="1"/>
    <col min="15" max="16" width="7" style="3" hidden="1" customWidth="1"/>
    <col min="17" max="17" width="6.33203125" style="3" hidden="1" customWidth="1"/>
    <col min="18" max="18" width="5.5" style="3" hidden="1" customWidth="1"/>
    <col min="19" max="19" width="7.83203125" style="5" hidden="1" customWidth="1"/>
    <col min="20" max="20" width="8.5" style="6" hidden="1" customWidth="1"/>
    <col min="21" max="21" width="23" style="4" hidden="1" customWidth="1"/>
    <col min="22" max="16384" width="9.1640625" style="3"/>
  </cols>
  <sheetData>
    <row r="1" spans="1:21" s="2" customFormat="1" ht="15" customHeight="1">
      <c r="A1" s="73" t="s">
        <v>1382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5"/>
    </row>
    <row r="2" spans="1:21" s="2" customFormat="1" ht="106.5" customHeight="1" thickBot="1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8"/>
    </row>
    <row r="3" spans="1:21" ht="14">
      <c r="A3" s="66" t="s">
        <v>0</v>
      </c>
      <c r="B3" s="68" t="s">
        <v>1423</v>
      </c>
      <c r="C3" s="68" t="s">
        <v>8</v>
      </c>
      <c r="D3" s="70" t="s">
        <v>5</v>
      </c>
      <c r="E3" s="70" t="s">
        <v>9</v>
      </c>
      <c r="F3" s="70" t="s">
        <v>1378</v>
      </c>
      <c r="G3" s="70"/>
      <c r="H3" s="70"/>
      <c r="I3" s="79" t="s">
        <v>1379</v>
      </c>
      <c r="J3" s="80"/>
      <c r="K3" s="70" t="s">
        <v>1424</v>
      </c>
    </row>
    <row r="4" spans="1:21" ht="15" thickBot="1">
      <c r="A4" s="67"/>
      <c r="B4" s="69"/>
      <c r="C4" s="69"/>
      <c r="D4" s="69"/>
      <c r="E4" s="69"/>
      <c r="F4" s="7">
        <v>1</v>
      </c>
      <c r="G4" s="7">
        <v>2</v>
      </c>
      <c r="H4" s="7">
        <v>3</v>
      </c>
      <c r="I4" s="7" t="s">
        <v>1380</v>
      </c>
      <c r="J4" s="7" t="s">
        <v>1381</v>
      </c>
      <c r="K4" s="69"/>
    </row>
    <row r="5" spans="1:21" ht="16">
      <c r="A5" s="58" t="s">
        <v>325</v>
      </c>
      <c r="B5" s="58"/>
      <c r="C5" s="58"/>
      <c r="D5" s="58"/>
      <c r="E5" s="58"/>
      <c r="F5" s="58"/>
      <c r="G5" s="58"/>
      <c r="H5" s="58"/>
      <c r="I5" s="42"/>
      <c r="J5" s="42"/>
      <c r="K5" s="4"/>
    </row>
    <row r="6" spans="1:21" ht="14" thickBot="1">
      <c r="A6" s="32" t="s">
        <v>326</v>
      </c>
      <c r="B6" s="32" t="s">
        <v>1386</v>
      </c>
      <c r="C6" s="32" t="s">
        <v>1383</v>
      </c>
      <c r="D6" s="32" t="s">
        <v>1374</v>
      </c>
      <c r="E6" s="32" t="s">
        <v>1375</v>
      </c>
      <c r="F6" s="52" t="s">
        <v>1384</v>
      </c>
      <c r="G6" s="52" t="s">
        <v>50</v>
      </c>
      <c r="H6" s="9" t="s">
        <v>1384</v>
      </c>
      <c r="I6" s="32" t="s">
        <v>421</v>
      </c>
      <c r="J6" s="52" t="s">
        <v>1385</v>
      </c>
      <c r="K6" s="32" t="s">
        <v>1434</v>
      </c>
    </row>
    <row r="7" spans="1:21" ht="16">
      <c r="A7" s="58" t="s">
        <v>1370</v>
      </c>
      <c r="B7" s="58"/>
      <c r="C7" s="58"/>
      <c r="D7" s="58"/>
      <c r="E7" s="58"/>
      <c r="F7" s="58"/>
      <c r="G7" s="58"/>
      <c r="H7" s="58"/>
      <c r="I7" s="42"/>
      <c r="J7" s="42"/>
      <c r="K7" s="4"/>
    </row>
    <row r="8" spans="1:21" ht="14" thickBot="1">
      <c r="A8" s="32" t="s">
        <v>1111</v>
      </c>
      <c r="B8" s="32" t="s">
        <v>1390</v>
      </c>
      <c r="C8" s="32" t="s">
        <v>1387</v>
      </c>
      <c r="D8" s="32" t="s">
        <v>1374</v>
      </c>
      <c r="E8" s="32" t="s">
        <v>1375</v>
      </c>
      <c r="F8" s="52" t="s">
        <v>1384</v>
      </c>
      <c r="G8" s="52" t="s">
        <v>1388</v>
      </c>
      <c r="H8" s="10" t="s">
        <v>219</v>
      </c>
      <c r="I8" s="32" t="s">
        <v>330</v>
      </c>
      <c r="J8" s="52" t="s">
        <v>1389</v>
      </c>
      <c r="K8" s="32" t="s">
        <v>1426</v>
      </c>
    </row>
    <row r="9" spans="1:21" ht="16">
      <c r="A9" s="58" t="s">
        <v>1373</v>
      </c>
      <c r="B9" s="58"/>
      <c r="C9" s="58"/>
      <c r="D9" s="58"/>
      <c r="E9" s="58"/>
      <c r="F9" s="58"/>
      <c r="G9" s="58"/>
      <c r="H9" s="58"/>
      <c r="I9" s="42"/>
      <c r="J9" s="42"/>
      <c r="K9" s="4"/>
    </row>
    <row r="10" spans="1:21" ht="14" thickBot="1">
      <c r="A10" s="32" t="s">
        <v>576</v>
      </c>
      <c r="B10" s="32" t="s">
        <v>1396</v>
      </c>
      <c r="C10" s="32" t="s">
        <v>1391</v>
      </c>
      <c r="D10" s="32" t="s">
        <v>1374</v>
      </c>
      <c r="E10" s="32" t="s">
        <v>1375</v>
      </c>
      <c r="F10" s="52" t="s">
        <v>1392</v>
      </c>
      <c r="G10" s="52" t="s">
        <v>1377</v>
      </c>
      <c r="H10" s="9" t="s">
        <v>1393</v>
      </c>
      <c r="I10" s="32" t="s">
        <v>51</v>
      </c>
      <c r="J10" s="52" t="s">
        <v>1394</v>
      </c>
      <c r="K10" s="32" t="s">
        <v>1431</v>
      </c>
    </row>
    <row r="11" spans="1:21" ht="16">
      <c r="A11" s="58" t="s">
        <v>152</v>
      </c>
      <c r="B11" s="58"/>
      <c r="C11" s="58"/>
      <c r="D11" s="58"/>
      <c r="E11" s="58"/>
      <c r="F11" s="58"/>
      <c r="G11" s="58"/>
      <c r="H11" s="58"/>
      <c r="I11" s="42"/>
      <c r="J11" s="42"/>
      <c r="K11" s="4"/>
    </row>
    <row r="12" spans="1:21" ht="14" thickBot="1">
      <c r="A12" s="32" t="s">
        <v>1397</v>
      </c>
      <c r="B12" s="32" t="s">
        <v>1396</v>
      </c>
      <c r="C12" s="32" t="s">
        <v>1391</v>
      </c>
      <c r="D12" s="32" t="s">
        <v>1374</v>
      </c>
      <c r="E12" s="32" t="s">
        <v>1375</v>
      </c>
      <c r="F12" s="52" t="s">
        <v>1398</v>
      </c>
      <c r="G12" s="52" t="s">
        <v>1366</v>
      </c>
      <c r="H12" s="52" t="s">
        <v>197</v>
      </c>
      <c r="I12" s="32" t="s">
        <v>1388</v>
      </c>
      <c r="J12" s="52" t="s">
        <v>1399</v>
      </c>
      <c r="K12" s="32" t="s">
        <v>1431</v>
      </c>
    </row>
    <row r="13" spans="1:21" ht="16">
      <c r="A13" s="58" t="s">
        <v>169</v>
      </c>
      <c r="B13" s="58"/>
      <c r="C13" s="58"/>
      <c r="D13" s="58"/>
      <c r="E13" s="58"/>
      <c r="F13" s="58"/>
      <c r="G13" s="58"/>
      <c r="H13" s="58"/>
      <c r="I13" s="42"/>
      <c r="J13" s="42"/>
      <c r="K13" s="4"/>
    </row>
    <row r="14" spans="1:21" ht="14" thickBot="1">
      <c r="A14" s="32" t="s">
        <v>1016</v>
      </c>
      <c r="B14" s="32" t="s">
        <v>1376</v>
      </c>
      <c r="C14" s="32" t="s">
        <v>1019</v>
      </c>
      <c r="D14" s="32" t="s">
        <v>1374</v>
      </c>
      <c r="E14" s="32" t="s">
        <v>1375</v>
      </c>
      <c r="F14" s="52" t="s">
        <v>427</v>
      </c>
      <c r="G14" s="52" t="s">
        <v>400</v>
      </c>
      <c r="H14" s="52" t="s">
        <v>382</v>
      </c>
      <c r="I14" s="32" t="s">
        <v>1400</v>
      </c>
      <c r="J14" s="52" t="s">
        <v>1401</v>
      </c>
      <c r="K14" s="32" t="s">
        <v>1427</v>
      </c>
    </row>
    <row r="15" spans="1:21" ht="16">
      <c r="A15" s="58" t="s">
        <v>176</v>
      </c>
      <c r="B15" s="58"/>
      <c r="C15" s="58"/>
      <c r="D15" s="58"/>
      <c r="E15" s="58"/>
      <c r="F15" s="58"/>
      <c r="G15" s="58"/>
      <c r="H15" s="58"/>
      <c r="I15" s="42"/>
      <c r="J15" s="42"/>
      <c r="K15" s="4"/>
    </row>
    <row r="16" spans="1:21">
      <c r="A16" s="32" t="s">
        <v>764</v>
      </c>
      <c r="B16" s="32" t="s">
        <v>1376</v>
      </c>
      <c r="C16" s="32" t="s">
        <v>1402</v>
      </c>
      <c r="D16" s="32" t="s">
        <v>1371</v>
      </c>
      <c r="E16" s="32" t="s">
        <v>1403</v>
      </c>
      <c r="F16" s="52" t="s">
        <v>1404</v>
      </c>
      <c r="G16" s="10" t="s">
        <v>1395</v>
      </c>
      <c r="H16" s="10" t="s">
        <v>1395</v>
      </c>
      <c r="I16" s="32" t="s">
        <v>222</v>
      </c>
      <c r="J16" s="52" t="s">
        <v>1405</v>
      </c>
      <c r="K16" s="32" t="s">
        <v>1427</v>
      </c>
    </row>
    <row r="17" spans="1:11">
      <c r="A17" s="32" t="s">
        <v>1406</v>
      </c>
      <c r="B17" s="32" t="s">
        <v>1407</v>
      </c>
      <c r="C17" s="32" t="s">
        <v>1408</v>
      </c>
      <c r="D17" s="32" t="s">
        <v>1374</v>
      </c>
      <c r="E17" s="32" t="s">
        <v>1375</v>
      </c>
      <c r="F17" s="52" t="s">
        <v>1409</v>
      </c>
      <c r="G17" s="52" t="s">
        <v>277</v>
      </c>
      <c r="H17" s="52" t="s">
        <v>364</v>
      </c>
      <c r="I17" s="32" t="s">
        <v>349</v>
      </c>
      <c r="J17" s="52" t="s">
        <v>1385</v>
      </c>
      <c r="K17" s="32" t="s">
        <v>1437</v>
      </c>
    </row>
    <row r="24" spans="1:11" ht="16">
      <c r="C24" s="12" t="s">
        <v>23</v>
      </c>
      <c r="D24" s="12" t="s">
        <v>1130</v>
      </c>
    </row>
    <row r="25" spans="1:11" ht="16">
      <c r="C25" s="12" t="s">
        <v>26</v>
      </c>
      <c r="D25" s="12" t="s">
        <v>1131</v>
      </c>
    </row>
    <row r="26" spans="1:11" ht="16">
      <c r="C26" s="12" t="s">
        <v>24</v>
      </c>
      <c r="D26" s="12" t="s">
        <v>1130</v>
      </c>
    </row>
    <row r="27" spans="1:11" ht="16">
      <c r="C27" s="12" t="s">
        <v>25</v>
      </c>
      <c r="D27" s="12" t="s">
        <v>1416</v>
      </c>
    </row>
    <row r="28" spans="1:11" ht="16">
      <c r="C28" s="12" t="s">
        <v>25</v>
      </c>
      <c r="D28" s="12" t="s">
        <v>1372</v>
      </c>
    </row>
  </sheetData>
  <mergeCells count="15">
    <mergeCell ref="A1:U2"/>
    <mergeCell ref="A3:A4"/>
    <mergeCell ref="B3:B4"/>
    <mergeCell ref="C3:C4"/>
    <mergeCell ref="D3:D4"/>
    <mergeCell ref="E3:E4"/>
    <mergeCell ref="F3:H3"/>
    <mergeCell ref="I3:J3"/>
    <mergeCell ref="K3:K4"/>
    <mergeCell ref="A15:H15"/>
    <mergeCell ref="A5:H5"/>
    <mergeCell ref="A7:H7"/>
    <mergeCell ref="A9:H9"/>
    <mergeCell ref="A11:H11"/>
    <mergeCell ref="A13:H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2"/>
  <sheetViews>
    <sheetView workbookViewId="0">
      <selection activeCell="D51" sqref="D51"/>
    </sheetView>
  </sheetViews>
  <sheetFormatPr baseColWidth="10" defaultColWidth="9.1640625" defaultRowHeight="13"/>
  <cols>
    <col min="1" max="1" width="34.5" style="19" bestFit="1" customWidth="1"/>
    <col min="2" max="2" width="34" style="36" bestFit="1" customWidth="1"/>
    <col min="3" max="3" width="19" style="36" customWidth="1"/>
    <col min="4" max="4" width="9.33203125" style="36" bestFit="1" customWidth="1"/>
    <col min="5" max="5" width="22.6640625" style="29" bestFit="1" customWidth="1"/>
    <col min="6" max="6" width="33.5" style="29" bestFit="1" customWidth="1"/>
    <col min="7" max="7" width="5.5" style="36" bestFit="1" customWidth="1"/>
    <col min="8" max="8" width="4.5" style="36" bestFit="1" customWidth="1"/>
    <col min="9" max="9" width="5.5" style="36" bestFit="1" customWidth="1"/>
    <col min="10" max="10" width="4.5" style="36" bestFit="1" customWidth="1"/>
    <col min="11" max="11" width="7.83203125" style="19" bestFit="1" customWidth="1"/>
    <col min="12" max="12" width="7.5" style="36" bestFit="1" customWidth="1"/>
    <col min="13" max="13" width="16.33203125" style="29" bestFit="1" customWidth="1"/>
    <col min="14" max="16384" width="9.1640625" style="36"/>
  </cols>
  <sheetData>
    <row r="1" spans="1:13" ht="29" customHeight="1">
      <c r="A1" s="60" t="s">
        <v>1361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3" ht="112.5" customHeight="1" thickBot="1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0</v>
      </c>
      <c r="B3" s="68" t="s">
        <v>1423</v>
      </c>
      <c r="C3" s="68" t="s">
        <v>1199</v>
      </c>
      <c r="D3" s="70" t="s">
        <v>1424</v>
      </c>
      <c r="E3" s="70" t="s">
        <v>5</v>
      </c>
      <c r="F3" s="70" t="s">
        <v>9</v>
      </c>
      <c r="G3" s="70" t="s">
        <v>1433</v>
      </c>
      <c r="H3" s="70"/>
      <c r="I3" s="70"/>
      <c r="J3" s="70"/>
      <c r="K3" s="70" t="s">
        <v>449</v>
      </c>
      <c r="L3" s="70" t="s">
        <v>4</v>
      </c>
      <c r="M3" s="71" t="s">
        <v>3</v>
      </c>
    </row>
    <row r="4" spans="1:13" s="1" customFormat="1" ht="21" customHeight="1" thickBot="1">
      <c r="A4" s="67"/>
      <c r="B4" s="69"/>
      <c r="C4" s="69"/>
      <c r="D4" s="69"/>
      <c r="E4" s="69"/>
      <c r="F4" s="69"/>
      <c r="G4" s="53">
        <v>1</v>
      </c>
      <c r="H4" s="53">
        <v>2</v>
      </c>
      <c r="I4" s="53">
        <v>3</v>
      </c>
      <c r="J4" s="53" t="s">
        <v>6</v>
      </c>
      <c r="K4" s="69"/>
      <c r="L4" s="69"/>
      <c r="M4" s="72"/>
    </row>
    <row r="5" spans="1:13" ht="16">
      <c r="A5" s="58" t="s">
        <v>86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3">
      <c r="A6" s="35" t="s">
        <v>523</v>
      </c>
      <c r="B6" s="52" t="s">
        <v>524</v>
      </c>
      <c r="C6" s="52" t="s">
        <v>525</v>
      </c>
      <c r="D6" s="52" t="s">
        <v>1430</v>
      </c>
      <c r="E6" s="32" t="s">
        <v>118</v>
      </c>
      <c r="F6" s="32" t="s">
        <v>119</v>
      </c>
      <c r="G6" s="52" t="s">
        <v>1272</v>
      </c>
      <c r="H6" s="52" t="s">
        <v>65</v>
      </c>
      <c r="I6" s="10" t="s">
        <v>66</v>
      </c>
      <c r="J6" s="10"/>
      <c r="K6" s="35" t="str">
        <f>"32,5"</f>
        <v>32,5</v>
      </c>
      <c r="L6" s="52" t="str">
        <f>"25,5602"</f>
        <v>25,5602</v>
      </c>
      <c r="M6" s="32" t="s">
        <v>22</v>
      </c>
    </row>
    <row r="8" spans="1:13" ht="16">
      <c r="A8" s="59" t="s">
        <v>325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3">
      <c r="A9" s="51" t="s">
        <v>333</v>
      </c>
      <c r="B9" s="50" t="s">
        <v>334</v>
      </c>
      <c r="C9" s="50" t="s">
        <v>335</v>
      </c>
      <c r="D9" s="50" t="s">
        <v>1426</v>
      </c>
      <c r="E9" s="49" t="s">
        <v>14</v>
      </c>
      <c r="F9" s="49" t="s">
        <v>336</v>
      </c>
      <c r="G9" s="50" t="s">
        <v>1172</v>
      </c>
      <c r="H9" s="50" t="s">
        <v>66</v>
      </c>
      <c r="I9" s="22" t="s">
        <v>75</v>
      </c>
      <c r="J9" s="22"/>
      <c r="K9" s="51" t="str">
        <f>"35,0"</f>
        <v>35,0</v>
      </c>
      <c r="L9" s="50" t="str">
        <f>"29,0170"</f>
        <v>29,0170</v>
      </c>
      <c r="M9" s="49" t="s">
        <v>22</v>
      </c>
    </row>
    <row r="10" spans="1:13">
      <c r="A10" s="46" t="s">
        <v>333</v>
      </c>
      <c r="B10" s="45" t="s">
        <v>337</v>
      </c>
      <c r="C10" s="45" t="s">
        <v>335</v>
      </c>
      <c r="D10" s="45" t="s">
        <v>1427</v>
      </c>
      <c r="E10" s="44" t="s">
        <v>14</v>
      </c>
      <c r="F10" s="44" t="s">
        <v>336</v>
      </c>
      <c r="G10" s="45" t="s">
        <v>1172</v>
      </c>
      <c r="H10" s="45" t="s">
        <v>66</v>
      </c>
      <c r="I10" s="28" t="s">
        <v>75</v>
      </c>
      <c r="J10" s="28"/>
      <c r="K10" s="46" t="str">
        <f>"35,0"</f>
        <v>35,0</v>
      </c>
      <c r="L10" s="45" t="str">
        <f>"28,4480"</f>
        <v>28,4480</v>
      </c>
      <c r="M10" s="44" t="s">
        <v>22</v>
      </c>
    </row>
    <row r="12" spans="1:13" ht="16">
      <c r="A12" s="59" t="s">
        <v>318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1:13">
      <c r="A13" s="51" t="s">
        <v>1360</v>
      </c>
      <c r="B13" s="50" t="s">
        <v>1359</v>
      </c>
      <c r="C13" s="50" t="s">
        <v>960</v>
      </c>
      <c r="D13" s="50" t="s">
        <v>1426</v>
      </c>
      <c r="E13" s="49" t="s">
        <v>14</v>
      </c>
      <c r="F13" s="49" t="s">
        <v>62</v>
      </c>
      <c r="G13" s="50" t="s">
        <v>1173</v>
      </c>
      <c r="H13" s="50" t="s">
        <v>526</v>
      </c>
      <c r="I13" s="50" t="s">
        <v>1171</v>
      </c>
      <c r="J13" s="22"/>
      <c r="K13" s="51" t="str">
        <f>"52,0"</f>
        <v>52,0</v>
      </c>
      <c r="L13" s="50" t="str">
        <f>"39,8543"</f>
        <v>39,8543</v>
      </c>
      <c r="M13" s="49" t="s">
        <v>22</v>
      </c>
    </row>
    <row r="14" spans="1:13">
      <c r="A14" s="48" t="s">
        <v>1358</v>
      </c>
      <c r="B14" s="47" t="s">
        <v>340</v>
      </c>
      <c r="C14" s="47" t="s">
        <v>341</v>
      </c>
      <c r="D14" s="47" t="s">
        <v>1426</v>
      </c>
      <c r="E14" s="30" t="s">
        <v>118</v>
      </c>
      <c r="F14" s="30" t="s">
        <v>119</v>
      </c>
      <c r="G14" s="47" t="s">
        <v>509</v>
      </c>
      <c r="H14" s="47" t="s">
        <v>526</v>
      </c>
      <c r="I14" s="47" t="s">
        <v>52</v>
      </c>
      <c r="J14" s="25"/>
      <c r="K14" s="48" t="str">
        <f>"50,0"</f>
        <v>50,0</v>
      </c>
      <c r="L14" s="47" t="str">
        <f>"37,3932"</f>
        <v>37,3932</v>
      </c>
      <c r="M14" s="30" t="s">
        <v>22</v>
      </c>
    </row>
    <row r="15" spans="1:13">
      <c r="A15" s="48" t="s">
        <v>1357</v>
      </c>
      <c r="B15" s="47" t="s">
        <v>1356</v>
      </c>
      <c r="C15" s="47" t="s">
        <v>1355</v>
      </c>
      <c r="D15" s="47" t="s">
        <v>1427</v>
      </c>
      <c r="E15" s="30" t="s">
        <v>253</v>
      </c>
      <c r="F15" s="30" t="s">
        <v>254</v>
      </c>
      <c r="G15" s="47" t="s">
        <v>52</v>
      </c>
      <c r="H15" s="47" t="s">
        <v>63</v>
      </c>
      <c r="I15" s="25" t="s">
        <v>64</v>
      </c>
      <c r="J15" s="25"/>
      <c r="K15" s="48" t="str">
        <f>"60,0"</f>
        <v>60,0</v>
      </c>
      <c r="L15" s="47" t="str">
        <f>"43,6950"</f>
        <v>43,6950</v>
      </c>
      <c r="M15" s="30" t="s">
        <v>22</v>
      </c>
    </row>
    <row r="16" spans="1:13">
      <c r="A16" s="46" t="s">
        <v>1354</v>
      </c>
      <c r="B16" s="45" t="s">
        <v>345</v>
      </c>
      <c r="C16" s="45" t="s">
        <v>346</v>
      </c>
      <c r="D16" s="45" t="s">
        <v>1427</v>
      </c>
      <c r="E16" s="44" t="s">
        <v>347</v>
      </c>
      <c r="F16" s="44" t="s">
        <v>348</v>
      </c>
      <c r="G16" s="45" t="s">
        <v>508</v>
      </c>
      <c r="H16" s="45" t="s">
        <v>526</v>
      </c>
      <c r="I16" s="45" t="s">
        <v>52</v>
      </c>
      <c r="J16" s="28"/>
      <c r="K16" s="46" t="str">
        <f>"50,0"</f>
        <v>50,0</v>
      </c>
      <c r="L16" s="45" t="str">
        <f>"39,0100"</f>
        <v>39,0100</v>
      </c>
      <c r="M16" s="44" t="s">
        <v>22</v>
      </c>
    </row>
    <row r="18" spans="1:13" ht="16">
      <c r="A18" s="59" t="s">
        <v>86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</row>
    <row r="19" spans="1:13">
      <c r="A19" s="51" t="s">
        <v>1353</v>
      </c>
      <c r="B19" s="50" t="s">
        <v>1352</v>
      </c>
      <c r="C19" s="50" t="s">
        <v>1351</v>
      </c>
      <c r="D19" s="50" t="s">
        <v>1434</v>
      </c>
      <c r="E19" s="49" t="s">
        <v>14</v>
      </c>
      <c r="F19" s="49" t="s">
        <v>62</v>
      </c>
      <c r="G19" s="50" t="s">
        <v>75</v>
      </c>
      <c r="H19" s="50" t="s">
        <v>509</v>
      </c>
      <c r="I19" s="50" t="s">
        <v>1214</v>
      </c>
      <c r="J19" s="22"/>
      <c r="K19" s="51" t="str">
        <f>"52,5"</f>
        <v>52,5</v>
      </c>
      <c r="L19" s="50" t="str">
        <f>"38,0344"</f>
        <v>38,0344</v>
      </c>
      <c r="M19" s="49" t="s">
        <v>22</v>
      </c>
    </row>
    <row r="20" spans="1:13">
      <c r="A20" s="48" t="s">
        <v>352</v>
      </c>
      <c r="B20" s="47" t="s">
        <v>353</v>
      </c>
      <c r="C20" s="47" t="s">
        <v>354</v>
      </c>
      <c r="D20" s="47" t="s">
        <v>1426</v>
      </c>
      <c r="E20" s="30" t="s">
        <v>118</v>
      </c>
      <c r="F20" s="30" t="s">
        <v>119</v>
      </c>
      <c r="G20" s="47" t="s">
        <v>1214</v>
      </c>
      <c r="H20" s="47" t="s">
        <v>53</v>
      </c>
      <c r="I20" s="47" t="s">
        <v>73</v>
      </c>
      <c r="J20" s="25"/>
      <c r="K20" s="48" t="str">
        <f>"57,5"</f>
        <v>57,5</v>
      </c>
      <c r="L20" s="47" t="str">
        <f>"38,9729"</f>
        <v>38,9729</v>
      </c>
      <c r="M20" s="30" t="s">
        <v>22</v>
      </c>
    </row>
    <row r="21" spans="1:13">
      <c r="A21" s="48" t="s">
        <v>1350</v>
      </c>
      <c r="B21" s="47" t="s">
        <v>1349</v>
      </c>
      <c r="C21" s="47" t="s">
        <v>564</v>
      </c>
      <c r="D21" s="47" t="s">
        <v>1426</v>
      </c>
      <c r="E21" s="30" t="s">
        <v>47</v>
      </c>
      <c r="F21" s="30" t="s">
        <v>48</v>
      </c>
      <c r="G21" s="25" t="s">
        <v>509</v>
      </c>
      <c r="H21" s="47" t="s">
        <v>509</v>
      </c>
      <c r="I21" s="47" t="s">
        <v>1214</v>
      </c>
      <c r="J21" s="25"/>
      <c r="K21" s="48" t="str">
        <f>"52,5"</f>
        <v>52,5</v>
      </c>
      <c r="L21" s="47" t="str">
        <f>"36,0766"</f>
        <v>36,0766</v>
      </c>
      <c r="M21" s="30" t="s">
        <v>22</v>
      </c>
    </row>
    <row r="22" spans="1:13">
      <c r="A22" s="48" t="s">
        <v>1348</v>
      </c>
      <c r="B22" s="47" t="s">
        <v>1262</v>
      </c>
      <c r="C22" s="47" t="s">
        <v>108</v>
      </c>
      <c r="D22" s="47" t="s">
        <v>1427</v>
      </c>
      <c r="E22" s="30" t="s">
        <v>14</v>
      </c>
      <c r="F22" s="30" t="s">
        <v>1261</v>
      </c>
      <c r="G22" s="47" t="s">
        <v>63</v>
      </c>
      <c r="H22" s="47" t="s">
        <v>84</v>
      </c>
      <c r="I22" s="47" t="s">
        <v>330</v>
      </c>
      <c r="J22" s="25"/>
      <c r="K22" s="48" t="str">
        <f>"67,5"</f>
        <v>67,5</v>
      </c>
      <c r="L22" s="47" t="str">
        <f>"46,8917"</f>
        <v>46,8917</v>
      </c>
      <c r="M22" s="30" t="s">
        <v>22</v>
      </c>
    </row>
    <row r="23" spans="1:13">
      <c r="A23" s="48" t="s">
        <v>1347</v>
      </c>
      <c r="B23" s="47" t="s">
        <v>1346</v>
      </c>
      <c r="C23" s="47" t="s">
        <v>986</v>
      </c>
      <c r="D23" s="47" t="s">
        <v>1427</v>
      </c>
      <c r="E23" s="30" t="s">
        <v>72</v>
      </c>
      <c r="F23" s="30" t="s">
        <v>62</v>
      </c>
      <c r="G23" s="47" t="s">
        <v>63</v>
      </c>
      <c r="H23" s="47" t="s">
        <v>330</v>
      </c>
      <c r="I23" s="25" t="s">
        <v>331</v>
      </c>
      <c r="J23" s="25"/>
      <c r="K23" s="48" t="str">
        <f>"67,5"</f>
        <v>67,5</v>
      </c>
      <c r="L23" s="47" t="str">
        <f>"45,8258"</f>
        <v>45,8258</v>
      </c>
      <c r="M23" s="30" t="s">
        <v>1279</v>
      </c>
    </row>
    <row r="24" spans="1:13">
      <c r="A24" s="46" t="s">
        <v>1345</v>
      </c>
      <c r="B24" s="45" t="s">
        <v>1344</v>
      </c>
      <c r="C24" s="45" t="s">
        <v>729</v>
      </c>
      <c r="D24" s="45" t="s">
        <v>1427</v>
      </c>
      <c r="E24" s="44" t="s">
        <v>502</v>
      </c>
      <c r="F24" s="44" t="s">
        <v>62</v>
      </c>
      <c r="G24" s="45" t="s">
        <v>52</v>
      </c>
      <c r="H24" s="45" t="s">
        <v>73</v>
      </c>
      <c r="I24" s="45" t="s">
        <v>63</v>
      </c>
      <c r="J24" s="28"/>
      <c r="K24" s="46" t="str">
        <f>"60,0"</f>
        <v>60,0</v>
      </c>
      <c r="L24" s="45" t="str">
        <f>"42,2880"</f>
        <v>42,2880</v>
      </c>
      <c r="M24" s="44" t="s">
        <v>22</v>
      </c>
    </row>
    <row r="26" spans="1:13" ht="16">
      <c r="A26" s="59" t="s">
        <v>13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</row>
    <row r="27" spans="1:13">
      <c r="A27" s="51" t="s">
        <v>1343</v>
      </c>
      <c r="B27" s="50" t="s">
        <v>1342</v>
      </c>
      <c r="C27" s="50" t="s">
        <v>1341</v>
      </c>
      <c r="D27" s="50" t="s">
        <v>1427</v>
      </c>
      <c r="E27" s="44" t="s">
        <v>347</v>
      </c>
      <c r="F27" s="49" t="s">
        <v>62</v>
      </c>
      <c r="G27" s="50" t="s">
        <v>330</v>
      </c>
      <c r="H27" s="50" t="s">
        <v>331</v>
      </c>
      <c r="I27" s="50" t="s">
        <v>67</v>
      </c>
      <c r="J27" s="50" t="s">
        <v>50</v>
      </c>
      <c r="K27" s="51" t="str">
        <f>"75,0"</f>
        <v>75,0</v>
      </c>
      <c r="L27" s="50" t="str">
        <f>"46,4850"</f>
        <v>46,4850</v>
      </c>
      <c r="M27" s="49" t="s">
        <v>22</v>
      </c>
    </row>
    <row r="28" spans="1:13">
      <c r="A28" s="48" t="s">
        <v>1193</v>
      </c>
      <c r="B28" s="47" t="s">
        <v>1192</v>
      </c>
      <c r="C28" s="47" t="s">
        <v>1191</v>
      </c>
      <c r="D28" s="50" t="s">
        <v>1427</v>
      </c>
      <c r="E28" s="30" t="s">
        <v>118</v>
      </c>
      <c r="F28" s="30" t="s">
        <v>119</v>
      </c>
      <c r="G28" s="47" t="s">
        <v>330</v>
      </c>
      <c r="H28" s="47" t="s">
        <v>49</v>
      </c>
      <c r="I28" s="47" t="s">
        <v>331</v>
      </c>
      <c r="J28" s="25"/>
      <c r="K28" s="48" t="str">
        <f>"72,5"</f>
        <v>72,5</v>
      </c>
      <c r="L28" s="47" t="str">
        <f>"46,4145"</f>
        <v>46,4145</v>
      </c>
      <c r="M28" s="30" t="s">
        <v>22</v>
      </c>
    </row>
    <row r="29" spans="1:13">
      <c r="A29" s="48" t="s">
        <v>1340</v>
      </c>
      <c r="B29" s="47" t="s">
        <v>1117</v>
      </c>
      <c r="C29" s="47" t="s">
        <v>1070</v>
      </c>
      <c r="D29" s="50" t="s">
        <v>1427</v>
      </c>
      <c r="E29" s="30" t="s">
        <v>118</v>
      </c>
      <c r="F29" s="30" t="s">
        <v>119</v>
      </c>
      <c r="G29" s="47" t="s">
        <v>52</v>
      </c>
      <c r="H29" s="47" t="s">
        <v>53</v>
      </c>
      <c r="I29" s="47" t="s">
        <v>64</v>
      </c>
      <c r="J29" s="25"/>
      <c r="K29" s="48" t="str">
        <f>"62,5"</f>
        <v>62,5</v>
      </c>
      <c r="L29" s="47" t="str">
        <f>"39,8500"</f>
        <v>39,8500</v>
      </c>
      <c r="M29" s="30" t="s">
        <v>22</v>
      </c>
    </row>
    <row r="30" spans="1:13">
      <c r="A30" s="48" t="s">
        <v>1339</v>
      </c>
      <c r="B30" s="47" t="s">
        <v>367</v>
      </c>
      <c r="C30" s="47" t="s">
        <v>368</v>
      </c>
      <c r="D30" s="50" t="s">
        <v>1427</v>
      </c>
      <c r="E30" s="30" t="s">
        <v>118</v>
      </c>
      <c r="F30" s="30" t="s">
        <v>119</v>
      </c>
      <c r="G30" s="47" t="s">
        <v>73</v>
      </c>
      <c r="H30" s="47" t="s">
        <v>63</v>
      </c>
      <c r="I30" s="47" t="s">
        <v>64</v>
      </c>
      <c r="J30" s="25"/>
      <c r="K30" s="48" t="str">
        <f>"62,5"</f>
        <v>62,5</v>
      </c>
      <c r="L30" s="47" t="str">
        <f>"38,9687"</f>
        <v>38,9687</v>
      </c>
      <c r="M30" s="30" t="s">
        <v>22</v>
      </c>
    </row>
    <row r="31" spans="1:13">
      <c r="A31" s="48" t="s">
        <v>1257</v>
      </c>
      <c r="B31" s="47" t="s">
        <v>371</v>
      </c>
      <c r="C31" s="47" t="s">
        <v>930</v>
      </c>
      <c r="D31" s="50" t="s">
        <v>1427</v>
      </c>
      <c r="E31" s="30" t="s">
        <v>118</v>
      </c>
      <c r="F31" s="30" t="s">
        <v>119</v>
      </c>
      <c r="G31" s="47" t="s">
        <v>508</v>
      </c>
      <c r="H31" s="47" t="s">
        <v>509</v>
      </c>
      <c r="I31" s="47" t="s">
        <v>526</v>
      </c>
      <c r="J31" s="25"/>
      <c r="K31" s="48" t="str">
        <f>"47,5"</f>
        <v>47,5</v>
      </c>
      <c r="L31" s="47" t="str">
        <f>"29,4168"</f>
        <v>29,4168</v>
      </c>
      <c r="M31" s="30" t="s">
        <v>22</v>
      </c>
    </row>
    <row r="32" spans="1:13">
      <c r="A32" s="48" t="s">
        <v>577</v>
      </c>
      <c r="B32" s="47" t="s">
        <v>578</v>
      </c>
      <c r="C32" s="47" t="s">
        <v>579</v>
      </c>
      <c r="D32" s="47" t="s">
        <v>1431</v>
      </c>
      <c r="E32" s="30" t="s">
        <v>118</v>
      </c>
      <c r="F32" s="30" t="s">
        <v>119</v>
      </c>
      <c r="G32" s="47" t="s">
        <v>63</v>
      </c>
      <c r="H32" s="47" t="s">
        <v>64</v>
      </c>
      <c r="I32" s="47" t="s">
        <v>84</v>
      </c>
      <c r="J32" s="25"/>
      <c r="K32" s="48" t="str">
        <f>"65,0"</f>
        <v>65,0</v>
      </c>
      <c r="L32" s="47" t="str">
        <f>"40,7745"</f>
        <v>40,7745</v>
      </c>
      <c r="M32" s="30" t="s">
        <v>22</v>
      </c>
    </row>
    <row r="33" spans="1:13">
      <c r="A33" s="46" t="s">
        <v>1169</v>
      </c>
      <c r="B33" s="45" t="s">
        <v>1168</v>
      </c>
      <c r="C33" s="45" t="s">
        <v>1167</v>
      </c>
      <c r="D33" s="45" t="s">
        <v>1435</v>
      </c>
      <c r="E33" s="44" t="s">
        <v>347</v>
      </c>
      <c r="F33" s="44" t="s">
        <v>348</v>
      </c>
      <c r="G33" s="45" t="s">
        <v>1214</v>
      </c>
      <c r="H33" s="45" t="s">
        <v>64</v>
      </c>
      <c r="I33" s="45" t="s">
        <v>84</v>
      </c>
      <c r="J33" s="28"/>
      <c r="K33" s="46" t="str">
        <f>"65,0"</f>
        <v>65,0</v>
      </c>
      <c r="L33" s="45" t="str">
        <f>"55,1724"</f>
        <v>55,1724</v>
      </c>
      <c r="M33" s="44" t="s">
        <v>22</v>
      </c>
    </row>
    <row r="35" spans="1:13" ht="16">
      <c r="A35" s="59" t="s">
        <v>152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</row>
    <row r="36" spans="1:13">
      <c r="A36" s="51" t="s">
        <v>374</v>
      </c>
      <c r="B36" s="50" t="s">
        <v>375</v>
      </c>
      <c r="C36" s="50" t="s">
        <v>376</v>
      </c>
      <c r="D36" s="50" t="s">
        <v>1430</v>
      </c>
      <c r="E36" s="49" t="s">
        <v>118</v>
      </c>
      <c r="F36" s="49" t="s">
        <v>119</v>
      </c>
      <c r="G36" s="50" t="s">
        <v>64</v>
      </c>
      <c r="H36" s="50" t="s">
        <v>330</v>
      </c>
      <c r="I36" s="22" t="s">
        <v>331</v>
      </c>
      <c r="J36" s="22"/>
      <c r="K36" s="51" t="str">
        <f>"67,5"</f>
        <v>67,5</v>
      </c>
      <c r="L36" s="50" t="str">
        <f>"41,3689"</f>
        <v>41,3689</v>
      </c>
      <c r="M36" s="49" t="s">
        <v>22</v>
      </c>
    </row>
    <row r="37" spans="1:13">
      <c r="A37" s="48" t="s">
        <v>1338</v>
      </c>
      <c r="B37" s="47" t="s">
        <v>1337</v>
      </c>
      <c r="C37" s="47" t="s">
        <v>386</v>
      </c>
      <c r="D37" s="47" t="s">
        <v>1427</v>
      </c>
      <c r="E37" s="30" t="s">
        <v>14</v>
      </c>
      <c r="F37" s="30" t="s">
        <v>62</v>
      </c>
      <c r="G37" s="47" t="s">
        <v>53</v>
      </c>
      <c r="H37" s="47" t="s">
        <v>64</v>
      </c>
      <c r="I37" s="25" t="s">
        <v>84</v>
      </c>
      <c r="J37" s="25"/>
      <c r="K37" s="48" t="str">
        <f>"62,5"</f>
        <v>62,5</v>
      </c>
      <c r="L37" s="47" t="str">
        <f>"36,7563"</f>
        <v>36,7563</v>
      </c>
      <c r="M37" s="30" t="s">
        <v>22</v>
      </c>
    </row>
    <row r="38" spans="1:13">
      <c r="A38" s="46" t="s">
        <v>1006</v>
      </c>
      <c r="B38" s="45" t="s">
        <v>1007</v>
      </c>
      <c r="C38" s="45" t="s">
        <v>156</v>
      </c>
      <c r="D38" s="45" t="s">
        <v>1436</v>
      </c>
      <c r="E38" s="44" t="s">
        <v>347</v>
      </c>
      <c r="F38" s="44" t="s">
        <v>348</v>
      </c>
      <c r="G38" s="45" t="s">
        <v>75</v>
      </c>
      <c r="H38" s="45" t="s">
        <v>509</v>
      </c>
      <c r="I38" s="45" t="s">
        <v>1214</v>
      </c>
      <c r="J38" s="28"/>
      <c r="K38" s="46" t="str">
        <f>"52,5"</f>
        <v>52,5</v>
      </c>
      <c r="L38" s="45" t="str">
        <f>"49,0583"</f>
        <v>49,0583</v>
      </c>
      <c r="M38" s="44" t="s">
        <v>22</v>
      </c>
    </row>
    <row r="40" spans="1:13" ht="16">
      <c r="A40" s="59" t="s">
        <v>169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</row>
    <row r="41" spans="1:13">
      <c r="A41" s="51" t="s">
        <v>1093</v>
      </c>
      <c r="B41" s="50" t="s">
        <v>1336</v>
      </c>
      <c r="C41" s="50" t="s">
        <v>1095</v>
      </c>
      <c r="D41" s="50" t="s">
        <v>1427</v>
      </c>
      <c r="E41" s="49" t="s">
        <v>347</v>
      </c>
      <c r="F41" s="49" t="s">
        <v>348</v>
      </c>
      <c r="G41" s="50" t="s">
        <v>63</v>
      </c>
      <c r="H41" s="50" t="s">
        <v>331</v>
      </c>
      <c r="I41" s="50" t="s">
        <v>50</v>
      </c>
      <c r="J41" s="22"/>
      <c r="K41" s="51" t="str">
        <f>"77,5"</f>
        <v>77,5</v>
      </c>
      <c r="L41" s="50" t="str">
        <f>"43,1016"</f>
        <v>43,1016</v>
      </c>
      <c r="M41" s="49" t="s">
        <v>22</v>
      </c>
    </row>
    <row r="42" spans="1:13">
      <c r="A42" s="48" t="s">
        <v>1166</v>
      </c>
      <c r="B42" s="47" t="s">
        <v>1165</v>
      </c>
      <c r="C42" s="47" t="s">
        <v>1015</v>
      </c>
      <c r="D42" s="50" t="s">
        <v>1427</v>
      </c>
      <c r="E42" s="30" t="s">
        <v>118</v>
      </c>
      <c r="F42" s="30" t="s">
        <v>119</v>
      </c>
      <c r="G42" s="47" t="s">
        <v>49</v>
      </c>
      <c r="H42" s="25" t="s">
        <v>67</v>
      </c>
      <c r="I42" s="25" t="s">
        <v>67</v>
      </c>
      <c r="J42" s="25"/>
      <c r="K42" s="48" t="str">
        <f>"70,0"</f>
        <v>70,0</v>
      </c>
      <c r="L42" s="47" t="str">
        <f>"39,1020"</f>
        <v>39,1020</v>
      </c>
      <c r="M42" s="30" t="s">
        <v>22</v>
      </c>
    </row>
    <row r="43" spans="1:13">
      <c r="A43" s="48" t="s">
        <v>1335</v>
      </c>
      <c r="B43" s="47" t="s">
        <v>394</v>
      </c>
      <c r="C43" s="47" t="s">
        <v>395</v>
      </c>
      <c r="D43" s="50" t="s">
        <v>1427</v>
      </c>
      <c r="E43" s="30" t="s">
        <v>118</v>
      </c>
      <c r="F43" s="30" t="s">
        <v>119</v>
      </c>
      <c r="G43" s="47" t="s">
        <v>53</v>
      </c>
      <c r="H43" s="47" t="s">
        <v>73</v>
      </c>
      <c r="I43" s="47" t="s">
        <v>63</v>
      </c>
      <c r="J43" s="25"/>
      <c r="K43" s="48" t="str">
        <f>"60,0"</f>
        <v>60,0</v>
      </c>
      <c r="L43" s="47" t="str">
        <f>"33,2400"</f>
        <v>33,2400</v>
      </c>
      <c r="M43" s="30" t="s">
        <v>22</v>
      </c>
    </row>
    <row r="44" spans="1:13">
      <c r="A44" s="48" t="s">
        <v>1156</v>
      </c>
      <c r="B44" s="47" t="s">
        <v>394</v>
      </c>
      <c r="C44" s="47" t="s">
        <v>395</v>
      </c>
      <c r="D44" s="50" t="s">
        <v>1427</v>
      </c>
      <c r="E44" s="30" t="s">
        <v>118</v>
      </c>
      <c r="F44" s="30" t="s">
        <v>119</v>
      </c>
      <c r="G44" s="47" t="s">
        <v>53</v>
      </c>
      <c r="H44" s="47" t="s">
        <v>73</v>
      </c>
      <c r="I44" s="47" t="s">
        <v>63</v>
      </c>
      <c r="J44" s="25"/>
      <c r="K44" s="48" t="str">
        <f>"60,0"</f>
        <v>60,0</v>
      </c>
      <c r="L44" s="47" t="str">
        <f>"33,2400"</f>
        <v>33,2400</v>
      </c>
      <c r="M44" s="30" t="s">
        <v>22</v>
      </c>
    </row>
    <row r="45" spans="1:13">
      <c r="A45" s="48" t="s">
        <v>1161</v>
      </c>
      <c r="B45" s="47" t="s">
        <v>1162</v>
      </c>
      <c r="C45" s="47" t="s">
        <v>609</v>
      </c>
      <c r="D45" s="47" t="s">
        <v>1431</v>
      </c>
      <c r="E45" s="30" t="s">
        <v>118</v>
      </c>
      <c r="F45" s="30" t="s">
        <v>119</v>
      </c>
      <c r="G45" s="25" t="s">
        <v>67</v>
      </c>
      <c r="H45" s="47" t="s">
        <v>67</v>
      </c>
      <c r="I45" s="47" t="s">
        <v>50</v>
      </c>
      <c r="J45" s="25"/>
      <c r="K45" s="48" t="str">
        <f>"77,5"</f>
        <v>77,5</v>
      </c>
      <c r="L45" s="47" t="str">
        <f>"43,2063"</f>
        <v>43,2063</v>
      </c>
      <c r="M45" s="30" t="s">
        <v>22</v>
      </c>
    </row>
    <row r="46" spans="1:13">
      <c r="A46" s="48" t="s">
        <v>1334</v>
      </c>
      <c r="B46" s="47" t="s">
        <v>1094</v>
      </c>
      <c r="C46" s="47" t="s">
        <v>1095</v>
      </c>
      <c r="D46" s="47" t="s">
        <v>1431</v>
      </c>
      <c r="E46" s="30" t="s">
        <v>347</v>
      </c>
      <c r="F46" s="30" t="s">
        <v>348</v>
      </c>
      <c r="G46" s="47" t="s">
        <v>63</v>
      </c>
      <c r="H46" s="47" t="s">
        <v>331</v>
      </c>
      <c r="I46" s="47" t="s">
        <v>50</v>
      </c>
      <c r="J46" s="25"/>
      <c r="K46" s="48" t="str">
        <f>"77,5"</f>
        <v>77,5</v>
      </c>
      <c r="L46" s="47" t="str">
        <f>"43,8775"</f>
        <v>43,8775</v>
      </c>
      <c r="M46" s="30" t="s">
        <v>22</v>
      </c>
    </row>
    <row r="47" spans="1:13">
      <c r="A47" s="46" t="s">
        <v>1333</v>
      </c>
      <c r="B47" s="45" t="s">
        <v>1332</v>
      </c>
      <c r="C47" s="45" t="s">
        <v>1331</v>
      </c>
      <c r="D47" s="45" t="s">
        <v>1431</v>
      </c>
      <c r="E47" s="44" t="s">
        <v>166</v>
      </c>
      <c r="F47" s="44" t="s">
        <v>62</v>
      </c>
      <c r="G47" s="45" t="s">
        <v>63</v>
      </c>
      <c r="H47" s="28" t="s">
        <v>49</v>
      </c>
      <c r="I47" s="45" t="s">
        <v>49</v>
      </c>
      <c r="J47" s="28"/>
      <c r="K47" s="46" t="str">
        <f>"70,0"</f>
        <v>70,0</v>
      </c>
      <c r="L47" s="45" t="str">
        <f>"40,2203"</f>
        <v>40,2203</v>
      </c>
      <c r="M47" s="44" t="s">
        <v>22</v>
      </c>
    </row>
    <row r="49" spans="1:13" ht="16">
      <c r="A49" s="59" t="s">
        <v>262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</row>
    <row r="50" spans="1:13">
      <c r="A50" s="35" t="s">
        <v>1330</v>
      </c>
      <c r="B50" s="52" t="s">
        <v>1329</v>
      </c>
      <c r="C50" s="52" t="s">
        <v>1328</v>
      </c>
      <c r="D50" s="52" t="s">
        <v>1427</v>
      </c>
      <c r="E50" s="32" t="s">
        <v>253</v>
      </c>
      <c r="F50" s="32" t="s">
        <v>254</v>
      </c>
      <c r="G50" s="52" t="s">
        <v>54</v>
      </c>
      <c r="H50" s="52" t="s">
        <v>76</v>
      </c>
      <c r="I50" s="10" t="s">
        <v>55</v>
      </c>
      <c r="J50" s="10"/>
      <c r="K50" s="35" t="str">
        <f>"85,0"</f>
        <v>85,0</v>
      </c>
      <c r="L50" s="52" t="str">
        <f>"44,9055"</f>
        <v>44,9055</v>
      </c>
      <c r="M50" s="32" t="s">
        <v>22</v>
      </c>
    </row>
    <row r="52" spans="1:13" ht="16">
      <c r="E52" s="12" t="s">
        <v>23</v>
      </c>
      <c r="F52" s="12" t="s">
        <v>1130</v>
      </c>
    </row>
    <row r="53" spans="1:13" ht="16">
      <c r="E53" s="12" t="s">
        <v>26</v>
      </c>
      <c r="F53" s="12" t="s">
        <v>1131</v>
      </c>
    </row>
    <row r="54" spans="1:13" ht="16">
      <c r="E54" s="12" t="s">
        <v>24</v>
      </c>
      <c r="F54" s="12" t="s">
        <v>1130</v>
      </c>
    </row>
    <row r="55" spans="1:13" ht="16">
      <c r="E55" s="12" t="s">
        <v>25</v>
      </c>
      <c r="F55" s="12" t="s">
        <v>1416</v>
      </c>
    </row>
    <row r="56" spans="1:13" ht="16">
      <c r="E56" s="12" t="s">
        <v>25</v>
      </c>
      <c r="F56" s="12" t="s">
        <v>1372</v>
      </c>
    </row>
    <row r="57" spans="1:13" ht="16">
      <c r="E57" s="12"/>
      <c r="F57" s="12"/>
    </row>
    <row r="58" spans="1:13" ht="16">
      <c r="E58" s="12"/>
    </row>
    <row r="60" spans="1:13" ht="18">
      <c r="A60" s="38" t="s">
        <v>27</v>
      </c>
      <c r="B60" s="37"/>
    </row>
    <row r="61" spans="1:13" ht="16">
      <c r="A61" s="43" t="s">
        <v>193</v>
      </c>
      <c r="B61" s="42"/>
    </row>
    <row r="62" spans="1:13" ht="14">
      <c r="A62" s="41"/>
      <c r="B62" s="40" t="s">
        <v>666</v>
      </c>
    </row>
    <row r="63" spans="1:13" ht="14">
      <c r="A63" s="18" t="s">
        <v>30</v>
      </c>
      <c r="B63" s="18" t="s">
        <v>31</v>
      </c>
      <c r="C63" s="18" t="s">
        <v>32</v>
      </c>
      <c r="D63" s="18" t="s">
        <v>33</v>
      </c>
      <c r="E63" s="18" t="s">
        <v>34</v>
      </c>
    </row>
    <row r="64" spans="1:13">
      <c r="A64" s="39" t="s">
        <v>522</v>
      </c>
      <c r="B64" s="36" t="s">
        <v>204</v>
      </c>
      <c r="C64" s="36" t="s">
        <v>201</v>
      </c>
      <c r="D64" s="36" t="s">
        <v>65</v>
      </c>
      <c r="E64" s="19" t="s">
        <v>1327</v>
      </c>
    </row>
    <row r="67" spans="1:5" ht="16">
      <c r="A67" s="43" t="s">
        <v>28</v>
      </c>
      <c r="B67" s="42"/>
    </row>
    <row r="68" spans="1:5" ht="14">
      <c r="A68" s="41"/>
      <c r="B68" s="40" t="s">
        <v>199</v>
      </c>
    </row>
    <row r="69" spans="1:5" ht="14">
      <c r="A69" s="18" t="s">
        <v>30</v>
      </c>
      <c r="B69" s="18" t="s">
        <v>31</v>
      </c>
      <c r="C69" s="18" t="s">
        <v>32</v>
      </c>
      <c r="D69" s="18" t="s">
        <v>33</v>
      </c>
      <c r="E69" s="18" t="s">
        <v>34</v>
      </c>
    </row>
    <row r="70" spans="1:5">
      <c r="A70" s="39" t="s">
        <v>373</v>
      </c>
      <c r="B70" s="36" t="s">
        <v>204</v>
      </c>
      <c r="C70" s="36" t="s">
        <v>219</v>
      </c>
      <c r="D70" s="36" t="s">
        <v>330</v>
      </c>
      <c r="E70" s="19" t="s">
        <v>1326</v>
      </c>
    </row>
    <row r="71" spans="1:5">
      <c r="A71" s="39" t="s">
        <v>1325</v>
      </c>
      <c r="B71" s="36" t="s">
        <v>200</v>
      </c>
      <c r="C71" s="36" t="s">
        <v>201</v>
      </c>
      <c r="D71" s="36" t="s">
        <v>1214</v>
      </c>
      <c r="E71" s="19" t="s">
        <v>1324</v>
      </c>
    </row>
    <row r="73" spans="1:5" ht="14">
      <c r="A73" s="41"/>
      <c r="B73" s="40" t="s">
        <v>213</v>
      </c>
    </row>
    <row r="74" spans="1:5" ht="14">
      <c r="A74" s="18" t="s">
        <v>30</v>
      </c>
      <c r="B74" s="18" t="s">
        <v>31</v>
      </c>
      <c r="C74" s="18" t="s">
        <v>32</v>
      </c>
      <c r="D74" s="18" t="s">
        <v>33</v>
      </c>
      <c r="E74" s="18" t="s">
        <v>34</v>
      </c>
    </row>
    <row r="75" spans="1:5">
      <c r="A75" s="39" t="s">
        <v>1323</v>
      </c>
      <c r="B75" s="36" t="s">
        <v>214</v>
      </c>
      <c r="C75" s="36" t="s">
        <v>418</v>
      </c>
      <c r="D75" s="36" t="s">
        <v>1322</v>
      </c>
      <c r="E75" s="19" t="s">
        <v>1321</v>
      </c>
    </row>
    <row r="76" spans="1:5">
      <c r="A76" s="39" t="s">
        <v>351</v>
      </c>
      <c r="B76" s="36" t="s">
        <v>214</v>
      </c>
      <c r="C76" s="36" t="s">
        <v>201</v>
      </c>
      <c r="D76" s="36" t="s">
        <v>73</v>
      </c>
      <c r="E76" s="19" t="s">
        <v>1320</v>
      </c>
    </row>
    <row r="77" spans="1:5">
      <c r="A77" s="39" t="s">
        <v>338</v>
      </c>
      <c r="B77" s="36" t="s">
        <v>214</v>
      </c>
      <c r="C77" s="36" t="s">
        <v>418</v>
      </c>
      <c r="D77" s="36" t="s">
        <v>52</v>
      </c>
      <c r="E77" s="19" t="s">
        <v>1319</v>
      </c>
    </row>
    <row r="78" spans="1:5">
      <c r="A78" s="39" t="s">
        <v>1318</v>
      </c>
      <c r="B78" s="36" t="s">
        <v>214</v>
      </c>
      <c r="C78" s="36" t="s">
        <v>201</v>
      </c>
      <c r="D78" s="36" t="s">
        <v>1214</v>
      </c>
      <c r="E78" s="19" t="s">
        <v>1317</v>
      </c>
    </row>
    <row r="79" spans="1:5">
      <c r="A79" s="39" t="s">
        <v>332</v>
      </c>
      <c r="B79" s="36" t="s">
        <v>214</v>
      </c>
      <c r="C79" s="36" t="s">
        <v>421</v>
      </c>
      <c r="D79" s="36" t="s">
        <v>66</v>
      </c>
      <c r="E79" s="19" t="s">
        <v>1316</v>
      </c>
    </row>
    <row r="81" spans="1:5" ht="14">
      <c r="A81" s="41"/>
      <c r="B81" s="40" t="s">
        <v>29</v>
      </c>
    </row>
    <row r="82" spans="1:5" ht="14">
      <c r="A82" s="18" t="s">
        <v>30</v>
      </c>
      <c r="B82" s="18" t="s">
        <v>31</v>
      </c>
      <c r="C82" s="18" t="s">
        <v>32</v>
      </c>
      <c r="D82" s="18" t="s">
        <v>33</v>
      </c>
      <c r="E82" s="18" t="s">
        <v>34</v>
      </c>
    </row>
    <row r="83" spans="1:5">
      <c r="A83" s="39" t="s">
        <v>1243</v>
      </c>
      <c r="B83" s="36" t="s">
        <v>29</v>
      </c>
      <c r="C83" s="36" t="s">
        <v>201</v>
      </c>
      <c r="D83" s="36" t="s">
        <v>330</v>
      </c>
      <c r="E83" s="19" t="s">
        <v>1315</v>
      </c>
    </row>
    <row r="84" spans="1:5">
      <c r="A84" s="39" t="s">
        <v>1314</v>
      </c>
      <c r="B84" s="36" t="s">
        <v>29</v>
      </c>
      <c r="C84" s="36" t="s">
        <v>35</v>
      </c>
      <c r="D84" s="36" t="s">
        <v>67</v>
      </c>
      <c r="E84" s="19" t="s">
        <v>1313</v>
      </c>
    </row>
    <row r="85" spans="1:5">
      <c r="A85" s="39" t="s">
        <v>1183</v>
      </c>
      <c r="B85" s="36" t="s">
        <v>29</v>
      </c>
      <c r="C85" s="36" t="s">
        <v>35</v>
      </c>
      <c r="D85" s="36" t="s">
        <v>331</v>
      </c>
      <c r="E85" s="19" t="s">
        <v>1312</v>
      </c>
    </row>
    <row r="86" spans="1:5">
      <c r="A86" s="39" t="s">
        <v>1311</v>
      </c>
      <c r="B86" s="36" t="s">
        <v>29</v>
      </c>
      <c r="C86" s="36" t="s">
        <v>201</v>
      </c>
      <c r="D86" s="36" t="s">
        <v>330</v>
      </c>
      <c r="E86" s="19" t="s">
        <v>1310</v>
      </c>
    </row>
    <row r="87" spans="1:5">
      <c r="A87" s="39" t="s">
        <v>1309</v>
      </c>
      <c r="B87" s="36" t="s">
        <v>29</v>
      </c>
      <c r="C87" s="36" t="s">
        <v>277</v>
      </c>
      <c r="D87" s="36" t="s">
        <v>76</v>
      </c>
      <c r="E87" s="19" t="s">
        <v>1308</v>
      </c>
    </row>
    <row r="88" spans="1:5">
      <c r="A88" s="39" t="s">
        <v>1307</v>
      </c>
      <c r="B88" s="36" t="s">
        <v>29</v>
      </c>
      <c r="C88" s="36" t="s">
        <v>418</v>
      </c>
      <c r="D88" s="36" t="s">
        <v>63</v>
      </c>
      <c r="E88" s="19" t="s">
        <v>1306</v>
      </c>
    </row>
    <row r="89" spans="1:5">
      <c r="A89" s="39" t="s">
        <v>1092</v>
      </c>
      <c r="B89" s="36" t="s">
        <v>29</v>
      </c>
      <c r="C89" s="36" t="s">
        <v>232</v>
      </c>
      <c r="D89" s="36" t="s">
        <v>50</v>
      </c>
      <c r="E89" s="19" t="s">
        <v>1305</v>
      </c>
    </row>
    <row r="90" spans="1:5">
      <c r="A90" s="39" t="s">
        <v>1304</v>
      </c>
      <c r="B90" s="36" t="s">
        <v>29</v>
      </c>
      <c r="C90" s="36" t="s">
        <v>201</v>
      </c>
      <c r="D90" s="36" t="s">
        <v>63</v>
      </c>
      <c r="E90" s="19" t="s">
        <v>1303</v>
      </c>
    </row>
    <row r="91" spans="1:5">
      <c r="A91" s="39" t="s">
        <v>1115</v>
      </c>
      <c r="B91" s="36" t="s">
        <v>29</v>
      </c>
      <c r="C91" s="36" t="s">
        <v>35</v>
      </c>
      <c r="D91" s="36" t="s">
        <v>64</v>
      </c>
      <c r="E91" s="19" t="s">
        <v>1302</v>
      </c>
    </row>
    <row r="92" spans="1:5">
      <c r="A92" s="39" t="s">
        <v>1164</v>
      </c>
      <c r="B92" s="36" t="s">
        <v>29</v>
      </c>
      <c r="C92" s="36" t="s">
        <v>232</v>
      </c>
      <c r="D92" s="36" t="s">
        <v>49</v>
      </c>
      <c r="E92" s="19" t="s">
        <v>1301</v>
      </c>
    </row>
    <row r="93" spans="1:5">
      <c r="A93" s="39" t="s">
        <v>343</v>
      </c>
      <c r="B93" s="36" t="s">
        <v>29</v>
      </c>
      <c r="C93" s="36" t="s">
        <v>418</v>
      </c>
      <c r="D93" s="36" t="s">
        <v>52</v>
      </c>
      <c r="E93" s="19" t="s">
        <v>1300</v>
      </c>
    </row>
    <row r="94" spans="1:5">
      <c r="A94" s="39" t="s">
        <v>365</v>
      </c>
      <c r="B94" s="36" t="s">
        <v>29</v>
      </c>
      <c r="C94" s="36" t="s">
        <v>35</v>
      </c>
      <c r="D94" s="36" t="s">
        <v>64</v>
      </c>
      <c r="E94" s="19" t="s">
        <v>1299</v>
      </c>
    </row>
    <row r="95" spans="1:5">
      <c r="A95" s="39" t="s">
        <v>1298</v>
      </c>
      <c r="B95" s="36" t="s">
        <v>29</v>
      </c>
      <c r="C95" s="36" t="s">
        <v>219</v>
      </c>
      <c r="D95" s="36" t="s">
        <v>64</v>
      </c>
      <c r="E95" s="19" t="s">
        <v>1297</v>
      </c>
    </row>
    <row r="96" spans="1:5">
      <c r="A96" s="39" t="s">
        <v>392</v>
      </c>
      <c r="B96" s="36" t="s">
        <v>29</v>
      </c>
      <c r="C96" s="36" t="s">
        <v>232</v>
      </c>
      <c r="D96" s="36" t="s">
        <v>63</v>
      </c>
      <c r="E96" s="19" t="s">
        <v>1296</v>
      </c>
    </row>
    <row r="97" spans="1:5">
      <c r="A97" s="39" t="s">
        <v>392</v>
      </c>
      <c r="B97" s="36" t="s">
        <v>29</v>
      </c>
      <c r="C97" s="36" t="s">
        <v>232</v>
      </c>
      <c r="D97" s="36" t="s">
        <v>63</v>
      </c>
      <c r="E97" s="19" t="s">
        <v>1296</v>
      </c>
    </row>
    <row r="98" spans="1:5">
      <c r="A98" s="39" t="s">
        <v>369</v>
      </c>
      <c r="B98" s="36" t="s">
        <v>29</v>
      </c>
      <c r="C98" s="36" t="s">
        <v>35</v>
      </c>
      <c r="D98" s="36" t="s">
        <v>526</v>
      </c>
      <c r="E98" s="19" t="s">
        <v>1295</v>
      </c>
    </row>
    <row r="99" spans="1:5">
      <c r="A99" s="39" t="s">
        <v>332</v>
      </c>
      <c r="B99" s="36" t="s">
        <v>29</v>
      </c>
      <c r="C99" s="36" t="s">
        <v>421</v>
      </c>
      <c r="D99" s="36" t="s">
        <v>66</v>
      </c>
      <c r="E99" s="19" t="s">
        <v>1294</v>
      </c>
    </row>
    <row r="101" spans="1:5" ht="14">
      <c r="A101" s="41"/>
      <c r="B101" s="40" t="s">
        <v>280</v>
      </c>
    </row>
    <row r="102" spans="1:5" ht="14">
      <c r="A102" s="18" t="s">
        <v>30</v>
      </c>
      <c r="B102" s="18" t="s">
        <v>31</v>
      </c>
      <c r="C102" s="18" t="s">
        <v>32</v>
      </c>
      <c r="D102" s="18" t="s">
        <v>33</v>
      </c>
      <c r="E102" s="18" t="s">
        <v>34</v>
      </c>
    </row>
    <row r="103" spans="1:5">
      <c r="A103" s="39" t="s">
        <v>1163</v>
      </c>
      <c r="B103" s="36" t="s">
        <v>281</v>
      </c>
      <c r="C103" s="36" t="s">
        <v>35</v>
      </c>
      <c r="D103" s="36" t="s">
        <v>84</v>
      </c>
      <c r="E103" s="19" t="s">
        <v>1293</v>
      </c>
    </row>
    <row r="104" spans="1:5">
      <c r="A104" s="39" t="s">
        <v>1003</v>
      </c>
      <c r="B104" s="36" t="s">
        <v>468</v>
      </c>
      <c r="C104" s="36" t="s">
        <v>219</v>
      </c>
      <c r="D104" s="36" t="s">
        <v>1214</v>
      </c>
      <c r="E104" s="19" t="s">
        <v>1292</v>
      </c>
    </row>
    <row r="105" spans="1:5">
      <c r="A105" s="39" t="s">
        <v>1092</v>
      </c>
      <c r="B105" s="36" t="s">
        <v>314</v>
      </c>
      <c r="C105" s="36" t="s">
        <v>232</v>
      </c>
      <c r="D105" s="36" t="s">
        <v>50</v>
      </c>
      <c r="E105" s="19" t="s">
        <v>1291</v>
      </c>
    </row>
    <row r="106" spans="1:5">
      <c r="A106" s="39" t="s">
        <v>1160</v>
      </c>
      <c r="B106" s="36" t="s">
        <v>314</v>
      </c>
      <c r="C106" s="36" t="s">
        <v>232</v>
      </c>
      <c r="D106" s="36" t="s">
        <v>50</v>
      </c>
      <c r="E106" s="19" t="s">
        <v>1290</v>
      </c>
    </row>
    <row r="107" spans="1:5">
      <c r="A107" s="39" t="s">
        <v>576</v>
      </c>
      <c r="B107" s="36" t="s">
        <v>314</v>
      </c>
      <c r="C107" s="36" t="s">
        <v>35</v>
      </c>
      <c r="D107" s="36" t="s">
        <v>84</v>
      </c>
      <c r="E107" s="19" t="s">
        <v>1289</v>
      </c>
    </row>
    <row r="108" spans="1:5">
      <c r="A108" s="39" t="s">
        <v>1288</v>
      </c>
      <c r="B108" s="36" t="s">
        <v>314</v>
      </c>
      <c r="C108" s="36" t="s">
        <v>232</v>
      </c>
      <c r="D108" s="36" t="s">
        <v>49</v>
      </c>
      <c r="E108" s="19" t="s">
        <v>1287</v>
      </c>
    </row>
    <row r="113" spans="1:3" ht="18">
      <c r="A113" s="38" t="s">
        <v>36</v>
      </c>
      <c r="B113" s="37"/>
    </row>
    <row r="114" spans="1:3" ht="14">
      <c r="A114" s="18" t="s">
        <v>37</v>
      </c>
      <c r="B114" s="18" t="s">
        <v>38</v>
      </c>
      <c r="C114" s="18" t="s">
        <v>39</v>
      </c>
    </row>
    <row r="115" spans="1:3">
      <c r="A115" s="19" t="s">
        <v>118</v>
      </c>
      <c r="B115" s="36" t="s">
        <v>1286</v>
      </c>
      <c r="C115" s="36" t="s">
        <v>1285</v>
      </c>
    </row>
    <row r="116" spans="1:3">
      <c r="A116" s="19" t="s">
        <v>14</v>
      </c>
      <c r="B116" s="36" t="s">
        <v>1284</v>
      </c>
      <c r="C116" s="36" t="s">
        <v>1283</v>
      </c>
    </row>
    <row r="117" spans="1:3">
      <c r="A117" s="19" t="s">
        <v>347</v>
      </c>
      <c r="B117" s="36" t="s">
        <v>1282</v>
      </c>
      <c r="C117" s="36" t="s">
        <v>1281</v>
      </c>
    </row>
    <row r="118" spans="1:3">
      <c r="A118" s="19" t="s">
        <v>253</v>
      </c>
      <c r="B118" s="36" t="s">
        <v>241</v>
      </c>
      <c r="C118" s="36" t="s">
        <v>1280</v>
      </c>
    </row>
    <row r="119" spans="1:3">
      <c r="A119" s="19" t="s">
        <v>72</v>
      </c>
      <c r="B119" s="36" t="s">
        <v>40</v>
      </c>
      <c r="C119" s="36" t="s">
        <v>1279</v>
      </c>
    </row>
    <row r="120" spans="1:3">
      <c r="A120" s="19" t="s">
        <v>502</v>
      </c>
      <c r="B120" s="36" t="s">
        <v>246</v>
      </c>
      <c r="C120" s="36" t="s">
        <v>1278</v>
      </c>
    </row>
    <row r="121" spans="1:3">
      <c r="A121" s="19" t="s">
        <v>47</v>
      </c>
      <c r="B121" s="36" t="s">
        <v>246</v>
      </c>
      <c r="C121" s="36" t="s">
        <v>1277</v>
      </c>
    </row>
    <row r="122" spans="1:3">
      <c r="A122" s="19" t="s">
        <v>166</v>
      </c>
      <c r="B122" s="36" t="s">
        <v>847</v>
      </c>
      <c r="C122" s="36" t="s">
        <v>1276</v>
      </c>
    </row>
  </sheetData>
  <mergeCells count="19">
    <mergeCell ref="A18:L18"/>
    <mergeCell ref="A26:L26"/>
    <mergeCell ref="A35:L35"/>
    <mergeCell ref="A40:L40"/>
    <mergeCell ref="A49:L49"/>
    <mergeCell ref="M3:M4"/>
    <mergeCell ref="A5:L5"/>
    <mergeCell ref="A8:L8"/>
    <mergeCell ref="A12:L12"/>
    <mergeCell ref="A1:M2"/>
    <mergeCell ref="A3:A4"/>
    <mergeCell ref="B3:B4"/>
    <mergeCell ref="C3:C4"/>
    <mergeCell ref="D3:D4"/>
    <mergeCell ref="E3:E4"/>
    <mergeCell ref="K3:K4"/>
    <mergeCell ref="L3:L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7"/>
  <sheetViews>
    <sheetView workbookViewId="0">
      <selection sqref="A1:M2"/>
    </sheetView>
  </sheetViews>
  <sheetFormatPr baseColWidth="10" defaultColWidth="9.1640625" defaultRowHeight="13"/>
  <cols>
    <col min="1" max="1" width="34.5" style="19" bestFit="1" customWidth="1"/>
    <col min="2" max="2" width="26.33203125" style="36" bestFit="1" customWidth="1"/>
    <col min="3" max="3" width="16.33203125" style="36" bestFit="1" customWidth="1"/>
    <col min="4" max="4" width="9.33203125" style="36" bestFit="1" customWidth="1"/>
    <col min="5" max="5" width="22.6640625" style="29" bestFit="1" customWidth="1"/>
    <col min="6" max="6" width="29" style="29" bestFit="1" customWidth="1"/>
    <col min="7" max="10" width="4.5" style="36" bestFit="1" customWidth="1"/>
    <col min="11" max="11" width="7.83203125" style="19" bestFit="1" customWidth="1"/>
    <col min="12" max="12" width="7.5" style="36" bestFit="1" customWidth="1"/>
    <col min="13" max="13" width="8.83203125" style="29" bestFit="1" customWidth="1"/>
    <col min="14" max="16384" width="9.1640625" style="36"/>
  </cols>
  <sheetData>
    <row r="1" spans="1:13" ht="29" customHeight="1">
      <c r="A1" s="60" t="s">
        <v>1364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3" ht="107.25" customHeight="1" thickBot="1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0</v>
      </c>
      <c r="B3" s="68" t="s">
        <v>1423</v>
      </c>
      <c r="C3" s="68" t="s">
        <v>1199</v>
      </c>
      <c r="D3" s="70" t="s">
        <v>1424</v>
      </c>
      <c r="E3" s="70" t="s">
        <v>5</v>
      </c>
      <c r="F3" s="70" t="s">
        <v>9</v>
      </c>
      <c r="G3" s="70" t="s">
        <v>1198</v>
      </c>
      <c r="H3" s="70"/>
      <c r="I3" s="70"/>
      <c r="J3" s="70"/>
      <c r="K3" s="70" t="s">
        <v>449</v>
      </c>
      <c r="L3" s="70" t="s">
        <v>4</v>
      </c>
      <c r="M3" s="71" t="s">
        <v>3</v>
      </c>
    </row>
    <row r="4" spans="1:13" s="1" customFormat="1" ht="21" customHeight="1" thickBot="1">
      <c r="A4" s="67"/>
      <c r="B4" s="69"/>
      <c r="C4" s="69"/>
      <c r="D4" s="69"/>
      <c r="E4" s="69"/>
      <c r="F4" s="69"/>
      <c r="G4" s="53">
        <v>1</v>
      </c>
      <c r="H4" s="53">
        <v>2</v>
      </c>
      <c r="I4" s="53">
        <v>3</v>
      </c>
      <c r="J4" s="53" t="s">
        <v>6</v>
      </c>
      <c r="K4" s="69"/>
      <c r="L4" s="69"/>
      <c r="M4" s="72"/>
    </row>
    <row r="5" spans="1:13" ht="16">
      <c r="A5" s="58" t="s">
        <v>13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3">
      <c r="A6" s="35" t="s">
        <v>1217</v>
      </c>
      <c r="B6" s="52" t="s">
        <v>1216</v>
      </c>
      <c r="C6" s="52" t="s">
        <v>1215</v>
      </c>
      <c r="D6" s="52" t="s">
        <v>1427</v>
      </c>
      <c r="E6" s="32" t="s">
        <v>253</v>
      </c>
      <c r="F6" s="32" t="s">
        <v>254</v>
      </c>
      <c r="G6" s="52" t="s">
        <v>63</v>
      </c>
      <c r="H6" s="52" t="s">
        <v>84</v>
      </c>
      <c r="I6" s="52" t="s">
        <v>330</v>
      </c>
      <c r="J6" s="10"/>
      <c r="K6" s="35" t="str">
        <f>"67,5"</f>
        <v>67,5</v>
      </c>
      <c r="L6" s="52" t="str">
        <f>"44,3003"</f>
        <v>44,3003</v>
      </c>
      <c r="M6" s="32" t="s">
        <v>22</v>
      </c>
    </row>
    <row r="8" spans="1:13" ht="16">
      <c r="E8" s="12" t="s">
        <v>23</v>
      </c>
      <c r="F8" s="12" t="s">
        <v>1130</v>
      </c>
    </row>
    <row r="9" spans="1:13" ht="16">
      <c r="E9" s="12" t="s">
        <v>26</v>
      </c>
      <c r="F9" s="12" t="s">
        <v>1131</v>
      </c>
    </row>
    <row r="10" spans="1:13" ht="16">
      <c r="E10" s="12" t="s">
        <v>24</v>
      </c>
      <c r="F10" s="12" t="s">
        <v>1130</v>
      </c>
    </row>
    <row r="11" spans="1:13" ht="16">
      <c r="E11" s="12" t="s">
        <v>25</v>
      </c>
      <c r="F11" s="12" t="s">
        <v>1416</v>
      </c>
    </row>
    <row r="12" spans="1:13" ht="16">
      <c r="E12" s="12" t="s">
        <v>25</v>
      </c>
      <c r="F12" s="12" t="s">
        <v>1372</v>
      </c>
    </row>
    <row r="13" spans="1:13" ht="16">
      <c r="E13" s="12"/>
      <c r="F13" s="12"/>
    </row>
    <row r="14" spans="1:13" ht="16">
      <c r="E14" s="12"/>
    </row>
    <row r="16" spans="1:13" ht="18">
      <c r="A16" s="38" t="s">
        <v>27</v>
      </c>
      <c r="B16" s="37"/>
    </row>
    <row r="17" spans="1:5" ht="16">
      <c r="A17" s="43" t="s">
        <v>28</v>
      </c>
      <c r="B17" s="42"/>
    </row>
    <row r="18" spans="1:5" ht="14">
      <c r="A18" s="41"/>
      <c r="B18" s="40" t="s">
        <v>29</v>
      </c>
    </row>
    <row r="19" spans="1:5" ht="14">
      <c r="A19" s="18" t="s">
        <v>30</v>
      </c>
      <c r="B19" s="18" t="s">
        <v>31</v>
      </c>
      <c r="C19" s="18" t="s">
        <v>32</v>
      </c>
      <c r="D19" s="18" t="s">
        <v>33</v>
      </c>
      <c r="E19" s="18" t="s">
        <v>34</v>
      </c>
    </row>
    <row r="20" spans="1:5">
      <c r="A20" s="39" t="s">
        <v>1204</v>
      </c>
      <c r="B20" s="36" t="s">
        <v>29</v>
      </c>
      <c r="C20" s="36" t="s">
        <v>35</v>
      </c>
      <c r="D20" s="36" t="s">
        <v>330</v>
      </c>
      <c r="E20" s="19" t="s">
        <v>1363</v>
      </c>
    </row>
    <row r="25" spans="1:5" ht="18">
      <c r="A25" s="38" t="s">
        <v>36</v>
      </c>
      <c r="B25" s="37"/>
    </row>
    <row r="26" spans="1:5" ht="14">
      <c r="A26" s="18" t="s">
        <v>37</v>
      </c>
      <c r="B26" s="18" t="s">
        <v>38</v>
      </c>
      <c r="C26" s="18" t="s">
        <v>39</v>
      </c>
    </row>
    <row r="27" spans="1:5">
      <c r="A27" s="19" t="s">
        <v>253</v>
      </c>
      <c r="B27" s="36" t="s">
        <v>40</v>
      </c>
      <c r="C27" s="36" t="s">
        <v>1362</v>
      </c>
    </row>
  </sheetData>
  <mergeCells count="12"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63"/>
  <sheetViews>
    <sheetView workbookViewId="0">
      <selection activeCell="D24" sqref="D24"/>
    </sheetView>
  </sheetViews>
  <sheetFormatPr baseColWidth="10" defaultColWidth="9.1640625" defaultRowHeight="13"/>
  <cols>
    <col min="1" max="1" width="34.5" style="19" bestFit="1" customWidth="1"/>
    <col min="2" max="2" width="31.5" style="36" bestFit="1" customWidth="1"/>
    <col min="3" max="3" width="32.5" style="36" customWidth="1"/>
    <col min="4" max="4" width="9.33203125" style="36" bestFit="1" customWidth="1"/>
    <col min="5" max="5" width="22.6640625" style="29" bestFit="1" customWidth="1"/>
    <col min="6" max="6" width="33.5" style="29" bestFit="1" customWidth="1"/>
    <col min="7" max="7" width="4.5" style="36" bestFit="1" customWidth="1"/>
    <col min="8" max="8" width="5.5" style="36" bestFit="1" customWidth="1"/>
    <col min="9" max="10" width="4.5" style="36" bestFit="1" customWidth="1"/>
    <col min="11" max="11" width="7.83203125" style="19" bestFit="1" customWidth="1"/>
    <col min="12" max="12" width="7.5" style="36" bestFit="1" customWidth="1"/>
    <col min="13" max="13" width="8.83203125" style="29" bestFit="1" customWidth="1"/>
    <col min="14" max="16384" width="9.1640625" style="36"/>
  </cols>
  <sheetData>
    <row r="1" spans="1:13" ht="29" customHeight="1">
      <c r="A1" s="60" t="s">
        <v>1200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3" ht="94.5" customHeight="1" thickBot="1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0</v>
      </c>
      <c r="B3" s="68" t="s">
        <v>1423</v>
      </c>
      <c r="C3" s="68" t="s">
        <v>1199</v>
      </c>
      <c r="D3" s="70" t="s">
        <v>1424</v>
      </c>
      <c r="E3" s="70" t="s">
        <v>5</v>
      </c>
      <c r="F3" s="70" t="s">
        <v>9</v>
      </c>
      <c r="G3" s="70" t="s">
        <v>1198</v>
      </c>
      <c r="H3" s="70"/>
      <c r="I3" s="70"/>
      <c r="J3" s="70"/>
      <c r="K3" s="70" t="s">
        <v>449</v>
      </c>
      <c r="L3" s="70" t="s">
        <v>4</v>
      </c>
      <c r="M3" s="71" t="s">
        <v>3</v>
      </c>
    </row>
    <row r="4" spans="1:13" s="1" customFormat="1" ht="21" customHeight="1" thickBot="1">
      <c r="A4" s="67"/>
      <c r="B4" s="69"/>
      <c r="C4" s="69"/>
      <c r="D4" s="69"/>
      <c r="E4" s="69"/>
      <c r="F4" s="69"/>
      <c r="G4" s="53">
        <v>1</v>
      </c>
      <c r="H4" s="53">
        <v>2</v>
      </c>
      <c r="I4" s="53">
        <v>3</v>
      </c>
      <c r="J4" s="53" t="s">
        <v>6</v>
      </c>
      <c r="K4" s="69"/>
      <c r="L4" s="69"/>
      <c r="M4" s="72"/>
    </row>
    <row r="5" spans="1:13" ht="16">
      <c r="A5" s="58" t="s">
        <v>325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3">
      <c r="A6" s="35" t="s">
        <v>327</v>
      </c>
      <c r="B6" s="52" t="s">
        <v>328</v>
      </c>
      <c r="C6" s="52" t="s">
        <v>329</v>
      </c>
      <c r="D6" s="52" t="s">
        <v>1434</v>
      </c>
      <c r="E6" s="32" t="s">
        <v>118</v>
      </c>
      <c r="F6" s="32" t="s">
        <v>119</v>
      </c>
      <c r="G6" s="52" t="s">
        <v>508</v>
      </c>
      <c r="H6" s="52" t="s">
        <v>509</v>
      </c>
      <c r="I6" s="52" t="s">
        <v>526</v>
      </c>
      <c r="J6" s="10"/>
      <c r="K6" s="35" t="str">
        <f>"47,5"</f>
        <v>47,5</v>
      </c>
      <c r="L6" s="52" t="str">
        <f>"43,7022"</f>
        <v>43,7022</v>
      </c>
      <c r="M6" s="32" t="s">
        <v>22</v>
      </c>
    </row>
    <row r="8" spans="1:13" ht="16">
      <c r="A8" s="59" t="s">
        <v>86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3">
      <c r="A9" s="35" t="s">
        <v>356</v>
      </c>
      <c r="B9" s="52" t="s">
        <v>357</v>
      </c>
      <c r="C9" s="52" t="s">
        <v>358</v>
      </c>
      <c r="D9" s="52" t="s">
        <v>1427</v>
      </c>
      <c r="E9" s="32" t="s">
        <v>118</v>
      </c>
      <c r="F9" s="32" t="s">
        <v>119</v>
      </c>
      <c r="G9" s="52" t="s">
        <v>330</v>
      </c>
      <c r="H9" s="52" t="s">
        <v>67</v>
      </c>
      <c r="I9" s="52" t="s">
        <v>54</v>
      </c>
      <c r="J9" s="10"/>
      <c r="K9" s="35" t="str">
        <f>"80,0"</f>
        <v>80,0</v>
      </c>
      <c r="L9" s="52" t="str">
        <f>"53,3280"</f>
        <v>53,3280</v>
      </c>
      <c r="M9" s="32" t="s">
        <v>22</v>
      </c>
    </row>
    <row r="11" spans="1:13" ht="16">
      <c r="A11" s="59" t="s">
        <v>13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1:13">
      <c r="A12" s="51" t="s">
        <v>1091</v>
      </c>
      <c r="B12" s="50" t="s">
        <v>139</v>
      </c>
      <c r="C12" s="50" t="s">
        <v>140</v>
      </c>
      <c r="D12" s="50" t="s">
        <v>1426</v>
      </c>
      <c r="E12" s="49" t="s">
        <v>118</v>
      </c>
      <c r="F12" s="49" t="s">
        <v>119</v>
      </c>
      <c r="G12" s="50" t="s">
        <v>63</v>
      </c>
      <c r="H12" s="50" t="s">
        <v>84</v>
      </c>
      <c r="I12" s="50" t="s">
        <v>49</v>
      </c>
      <c r="J12" s="22"/>
      <c r="K12" s="51" t="str">
        <f>"70,0"</f>
        <v>70,0</v>
      </c>
      <c r="L12" s="50" t="str">
        <f>"46,3957"</f>
        <v>46,3957</v>
      </c>
      <c r="M12" s="49" t="s">
        <v>22</v>
      </c>
    </row>
    <row r="13" spans="1:13">
      <c r="A13" s="48" t="s">
        <v>1197</v>
      </c>
      <c r="B13" s="47" t="s">
        <v>1196</v>
      </c>
      <c r="C13" s="47" t="s">
        <v>1195</v>
      </c>
      <c r="D13" s="47" t="s">
        <v>1427</v>
      </c>
      <c r="E13" s="30" t="s">
        <v>14</v>
      </c>
      <c r="F13" s="30" t="s">
        <v>62</v>
      </c>
      <c r="G13" s="47" t="s">
        <v>54</v>
      </c>
      <c r="H13" s="47" t="s">
        <v>1194</v>
      </c>
      <c r="I13" s="25" t="s">
        <v>56</v>
      </c>
      <c r="J13" s="25"/>
      <c r="K13" s="48" t="str">
        <f>"85,0"</f>
        <v>85,0</v>
      </c>
      <c r="L13" s="47" t="str">
        <f>"54,1195"</f>
        <v>54,1195</v>
      </c>
      <c r="M13" s="30" t="s">
        <v>22</v>
      </c>
    </row>
    <row r="14" spans="1:13">
      <c r="A14" s="48" t="s">
        <v>1193</v>
      </c>
      <c r="B14" s="47" t="s">
        <v>1192</v>
      </c>
      <c r="C14" s="47" t="s">
        <v>1191</v>
      </c>
      <c r="D14" s="47" t="s">
        <v>1427</v>
      </c>
      <c r="E14" s="30" t="s">
        <v>118</v>
      </c>
      <c r="F14" s="30" t="s">
        <v>119</v>
      </c>
      <c r="G14" s="47" t="s">
        <v>330</v>
      </c>
      <c r="H14" s="47" t="s">
        <v>49</v>
      </c>
      <c r="I14" s="25" t="s">
        <v>331</v>
      </c>
      <c r="J14" s="25"/>
      <c r="K14" s="48" t="str">
        <f>"70,0"</f>
        <v>70,0</v>
      </c>
      <c r="L14" s="47" t="str">
        <f>"44,8140"</f>
        <v>44,8140</v>
      </c>
      <c r="M14" s="30" t="s">
        <v>22</v>
      </c>
    </row>
    <row r="15" spans="1:13">
      <c r="A15" s="46" t="s">
        <v>1190</v>
      </c>
      <c r="B15" s="45" t="s">
        <v>371</v>
      </c>
      <c r="C15" s="45" t="s">
        <v>372</v>
      </c>
      <c r="D15" s="45" t="s">
        <v>1427</v>
      </c>
      <c r="E15" s="44" t="s">
        <v>118</v>
      </c>
      <c r="F15" s="44" t="s">
        <v>119</v>
      </c>
      <c r="G15" s="45" t="s">
        <v>63</v>
      </c>
      <c r="H15" s="45" t="s">
        <v>64</v>
      </c>
      <c r="I15" s="45" t="s">
        <v>84</v>
      </c>
      <c r="J15" s="28"/>
      <c r="K15" s="46" t="str">
        <f>"65,0"</f>
        <v>65,0</v>
      </c>
      <c r="L15" s="45" t="str">
        <f>"40,3195"</f>
        <v>40,3195</v>
      </c>
      <c r="M15" s="44" t="s">
        <v>22</v>
      </c>
    </row>
    <row r="17" spans="1:13" ht="16">
      <c r="A17" s="59" t="s">
        <v>152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8" spans="1:13">
      <c r="A18" s="35" t="s">
        <v>1158</v>
      </c>
      <c r="B18" s="52" t="s">
        <v>1159</v>
      </c>
      <c r="C18" s="52" t="s">
        <v>599</v>
      </c>
      <c r="D18" s="52" t="s">
        <v>1431</v>
      </c>
      <c r="E18" s="32" t="s">
        <v>118</v>
      </c>
      <c r="F18" s="32" t="s">
        <v>119</v>
      </c>
      <c r="G18" s="52" t="s">
        <v>67</v>
      </c>
      <c r="H18" s="52" t="s">
        <v>54</v>
      </c>
      <c r="I18" s="52" t="s">
        <v>51</v>
      </c>
      <c r="J18" s="10"/>
      <c r="K18" s="35" t="str">
        <f>"82,5"</f>
        <v>82,5</v>
      </c>
      <c r="L18" s="52" t="str">
        <f>"49,9123"</f>
        <v>49,9123</v>
      </c>
      <c r="M18" s="32" t="s">
        <v>22</v>
      </c>
    </row>
    <row r="20" spans="1:13" ht="16">
      <c r="A20" s="59" t="s">
        <v>169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</row>
    <row r="21" spans="1:13">
      <c r="A21" s="51" t="s">
        <v>1189</v>
      </c>
      <c r="B21" s="50" t="s">
        <v>1165</v>
      </c>
      <c r="C21" s="50" t="s">
        <v>1015</v>
      </c>
      <c r="D21" s="50" t="s">
        <v>1427</v>
      </c>
      <c r="E21" s="49" t="s">
        <v>118</v>
      </c>
      <c r="F21" s="49" t="s">
        <v>119</v>
      </c>
      <c r="G21" s="50" t="s">
        <v>49</v>
      </c>
      <c r="H21" s="50" t="s">
        <v>54</v>
      </c>
      <c r="I21" s="22" t="s">
        <v>56</v>
      </c>
      <c r="J21" s="22"/>
      <c r="K21" s="51" t="str">
        <f>"80,0"</f>
        <v>80,0</v>
      </c>
      <c r="L21" s="50" t="str">
        <f>"44,6880"</f>
        <v>44,6880</v>
      </c>
      <c r="M21" s="49" t="s">
        <v>22</v>
      </c>
    </row>
    <row r="22" spans="1:13">
      <c r="A22" s="48" t="s">
        <v>1161</v>
      </c>
      <c r="B22" s="47" t="s">
        <v>1162</v>
      </c>
      <c r="C22" s="47" t="s">
        <v>609</v>
      </c>
      <c r="D22" s="47" t="s">
        <v>1431</v>
      </c>
      <c r="E22" s="30" t="s">
        <v>118</v>
      </c>
      <c r="F22" s="30" t="s">
        <v>119</v>
      </c>
      <c r="G22" s="25" t="s">
        <v>56</v>
      </c>
      <c r="H22" s="47" t="s">
        <v>56</v>
      </c>
      <c r="I22" s="47" t="s">
        <v>100</v>
      </c>
      <c r="J22" s="25"/>
      <c r="K22" s="48" t="str">
        <f>"95,0"</f>
        <v>95,0</v>
      </c>
      <c r="L22" s="47" t="str">
        <f>"52,9625"</f>
        <v>52,9625</v>
      </c>
      <c r="M22" s="30" t="s">
        <v>22</v>
      </c>
    </row>
    <row r="23" spans="1:13">
      <c r="A23" s="46" t="s">
        <v>397</v>
      </c>
      <c r="B23" s="45" t="s">
        <v>398</v>
      </c>
      <c r="C23" s="45" t="s">
        <v>399</v>
      </c>
      <c r="D23" s="45" t="s">
        <v>1435</v>
      </c>
      <c r="E23" s="44" t="s">
        <v>118</v>
      </c>
      <c r="F23" s="44" t="s">
        <v>119</v>
      </c>
      <c r="G23" s="45" t="s">
        <v>51</v>
      </c>
      <c r="H23" s="45" t="s">
        <v>76</v>
      </c>
      <c r="I23" s="45" t="s">
        <v>55</v>
      </c>
      <c r="J23" s="28"/>
      <c r="K23" s="46" t="str">
        <f>"87,5"</f>
        <v>87,5</v>
      </c>
      <c r="L23" s="45" t="str">
        <f>"57,4667"</f>
        <v>57,4667</v>
      </c>
      <c r="M23" s="44" t="s">
        <v>22</v>
      </c>
    </row>
    <row r="25" spans="1:13" ht="16">
      <c r="E25" s="12" t="s">
        <v>23</v>
      </c>
      <c r="F25" s="12" t="s">
        <v>1130</v>
      </c>
    </row>
    <row r="26" spans="1:13" ht="16">
      <c r="E26" s="12" t="s">
        <v>26</v>
      </c>
      <c r="F26" s="12" t="s">
        <v>1131</v>
      </c>
    </row>
    <row r="27" spans="1:13" ht="16">
      <c r="E27" s="12" t="s">
        <v>24</v>
      </c>
      <c r="F27" s="12" t="s">
        <v>1130</v>
      </c>
    </row>
    <row r="28" spans="1:13" ht="16">
      <c r="E28" s="12" t="s">
        <v>25</v>
      </c>
      <c r="F28" s="12" t="s">
        <v>1416</v>
      </c>
    </row>
    <row r="29" spans="1:13" ht="16">
      <c r="E29" s="12" t="s">
        <v>25</v>
      </c>
      <c r="F29" s="12" t="s">
        <v>1372</v>
      </c>
    </row>
    <row r="30" spans="1:13" ht="16">
      <c r="E30" s="12"/>
      <c r="F30" s="12"/>
    </row>
    <row r="31" spans="1:13" ht="16">
      <c r="E31" s="12"/>
    </row>
    <row r="33" spans="1:5" ht="18">
      <c r="A33" s="38" t="s">
        <v>27</v>
      </c>
      <c r="B33" s="37"/>
    </row>
    <row r="34" spans="1:5" ht="16">
      <c r="A34" s="43" t="s">
        <v>28</v>
      </c>
      <c r="B34" s="42"/>
    </row>
    <row r="35" spans="1:5" ht="14">
      <c r="A35" s="41"/>
      <c r="B35" s="40" t="s">
        <v>199</v>
      </c>
    </row>
    <row r="36" spans="1:5" ht="14">
      <c r="A36" s="18" t="s">
        <v>30</v>
      </c>
      <c r="B36" s="18" t="s">
        <v>31</v>
      </c>
      <c r="C36" s="18" t="s">
        <v>32</v>
      </c>
      <c r="D36" s="18" t="s">
        <v>33</v>
      </c>
      <c r="E36" s="18" t="s">
        <v>34</v>
      </c>
    </row>
    <row r="37" spans="1:5">
      <c r="A37" s="39" t="s">
        <v>326</v>
      </c>
      <c r="B37" s="36" t="s">
        <v>200</v>
      </c>
      <c r="C37" s="36" t="s">
        <v>421</v>
      </c>
      <c r="D37" s="36" t="s">
        <v>526</v>
      </c>
      <c r="E37" s="19" t="s">
        <v>1188</v>
      </c>
    </row>
    <row r="39" spans="1:5" ht="14">
      <c r="A39" s="41"/>
      <c r="B39" s="40" t="s">
        <v>213</v>
      </c>
    </row>
    <row r="40" spans="1:5" ht="14">
      <c r="A40" s="18" t="s">
        <v>30</v>
      </c>
      <c r="B40" s="18" t="s">
        <v>31</v>
      </c>
      <c r="C40" s="18" t="s">
        <v>32</v>
      </c>
      <c r="D40" s="18" t="s">
        <v>33</v>
      </c>
      <c r="E40" s="18" t="s">
        <v>34</v>
      </c>
    </row>
    <row r="41" spans="1:5">
      <c r="A41" s="39" t="s">
        <v>137</v>
      </c>
      <c r="B41" s="36" t="s">
        <v>214</v>
      </c>
      <c r="C41" s="36" t="s">
        <v>35</v>
      </c>
      <c r="D41" s="36" t="s">
        <v>49</v>
      </c>
      <c r="E41" s="19" t="s">
        <v>1187</v>
      </c>
    </row>
    <row r="43" spans="1:5" ht="14">
      <c r="A43" s="41"/>
      <c r="B43" s="40" t="s">
        <v>29</v>
      </c>
    </row>
    <row r="44" spans="1:5" ht="14">
      <c r="A44" s="18" t="s">
        <v>30</v>
      </c>
      <c r="B44" s="18" t="s">
        <v>31</v>
      </c>
      <c r="C44" s="18" t="s">
        <v>32</v>
      </c>
      <c r="D44" s="18" t="s">
        <v>33</v>
      </c>
      <c r="E44" s="18" t="s">
        <v>34</v>
      </c>
    </row>
    <row r="45" spans="1:5">
      <c r="A45" s="39" t="s">
        <v>1186</v>
      </c>
      <c r="B45" s="36" t="s">
        <v>29</v>
      </c>
      <c r="C45" s="36" t="s">
        <v>35</v>
      </c>
      <c r="D45" s="36" t="s">
        <v>76</v>
      </c>
      <c r="E45" s="19" t="s">
        <v>1185</v>
      </c>
    </row>
    <row r="46" spans="1:5">
      <c r="A46" s="39" t="s">
        <v>355</v>
      </c>
      <c r="B46" s="36" t="s">
        <v>29</v>
      </c>
      <c r="C46" s="36" t="s">
        <v>201</v>
      </c>
      <c r="D46" s="36" t="s">
        <v>54</v>
      </c>
      <c r="E46" s="19" t="s">
        <v>1184</v>
      </c>
    </row>
    <row r="47" spans="1:5">
      <c r="A47" s="39" t="s">
        <v>1183</v>
      </c>
      <c r="B47" s="36" t="s">
        <v>29</v>
      </c>
      <c r="C47" s="36" t="s">
        <v>35</v>
      </c>
      <c r="D47" s="36" t="s">
        <v>49</v>
      </c>
      <c r="E47" s="19" t="s">
        <v>1182</v>
      </c>
    </row>
    <row r="48" spans="1:5">
      <c r="A48" s="39" t="s">
        <v>1164</v>
      </c>
      <c r="B48" s="36" t="s">
        <v>29</v>
      </c>
      <c r="C48" s="36" t="s">
        <v>232</v>
      </c>
      <c r="D48" s="36" t="s">
        <v>54</v>
      </c>
      <c r="E48" s="19" t="s">
        <v>1181</v>
      </c>
    </row>
    <row r="49" spans="1:5">
      <c r="A49" s="39" t="s">
        <v>369</v>
      </c>
      <c r="B49" s="36" t="s">
        <v>29</v>
      </c>
      <c r="C49" s="36" t="s">
        <v>35</v>
      </c>
      <c r="D49" s="36" t="s">
        <v>84</v>
      </c>
      <c r="E49" s="19" t="s">
        <v>1180</v>
      </c>
    </row>
    <row r="51" spans="1:5" ht="14">
      <c r="A51" s="41"/>
      <c r="B51" s="40" t="s">
        <v>280</v>
      </c>
    </row>
    <row r="52" spans="1:5" ht="14">
      <c r="A52" s="18" t="s">
        <v>30</v>
      </c>
      <c r="B52" s="18" t="s">
        <v>31</v>
      </c>
      <c r="C52" s="18" t="s">
        <v>32</v>
      </c>
      <c r="D52" s="18" t="s">
        <v>33</v>
      </c>
      <c r="E52" s="18" t="s">
        <v>34</v>
      </c>
    </row>
    <row r="53" spans="1:5">
      <c r="A53" s="39" t="s">
        <v>396</v>
      </c>
      <c r="B53" s="36" t="s">
        <v>281</v>
      </c>
      <c r="C53" s="36" t="s">
        <v>232</v>
      </c>
      <c r="D53" s="36" t="s">
        <v>55</v>
      </c>
      <c r="E53" s="19" t="s">
        <v>1179</v>
      </c>
    </row>
    <row r="54" spans="1:5">
      <c r="A54" s="39" t="s">
        <v>1160</v>
      </c>
      <c r="B54" s="36" t="s">
        <v>314</v>
      </c>
      <c r="C54" s="36" t="s">
        <v>232</v>
      </c>
      <c r="D54" s="36" t="s">
        <v>100</v>
      </c>
      <c r="E54" s="19" t="s">
        <v>1178</v>
      </c>
    </row>
    <row r="55" spans="1:5">
      <c r="A55" s="39" t="s">
        <v>1157</v>
      </c>
      <c r="B55" s="36" t="s">
        <v>314</v>
      </c>
      <c r="C55" s="36" t="s">
        <v>219</v>
      </c>
      <c r="D55" s="36" t="s">
        <v>51</v>
      </c>
      <c r="E55" s="19" t="s">
        <v>1177</v>
      </c>
    </row>
    <row r="60" spans="1:5" ht="18">
      <c r="A60" s="38" t="s">
        <v>36</v>
      </c>
      <c r="B60" s="37"/>
    </row>
    <row r="61" spans="1:5" ht="14">
      <c r="A61" s="18" t="s">
        <v>37</v>
      </c>
      <c r="B61" s="18" t="s">
        <v>38</v>
      </c>
      <c r="C61" s="18" t="s">
        <v>39</v>
      </c>
    </row>
    <row r="62" spans="1:5">
      <c r="A62" s="19" t="s">
        <v>118</v>
      </c>
      <c r="B62" s="36" t="s">
        <v>1176</v>
      </c>
      <c r="C62" s="36" t="s">
        <v>1175</v>
      </c>
    </row>
    <row r="63" spans="1:5">
      <c r="A63" s="19" t="s">
        <v>14</v>
      </c>
      <c r="B63" s="36" t="s">
        <v>40</v>
      </c>
      <c r="C63" s="36" t="s">
        <v>1174</v>
      </c>
    </row>
  </sheetData>
  <mergeCells count="16">
    <mergeCell ref="A5:L5"/>
    <mergeCell ref="A8:L8"/>
    <mergeCell ref="A11:L11"/>
    <mergeCell ref="A17:L17"/>
    <mergeCell ref="A20:L20"/>
    <mergeCell ref="A1:M2"/>
    <mergeCell ref="G3:J3"/>
    <mergeCell ref="A3:A4"/>
    <mergeCell ref="B3:B4"/>
    <mergeCell ref="C3:C4"/>
    <mergeCell ref="M3:M4"/>
    <mergeCell ref="F3:F4"/>
    <mergeCell ref="E3:E4"/>
    <mergeCell ref="D3:D4"/>
    <mergeCell ref="K3:K4"/>
    <mergeCell ref="L3:L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27"/>
  <sheetViews>
    <sheetView workbookViewId="0">
      <selection activeCell="D6" sqref="D6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13.6640625" style="4" bestFit="1" customWidth="1"/>
    <col min="4" max="4" width="9.33203125" style="4" bestFit="1" customWidth="1"/>
    <col min="5" max="5" width="22.6640625" style="4" bestFit="1" customWidth="1"/>
    <col min="6" max="6" width="29" style="4" bestFit="1" customWidth="1"/>
    <col min="7" max="8" width="5.5" style="3" bestFit="1" customWidth="1"/>
    <col min="9" max="9" width="2.1640625" style="3" bestFit="1" customWidth="1"/>
    <col min="10" max="10" width="4.83203125" style="3" bestFit="1" customWidth="1"/>
    <col min="11" max="13" width="5.5" style="3" bestFit="1" customWidth="1"/>
    <col min="14" max="14" width="4.83203125" style="3" bestFit="1" customWidth="1"/>
    <col min="15" max="15" width="7.83203125" style="4" bestFit="1" customWidth="1"/>
    <col min="16" max="16" width="8.5" style="3" bestFit="1" customWidth="1"/>
    <col min="17" max="17" width="8.83203125" style="4" bestFit="1" customWidth="1"/>
    <col min="18" max="16384" width="9.1640625" style="3"/>
  </cols>
  <sheetData>
    <row r="1" spans="1:17" s="2" customFormat="1" ht="29" customHeight="1">
      <c r="A1" s="73" t="s">
        <v>1132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5"/>
    </row>
    <row r="2" spans="1:17" s="2" customFormat="1" ht="116.25" customHeight="1" thickBot="1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8"/>
    </row>
    <row r="3" spans="1:17" s="1" customFormat="1" ht="12.75" customHeight="1">
      <c r="A3" s="66" t="s">
        <v>0</v>
      </c>
      <c r="B3" s="68" t="s">
        <v>1423</v>
      </c>
      <c r="C3" s="68" t="s">
        <v>8</v>
      </c>
      <c r="D3" s="70" t="s">
        <v>1424</v>
      </c>
      <c r="E3" s="70" t="s">
        <v>5</v>
      </c>
      <c r="F3" s="70" t="s">
        <v>9</v>
      </c>
      <c r="G3" s="70" t="s">
        <v>11</v>
      </c>
      <c r="H3" s="70"/>
      <c r="I3" s="70"/>
      <c r="J3" s="70"/>
      <c r="K3" s="70" t="s">
        <v>12</v>
      </c>
      <c r="L3" s="70"/>
      <c r="M3" s="70"/>
      <c r="N3" s="70"/>
      <c r="O3" s="70" t="s">
        <v>2</v>
      </c>
      <c r="P3" s="70" t="s">
        <v>4</v>
      </c>
      <c r="Q3" s="71" t="s">
        <v>3</v>
      </c>
    </row>
    <row r="4" spans="1:17" s="1" customFormat="1" ht="21" customHeight="1" thickBot="1">
      <c r="A4" s="67"/>
      <c r="B4" s="69"/>
      <c r="C4" s="69"/>
      <c r="D4" s="69"/>
      <c r="E4" s="69"/>
      <c r="F4" s="69"/>
      <c r="G4" s="7">
        <v>1</v>
      </c>
      <c r="H4" s="7">
        <v>2</v>
      </c>
      <c r="I4" s="7">
        <v>3</v>
      </c>
      <c r="J4" s="7" t="s">
        <v>6</v>
      </c>
      <c r="K4" s="7">
        <v>1</v>
      </c>
      <c r="L4" s="7">
        <v>2</v>
      </c>
      <c r="M4" s="7">
        <v>3</v>
      </c>
      <c r="N4" s="7" t="s">
        <v>6</v>
      </c>
      <c r="O4" s="69"/>
      <c r="P4" s="69"/>
      <c r="Q4" s="72"/>
    </row>
    <row r="5" spans="1:17" ht="16">
      <c r="A5" s="58" t="s">
        <v>176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7">
      <c r="A6" s="8" t="s">
        <v>459</v>
      </c>
      <c r="B6" s="8" t="s">
        <v>460</v>
      </c>
      <c r="C6" s="8" t="s">
        <v>461</v>
      </c>
      <c r="D6" s="8" t="s">
        <v>1435</v>
      </c>
      <c r="E6" s="8" t="s">
        <v>253</v>
      </c>
      <c r="F6" s="8" t="s">
        <v>254</v>
      </c>
      <c r="G6" s="9" t="s">
        <v>103</v>
      </c>
      <c r="H6" s="9" t="s">
        <v>135</v>
      </c>
      <c r="I6" s="10"/>
      <c r="J6" s="10"/>
      <c r="K6" s="9" t="s">
        <v>135</v>
      </c>
      <c r="L6" s="9" t="s">
        <v>136</v>
      </c>
      <c r="M6" s="9" t="s">
        <v>122</v>
      </c>
      <c r="N6" s="10"/>
      <c r="O6" s="8" t="str">
        <f>"390,0"</f>
        <v>390,0</v>
      </c>
      <c r="P6" s="9" t="str">
        <f>"268,0300"</f>
        <v>268,0300</v>
      </c>
      <c r="Q6" s="8" t="s">
        <v>22</v>
      </c>
    </row>
    <row r="8" spans="1:17" ht="16">
      <c r="E8" s="12" t="s">
        <v>23</v>
      </c>
      <c r="F8" s="12" t="s">
        <v>1130</v>
      </c>
    </row>
    <row r="9" spans="1:17" ht="16">
      <c r="E9" s="12" t="s">
        <v>26</v>
      </c>
      <c r="F9" s="12" t="s">
        <v>1131</v>
      </c>
    </row>
    <row r="10" spans="1:17" ht="16">
      <c r="E10" s="12" t="s">
        <v>24</v>
      </c>
      <c r="F10" s="12" t="s">
        <v>1130</v>
      </c>
    </row>
    <row r="11" spans="1:17" ht="16">
      <c r="E11" s="12" t="s">
        <v>25</v>
      </c>
      <c r="F11" s="12" t="s">
        <v>1416</v>
      </c>
    </row>
    <row r="12" spans="1:17" ht="16">
      <c r="E12" s="12" t="s">
        <v>25</v>
      </c>
      <c r="F12" s="12" t="s">
        <v>1372</v>
      </c>
    </row>
    <row r="13" spans="1:17" ht="16">
      <c r="E13" s="12"/>
      <c r="F13" s="12"/>
    </row>
    <row r="14" spans="1:17" ht="16">
      <c r="E14" s="12"/>
    </row>
    <row r="16" spans="1:17" ht="18">
      <c r="A16" s="13" t="s">
        <v>27</v>
      </c>
      <c r="B16" s="13"/>
    </row>
    <row r="17" spans="1:5" ht="16">
      <c r="A17" s="14" t="s">
        <v>28</v>
      </c>
      <c r="B17" s="14"/>
    </row>
    <row r="18" spans="1:5" ht="14">
      <c r="A18" s="16"/>
      <c r="B18" s="17" t="s">
        <v>280</v>
      </c>
    </row>
    <row r="19" spans="1:5" ht="14">
      <c r="A19" s="18" t="s">
        <v>30</v>
      </c>
      <c r="B19" s="18" t="s">
        <v>31</v>
      </c>
      <c r="C19" s="18" t="s">
        <v>32</v>
      </c>
      <c r="D19" s="18" t="s">
        <v>33</v>
      </c>
      <c r="E19" s="18" t="s">
        <v>34</v>
      </c>
    </row>
    <row r="20" spans="1:5">
      <c r="A20" s="15" t="s">
        <v>458</v>
      </c>
      <c r="B20" s="4" t="s">
        <v>281</v>
      </c>
      <c r="C20" s="4" t="s">
        <v>222</v>
      </c>
      <c r="D20" s="4" t="s">
        <v>1128</v>
      </c>
      <c r="E20" s="19" t="s">
        <v>1129</v>
      </c>
    </row>
    <row r="25" spans="1:5" ht="18">
      <c r="A25" s="13" t="s">
        <v>36</v>
      </c>
      <c r="B25" s="13"/>
    </row>
    <row r="26" spans="1:5" ht="14">
      <c r="A26" s="18" t="s">
        <v>37</v>
      </c>
      <c r="B26" s="18" t="s">
        <v>38</v>
      </c>
      <c r="C26" s="18" t="s">
        <v>39</v>
      </c>
    </row>
    <row r="27" spans="1:5">
      <c r="A27" s="4" t="s">
        <v>253</v>
      </c>
      <c r="B27" s="4" t="s">
        <v>40</v>
      </c>
      <c r="C27" s="4" t="s">
        <v>473</v>
      </c>
    </row>
  </sheetData>
  <mergeCells count="13">
    <mergeCell ref="O3:O4"/>
    <mergeCell ref="P3:P4"/>
    <mergeCell ref="Q3:Q4"/>
    <mergeCell ref="A5:P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48"/>
  <sheetViews>
    <sheetView workbookViewId="0">
      <selection sqref="A1:Q2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50" style="4" bestFit="1" customWidth="1"/>
    <col min="4" max="4" width="9.33203125" style="4" bestFit="1" customWidth="1"/>
    <col min="5" max="5" width="22.6640625" style="4" bestFit="1" customWidth="1"/>
    <col min="6" max="6" width="33.5" style="4" bestFit="1" customWidth="1"/>
    <col min="7" max="9" width="5.5" style="3" bestFit="1" customWidth="1"/>
    <col min="10" max="10" width="4.83203125" style="3" bestFit="1" customWidth="1"/>
    <col min="11" max="13" width="5.5" style="3" bestFit="1" customWidth="1"/>
    <col min="14" max="14" width="4.83203125" style="3" bestFit="1" customWidth="1"/>
    <col min="15" max="15" width="7.83203125" style="4" bestFit="1" customWidth="1"/>
    <col min="16" max="16" width="8.5" style="3" bestFit="1" customWidth="1"/>
    <col min="17" max="17" width="8.83203125" style="4" bestFit="1" customWidth="1"/>
    <col min="18" max="16384" width="9.1640625" style="3"/>
  </cols>
  <sheetData>
    <row r="1" spans="1:17" s="2" customFormat="1" ht="29" customHeight="1">
      <c r="A1" s="73" t="s">
        <v>1133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5"/>
    </row>
    <row r="2" spans="1:17" s="2" customFormat="1" ht="118.5" customHeight="1" thickBot="1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8"/>
    </row>
    <row r="3" spans="1:17" s="1" customFormat="1" ht="12.75" customHeight="1">
      <c r="A3" s="66" t="s">
        <v>0</v>
      </c>
      <c r="B3" s="68" t="s">
        <v>1423</v>
      </c>
      <c r="C3" s="68" t="s">
        <v>8</v>
      </c>
      <c r="D3" s="70" t="s">
        <v>1424</v>
      </c>
      <c r="E3" s="70" t="s">
        <v>5</v>
      </c>
      <c r="F3" s="70" t="s">
        <v>9</v>
      </c>
      <c r="G3" s="70" t="s">
        <v>11</v>
      </c>
      <c r="H3" s="70"/>
      <c r="I3" s="70"/>
      <c r="J3" s="70"/>
      <c r="K3" s="70" t="s">
        <v>12</v>
      </c>
      <c r="L3" s="70"/>
      <c r="M3" s="70"/>
      <c r="N3" s="70"/>
      <c r="O3" s="70" t="s">
        <v>2</v>
      </c>
      <c r="P3" s="70" t="s">
        <v>4</v>
      </c>
      <c r="Q3" s="71" t="s">
        <v>3</v>
      </c>
    </row>
    <row r="4" spans="1:17" s="1" customFormat="1" ht="21" customHeight="1" thickBot="1">
      <c r="A4" s="67"/>
      <c r="B4" s="69"/>
      <c r="C4" s="69"/>
      <c r="D4" s="69"/>
      <c r="E4" s="69"/>
      <c r="F4" s="69"/>
      <c r="G4" s="7">
        <v>1</v>
      </c>
      <c r="H4" s="7">
        <v>2</v>
      </c>
      <c r="I4" s="7">
        <v>3</v>
      </c>
      <c r="J4" s="7" t="s">
        <v>6</v>
      </c>
      <c r="K4" s="7">
        <v>1</v>
      </c>
      <c r="L4" s="7">
        <v>2</v>
      </c>
      <c r="M4" s="7">
        <v>3</v>
      </c>
      <c r="N4" s="7" t="s">
        <v>6</v>
      </c>
      <c r="O4" s="69"/>
      <c r="P4" s="69"/>
      <c r="Q4" s="72"/>
    </row>
    <row r="5" spans="1:17" ht="16">
      <c r="A5" s="58" t="s">
        <v>325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7">
      <c r="A6" s="8" t="s">
        <v>519</v>
      </c>
      <c r="B6" s="8" t="s">
        <v>520</v>
      </c>
      <c r="C6" s="8" t="s">
        <v>521</v>
      </c>
      <c r="D6" s="8" t="s">
        <v>1437</v>
      </c>
      <c r="E6" s="8" t="s">
        <v>47</v>
      </c>
      <c r="F6" s="8" t="s">
        <v>48</v>
      </c>
      <c r="G6" s="9" t="s">
        <v>63</v>
      </c>
      <c r="H6" s="9" t="s">
        <v>84</v>
      </c>
      <c r="I6" s="10" t="s">
        <v>330</v>
      </c>
      <c r="J6" s="10"/>
      <c r="K6" s="9" t="s">
        <v>151</v>
      </c>
      <c r="L6" s="9" t="s">
        <v>92</v>
      </c>
      <c r="M6" s="9" t="s">
        <v>350</v>
      </c>
      <c r="N6" s="10"/>
      <c r="O6" s="8" t="str">
        <f>"182,5"</f>
        <v>182,5</v>
      </c>
      <c r="P6" s="9" t="str">
        <f>"296,8466"</f>
        <v>296,8466</v>
      </c>
      <c r="Q6" s="8" t="s">
        <v>22</v>
      </c>
    </row>
    <row r="8" spans="1:17" ht="16">
      <c r="A8" s="59" t="s">
        <v>318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</row>
    <row r="9" spans="1:17">
      <c r="A9" s="8" t="s">
        <v>1112</v>
      </c>
      <c r="B9" s="8" t="s">
        <v>1113</v>
      </c>
      <c r="C9" s="8" t="s">
        <v>853</v>
      </c>
      <c r="D9" s="8" t="s">
        <v>1426</v>
      </c>
      <c r="E9" s="8" t="s">
        <v>118</v>
      </c>
      <c r="F9" s="8" t="s">
        <v>1114</v>
      </c>
      <c r="G9" s="9" t="s">
        <v>54</v>
      </c>
      <c r="H9" s="9" t="s">
        <v>76</v>
      </c>
      <c r="I9" s="10" t="s">
        <v>56</v>
      </c>
      <c r="J9" s="10"/>
      <c r="K9" s="9" t="s">
        <v>85</v>
      </c>
      <c r="L9" s="9" t="s">
        <v>93</v>
      </c>
      <c r="M9" s="9" t="s">
        <v>98</v>
      </c>
      <c r="N9" s="10"/>
      <c r="O9" s="8" t="str">
        <f>"215,0"</f>
        <v>215,0</v>
      </c>
      <c r="P9" s="9" t="str">
        <f>"160,9004"</f>
        <v>160,9004</v>
      </c>
      <c r="Q9" s="8" t="s">
        <v>22</v>
      </c>
    </row>
    <row r="11" spans="1:17" ht="16">
      <c r="A11" s="59" t="s">
        <v>13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</row>
    <row r="12" spans="1:17">
      <c r="A12" s="8" t="s">
        <v>1116</v>
      </c>
      <c r="B12" s="8" t="s">
        <v>1117</v>
      </c>
      <c r="C12" s="8" t="s">
        <v>1070</v>
      </c>
      <c r="D12" s="8" t="s">
        <v>1427</v>
      </c>
      <c r="E12" s="8" t="s">
        <v>118</v>
      </c>
      <c r="F12" s="8" t="s">
        <v>119</v>
      </c>
      <c r="G12" s="9" t="s">
        <v>359</v>
      </c>
      <c r="H12" s="9" t="s">
        <v>93</v>
      </c>
      <c r="I12" s="9" t="s">
        <v>364</v>
      </c>
      <c r="J12" s="10"/>
      <c r="K12" s="9" t="s">
        <v>158</v>
      </c>
      <c r="L12" s="9" t="s">
        <v>103</v>
      </c>
      <c r="M12" s="9" t="s">
        <v>128</v>
      </c>
      <c r="N12" s="10"/>
      <c r="O12" s="8" t="str">
        <f>"317,5"</f>
        <v>317,5</v>
      </c>
      <c r="P12" s="9" t="str">
        <f>"202,4380"</f>
        <v>202,4380</v>
      </c>
      <c r="Q12" s="8" t="s">
        <v>22</v>
      </c>
    </row>
    <row r="14" spans="1:17" ht="16">
      <c r="A14" s="59" t="s">
        <v>169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</row>
    <row r="15" spans="1:17">
      <c r="A15" s="8" t="s">
        <v>1118</v>
      </c>
      <c r="B15" s="8" t="s">
        <v>1018</v>
      </c>
      <c r="C15" s="8" t="s">
        <v>1019</v>
      </c>
      <c r="D15" s="8" t="s">
        <v>1427</v>
      </c>
      <c r="E15" s="8" t="s">
        <v>118</v>
      </c>
      <c r="F15" s="8" t="s">
        <v>119</v>
      </c>
      <c r="G15" s="9" t="s">
        <v>99</v>
      </c>
      <c r="H15" s="9" t="s">
        <v>400</v>
      </c>
      <c r="I15" s="9" t="s">
        <v>382</v>
      </c>
      <c r="J15" s="10"/>
      <c r="K15" s="10" t="s">
        <v>662</v>
      </c>
      <c r="L15" s="9" t="s">
        <v>121</v>
      </c>
      <c r="M15" s="9" t="s">
        <v>189</v>
      </c>
      <c r="N15" s="10"/>
      <c r="O15" s="8" t="str">
        <f>"367,5"</f>
        <v>367,5</v>
      </c>
      <c r="P15" s="9" t="str">
        <f>"209,4382"</f>
        <v>209,4382</v>
      </c>
      <c r="Q15" s="8" t="s">
        <v>22</v>
      </c>
    </row>
    <row r="17" spans="1:6" ht="16">
      <c r="E17" s="12" t="s">
        <v>23</v>
      </c>
      <c r="F17" s="12" t="s">
        <v>1130</v>
      </c>
    </row>
    <row r="18" spans="1:6" ht="16">
      <c r="E18" s="12" t="s">
        <v>26</v>
      </c>
      <c r="F18" s="12" t="s">
        <v>1131</v>
      </c>
    </row>
    <row r="19" spans="1:6" ht="16">
      <c r="E19" s="12" t="s">
        <v>24</v>
      </c>
      <c r="F19" s="12" t="s">
        <v>1130</v>
      </c>
    </row>
    <row r="20" spans="1:6" ht="16">
      <c r="E20" s="12" t="s">
        <v>25</v>
      </c>
      <c r="F20" s="12" t="s">
        <v>1416</v>
      </c>
    </row>
    <row r="21" spans="1:6" ht="16">
      <c r="E21" s="12" t="s">
        <v>25</v>
      </c>
      <c r="F21" s="12" t="s">
        <v>1372</v>
      </c>
    </row>
    <row r="22" spans="1:6" ht="16">
      <c r="E22" s="12"/>
      <c r="F22" s="12"/>
    </row>
    <row r="23" spans="1:6" ht="16">
      <c r="E23" s="12"/>
    </row>
    <row r="25" spans="1:6" ht="18">
      <c r="A25" s="13" t="s">
        <v>27</v>
      </c>
      <c r="B25" s="13"/>
    </row>
    <row r="26" spans="1:6" ht="16">
      <c r="A26" s="14" t="s">
        <v>193</v>
      </c>
      <c r="B26" s="14"/>
    </row>
    <row r="27" spans="1:6" ht="14">
      <c r="A27" s="16"/>
      <c r="B27" s="17" t="s">
        <v>280</v>
      </c>
    </row>
    <row r="28" spans="1:6" ht="14">
      <c r="A28" s="18" t="s">
        <v>30</v>
      </c>
      <c r="B28" s="18" t="s">
        <v>31</v>
      </c>
      <c r="C28" s="18" t="s">
        <v>32</v>
      </c>
      <c r="D28" s="18" t="s">
        <v>33</v>
      </c>
      <c r="E28" s="18" t="s">
        <v>34</v>
      </c>
    </row>
    <row r="29" spans="1:6">
      <c r="A29" s="15" t="s">
        <v>518</v>
      </c>
      <c r="B29" s="4" t="s">
        <v>672</v>
      </c>
      <c r="C29" s="4" t="s">
        <v>421</v>
      </c>
      <c r="D29" s="4" t="s">
        <v>1119</v>
      </c>
      <c r="E29" s="19" t="s">
        <v>1120</v>
      </c>
    </row>
    <row r="32" spans="1:6" ht="16">
      <c r="A32" s="14" t="s">
        <v>28</v>
      </c>
      <c r="B32" s="14"/>
    </row>
    <row r="33" spans="1:5" ht="14">
      <c r="A33" s="16"/>
      <c r="B33" s="17" t="s">
        <v>213</v>
      </c>
    </row>
    <row r="34" spans="1:5" ht="14">
      <c r="A34" s="18" t="s">
        <v>30</v>
      </c>
      <c r="B34" s="18" t="s">
        <v>31</v>
      </c>
      <c r="C34" s="18" t="s">
        <v>32</v>
      </c>
      <c r="D34" s="18" t="s">
        <v>33</v>
      </c>
      <c r="E34" s="18" t="s">
        <v>34</v>
      </c>
    </row>
    <row r="35" spans="1:5">
      <c r="A35" s="15" t="s">
        <v>1111</v>
      </c>
      <c r="B35" s="4" t="s">
        <v>214</v>
      </c>
      <c r="C35" s="4" t="s">
        <v>418</v>
      </c>
      <c r="D35" s="4" t="s">
        <v>189</v>
      </c>
      <c r="E35" s="19" t="s">
        <v>1121</v>
      </c>
    </row>
    <row r="37" spans="1:5" ht="14">
      <c r="A37" s="16"/>
      <c r="B37" s="17" t="s">
        <v>29</v>
      </c>
    </row>
    <row r="38" spans="1:5" ht="14">
      <c r="A38" s="18" t="s">
        <v>30</v>
      </c>
      <c r="B38" s="18" t="s">
        <v>31</v>
      </c>
      <c r="C38" s="18" t="s">
        <v>32</v>
      </c>
      <c r="D38" s="18" t="s">
        <v>33</v>
      </c>
      <c r="E38" s="18" t="s">
        <v>34</v>
      </c>
    </row>
    <row r="39" spans="1:5">
      <c r="A39" s="15" t="s">
        <v>1016</v>
      </c>
      <c r="B39" s="4" t="s">
        <v>29</v>
      </c>
      <c r="C39" s="4" t="s">
        <v>232</v>
      </c>
      <c r="D39" s="4" t="s">
        <v>1122</v>
      </c>
      <c r="E39" s="19" t="s">
        <v>1123</v>
      </c>
    </row>
    <row r="40" spans="1:5">
      <c r="A40" s="15" t="s">
        <v>1115</v>
      </c>
      <c r="B40" s="4" t="s">
        <v>29</v>
      </c>
      <c r="C40" s="4" t="s">
        <v>35</v>
      </c>
      <c r="D40" s="4" t="s">
        <v>1124</v>
      </c>
      <c r="E40" s="19" t="s">
        <v>1125</v>
      </c>
    </row>
    <row r="45" spans="1:5" ht="18">
      <c r="A45" s="13" t="s">
        <v>36</v>
      </c>
      <c r="B45" s="13"/>
    </row>
    <row r="46" spans="1:5" ht="14">
      <c r="A46" s="18" t="s">
        <v>37</v>
      </c>
      <c r="B46" s="18" t="s">
        <v>38</v>
      </c>
      <c r="C46" s="18" t="s">
        <v>39</v>
      </c>
    </row>
    <row r="47" spans="1:5">
      <c r="A47" s="4" t="s">
        <v>118</v>
      </c>
      <c r="B47" s="4" t="s">
        <v>239</v>
      </c>
      <c r="C47" s="4" t="s">
        <v>1126</v>
      </c>
    </row>
    <row r="48" spans="1:5">
      <c r="A48" s="4" t="s">
        <v>47</v>
      </c>
      <c r="B48" s="4" t="s">
        <v>40</v>
      </c>
      <c r="C48" s="4" t="s">
        <v>1127</v>
      </c>
    </row>
  </sheetData>
  <mergeCells count="16"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A14:P14"/>
    <mergeCell ref="O3:O4"/>
    <mergeCell ref="P3:P4"/>
    <mergeCell ref="Q3:Q4"/>
    <mergeCell ref="A5:P5"/>
    <mergeCell ref="A8:P8"/>
    <mergeCell ref="A11:P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27"/>
  <sheetViews>
    <sheetView workbookViewId="0">
      <selection sqref="A1:M2"/>
    </sheetView>
  </sheetViews>
  <sheetFormatPr baseColWidth="10" defaultColWidth="9.1640625" defaultRowHeight="13"/>
  <cols>
    <col min="1" max="1" width="31.83203125" style="4" bestFit="1" customWidth="1"/>
    <col min="2" max="2" width="26.33203125" style="4" bestFit="1" customWidth="1"/>
    <col min="3" max="3" width="14.1640625" style="4" bestFit="1" customWidth="1"/>
    <col min="4" max="4" width="9.33203125" style="4" bestFit="1" customWidth="1"/>
    <col min="5" max="5" width="22.6640625" style="4" bestFit="1" customWidth="1"/>
    <col min="6" max="6" width="24.1640625" style="4" bestFit="1" customWidth="1"/>
    <col min="7" max="8" width="5.5" style="3" bestFit="1" customWidth="1"/>
    <col min="9" max="9" width="2.1640625" style="3" bestFit="1" customWidth="1"/>
    <col min="10" max="10" width="4.83203125" style="3" bestFit="1" customWidth="1"/>
    <col min="11" max="11" width="7.83203125" style="4" bestFit="1" customWidth="1"/>
    <col min="12" max="12" width="8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73" t="s">
        <v>1134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3" s="2" customFormat="1" ht="106.5" customHeight="1" thickBot="1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13" s="1" customFormat="1" ht="12.75" customHeight="1">
      <c r="A3" s="66" t="s">
        <v>0</v>
      </c>
      <c r="B3" s="68" t="s">
        <v>1423</v>
      </c>
      <c r="C3" s="68" t="s">
        <v>8</v>
      </c>
      <c r="D3" s="70" t="s">
        <v>1424</v>
      </c>
      <c r="E3" s="70" t="s">
        <v>5</v>
      </c>
      <c r="F3" s="70" t="s">
        <v>9</v>
      </c>
      <c r="G3" s="70" t="s">
        <v>10</v>
      </c>
      <c r="H3" s="70"/>
      <c r="I3" s="70"/>
      <c r="J3" s="70"/>
      <c r="K3" s="70" t="s">
        <v>449</v>
      </c>
      <c r="L3" s="70" t="s">
        <v>4</v>
      </c>
      <c r="M3" s="71" t="s">
        <v>3</v>
      </c>
    </row>
    <row r="4" spans="1:13" s="1" customFormat="1" ht="21" customHeight="1" thickBot="1">
      <c r="A4" s="67"/>
      <c r="B4" s="69"/>
      <c r="C4" s="69"/>
      <c r="D4" s="69"/>
      <c r="E4" s="69"/>
      <c r="F4" s="69"/>
      <c r="G4" s="7">
        <v>1</v>
      </c>
      <c r="H4" s="7">
        <v>2</v>
      </c>
      <c r="I4" s="7">
        <v>3</v>
      </c>
      <c r="J4" s="7" t="s">
        <v>6</v>
      </c>
      <c r="K4" s="69"/>
      <c r="L4" s="69"/>
      <c r="M4" s="72"/>
    </row>
    <row r="5" spans="1:13" ht="16">
      <c r="A5" s="58" t="s">
        <v>176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3">
      <c r="A6" s="8" t="s">
        <v>1105</v>
      </c>
      <c r="B6" s="8" t="s">
        <v>1106</v>
      </c>
      <c r="C6" s="8" t="s">
        <v>1107</v>
      </c>
      <c r="D6" s="8" t="s">
        <v>1427</v>
      </c>
      <c r="E6" s="8" t="s">
        <v>347</v>
      </c>
      <c r="F6" s="8" t="s">
        <v>348</v>
      </c>
      <c r="G6" s="9" t="s">
        <v>122</v>
      </c>
      <c r="H6" s="9" t="s">
        <v>1108</v>
      </c>
      <c r="I6" s="10"/>
      <c r="J6" s="10"/>
      <c r="K6" s="8" t="str">
        <f>"237,5"</f>
        <v>237,5</v>
      </c>
      <c r="L6" s="9" t="str">
        <f>"128,2737"</f>
        <v>128,2737</v>
      </c>
      <c r="M6" s="8" t="s">
        <v>22</v>
      </c>
    </row>
    <row r="8" spans="1:13" ht="16">
      <c r="E8" s="12" t="s">
        <v>23</v>
      </c>
      <c r="F8" s="12" t="s">
        <v>1130</v>
      </c>
    </row>
    <row r="9" spans="1:13" ht="16">
      <c r="E9" s="12" t="s">
        <v>26</v>
      </c>
      <c r="F9" s="12" t="s">
        <v>1131</v>
      </c>
    </row>
    <row r="10" spans="1:13" ht="16">
      <c r="E10" s="12" t="s">
        <v>24</v>
      </c>
      <c r="F10" s="12" t="s">
        <v>1130</v>
      </c>
    </row>
    <row r="11" spans="1:13" ht="16">
      <c r="E11" s="12" t="s">
        <v>25</v>
      </c>
      <c r="F11" s="12" t="s">
        <v>1416</v>
      </c>
    </row>
    <row r="12" spans="1:13" ht="16">
      <c r="E12" s="12" t="s">
        <v>25</v>
      </c>
      <c r="F12" s="12" t="s">
        <v>1372</v>
      </c>
    </row>
    <row r="13" spans="1:13" ht="16">
      <c r="E13" s="12"/>
      <c r="F13" s="12"/>
    </row>
    <row r="14" spans="1:13" ht="16">
      <c r="E14" s="12"/>
    </row>
    <row r="16" spans="1:13" ht="18">
      <c r="A16" s="13" t="s">
        <v>27</v>
      </c>
      <c r="B16" s="13"/>
    </row>
    <row r="17" spans="1:5" ht="16">
      <c r="A17" s="14" t="s">
        <v>28</v>
      </c>
      <c r="B17" s="14"/>
    </row>
    <row r="18" spans="1:5" ht="14">
      <c r="A18" s="16"/>
      <c r="B18" s="17" t="s">
        <v>29</v>
      </c>
    </row>
    <row r="19" spans="1:5" ht="14">
      <c r="A19" s="18" t="s">
        <v>30</v>
      </c>
      <c r="B19" s="18" t="s">
        <v>31</v>
      </c>
      <c r="C19" s="18" t="s">
        <v>32</v>
      </c>
      <c r="D19" s="18" t="s">
        <v>33</v>
      </c>
      <c r="E19" s="18" t="s">
        <v>34</v>
      </c>
    </row>
    <row r="20" spans="1:5">
      <c r="A20" s="15" t="s">
        <v>1104</v>
      </c>
      <c r="B20" s="4" t="s">
        <v>29</v>
      </c>
      <c r="C20" s="4" t="s">
        <v>222</v>
      </c>
      <c r="D20" s="4" t="s">
        <v>1108</v>
      </c>
      <c r="E20" s="19" t="s">
        <v>1109</v>
      </c>
    </row>
    <row r="25" spans="1:5" ht="18">
      <c r="A25" s="13" t="s">
        <v>36</v>
      </c>
      <c r="B25" s="13"/>
    </row>
    <row r="26" spans="1:5" ht="14">
      <c r="A26" s="18" t="s">
        <v>37</v>
      </c>
      <c r="B26" s="18" t="s">
        <v>38</v>
      </c>
      <c r="C26" s="18" t="s">
        <v>39</v>
      </c>
    </row>
    <row r="27" spans="1:5">
      <c r="A27" s="4" t="s">
        <v>347</v>
      </c>
      <c r="B27" s="4" t="s">
        <v>40</v>
      </c>
      <c r="C27" s="4" t="s">
        <v>1110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31</vt:i4>
      </vt:variant>
    </vt:vector>
  </HeadingPairs>
  <TitlesOfParts>
    <vt:vector size="31" baseType="lpstr">
      <vt:lpstr>Powersport Pro</vt:lpstr>
      <vt:lpstr>Powersport Am</vt:lpstr>
      <vt:lpstr>Biceps curl Pro</vt:lpstr>
      <vt:lpstr>Biceps curl Am</vt:lpstr>
      <vt:lpstr>BP Army Pro</vt:lpstr>
      <vt:lpstr>BP Army Am</vt:lpstr>
      <vt:lpstr>PP Pro</vt:lpstr>
      <vt:lpstr>PP Am</vt:lpstr>
      <vt:lpstr>SQ Raw Pro</vt:lpstr>
      <vt:lpstr>SQ Raw Am</vt:lpstr>
      <vt:lpstr>SQ Disabled</vt:lpstr>
      <vt:lpstr>DL Raw Pro</vt:lpstr>
      <vt:lpstr>DL Raw Am</vt:lpstr>
      <vt:lpstr>DL SP Am</vt:lpstr>
      <vt:lpstr>DL Disabled</vt:lpstr>
      <vt:lpstr>BP Soft 3ply Pro</vt:lpstr>
      <vt:lpstr>BP Soft 3ply Am</vt:lpstr>
      <vt:lpstr>BP Soft 2ply Pro</vt:lpstr>
      <vt:lpstr>BP Soft 2ply Am</vt:lpstr>
      <vt:lpstr>BP Raw Pro</vt:lpstr>
      <vt:lpstr>BP Raw Am</vt:lpstr>
      <vt:lpstr>BP SP Am</vt:lpstr>
      <vt:lpstr>BP Disabled</vt:lpstr>
      <vt:lpstr>BP Military Pro</vt:lpstr>
      <vt:lpstr>BP Military Am</vt:lpstr>
      <vt:lpstr>PL Soft Pro</vt:lpstr>
      <vt:lpstr>PL Soft Am</vt:lpstr>
      <vt:lpstr>PL Raw Pro</vt:lpstr>
      <vt:lpstr>PL Raw Am</vt:lpstr>
      <vt:lpstr>PL Disabled</vt:lpstr>
      <vt:lpstr>BP Biathlon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2020-10-21T21:18:43Z</dcterms:modified>
</cp:coreProperties>
</file>