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5" windowWidth="11340" windowHeight="9690" firstSheet="31" activeTab="32"/>
  </bookViews>
  <sheets>
    <sheet name="Жимовое двоеборье любители" sheetId="46" r:id="rId1"/>
    <sheet name="Проф. народный жим 1 вес" sheetId="43" r:id="rId2"/>
    <sheet name="Люб. народный жим 1_2 вес" sheetId="42" r:id="rId3"/>
    <sheet name="Люб. народный жим 1 вес" sheetId="41" r:id="rId4"/>
    <sheet name="Пауэрспорт Профессионалы" sheetId="40" r:id="rId5"/>
    <sheet name="Пауэрспорт Любители" sheetId="39" r:id="rId6"/>
    <sheet name="Бицепс Профессионалы" sheetId="38" r:id="rId7"/>
    <sheet name="Бицепс Любители" sheetId="37" r:id="rId8"/>
    <sheet name="Жим стоя Профессионалы" sheetId="36" r:id="rId9"/>
    <sheet name="Жим стоя Любители" sheetId="35" r:id="rId10"/>
    <sheet name="Русская тяга проф. 200 кг." sheetId="34" r:id="rId11"/>
    <sheet name="Русская тяга люб. 200 кг." sheetId="33" r:id="rId12"/>
    <sheet name="Русская тяга люб. 150 кг." sheetId="32" r:id="rId13"/>
    <sheet name="Русская тяга люб. 100 кг." sheetId="31" r:id="rId14"/>
    <sheet name="Русская тяга люб. 55 кг." sheetId="30" r:id="rId15"/>
    <sheet name="РЖ любители 75 кг." sheetId="29" r:id="rId16"/>
    <sheet name="РЖ любители 55 кг." sheetId="28" r:id="rId17"/>
    <sheet name="РЖ любители 35 кг." sheetId="27" r:id="rId18"/>
    <sheet name="РЖ Проф 150 кг." sheetId="26" r:id="rId19"/>
    <sheet name="РЖ Проф 75 кг." sheetId="25" r:id="rId20"/>
    <sheet name="РЖ Проф 55 кг." sheetId="24" r:id="rId21"/>
    <sheet name="Двоеборье проф." sheetId="23" r:id="rId22"/>
    <sheet name="Люб. присед б.э." sheetId="22" r:id="rId23"/>
    <sheet name="ПРО тяга б.э." sheetId="21" r:id="rId24"/>
    <sheet name="Люб. тяга б.э." sheetId="20" r:id="rId25"/>
    <sheet name="СОВ тяга" sheetId="19" r:id="rId26"/>
    <sheet name="ПРО жим софт мн.петельная" sheetId="18" r:id="rId27"/>
    <sheet name="Люб. жим жим софт мн.петельная" sheetId="17" r:id="rId28"/>
    <sheet name="ПРО жим софт 1 петельная" sheetId="16" r:id="rId29"/>
    <sheet name="ПРО жим б.э." sheetId="14" r:id="rId30"/>
    <sheet name="Люб. жим б.э." sheetId="13" r:id="rId31"/>
    <sheet name="СОВ жим" sheetId="12" r:id="rId32"/>
    <sheet name="ПРО Военный жим" sheetId="11" r:id="rId33"/>
    <sheet name="Люб. Военный жим" sheetId="10" r:id="rId34"/>
    <sheet name="Люб. ПЛ. мн.петельная софт" sheetId="8" r:id="rId35"/>
    <sheet name="ПРО ПЛ. б.э." sheetId="7" r:id="rId36"/>
    <sheet name="Люб. ПЛ. б.э." sheetId="6" r:id="rId37"/>
    <sheet name="Люб. ПЛ. 1.петельная софт" sheetId="5" r:id="rId38"/>
  </sheets>
  <definedNames>
    <definedName name="_FilterDatabase" localSheetId="37" hidden="1">'Люб. ПЛ. 1.петельная софт'!$A$1:$S$3</definedName>
  </definedNames>
  <calcPr calcId="125725" refMode="R1C1"/>
</workbook>
</file>

<file path=xl/calcChain.xml><?xml version="1.0" encoding="utf-8"?>
<calcChain xmlns="http://schemas.openxmlformats.org/spreadsheetml/2006/main">
  <c r="D12" i="46"/>
  <c r="D6"/>
  <c r="D8"/>
  <c r="D10"/>
  <c r="D6" i="27"/>
  <c r="J11" i="43"/>
  <c r="I11"/>
  <c r="D11"/>
  <c r="J8"/>
  <c r="I8"/>
  <c r="D8"/>
  <c r="J7"/>
  <c r="I7"/>
  <c r="D7"/>
  <c r="J6"/>
  <c r="I6"/>
  <c r="D6"/>
  <c r="J9" i="42"/>
  <c r="I9"/>
  <c r="D9"/>
  <c r="J6"/>
  <c r="I6"/>
  <c r="D6"/>
  <c r="J9" i="41"/>
  <c r="I9"/>
  <c r="D9"/>
  <c r="J8"/>
  <c r="I8"/>
  <c r="D8"/>
  <c r="J7"/>
  <c r="I7"/>
  <c r="D7"/>
  <c r="J6"/>
  <c r="I6"/>
  <c r="D6"/>
  <c r="P9" i="40"/>
  <c r="O9"/>
  <c r="D9"/>
  <c r="P6"/>
  <c r="O6"/>
  <c r="D6"/>
  <c r="P21" i="39"/>
  <c r="O21"/>
  <c r="D21"/>
  <c r="P20"/>
  <c r="O20"/>
  <c r="D20"/>
  <c r="P17"/>
  <c r="O17"/>
  <c r="D17"/>
  <c r="P16"/>
  <c r="O16"/>
  <c r="D16"/>
  <c r="P15"/>
  <c r="O15"/>
  <c r="D15"/>
  <c r="P14"/>
  <c r="O14"/>
  <c r="D14"/>
  <c r="P11"/>
  <c r="O11"/>
  <c r="D11"/>
  <c r="P10"/>
  <c r="O10"/>
  <c r="D10"/>
  <c r="P7"/>
  <c r="O7"/>
  <c r="D7"/>
  <c r="P6"/>
  <c r="O6"/>
  <c r="D6"/>
  <c r="L16" i="38"/>
  <c r="K16"/>
  <c r="D16"/>
  <c r="L13"/>
  <c r="K13"/>
  <c r="D13"/>
  <c r="L12"/>
  <c r="K12"/>
  <c r="D12"/>
  <c r="L9"/>
  <c r="K9"/>
  <c r="D9"/>
  <c r="L6"/>
  <c r="K6"/>
  <c r="D6"/>
  <c r="L60" i="37"/>
  <c r="K60"/>
  <c r="D60"/>
  <c r="L59"/>
  <c r="K59"/>
  <c r="D59"/>
  <c r="L58"/>
  <c r="K58"/>
  <c r="D58"/>
  <c r="L55"/>
  <c r="K55"/>
  <c r="D55"/>
  <c r="L54"/>
  <c r="K54"/>
  <c r="D54"/>
  <c r="L53"/>
  <c r="K53"/>
  <c r="D53"/>
  <c r="L52"/>
  <c r="K52"/>
  <c r="D52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1"/>
  <c r="K41"/>
  <c r="D41"/>
  <c r="L40"/>
  <c r="K40"/>
  <c r="D40"/>
  <c r="L39"/>
  <c r="K39"/>
  <c r="D39"/>
  <c r="L38"/>
  <c r="K38"/>
  <c r="D38"/>
  <c r="L37"/>
  <c r="K37"/>
  <c r="D37"/>
  <c r="L36"/>
  <c r="K36"/>
  <c r="D36"/>
  <c r="L35"/>
  <c r="K35"/>
  <c r="D35"/>
  <c r="L34"/>
  <c r="K34"/>
  <c r="D34"/>
  <c r="L33"/>
  <c r="K33"/>
  <c r="D33"/>
  <c r="L32"/>
  <c r="K32"/>
  <c r="D32"/>
  <c r="L29"/>
  <c r="K29"/>
  <c r="D29"/>
  <c r="L28"/>
  <c r="K28"/>
  <c r="D28"/>
  <c r="L27"/>
  <c r="K27"/>
  <c r="D27"/>
  <c r="L26"/>
  <c r="K26"/>
  <c r="D26"/>
  <c r="L25"/>
  <c r="K25"/>
  <c r="D25"/>
  <c r="L24"/>
  <c r="K24"/>
  <c r="D24"/>
  <c r="L23"/>
  <c r="K23"/>
  <c r="D23"/>
  <c r="L22"/>
  <c r="K22"/>
  <c r="D22"/>
  <c r="L21"/>
  <c r="K21"/>
  <c r="D21"/>
  <c r="L18"/>
  <c r="K18"/>
  <c r="D18"/>
  <c r="L17"/>
  <c r="K17"/>
  <c r="D17"/>
  <c r="L14"/>
  <c r="K14"/>
  <c r="D14"/>
  <c r="L13"/>
  <c r="K13"/>
  <c r="D13"/>
  <c r="L12"/>
  <c r="K12"/>
  <c r="D12"/>
  <c r="L9"/>
  <c r="K9"/>
  <c r="D9"/>
  <c r="L6"/>
  <c r="K6"/>
  <c r="D6"/>
  <c r="L6" i="36"/>
  <c r="K6"/>
  <c r="D6"/>
  <c r="L23" i="35"/>
  <c r="K23"/>
  <c r="D23"/>
  <c r="L20"/>
  <c r="K20"/>
  <c r="D20"/>
  <c r="L19"/>
  <c r="K19"/>
  <c r="D19"/>
  <c r="L16"/>
  <c r="K16"/>
  <c r="D16"/>
  <c r="L13"/>
  <c r="K13"/>
  <c r="D13"/>
  <c r="L10"/>
  <c r="K10"/>
  <c r="D10"/>
  <c r="L9"/>
  <c r="K9"/>
  <c r="D9"/>
  <c r="L6"/>
  <c r="K6"/>
  <c r="D6"/>
  <c r="J7" i="34"/>
  <c r="I7"/>
  <c r="D7"/>
  <c r="J6"/>
  <c r="I6"/>
  <c r="D6"/>
  <c r="J7" i="33"/>
  <c r="I7"/>
  <c r="D7"/>
  <c r="J6"/>
  <c r="I6"/>
  <c r="D6"/>
  <c r="J7" i="32"/>
  <c r="I7"/>
  <c r="D7"/>
  <c r="J6"/>
  <c r="I6"/>
  <c r="D6"/>
  <c r="J9" i="31"/>
  <c r="I9"/>
  <c r="D9"/>
  <c r="J6"/>
  <c r="I6"/>
  <c r="D6"/>
  <c r="J6" i="30"/>
  <c r="I6"/>
  <c r="D6"/>
  <c r="J7" i="29"/>
  <c r="I7"/>
  <c r="D7"/>
  <c r="J6"/>
  <c r="I6"/>
  <c r="D6"/>
  <c r="J14" i="28"/>
  <c r="I14"/>
  <c r="D14"/>
  <c r="J13"/>
  <c r="I13"/>
  <c r="D13"/>
  <c r="J12"/>
  <c r="I12"/>
  <c r="D12"/>
  <c r="J11"/>
  <c r="I11"/>
  <c r="D11"/>
  <c r="J10"/>
  <c r="I10"/>
  <c r="D10"/>
  <c r="J9"/>
  <c r="I9"/>
  <c r="D9"/>
  <c r="J8"/>
  <c r="I8"/>
  <c r="D8"/>
  <c r="J7"/>
  <c r="I7"/>
  <c r="D7"/>
  <c r="J6"/>
  <c r="I6"/>
  <c r="D6"/>
  <c r="J7" i="27"/>
  <c r="I7"/>
  <c r="D7"/>
  <c r="J6" i="26"/>
  <c r="I6"/>
  <c r="D6"/>
  <c r="J7" i="25"/>
  <c r="I7"/>
  <c r="D7"/>
  <c r="J6"/>
  <c r="I6"/>
  <c r="D6"/>
  <c r="J8" i="24"/>
  <c r="I8"/>
  <c r="D8"/>
  <c r="J7"/>
  <c r="I7"/>
  <c r="D7"/>
  <c r="J6"/>
  <c r="I6"/>
  <c r="D6"/>
  <c r="P6" i="23"/>
  <c r="O6"/>
  <c r="D6"/>
  <c r="L9" i="22"/>
  <c r="K9"/>
  <c r="D9"/>
  <c r="L6"/>
  <c r="K6"/>
  <c r="D6"/>
  <c r="L13" i="21"/>
  <c r="K13"/>
  <c r="D13"/>
  <c r="L10"/>
  <c r="K10"/>
  <c r="D10"/>
  <c r="L9"/>
  <c r="K9"/>
  <c r="D9"/>
  <c r="L6"/>
  <c r="K6"/>
  <c r="D6"/>
  <c r="L44" i="20"/>
  <c r="K44"/>
  <c r="D44"/>
  <c r="L41"/>
  <c r="K41"/>
  <c r="D41"/>
  <c r="L38"/>
  <c r="K38"/>
  <c r="D38"/>
  <c r="L35"/>
  <c r="K35"/>
  <c r="D35"/>
  <c r="L34"/>
  <c r="K34"/>
  <c r="D34"/>
  <c r="L31"/>
  <c r="K31"/>
  <c r="D31"/>
  <c r="L28"/>
  <c r="K28"/>
  <c r="D28"/>
  <c r="L27"/>
  <c r="K27"/>
  <c r="D27"/>
  <c r="L24"/>
  <c r="K24"/>
  <c r="D24"/>
  <c r="L21"/>
  <c r="K21"/>
  <c r="D21"/>
  <c r="L18"/>
  <c r="K18"/>
  <c r="D18"/>
  <c r="L17"/>
  <c r="K17"/>
  <c r="D17"/>
  <c r="L16"/>
  <c r="K16"/>
  <c r="D16"/>
  <c r="L13"/>
  <c r="K13"/>
  <c r="D13"/>
  <c r="L12"/>
  <c r="K12"/>
  <c r="D12"/>
  <c r="L9"/>
  <c r="K9"/>
  <c r="D9"/>
  <c r="L6"/>
  <c r="K6"/>
  <c r="D6"/>
  <c r="L6" i="19"/>
  <c r="K6"/>
  <c r="D6"/>
  <c r="L6" i="18"/>
  <c r="K6"/>
  <c r="D6"/>
  <c r="L14" i="17"/>
  <c r="K14"/>
  <c r="D14"/>
  <c r="L11"/>
  <c r="K11"/>
  <c r="D11"/>
  <c r="L8"/>
  <c r="K8"/>
  <c r="D8"/>
  <c r="L7"/>
  <c r="K7"/>
  <c r="D7"/>
  <c r="L6"/>
  <c r="K6"/>
  <c r="D6"/>
  <c r="L9" i="16"/>
  <c r="K9"/>
  <c r="D9"/>
  <c r="L6"/>
  <c r="K6"/>
  <c r="D6"/>
  <c r="L29" i="14"/>
  <c r="K29"/>
  <c r="D29"/>
  <c r="L28"/>
  <c r="K28"/>
  <c r="D28"/>
  <c r="L27"/>
  <c r="K27"/>
  <c r="D27"/>
  <c r="L24"/>
  <c r="K24"/>
  <c r="D24"/>
  <c r="L23"/>
  <c r="K23"/>
  <c r="D23"/>
  <c r="L22"/>
  <c r="K22"/>
  <c r="D22"/>
  <c r="L19"/>
  <c r="K19"/>
  <c r="D19"/>
  <c r="L16"/>
  <c r="K16"/>
  <c r="D16"/>
  <c r="L15"/>
  <c r="K15"/>
  <c r="D15"/>
  <c r="L14"/>
  <c r="K14"/>
  <c r="D14"/>
  <c r="L13"/>
  <c r="K13"/>
  <c r="D13"/>
  <c r="L12"/>
  <c r="K12"/>
  <c r="D12"/>
  <c r="L9"/>
  <c r="K9"/>
  <c r="D9"/>
  <c r="L6"/>
  <c r="K6"/>
  <c r="D6"/>
  <c r="L63" i="13"/>
  <c r="K63"/>
  <c r="D63"/>
  <c r="L60"/>
  <c r="K60"/>
  <c r="D60"/>
  <c r="L57"/>
  <c r="K57"/>
  <c r="D57"/>
  <c r="L56"/>
  <c r="K56"/>
  <c r="D56"/>
  <c r="L53"/>
  <c r="K53"/>
  <c r="D53"/>
  <c r="L52"/>
  <c r="K52"/>
  <c r="D52"/>
  <c r="L51"/>
  <c r="K51"/>
  <c r="D51"/>
  <c r="L50"/>
  <c r="K50"/>
  <c r="D50"/>
  <c r="L47"/>
  <c r="K47"/>
  <c r="D47"/>
  <c r="L46"/>
  <c r="K46"/>
  <c r="D46"/>
  <c r="L45"/>
  <c r="K45"/>
  <c r="D45"/>
  <c r="L44"/>
  <c r="K44"/>
  <c r="D44"/>
  <c r="L43"/>
  <c r="K43"/>
  <c r="D43"/>
  <c r="L40"/>
  <c r="K40"/>
  <c r="D40"/>
  <c r="L39"/>
  <c r="K39"/>
  <c r="D39"/>
  <c r="L38"/>
  <c r="K38"/>
  <c r="D38"/>
  <c r="L37"/>
  <c r="K37"/>
  <c r="D37"/>
  <c r="L36"/>
  <c r="K36"/>
  <c r="D36"/>
  <c r="L33"/>
  <c r="K33"/>
  <c r="D33"/>
  <c r="L32"/>
  <c r="K32"/>
  <c r="D32"/>
  <c r="L31"/>
  <c r="K31"/>
  <c r="D31"/>
  <c r="L30"/>
  <c r="K30"/>
  <c r="D30"/>
  <c r="L29"/>
  <c r="K29"/>
  <c r="D29"/>
  <c r="L28"/>
  <c r="K28"/>
  <c r="D28"/>
  <c r="L25"/>
  <c r="K25"/>
  <c r="D25"/>
  <c r="L24"/>
  <c r="K24"/>
  <c r="D24"/>
  <c r="L23"/>
  <c r="K23"/>
  <c r="D23"/>
  <c r="L20"/>
  <c r="K20"/>
  <c r="D20"/>
  <c r="L19"/>
  <c r="K19"/>
  <c r="D19"/>
  <c r="L16"/>
  <c r="K16"/>
  <c r="D16"/>
  <c r="L15"/>
  <c r="K15"/>
  <c r="D15"/>
  <c r="L12"/>
  <c r="K12"/>
  <c r="D12"/>
  <c r="L9"/>
  <c r="K9"/>
  <c r="D9"/>
  <c r="L6"/>
  <c r="K6"/>
  <c r="D6"/>
  <c r="L6" i="12"/>
  <c r="K6"/>
  <c r="D6"/>
  <c r="L14" i="11"/>
  <c r="K14"/>
  <c r="D14"/>
  <c r="L13"/>
  <c r="K13"/>
  <c r="D13"/>
  <c r="L10"/>
  <c r="K10"/>
  <c r="D10"/>
  <c r="L9"/>
  <c r="K9"/>
  <c r="D9"/>
  <c r="L6"/>
  <c r="K6"/>
  <c r="D6"/>
  <c r="L29" i="10"/>
  <c r="K29"/>
  <c r="D29"/>
  <c r="L28"/>
  <c r="K28"/>
  <c r="D28"/>
  <c r="L27"/>
  <c r="K27"/>
  <c r="D27"/>
  <c r="L24"/>
  <c r="K24"/>
  <c r="D24"/>
  <c r="L23"/>
  <c r="K23"/>
  <c r="D23"/>
  <c r="L22"/>
  <c r="K22"/>
  <c r="D22"/>
  <c r="L19"/>
  <c r="K19"/>
  <c r="D19"/>
  <c r="L18"/>
  <c r="K18"/>
  <c r="D18"/>
  <c r="L17"/>
  <c r="K17"/>
  <c r="D17"/>
  <c r="L14"/>
  <c r="K14"/>
  <c r="D14"/>
  <c r="L13"/>
  <c r="K13"/>
  <c r="D13"/>
  <c r="L10"/>
  <c r="K10"/>
  <c r="D10"/>
  <c r="L9"/>
  <c r="K9"/>
  <c r="D9"/>
  <c r="L6"/>
  <c r="K6"/>
  <c r="D6"/>
  <c r="T6" i="8"/>
  <c r="S6"/>
  <c r="D6"/>
  <c r="T17" i="7"/>
  <c r="S17"/>
  <c r="D17"/>
  <c r="T16"/>
  <c r="S16"/>
  <c r="D16"/>
  <c r="T15"/>
  <c r="S15"/>
  <c r="D15"/>
  <c r="T12"/>
  <c r="S12"/>
  <c r="D12"/>
  <c r="T9"/>
  <c r="S9"/>
  <c r="D9"/>
  <c r="T6"/>
  <c r="S6"/>
  <c r="D6"/>
  <c r="T26" i="6"/>
  <c r="S26"/>
  <c r="D26"/>
  <c r="T23"/>
  <c r="S23"/>
  <c r="D23"/>
  <c r="T22"/>
  <c r="S22"/>
  <c r="D22"/>
  <c r="T21"/>
  <c r="S21"/>
  <c r="D21"/>
  <c r="T18"/>
  <c r="S18"/>
  <c r="D18"/>
  <c r="T17"/>
  <c r="S17"/>
  <c r="D17"/>
  <c r="T16"/>
  <c r="S16"/>
  <c r="D16"/>
  <c r="T13"/>
  <c r="S13"/>
  <c r="D13"/>
  <c r="T10"/>
  <c r="S10"/>
  <c r="D10"/>
  <c r="T7"/>
  <c r="S7"/>
  <c r="D7"/>
  <c r="T6"/>
  <c r="S6"/>
  <c r="D6"/>
  <c r="T6" i="5"/>
  <c r="S6"/>
  <c r="D6"/>
</calcChain>
</file>

<file path=xl/sharedStrings.xml><?xml version="1.0" encoding="utf-8"?>
<sst xmlns="http://schemas.openxmlformats.org/spreadsheetml/2006/main" count="4629" uniqueCount="1139">
  <si>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</si>
  <si>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</si>
  <si>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</si>
  <si>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</si>
  <si>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</si>
  <si>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</si>
  <si>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</si>
  <si>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</si>
  <si>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</si>
  <si>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Чемпионат России по пауэрлифтингу и силовым видам спорта "Богатыри Руси II"
Любители пауэрлифтинг в однопетельной софт экипировке
Белгород/Белгородская область 16 - 17 ноября 2019 г.</t>
  </si>
  <si>
    <t>Shv/Mel</t>
  </si>
  <si>
    <t>Приседание</t>
  </si>
  <si>
    <t>Жим лёжа</t>
  </si>
  <si>
    <t>Становая тяга</t>
  </si>
  <si>
    <t>ВЕСОВАЯ КАТЕГОРИЯ   52</t>
  </si>
  <si>
    <t>Анищенко Артем</t>
  </si>
  <si>
    <t>1. Анищенко Артем</t>
  </si>
  <si>
    <t>Юноши 0-13 (27.11.2007)/11</t>
  </si>
  <si>
    <t>51,00</t>
  </si>
  <si>
    <t xml:space="preserve">Спарта </t>
  </si>
  <si>
    <t xml:space="preserve">Белгород/Белгородская область </t>
  </si>
  <si>
    <t>60,0</t>
  </si>
  <si>
    <t>65,0</t>
  </si>
  <si>
    <t>70,0</t>
  </si>
  <si>
    <t>45,0</t>
  </si>
  <si>
    <t>47,5</t>
  </si>
  <si>
    <t>50,0</t>
  </si>
  <si>
    <t>77,5</t>
  </si>
  <si>
    <t>80,0</t>
  </si>
  <si>
    <t>85,0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</si>
  <si>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</si>
  <si>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</si>
  <si>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</si>
  <si>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</si>
  <si>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</si>
  <si>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</si>
  <si>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</si>
  <si>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</si>
  <si>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</si>
  <si>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</si>
  <si>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</si>
  <si>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</si>
  <si>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</si>
  <si>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</si>
  <si>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0-13 </t>
  </si>
  <si>
    <t>52</t>
  </si>
  <si>
    <t>205,0</t>
  </si>
  <si>
    <t>245,4428</t>
  </si>
  <si>
    <t>Чемпионат России по пауэрлифтингу и силовым видам спорта "Богатыри Руси II"
Любители пауэрлифтинг без экипировки
Белгород/Белгородская область 16 - 17 ноября 2019 г.</t>
  </si>
  <si>
    <t>Исмаилова Элина</t>
  </si>
  <si>
    <t>1. Исмаилова Элина</t>
  </si>
  <si>
    <t>Девушки 16 - 17 (31.01.2002)/17</t>
  </si>
  <si>
    <t>52,00</t>
  </si>
  <si>
    <t xml:space="preserve">Лично </t>
  </si>
  <si>
    <t>70,0o</t>
  </si>
  <si>
    <t>75,0</t>
  </si>
  <si>
    <t>30,0o</t>
  </si>
  <si>
    <t>35,0o</t>
  </si>
  <si>
    <t>40,0</t>
  </si>
  <si>
    <t>60,0o</t>
  </si>
  <si>
    <t>75,0o</t>
  </si>
  <si>
    <t>Осташова Диана</t>
  </si>
  <si>
    <t>1. Осташова Диана</t>
  </si>
  <si>
    <t>Открытая (30.04.1993)/26</t>
  </si>
  <si>
    <t>50,40</t>
  </si>
  <si>
    <t>55,0</t>
  </si>
  <si>
    <t>32,5</t>
  </si>
  <si>
    <t>35,0</t>
  </si>
  <si>
    <t>82,5</t>
  </si>
  <si>
    <t>ВЕСОВАЯ КАТЕГОРИЯ   67.5</t>
  </si>
  <si>
    <t>Исмаилова Татьяна</t>
  </si>
  <si>
    <t>1. Исмаилова Татьяна</t>
  </si>
  <si>
    <t>Мастера 45 - 49 (04.04.1970)/49</t>
  </si>
  <si>
    <t>65,00</t>
  </si>
  <si>
    <t>90,0</t>
  </si>
  <si>
    <t>100,0o</t>
  </si>
  <si>
    <t>105,0o</t>
  </si>
  <si>
    <t>65,0o</t>
  </si>
  <si>
    <t>120,0</t>
  </si>
  <si>
    <t>130,0o</t>
  </si>
  <si>
    <t>137,5o</t>
  </si>
  <si>
    <t>ВЕСОВАЯ КАТЕГОРИЯ   75</t>
  </si>
  <si>
    <t>Плахова Наталья</t>
  </si>
  <si>
    <t>1. Плахова Наталья</t>
  </si>
  <si>
    <t>Мастера 60 - 64 (03.06.1958)/61</t>
  </si>
  <si>
    <t>74,40</t>
  </si>
  <si>
    <t xml:space="preserve">Стальное Звено </t>
  </si>
  <si>
    <t xml:space="preserve">Воронеж/Воронежская область </t>
  </si>
  <si>
    <t>95,0</t>
  </si>
  <si>
    <t>97,5</t>
  </si>
  <si>
    <t>102,5</t>
  </si>
  <si>
    <t>ВЕСОВАЯ КАТЕГОРИЯ   82.5</t>
  </si>
  <si>
    <t>Южанин Егор</t>
  </si>
  <si>
    <t>1. Южанин Егор</t>
  </si>
  <si>
    <t>Юноши 14-15 (18.02.2004)/15</t>
  </si>
  <si>
    <t>81,00</t>
  </si>
  <si>
    <t>130,0</t>
  </si>
  <si>
    <t>140,0o</t>
  </si>
  <si>
    <t>145,0</t>
  </si>
  <si>
    <t>80,0o</t>
  </si>
  <si>
    <t>90,0o</t>
  </si>
  <si>
    <t>100,0</t>
  </si>
  <si>
    <t>150,0</t>
  </si>
  <si>
    <t>160,0</t>
  </si>
  <si>
    <t>165,0o</t>
  </si>
  <si>
    <t>Шульгин Виталий</t>
  </si>
  <si>
    <t>1. Шульгин Виталий</t>
  </si>
  <si>
    <t>Юниоры 20 - 23 (22.09.1997)/22</t>
  </si>
  <si>
    <t>77,90</t>
  </si>
  <si>
    <t xml:space="preserve">Титан </t>
  </si>
  <si>
    <t xml:space="preserve">Новый Оскол/Белгородская область </t>
  </si>
  <si>
    <t>135,0</t>
  </si>
  <si>
    <t>140,0</t>
  </si>
  <si>
    <t>137,5</t>
  </si>
  <si>
    <t>170,0</t>
  </si>
  <si>
    <t>180,0</t>
  </si>
  <si>
    <t>190,0</t>
  </si>
  <si>
    <t>Шевченко Роман</t>
  </si>
  <si>
    <t>1. Шевченко Роман</t>
  </si>
  <si>
    <t>Мастера 40 - 44 (18.10.1977)/42</t>
  </si>
  <si>
    <t>81,40</t>
  </si>
  <si>
    <t>110,0</t>
  </si>
  <si>
    <t>115,0</t>
  </si>
  <si>
    <t>175,0</t>
  </si>
  <si>
    <t>185,0</t>
  </si>
  <si>
    <t>ВЕСОВАЯ КАТЕГОРИЯ   90</t>
  </si>
  <si>
    <t>Михеев Борис</t>
  </si>
  <si>
    <t>1. Михеев Борис</t>
  </si>
  <si>
    <t>Юноши 16 - 17 (04.11.2002)/17</t>
  </si>
  <si>
    <t>89,90</t>
  </si>
  <si>
    <t xml:space="preserve">Муромцы </t>
  </si>
  <si>
    <t>105,0</t>
  </si>
  <si>
    <t>165,0</t>
  </si>
  <si>
    <t>Шапин Тимофей</t>
  </si>
  <si>
    <t>1. Шапин Тимофей</t>
  </si>
  <si>
    <t>Юниоры 20 - 23 (08.01.1998)/21</t>
  </si>
  <si>
    <t>83,40</t>
  </si>
  <si>
    <t xml:space="preserve">Богучар/Воронежская область </t>
  </si>
  <si>
    <t>192,5</t>
  </si>
  <si>
    <t>125,0</t>
  </si>
  <si>
    <t>132,5</t>
  </si>
  <si>
    <t>240,0</t>
  </si>
  <si>
    <t>247,5</t>
  </si>
  <si>
    <t>250,0</t>
  </si>
  <si>
    <t>Мусиенко Константин</t>
  </si>
  <si>
    <t>-. Мусиенко Константин</t>
  </si>
  <si>
    <t>Открытая (19.07.1989)/30</t>
  </si>
  <si>
    <t>89,00</t>
  </si>
  <si>
    <t>200,0</t>
  </si>
  <si>
    <t>205,0o</t>
  </si>
  <si>
    <t>210,0</t>
  </si>
  <si>
    <t>260,0</t>
  </si>
  <si>
    <t>ВЕСОВАЯ КАТЕГОРИЯ   100</t>
  </si>
  <si>
    <t>Лукьяненко Сергей</t>
  </si>
  <si>
    <t>1. Лукьяненко Сергей</t>
  </si>
  <si>
    <t>Открытая (16.12.1989)/29</t>
  </si>
  <si>
    <t>93,60</t>
  </si>
  <si>
    <t>155,0</t>
  </si>
  <si>
    <t>220,0</t>
  </si>
  <si>
    <t>225,0</t>
  </si>
  <si>
    <t xml:space="preserve">Женщины </t>
  </si>
  <si>
    <t xml:space="preserve">Девушки </t>
  </si>
  <si>
    <t xml:space="preserve">Юноши 16 - 17 </t>
  </si>
  <si>
    <t>188,4416</t>
  </si>
  <si>
    <t xml:space="preserve">Открытая </t>
  </si>
  <si>
    <t>183,9548</t>
  </si>
  <si>
    <t xml:space="preserve">Мастера </t>
  </si>
  <si>
    <t xml:space="preserve">Мастера 45 - 49 </t>
  </si>
  <si>
    <t>67.5</t>
  </si>
  <si>
    <t>307,5</t>
  </si>
  <si>
    <t>283,0774</t>
  </si>
  <si>
    <t xml:space="preserve">Мастера 60 - 64 </t>
  </si>
  <si>
    <t>75</t>
  </si>
  <si>
    <t>222,5</t>
  </si>
  <si>
    <t>274,6662</t>
  </si>
  <si>
    <t xml:space="preserve">Юноши 14-15 </t>
  </si>
  <si>
    <t>82.5</t>
  </si>
  <si>
    <t>395,0</t>
  </si>
  <si>
    <t>292,3845</t>
  </si>
  <si>
    <t>90</t>
  </si>
  <si>
    <t>430,0</t>
  </si>
  <si>
    <t>271,9991</t>
  </si>
  <si>
    <t xml:space="preserve">Юниоры </t>
  </si>
  <si>
    <t xml:space="preserve">Юниоры 20 - 23 </t>
  </si>
  <si>
    <t>572,5</t>
  </si>
  <si>
    <t>358,9541</t>
  </si>
  <si>
    <t>472,5</t>
  </si>
  <si>
    <t>308,0010</t>
  </si>
  <si>
    <t>100</t>
  </si>
  <si>
    <t>500,0</t>
  </si>
  <si>
    <t>286,1500</t>
  </si>
  <si>
    <t xml:space="preserve">Мастера 40 - 44 </t>
  </si>
  <si>
    <t>420,0</t>
  </si>
  <si>
    <t>264,9049</t>
  </si>
  <si>
    <t>Чемпионат России по пауэрлифтингу и силовым видам спорта "Богатыри Руси II"
ПРО пауэрлифтинг без экипировки
Белгород/Белгородская область 16 - 17 ноября 2019 г.</t>
  </si>
  <si>
    <t>Багиров Рустам</t>
  </si>
  <si>
    <t>1. Багиров Рустам</t>
  </si>
  <si>
    <t>Юноши 14-15 (12.06.2005)/14</t>
  </si>
  <si>
    <t>72,50</t>
  </si>
  <si>
    <t xml:space="preserve">Россошь </t>
  </si>
  <si>
    <t xml:space="preserve">Россошь/Воронежская область </t>
  </si>
  <si>
    <t>Беглов Юрий</t>
  </si>
  <si>
    <t>1. Беглов Юрий</t>
  </si>
  <si>
    <t>Мастера 50 - 54 (06.05.1965)/54</t>
  </si>
  <si>
    <t>78,30</t>
  </si>
  <si>
    <t>187,5</t>
  </si>
  <si>
    <t>230,0</t>
  </si>
  <si>
    <t>Осипов Михаил</t>
  </si>
  <si>
    <t>1. Осипов Михаил</t>
  </si>
  <si>
    <t>Открытая (17.06.1981)/38</t>
  </si>
  <si>
    <t>92,00</t>
  </si>
  <si>
    <t>180,0o</t>
  </si>
  <si>
    <t>190,0o</t>
  </si>
  <si>
    <t>200,0o</t>
  </si>
  <si>
    <t>115,0o</t>
  </si>
  <si>
    <t>125,0o</t>
  </si>
  <si>
    <t>132,5o</t>
  </si>
  <si>
    <t>220,0o</t>
  </si>
  <si>
    <t>235,0o</t>
  </si>
  <si>
    <t>ВЕСОВАЯ КАТЕГОРИЯ   110</t>
  </si>
  <si>
    <t>Меркулов Виталий</t>
  </si>
  <si>
    <t>1. Меркулов Виталий</t>
  </si>
  <si>
    <t>Открытая (11.06.1990)/29</t>
  </si>
  <si>
    <t>109,00</t>
  </si>
  <si>
    <t xml:space="preserve">Курчатов/Курская область </t>
  </si>
  <si>
    <t>275,0</t>
  </si>
  <si>
    <t>285,0</t>
  </si>
  <si>
    <t>290,0</t>
  </si>
  <si>
    <t>Коныхов Игорь</t>
  </si>
  <si>
    <t>2. Коныхов Игорь</t>
  </si>
  <si>
    <t>Открытая (20.12.1970)/48</t>
  </si>
  <si>
    <t>107,50</t>
  </si>
  <si>
    <t>210,0o</t>
  </si>
  <si>
    <t>150,0o</t>
  </si>
  <si>
    <t>155,0o</t>
  </si>
  <si>
    <t>250,0o</t>
  </si>
  <si>
    <t>270,0o</t>
  </si>
  <si>
    <t>280,0o</t>
  </si>
  <si>
    <t>1. Коныхов Игорь</t>
  </si>
  <si>
    <t>Мастера 45 - 49 (20.12.1970)/48</t>
  </si>
  <si>
    <t>295,0</t>
  </si>
  <si>
    <t>247,7540</t>
  </si>
  <si>
    <t>110</t>
  </si>
  <si>
    <t>685,0</t>
  </si>
  <si>
    <t>368,3245</t>
  </si>
  <si>
    <t>655,0</t>
  </si>
  <si>
    <t>353,5690</t>
  </si>
  <si>
    <t>567,5</t>
  </si>
  <si>
    <t>327,9582</t>
  </si>
  <si>
    <t xml:space="preserve">Мастера 50 - 54 </t>
  </si>
  <si>
    <t>552,5</t>
  </si>
  <si>
    <t>472,4925</t>
  </si>
  <si>
    <t>394,9366</t>
  </si>
  <si>
    <t>Чемпионат России по пауэрлифтингу и силовым видам спорта "Богатыри Руси II"
Любители пауэрлифтинг в многопетельной софт экипировке
Белгород/Белгородская область 16 - 17 ноября 2019 г.</t>
  </si>
  <si>
    <t>ВЕСОВАЯ КАТЕГОРИЯ   125</t>
  </si>
  <si>
    <t>Евдокимов Евгений</t>
  </si>
  <si>
    <t>1. Евдокимов Евгений</t>
  </si>
  <si>
    <t>Юниоры 20 - 23 (14.11.1997)/22</t>
  </si>
  <si>
    <t>121,20</t>
  </si>
  <si>
    <t xml:space="preserve">Фитнес Сити </t>
  </si>
  <si>
    <t>235,0</t>
  </si>
  <si>
    <t>245,0</t>
  </si>
  <si>
    <t>270,0</t>
  </si>
  <si>
    <t>280,0</t>
  </si>
  <si>
    <t>125</t>
  </si>
  <si>
    <t>765,0</t>
  </si>
  <si>
    <t>406,2594</t>
  </si>
  <si>
    <t>Чемпионат России по пауэрлифтингу и силовым видам спорта "Богатыри Руси II"
Любители военный жим
Белгород/Белгородская область 16 - 17 ноября 2019 г.</t>
  </si>
  <si>
    <t>Зубарев Андрей</t>
  </si>
  <si>
    <t>1. Зубарев Андрей</t>
  </si>
  <si>
    <t>Открытая (06.01.1985)/34</t>
  </si>
  <si>
    <t>73,30</t>
  </si>
  <si>
    <t xml:space="preserve">Сталь Белогорья </t>
  </si>
  <si>
    <t>135,5</t>
  </si>
  <si>
    <t>Белоусов Олег</t>
  </si>
  <si>
    <t>1. Белоусов Олег</t>
  </si>
  <si>
    <t>Мастера 45 - 49 (08.06.1973)/46</t>
  </si>
  <si>
    <t>81,20</t>
  </si>
  <si>
    <t xml:space="preserve">Пересвет </t>
  </si>
  <si>
    <t>Жинкин Дмитрий</t>
  </si>
  <si>
    <t>1. Жинкин Дмитрий</t>
  </si>
  <si>
    <t>Открытая (01.07.1980)/39</t>
  </si>
  <si>
    <t>88,20</t>
  </si>
  <si>
    <t>Шевченко Сергей</t>
  </si>
  <si>
    <t>2. Шевченко Сергей</t>
  </si>
  <si>
    <t>Открытая (02.09.1981)/38</t>
  </si>
  <si>
    <t>88,00</t>
  </si>
  <si>
    <t>127,5</t>
  </si>
  <si>
    <t>Литовченко Александр</t>
  </si>
  <si>
    <t>1. Литовченко Александр</t>
  </si>
  <si>
    <t>Открытая (26.06.1986)/33</t>
  </si>
  <si>
    <t>99,30</t>
  </si>
  <si>
    <t>172,5</t>
  </si>
  <si>
    <t>Журавель Сергей</t>
  </si>
  <si>
    <t>2. Журавель Сергей</t>
  </si>
  <si>
    <t>Открытая (25.03.1969)/50</t>
  </si>
  <si>
    <t>97,30</t>
  </si>
  <si>
    <t>152,5</t>
  </si>
  <si>
    <t>1. Журавель Сергей</t>
  </si>
  <si>
    <t>Мастера 50 - 54 (25.03.1969)/50</t>
  </si>
  <si>
    <t>Тарасов Александр</t>
  </si>
  <si>
    <t>1. Тарасов Александр</t>
  </si>
  <si>
    <t>Открытая (16.05.1970)/49</t>
  </si>
  <si>
    <t>105,40</t>
  </si>
  <si>
    <t xml:space="preserve">Шебекино/Белгородская область </t>
  </si>
  <si>
    <t>Коломиец Александр</t>
  </si>
  <si>
    <t>2. Коломиец Александр</t>
  </si>
  <si>
    <t>Открытая (25.12.1986)/32</t>
  </si>
  <si>
    <t>108,20</t>
  </si>
  <si>
    <t>Мастера 45 - 49 (16.05.1970)/49</t>
  </si>
  <si>
    <t>Селезнев Владимир</t>
  </si>
  <si>
    <t>1. Селезнев Владимир</t>
  </si>
  <si>
    <t>Открытая (09.05.1977)/42</t>
  </si>
  <si>
    <t>122,90</t>
  </si>
  <si>
    <t xml:space="preserve">Одинцово/Московская область </t>
  </si>
  <si>
    <t>170,0o</t>
  </si>
  <si>
    <t>177,5o</t>
  </si>
  <si>
    <t>Пахомов Никита</t>
  </si>
  <si>
    <t>2. Пахомов Никита</t>
  </si>
  <si>
    <t>Открытая (03.10.1991)/28</t>
  </si>
  <si>
    <t>115,00</t>
  </si>
  <si>
    <t>Мастера 40 - 44 (09.05.1977)/42</t>
  </si>
  <si>
    <t>88,0003</t>
  </si>
  <si>
    <t>104,5467</t>
  </si>
  <si>
    <t>95,8755</t>
  </si>
  <si>
    <t>177,5</t>
  </si>
  <si>
    <t>92,9922</t>
  </si>
  <si>
    <t>91,3545</t>
  </si>
  <si>
    <t>85,5525</t>
  </si>
  <si>
    <t>81,4825</t>
  </si>
  <si>
    <t>78,6388</t>
  </si>
  <si>
    <t>75,4320</t>
  </si>
  <si>
    <t>67,7535</t>
  </si>
  <si>
    <t>119,6015</t>
  </si>
  <si>
    <t>100,3531</t>
  </si>
  <si>
    <t>97,0641</t>
  </si>
  <si>
    <t>93,8292</t>
  </si>
  <si>
    <t>Результат</t>
  </si>
  <si>
    <t>Чемпионат России по пауэрлифтингу и силовым видам спорта "Богатыри Руси II"
ПРО военный жим
Белгород/Белгородская область 16 - 17 ноября 2019 г.</t>
  </si>
  <si>
    <t>Ревковский Андрей</t>
  </si>
  <si>
    <t>1. Ревковский Андрей</t>
  </si>
  <si>
    <t>Открытая (04.06.1986)/33</t>
  </si>
  <si>
    <t>99,80</t>
  </si>
  <si>
    <t>Пелин Артем</t>
  </si>
  <si>
    <t>1. Пелин Артем</t>
  </si>
  <si>
    <t>Открытая (28.01.1982)/37</t>
  </si>
  <si>
    <t>108,90</t>
  </si>
  <si>
    <t xml:space="preserve">Железный союз </t>
  </si>
  <si>
    <t>Мацур Виктор</t>
  </si>
  <si>
    <t>1. Мацур Виктор</t>
  </si>
  <si>
    <t>Мастера 50 - 54 (03.06.1965)/54</t>
  </si>
  <si>
    <t>109,20</t>
  </si>
  <si>
    <t>166,0</t>
  </si>
  <si>
    <t>Лазарев Виталий</t>
  </si>
  <si>
    <t>1. Лазарев Виталий</t>
  </si>
  <si>
    <t>Открытая (25.08.1988)/31</t>
  </si>
  <si>
    <t>121,80</t>
  </si>
  <si>
    <t>Агарков Сергей</t>
  </si>
  <si>
    <t>1. Агарков Сергей</t>
  </si>
  <si>
    <t>Мастера 45 - 49 (02.06.1972)/47</t>
  </si>
  <si>
    <t>122,70</t>
  </si>
  <si>
    <t>96,8040</t>
  </si>
  <si>
    <t>89,2670</t>
  </si>
  <si>
    <t>60,9950</t>
  </si>
  <si>
    <t>118,6693</t>
  </si>
  <si>
    <t>94,4323</t>
  </si>
  <si>
    <t>Чемпионат России по пауэрлифтингу и силовым видам спорта "Богатыри Руси II"
СОВ жим лежа
Белгород/Белгородская область 16 - 17 ноября 2019 г.</t>
  </si>
  <si>
    <t>Богомолов Вадим</t>
  </si>
  <si>
    <t>1. Богомолов Вадим</t>
  </si>
  <si>
    <t>Мастера 55 - 59 (20.12.1963)/55</t>
  </si>
  <si>
    <t>105,00</t>
  </si>
  <si>
    <t xml:space="preserve">Мастера 55 - 59 </t>
  </si>
  <si>
    <t>93,7882</t>
  </si>
  <si>
    <t>Чемпионат России по пауэрлифтингу и силовым видам спорта "Богатыри Руси II"
Любители жим лежа без экипировки
Белгород/Белгородская область 16 - 17 ноября 2019 г.</t>
  </si>
  <si>
    <t>ВЕСОВАЯ КАТЕГОРИЯ   56</t>
  </si>
  <si>
    <t>Беседина Илона</t>
  </si>
  <si>
    <t>1. Беседина Илона</t>
  </si>
  <si>
    <t>Открытая (18.09.1986)/33</t>
  </si>
  <si>
    <t>55,00</t>
  </si>
  <si>
    <t xml:space="preserve">Курск/Курская область </t>
  </si>
  <si>
    <t>57,5</t>
  </si>
  <si>
    <t>ВЕСОВАЯ КАТЕГОРИЯ   60</t>
  </si>
  <si>
    <t>Гостева Валентина</t>
  </si>
  <si>
    <t>1. Гостева Валентина</t>
  </si>
  <si>
    <t>Мастера 60 - 64 (07.08.1955)/64</t>
  </si>
  <si>
    <t>56,95</t>
  </si>
  <si>
    <t xml:space="preserve">Вольные стрелки </t>
  </si>
  <si>
    <t>62,5</t>
  </si>
  <si>
    <t>Крапивенцева Яна</t>
  </si>
  <si>
    <t>1. Крапивенцева Яна</t>
  </si>
  <si>
    <t>Девушки 18 - 19 (04.02.2001)/18</t>
  </si>
  <si>
    <t>72,00</t>
  </si>
  <si>
    <t>52,5</t>
  </si>
  <si>
    <t>Болотских Руслан</t>
  </si>
  <si>
    <t>1. Болотских Руслан</t>
  </si>
  <si>
    <t>Юноши 14-15 (22.07.2004)/15</t>
  </si>
  <si>
    <t>59,00</t>
  </si>
  <si>
    <t xml:space="preserve">Аскет </t>
  </si>
  <si>
    <t xml:space="preserve">Старый Оскол/Белгородская область </t>
  </si>
  <si>
    <t>67,5</t>
  </si>
  <si>
    <t>Белый Гордей</t>
  </si>
  <si>
    <t>1. Белый Гордей</t>
  </si>
  <si>
    <t>Юноши 16 - 17 (23.11.2002)/16</t>
  </si>
  <si>
    <t>58,90</t>
  </si>
  <si>
    <t xml:space="preserve">Алексеевка/Белгородская область </t>
  </si>
  <si>
    <t>95,0o</t>
  </si>
  <si>
    <t>Потапов Алексей</t>
  </si>
  <si>
    <t>1. Потапов Алексей</t>
  </si>
  <si>
    <t>Юниоры 20 - 23 (04.06.1997)/22</t>
  </si>
  <si>
    <t>67,30</t>
  </si>
  <si>
    <t>Нехаев Игорь</t>
  </si>
  <si>
    <t>1. Нехаев Игорь</t>
  </si>
  <si>
    <t>Открытая (03.04.1965)/54</t>
  </si>
  <si>
    <t>67,50</t>
  </si>
  <si>
    <t>110,0o</t>
  </si>
  <si>
    <t>120,0o</t>
  </si>
  <si>
    <t>Гирявенко Дмитрий</t>
  </si>
  <si>
    <t>1. Гирявенко Дмитрий</t>
  </si>
  <si>
    <t>Юноши 16 - 17 (27.04.2003)/16</t>
  </si>
  <si>
    <t>70,20</t>
  </si>
  <si>
    <t>87,5</t>
  </si>
  <si>
    <t>Рудычев Сергей</t>
  </si>
  <si>
    <t>1. Рудычев Сергей</t>
  </si>
  <si>
    <t>Мастера 45 - 49 (08.06.1974)/45</t>
  </si>
  <si>
    <t>72,70</t>
  </si>
  <si>
    <t xml:space="preserve">Валуйки </t>
  </si>
  <si>
    <t xml:space="preserve">Валуйки/Белгородская область </t>
  </si>
  <si>
    <t>Бекетов Андрей</t>
  </si>
  <si>
    <t>1. Бекетов Андрей</t>
  </si>
  <si>
    <t>Юноши 16 - 17 (27.05.2002)/17</t>
  </si>
  <si>
    <t>79,70</t>
  </si>
  <si>
    <t>Бугаев Артем</t>
  </si>
  <si>
    <t>1. Бугаев Артем</t>
  </si>
  <si>
    <t>Юноши 18 - 19 (26.01.2000)/19</t>
  </si>
  <si>
    <t>78,50</t>
  </si>
  <si>
    <t>Пузанок Павел</t>
  </si>
  <si>
    <t>1. Пузанок Павел</t>
  </si>
  <si>
    <t>Открытая (09.07.1985)/34</t>
  </si>
  <si>
    <t>162,5</t>
  </si>
  <si>
    <t>167,5</t>
  </si>
  <si>
    <t>Лавров Александр</t>
  </si>
  <si>
    <t>2. Лавров Александр</t>
  </si>
  <si>
    <t>Открытая (16.03.1987)/32</t>
  </si>
  <si>
    <t>81,50</t>
  </si>
  <si>
    <t>135,0o</t>
  </si>
  <si>
    <t>Лазуренко Виталий</t>
  </si>
  <si>
    <t>3. Лазуренко Виталий</t>
  </si>
  <si>
    <t>Открытая (22.01.1979)/40</t>
  </si>
  <si>
    <t>80,55</t>
  </si>
  <si>
    <t xml:space="preserve">Ровеньки/Белгородская область </t>
  </si>
  <si>
    <t>Лашкевич Евгений</t>
  </si>
  <si>
    <t>1. Лашкевич Евгений</t>
  </si>
  <si>
    <t>Открытая (22.06.1988)/31</t>
  </si>
  <si>
    <t>86,50</t>
  </si>
  <si>
    <t>Уколов Артем</t>
  </si>
  <si>
    <t>2. Уколов Артем</t>
  </si>
  <si>
    <t>Открытая (11.12.1990)/28</t>
  </si>
  <si>
    <t>87,40</t>
  </si>
  <si>
    <t>147,5</t>
  </si>
  <si>
    <t>147,5o</t>
  </si>
  <si>
    <t>-. Кошкаров Алексей</t>
  </si>
  <si>
    <t>Открытая (08.12.1985)/33</t>
  </si>
  <si>
    <t>86,40</t>
  </si>
  <si>
    <t>Разуваев Роман</t>
  </si>
  <si>
    <t>1. Разуваев Роман</t>
  </si>
  <si>
    <t>Мастера 40 - 44 (15.02.1975)/44</t>
  </si>
  <si>
    <t xml:space="preserve">Губкин/Белгородская область </t>
  </si>
  <si>
    <t>Моисеенко Александр</t>
  </si>
  <si>
    <t>1. Моисеенко Александр</t>
  </si>
  <si>
    <t>Мастера 45 - 49 (24.09.1972)/47</t>
  </si>
  <si>
    <t>88,10</t>
  </si>
  <si>
    <t>Величко Владимир</t>
  </si>
  <si>
    <t>1. Величко Владимир</t>
  </si>
  <si>
    <t>Юноши 18 - 19 (01.04.2000)/19</t>
  </si>
  <si>
    <t>97,90</t>
  </si>
  <si>
    <t>142,5</t>
  </si>
  <si>
    <t>-. Гутенко Алексей</t>
  </si>
  <si>
    <t>Открытая (20.04.1983)/36</t>
  </si>
  <si>
    <t>Гирявенко Сергей</t>
  </si>
  <si>
    <t>1. Гирявенко Сергей</t>
  </si>
  <si>
    <t>Мастера 40 - 44 (07.01.1978)/41</t>
  </si>
  <si>
    <t>97,20</t>
  </si>
  <si>
    <t>160,0o</t>
  </si>
  <si>
    <t>157,5</t>
  </si>
  <si>
    <t>Ильченко Евгений</t>
  </si>
  <si>
    <t>1. Ильченко Евгений</t>
  </si>
  <si>
    <t>Открытая (11.02.1981)/38</t>
  </si>
  <si>
    <t>108,40</t>
  </si>
  <si>
    <t>-. Коломиец Александр</t>
  </si>
  <si>
    <t>Киреев Роман</t>
  </si>
  <si>
    <t>1. Киреев Роман</t>
  </si>
  <si>
    <t>Мастера 40 - 44 (13.10.1979)/40</t>
  </si>
  <si>
    <t>109,90</t>
  </si>
  <si>
    <t>Ушаков Сергей</t>
  </si>
  <si>
    <t>1. Ушаков Сергей</t>
  </si>
  <si>
    <t>Мастера 50 - 54 (12.06.1969)/50</t>
  </si>
  <si>
    <t>106,90</t>
  </si>
  <si>
    <t>ВЕСОВАЯ КАТЕГОРИЯ   140</t>
  </si>
  <si>
    <t>Ромахов Роман</t>
  </si>
  <si>
    <t>1. Ромахов Роман</t>
  </si>
  <si>
    <t>Мастера 40 - 44 (09.10.1978)/41</t>
  </si>
  <si>
    <t>126,50</t>
  </si>
  <si>
    <t>152,5o</t>
  </si>
  <si>
    <t>157,5o</t>
  </si>
  <si>
    <t>ВЕСОВАЯ КАТЕГОРИЯ   140+</t>
  </si>
  <si>
    <t>Козлов Роман</t>
  </si>
  <si>
    <t>1. Козлов Роман</t>
  </si>
  <si>
    <t>Мастера 50 - 54 (02.05.1968)/51</t>
  </si>
  <si>
    <t>148,90</t>
  </si>
  <si>
    <t xml:space="preserve">Юноши 18 - 19 </t>
  </si>
  <si>
    <t>41,3730</t>
  </si>
  <si>
    <t>56</t>
  </si>
  <si>
    <t>53,2220</t>
  </si>
  <si>
    <t>60</t>
  </si>
  <si>
    <t>109,0176</t>
  </si>
  <si>
    <t>96,7834</t>
  </si>
  <si>
    <t>88,9502</t>
  </si>
  <si>
    <t>82,9031</t>
  </si>
  <si>
    <t>71,3324</t>
  </si>
  <si>
    <t>68,5476</t>
  </si>
  <si>
    <t>65,8785</t>
  </si>
  <si>
    <t>84,5340</t>
  </si>
  <si>
    <t>104,2925</t>
  </si>
  <si>
    <t>100,0440</t>
  </si>
  <si>
    <t>99,5410</t>
  </si>
  <si>
    <t>94,7380</t>
  </si>
  <si>
    <t>94,2375</t>
  </si>
  <si>
    <t>93,0000</t>
  </si>
  <si>
    <t>87,9100</t>
  </si>
  <si>
    <t>87,0960</t>
  </si>
  <si>
    <t>84,3210</t>
  </si>
  <si>
    <t>72,4270</t>
  </si>
  <si>
    <t>103,6433</t>
  </si>
  <si>
    <t>102,0847</t>
  </si>
  <si>
    <t>100,4369</t>
  </si>
  <si>
    <t>92,8067</t>
  </si>
  <si>
    <t>91,9650</t>
  </si>
  <si>
    <t>91,2220</t>
  </si>
  <si>
    <t>90,0774</t>
  </si>
  <si>
    <t>86,6040</t>
  </si>
  <si>
    <t>84,1823</t>
  </si>
  <si>
    <t>140</t>
  </si>
  <si>
    <t>82,0193</t>
  </si>
  <si>
    <t>140+</t>
  </si>
  <si>
    <t>65,4386</t>
  </si>
  <si>
    <t>Чемпионат России по пауэрлифтингу и силовым видам спорта "Богатыри Руси II"
ПРО жим лежа без экипировки
Белгород/Белгородская область 16 - 17 ноября 2019 г.</t>
  </si>
  <si>
    <t>Белоусов Роман</t>
  </si>
  <si>
    <t>1. Белоусов Роман</t>
  </si>
  <si>
    <t>Открытая (19.10.1991)/28</t>
  </si>
  <si>
    <t>58,00</t>
  </si>
  <si>
    <t xml:space="preserve">Лукьянов Андрей </t>
  </si>
  <si>
    <t>Берестовой Владислав</t>
  </si>
  <si>
    <t>1. Берестовой Владислав</t>
  </si>
  <si>
    <t>Открытая (19.08.1988)/31</t>
  </si>
  <si>
    <t>81,30</t>
  </si>
  <si>
    <t>Рюмшин Вадим</t>
  </si>
  <si>
    <t>1. Рюмшин Вадим</t>
  </si>
  <si>
    <t>Юниоры 20 - 23 (03.04.1997)/22</t>
  </si>
  <si>
    <t>87,10</t>
  </si>
  <si>
    <t>Умаров Стас</t>
  </si>
  <si>
    <t>1. Умаров Стас</t>
  </si>
  <si>
    <t>Открытая (12.09.1986)/33</t>
  </si>
  <si>
    <t>84,40</t>
  </si>
  <si>
    <t xml:space="preserve">Лиски/Воронежская область </t>
  </si>
  <si>
    <t>195,0</t>
  </si>
  <si>
    <t>Поветьев Дмитрий</t>
  </si>
  <si>
    <t>2. Поветьев Дмитрий</t>
  </si>
  <si>
    <t>Открытая (26.08.1991)/28</t>
  </si>
  <si>
    <t>86,10</t>
  </si>
  <si>
    <t>Степура Евгений</t>
  </si>
  <si>
    <t>3. Степура Евгений</t>
  </si>
  <si>
    <t>Открытая (22.07.1983)/36</t>
  </si>
  <si>
    <t>-. Котов Виталий</t>
  </si>
  <si>
    <t>Открытая (19.02.1991)/28</t>
  </si>
  <si>
    <t>89,30</t>
  </si>
  <si>
    <t>Лукьянов Богдан</t>
  </si>
  <si>
    <t>1. Лукьянов Богдан</t>
  </si>
  <si>
    <t>Юниоры 20 - 23 (02.10.1998)/21</t>
  </si>
  <si>
    <t>94,30</t>
  </si>
  <si>
    <t>Челышев Вячеслав</t>
  </si>
  <si>
    <t>1. Челышев Вячеслав</t>
  </si>
  <si>
    <t>Открытая (21.04.1989)/30</t>
  </si>
  <si>
    <t>106,40</t>
  </si>
  <si>
    <t xml:space="preserve">Москва </t>
  </si>
  <si>
    <t>Бондаренко Евгений</t>
  </si>
  <si>
    <t>2. Бондаренко Евгений</t>
  </si>
  <si>
    <t>Открытая (26.01.1990)/29</t>
  </si>
  <si>
    <t>108,30</t>
  </si>
  <si>
    <t>3. Пелин Артем</t>
  </si>
  <si>
    <t>182,5</t>
  </si>
  <si>
    <t>Дальниковский Дмитрий</t>
  </si>
  <si>
    <t>1. Дальниковский Дмитрий</t>
  </si>
  <si>
    <t>Открытая (12.10.1985)/34</t>
  </si>
  <si>
    <t>116,50</t>
  </si>
  <si>
    <t>162,5o</t>
  </si>
  <si>
    <t>Остапенко Илья</t>
  </si>
  <si>
    <t>2. Остапенко Илья</t>
  </si>
  <si>
    <t>Открытая (22.12.1987)/31</t>
  </si>
  <si>
    <t>115,70</t>
  </si>
  <si>
    <t>Горбанев Юрий</t>
  </si>
  <si>
    <t>3. Горбанев Юрий</t>
  </si>
  <si>
    <t>Открытая (17.08.1981)/38</t>
  </si>
  <si>
    <t>90,4909</t>
  </si>
  <si>
    <t>78,5028</t>
  </si>
  <si>
    <t>126,3300</t>
  </si>
  <si>
    <t>118,9110</t>
  </si>
  <si>
    <t>113,6940</t>
  </si>
  <si>
    <t>107,7200</t>
  </si>
  <si>
    <t>99,4930</t>
  </si>
  <si>
    <t>96,2880</t>
  </si>
  <si>
    <t>93,8550</t>
  </si>
  <si>
    <t>90,8900</t>
  </si>
  <si>
    <t>86,1412</t>
  </si>
  <si>
    <t>84,9280</t>
  </si>
  <si>
    <t>79,7100</t>
  </si>
  <si>
    <t>Чемпионат России по пауэрлифтингу и силовым видам спорта "Богатыри Руси II"
ПРО жим лежа Софт экипировка однопетельная
Белгород/Белгородская область 16 - 17 ноября 2019 г.</t>
  </si>
  <si>
    <t>Рыбникова Алина</t>
  </si>
  <si>
    <t>1. Рыбникова Алина</t>
  </si>
  <si>
    <t>Юниорки 20 - 23 (11.05.1996)/23</t>
  </si>
  <si>
    <t xml:space="preserve">Юниорки </t>
  </si>
  <si>
    <t>69,9520</t>
  </si>
  <si>
    <t>131,6330</t>
  </si>
  <si>
    <t>Чемпионат России по пауэрлифтингу и силовым видам спорта "Богатыри Руси II"
Любители жим лежа в Софт экипировка многопетельная
Белгород/Белгородская область 16 - 17 ноября 2019 г.</t>
  </si>
  <si>
    <t>Корниенко Руслан</t>
  </si>
  <si>
    <t>1. Корниенко Руслан</t>
  </si>
  <si>
    <t>Открытая (09.03.1981)/38</t>
  </si>
  <si>
    <t>96,60</t>
  </si>
  <si>
    <t>Калакуцкий Руслан</t>
  </si>
  <si>
    <t>1. Калакуцкий Руслан</t>
  </si>
  <si>
    <t>Мастера 40 - 44 (22.04.1979)/40</t>
  </si>
  <si>
    <t>98,00</t>
  </si>
  <si>
    <t xml:space="preserve">Викинги </t>
  </si>
  <si>
    <t>255,0</t>
  </si>
  <si>
    <t>265,0</t>
  </si>
  <si>
    <t>Карпачев Михаил</t>
  </si>
  <si>
    <t>1. Карпачев Михаил</t>
  </si>
  <si>
    <t>Мастера 60 - 64 (11.11.1959)/60</t>
  </si>
  <si>
    <t>98,60</t>
  </si>
  <si>
    <t>Горбанев Виталий</t>
  </si>
  <si>
    <t>1. Горбанев Виталий</t>
  </si>
  <si>
    <t>Открытая (28.09.1987)/32</t>
  </si>
  <si>
    <t>104,60</t>
  </si>
  <si>
    <t>225,0o</t>
  </si>
  <si>
    <t>Виноходов Сергей</t>
  </si>
  <si>
    <t>1. Виноходов Сергей</t>
  </si>
  <si>
    <t>Открытая (17.09.1982)/37</t>
  </si>
  <si>
    <t>132,80</t>
  </si>
  <si>
    <t>300,0</t>
  </si>
  <si>
    <t>148,3756</t>
  </si>
  <si>
    <t>137,9350</t>
  </si>
  <si>
    <t>127,9340</t>
  </si>
  <si>
    <t>151,3194</t>
  </si>
  <si>
    <t>148,1615</t>
  </si>
  <si>
    <t>Чемпионат России по пауэрлифтингу и силовым видам спорта "Богатыри Руси II"
ПРО жим лежа в Софт экипировка многопетельная
Белгород/Белгородская область 16 - 17 ноября 2019 г.</t>
  </si>
  <si>
    <t>Лазуренко Ольга</t>
  </si>
  <si>
    <t>1. Лазуренко Ольга</t>
  </si>
  <si>
    <t>Открытая (05.09.1971)/48</t>
  </si>
  <si>
    <t>63,60</t>
  </si>
  <si>
    <t>131,1520</t>
  </si>
  <si>
    <t>Чемпионат России по пауэрлифтингу и силовым видам спорта "Богатыри Руси II"
СОВ становая тяга
Белгород/Белгородская область 16 - 17 ноября 2019 г.</t>
  </si>
  <si>
    <t>Любивый Дмитрий</t>
  </si>
  <si>
    <t>1. Любивый Дмитрий</t>
  </si>
  <si>
    <t>Мастера 40 - 44 (01.02.1976)/43</t>
  </si>
  <si>
    <t>58,70</t>
  </si>
  <si>
    <t>63,4927</t>
  </si>
  <si>
    <t>Чемпионат России по пауэрлифтингу и силовым видам спорта "Богатыри Руси II"
Любители становая тяга без экипировки
Белгород/Белгородская область 16 - 17 ноября 2019 г.</t>
  </si>
  <si>
    <t>ВЕСОВАЯ КАТЕГОРИЯ   44</t>
  </si>
  <si>
    <t>Пастухова Ульяна</t>
  </si>
  <si>
    <t>1. Пастухова Ульяна</t>
  </si>
  <si>
    <t>Девушки 0-13 (10.10.2007)/12</t>
  </si>
  <si>
    <t>41,40</t>
  </si>
  <si>
    <t>Пастухова Светлана</t>
  </si>
  <si>
    <t>1. Пастухова Светлана</t>
  </si>
  <si>
    <t>Открытая (03.03.1983)/36</t>
  </si>
  <si>
    <t>55,20</t>
  </si>
  <si>
    <t>Алексеева Дарья</t>
  </si>
  <si>
    <t>1. Алексеева Дарья</t>
  </si>
  <si>
    <t>Девушки 16 - 17 (13.02.2002)/17</t>
  </si>
  <si>
    <t>60,00</t>
  </si>
  <si>
    <t>107,5</t>
  </si>
  <si>
    <t>112,5</t>
  </si>
  <si>
    <t>Алексеева Анастасия</t>
  </si>
  <si>
    <t>1. Алексеева Анастасия</t>
  </si>
  <si>
    <t>Девушки 14-15 (26.06.2005)/14</t>
  </si>
  <si>
    <t>71,90</t>
  </si>
  <si>
    <t>Тишкин Кирилл</t>
  </si>
  <si>
    <t>1. Тишкин Кирилл</t>
  </si>
  <si>
    <t>Юноши 0-13 (25.07.2008)/11</t>
  </si>
  <si>
    <t>44,10</t>
  </si>
  <si>
    <t>Семенов Роман</t>
  </si>
  <si>
    <t>1. Семенов Роман</t>
  </si>
  <si>
    <t>Юноши 14-15 (05.04.2005)/14</t>
  </si>
  <si>
    <t>58,50</t>
  </si>
  <si>
    <t>122,5</t>
  </si>
  <si>
    <t>Киреев Виталий</t>
  </si>
  <si>
    <t>1. Киреев Виталий</t>
  </si>
  <si>
    <t>Юноши 0-13 (12.04.2007)/12</t>
  </si>
  <si>
    <t>67,00</t>
  </si>
  <si>
    <t>Максимов Андрей</t>
  </si>
  <si>
    <t>1. Максимов Андрей</t>
  </si>
  <si>
    <t>Открытая (24.10.1991)/28</t>
  </si>
  <si>
    <t>64,40</t>
  </si>
  <si>
    <t>202,5</t>
  </si>
  <si>
    <t>207,5</t>
  </si>
  <si>
    <t>Хазыков Руслан</t>
  </si>
  <si>
    <t>1. Хазыков Руслан</t>
  </si>
  <si>
    <t>Открытая (27.02.1985)/34</t>
  </si>
  <si>
    <t>Замараев Андрей</t>
  </si>
  <si>
    <t>1. Замараев Андрей</t>
  </si>
  <si>
    <t>Открытая (18.12.1984)/34</t>
  </si>
  <si>
    <t>1. Мусиенко Константин</t>
  </si>
  <si>
    <t>260,0o</t>
  </si>
  <si>
    <t>Лавренов Николай</t>
  </si>
  <si>
    <t>1. Лавренов Николай</t>
  </si>
  <si>
    <t>Открытая (21.05.1988)/31</t>
  </si>
  <si>
    <t>98,40</t>
  </si>
  <si>
    <t>44</t>
  </si>
  <si>
    <t>128,7884</t>
  </si>
  <si>
    <t>102,4474</t>
  </si>
  <si>
    <t>92,9772</t>
  </si>
  <si>
    <t>86,9539</t>
  </si>
  <si>
    <t>87,6708</t>
  </si>
  <si>
    <t>188,6844</t>
  </si>
  <si>
    <t>104,9287</t>
  </si>
  <si>
    <t>110,3418</t>
  </si>
  <si>
    <t>82,2107</t>
  </si>
  <si>
    <t>62,9133</t>
  </si>
  <si>
    <t>138,0751</t>
  </si>
  <si>
    <t>153,4950</t>
  </si>
  <si>
    <t>153,2180</t>
  </si>
  <si>
    <t>137,0835</t>
  </si>
  <si>
    <t>131,1535</t>
  </si>
  <si>
    <t>115,5240</t>
  </si>
  <si>
    <t>116,6843</t>
  </si>
  <si>
    <t>Чемпионат России по пауэрлифтингу и силовым видам спорта "Богатыри Руси II"
ПРО становая тяга без экипировки
Белгород/Белгородская область 16 - 17 ноября 2019 г.</t>
  </si>
  <si>
    <t>-. Мотайло Дмитрий</t>
  </si>
  <si>
    <t>Открытая (06.06.1985)/34</t>
  </si>
  <si>
    <t>97,00</t>
  </si>
  <si>
    <t>1. Бондаренко Евгений</t>
  </si>
  <si>
    <t>300,0o</t>
  </si>
  <si>
    <t>315,0</t>
  </si>
  <si>
    <t>2. Меркулов Виталий</t>
  </si>
  <si>
    <t>Кузнецов Александр</t>
  </si>
  <si>
    <t>1. Кузнецов Александр</t>
  </si>
  <si>
    <t>Открытая (30.12.1983)/35</t>
  </si>
  <si>
    <t>115,90</t>
  </si>
  <si>
    <t xml:space="preserve">Лебедянь/Липецкая область </t>
  </si>
  <si>
    <t>161,5800</t>
  </si>
  <si>
    <t>155,9330</t>
  </si>
  <si>
    <t>143,2620</t>
  </si>
  <si>
    <t>Чемпионат России по пауэрлифтингу и силовым видам спорта "Богатыри Руси II"
Любители присед без экипировки
Белгород/Белгородская область 16 - 17 ноября 2019 г.</t>
  </si>
  <si>
    <t>30,0</t>
  </si>
  <si>
    <t>57,1901</t>
  </si>
  <si>
    <t>44,9381</t>
  </si>
  <si>
    <t>Чемпионат России по пауэрлифтингу и силовым видам спорта "Богатыри Руси II"
Силовое двоеборье профессионалы
Белгород/Белгородская область 16 - 17 ноября 2019 г.</t>
  </si>
  <si>
    <t>380,0</t>
  </si>
  <si>
    <t>271,6525</t>
  </si>
  <si>
    <t>Чемпионат России по пауэрлифтингу и силовым видам спорта "Богатыри Руси II" РЖ+РТ
Русский жим профессионалы 55 кг.
Белгород/Белгородская область 16 - 17 ноября 2019 г.</t>
  </si>
  <si>
    <t>Атлетизм</t>
  </si>
  <si>
    <t>Русский жим</t>
  </si>
  <si>
    <t>ВЕСОВАЯ КАТЕГОРИЯ   All</t>
  </si>
  <si>
    <t>Киян Андрей</t>
  </si>
  <si>
    <t>1. Киян Андрей</t>
  </si>
  <si>
    <t>Открытая (17.06.1974)/45</t>
  </si>
  <si>
    <t>92,90</t>
  </si>
  <si>
    <t>Мухин Олег</t>
  </si>
  <si>
    <t>2. Мухин Олег</t>
  </si>
  <si>
    <t>Открытая (14.09.1961)/58</t>
  </si>
  <si>
    <t>79,20</t>
  </si>
  <si>
    <t xml:space="preserve">Пермь/Пермский край </t>
  </si>
  <si>
    <t>49,0</t>
  </si>
  <si>
    <t>1. Мухин Олег</t>
  </si>
  <si>
    <t>Мастера 55 - 59 (14.09.1961)/58</t>
  </si>
  <si>
    <t xml:space="preserve">Атлетизм </t>
  </si>
  <si>
    <t>All</t>
  </si>
  <si>
    <t>23100,0</t>
  </si>
  <si>
    <t>248,6544</t>
  </si>
  <si>
    <t>2695,0</t>
  </si>
  <si>
    <t>34,0277</t>
  </si>
  <si>
    <t>Вес</t>
  </si>
  <si>
    <t>Повторы</t>
  </si>
  <si>
    <t>Тоннаж</t>
  </si>
  <si>
    <t>Чемпионат России по пауэрлифтингу и силовым видам спорта "Богатыри Руси II" РЖ+РТ
Русский жим профессионалы 75 кг.
Белгород/Белгородская область 16 - 17 ноября 2019 г.</t>
  </si>
  <si>
    <t>25,0</t>
  </si>
  <si>
    <t>1875,0</t>
  </si>
  <si>
    <t>23,6742</t>
  </si>
  <si>
    <t>Чемпионат России по пауэрлифтингу и силовым видам спорта "Богатыри Руси II" РЖ+РТ
Русский жим профессионалы 150 кг.
Белгород/Белгородская область 16 - 17 ноября 2019 г.</t>
  </si>
  <si>
    <t>12,0</t>
  </si>
  <si>
    <t>1800,0</t>
  </si>
  <si>
    <t>16,9172</t>
  </si>
  <si>
    <t>Чемпионат России по пауэрлифтингу и силовым видам спорта "Богатыри Руси II" РЖ+РТ
Русский жим любители 35 кг.
Белгород/Белгородская область 16 - 17 ноября 2019 г.</t>
  </si>
  <si>
    <t>Корниенко Наталья</t>
  </si>
  <si>
    <t>1. Корниенко Наталья</t>
  </si>
  <si>
    <t>Открытая (21.11.1988)/30</t>
  </si>
  <si>
    <t>66,50</t>
  </si>
  <si>
    <t>Чемпионат России по пауэрлифтингу и силовым видам спорта "Богатыри Руси II" РЖ+РТ
Русский жим любители 55 кг.
Белгород/Белгородская область 16 - 17 ноября 2019 г.</t>
  </si>
  <si>
    <t>Петренко Александр</t>
  </si>
  <si>
    <t>1. Петренко Александр</t>
  </si>
  <si>
    <t>Юноши 0-13 (25.09.2006)/13</t>
  </si>
  <si>
    <t>58,80</t>
  </si>
  <si>
    <t>Открытая (01.04.2000)/19</t>
  </si>
  <si>
    <t>2. Корниенко Руслан</t>
  </si>
  <si>
    <t>Тарской Александр</t>
  </si>
  <si>
    <t>3. Тарской Александр</t>
  </si>
  <si>
    <t>Открытая (19.12.1980)/38</t>
  </si>
  <si>
    <t>81,70</t>
  </si>
  <si>
    <t>71,0</t>
  </si>
  <si>
    <t>Доронин Эдуард</t>
  </si>
  <si>
    <t>4. Доронин Эдуард</t>
  </si>
  <si>
    <t>Открытая (17.12.1979)/39</t>
  </si>
  <si>
    <t>Соколов Артем</t>
  </si>
  <si>
    <t>5. Соколов Артем</t>
  </si>
  <si>
    <t>Открытая (04.09.1985)/34</t>
  </si>
  <si>
    <t>56,0</t>
  </si>
  <si>
    <t>6. Мухин Олег</t>
  </si>
  <si>
    <t>7. Лазуренко Виталий</t>
  </si>
  <si>
    <t>48,0</t>
  </si>
  <si>
    <t>Борзиков Александр</t>
  </si>
  <si>
    <t>1. Борзиков Александр</t>
  </si>
  <si>
    <t>Мастера 55 - 59 (08.05.1964)/55</t>
  </si>
  <si>
    <t>57,0</t>
  </si>
  <si>
    <t>6600,0</t>
  </si>
  <si>
    <t>67,4157</t>
  </si>
  <si>
    <t>3905,0</t>
  </si>
  <si>
    <t>47,7968</t>
  </si>
  <si>
    <t>4400,0</t>
  </si>
  <si>
    <t>45,5486</t>
  </si>
  <si>
    <t>3575,0</t>
  </si>
  <si>
    <t>40,1685</t>
  </si>
  <si>
    <t>3080,0</t>
  </si>
  <si>
    <t>34,6067</t>
  </si>
  <si>
    <t>2640,0</t>
  </si>
  <si>
    <t>32,7746</t>
  </si>
  <si>
    <t>3135,0</t>
  </si>
  <si>
    <t>33,7459</t>
  </si>
  <si>
    <t>Чемпионат России по пауэрлифтингу и силовым видам спорта "Богатыри Руси II" РЖ+РТ
Русский жим любители 75 кг.
Белгород/Белгородская область 16 - 17 ноября 2019 г.</t>
  </si>
  <si>
    <t>Чемпионат России по пауэрлифтингу и силовым видам спорта "Богатыри Руси II" РЖ+РТ
Русская станова тяга любители 55 кг.
Белгород/Белгородская область 16 - 17 ноября 2019 г.</t>
  </si>
  <si>
    <t>Русская становая</t>
  </si>
  <si>
    <t>Ельникова Марина</t>
  </si>
  <si>
    <t>1. Ельникова Марина</t>
  </si>
  <si>
    <t>Открытая (26.04.1987)/32</t>
  </si>
  <si>
    <t>34,0</t>
  </si>
  <si>
    <t>1870,0</t>
  </si>
  <si>
    <t>27,7037</t>
  </si>
  <si>
    <t>Чемпионат России по пауэрлифтингу и силовым видам спорта "Богатыри Руси II" РЖ+РТ
Русская станова тяга любители 100 кг.
Белгород/Белгородская область 16 - 17 ноября 2019 г.</t>
  </si>
  <si>
    <t>18,0</t>
  </si>
  <si>
    <t>Бахтин Евгений</t>
  </si>
  <si>
    <t>1. Бахтин Евгений</t>
  </si>
  <si>
    <t>Открытая (13.12.1993)/25</t>
  </si>
  <si>
    <t>80,80</t>
  </si>
  <si>
    <t>27,0</t>
  </si>
  <si>
    <t>27,0676</t>
  </si>
  <si>
    <t>2700,0</t>
  </si>
  <si>
    <t>33,4158</t>
  </si>
  <si>
    <t>Чемпионат России по пауэрлифтингу и силовым видам спорта "Богатыри Руси II" РЖ+РТ
Русская станова тяга любители 150 кг.
Белгород/Белгородская область 16 - 17 ноября 2019 г.</t>
  </si>
  <si>
    <t>17,0</t>
  </si>
  <si>
    <t>Пастухов Максим</t>
  </si>
  <si>
    <t>1. Пастухов Максим</t>
  </si>
  <si>
    <t>Мастера 40 - 44 (06.09.1976)/43</t>
  </si>
  <si>
    <t>98,50</t>
  </si>
  <si>
    <t>28,0</t>
  </si>
  <si>
    <t>2550,0</t>
  </si>
  <si>
    <t>34,2741</t>
  </si>
  <si>
    <t>4200,0</t>
  </si>
  <si>
    <t>42,6395</t>
  </si>
  <si>
    <t>Чемпионат России по пауэрлифтингу и силовым видам спорта "Богатыри Руси II" РЖ+РТ
Русская станова тяга любители 200 кг.
Белгород/Белгородская область 16 - 17 ноября 2019 г.</t>
  </si>
  <si>
    <t>9,0</t>
  </si>
  <si>
    <t>11,0</t>
  </si>
  <si>
    <t>21,5827</t>
  </si>
  <si>
    <t>2200,0</t>
  </si>
  <si>
    <t>22,3577</t>
  </si>
  <si>
    <t>Чемпионат России по пауэрлифтингу и силовым видам спорта "Богатыри Руси II" РЖ+РТ
Русская станова тяга профессионалы 200 кг.
Белгород/Белгородская область 16 - 17 ноября 2019 г.</t>
  </si>
  <si>
    <t>Польшиков Василий</t>
  </si>
  <si>
    <t>1. Польшиков Василий</t>
  </si>
  <si>
    <t>Открытая (27.09.1982)/37</t>
  </si>
  <si>
    <t>82,00</t>
  </si>
  <si>
    <t>15,0</t>
  </si>
  <si>
    <t>3000,0</t>
  </si>
  <si>
    <t>36,5853</t>
  </si>
  <si>
    <t>22,9885</t>
  </si>
  <si>
    <t>Чемпионат России по пауэрлифтингу и силовым видам спорта "Богатыри Руси II" ПС
Одиночный жим штанги стоя Любители
Белгород/Белгородская область 16 - 17 ноября 2019 г.</t>
  </si>
  <si>
    <t>Жим стоя</t>
  </si>
  <si>
    <t>Чубарых Петр</t>
  </si>
  <si>
    <t>1. Чубарых Петр</t>
  </si>
  <si>
    <t>Открытая (17.04.1980)/39</t>
  </si>
  <si>
    <t>73,80</t>
  </si>
  <si>
    <t>Шульгин Сергей</t>
  </si>
  <si>
    <t>1. Шульгин Сергей</t>
  </si>
  <si>
    <t>Мастера 40 - 44 (20.10.1975)/44</t>
  </si>
  <si>
    <t>92,5</t>
  </si>
  <si>
    <t>Алкидис Радислав</t>
  </si>
  <si>
    <t>1. Алкидис Радислав</t>
  </si>
  <si>
    <t>Мастера 40 - 44 (04.12.1978)/40</t>
  </si>
  <si>
    <t>98,30</t>
  </si>
  <si>
    <t>Открытая (13.10.1979)/40</t>
  </si>
  <si>
    <t>1. Пахомов Никита</t>
  </si>
  <si>
    <t>55,0664</t>
  </si>
  <si>
    <t>48,8890</t>
  </si>
  <si>
    <t>67,0750</t>
  </si>
  <si>
    <t>57,2050</t>
  </si>
  <si>
    <t>45,1690</t>
  </si>
  <si>
    <t>60,0173</t>
  </si>
  <si>
    <t>56,2001</t>
  </si>
  <si>
    <t>Чемпионат России по пауэрлифтингу и силовым видам спорта "Богатыри Руси II" ПС
Одиночный жим штанги стоя Профессионалы
Белгород/Белгородская область 16 - 17 ноября 2019 г.</t>
  </si>
  <si>
    <t>Трофимов Дмитрий</t>
  </si>
  <si>
    <t>1. Трофимов Дмитрий</t>
  </si>
  <si>
    <t>Мастера 45 - 49 (18.02.1974)/45</t>
  </si>
  <si>
    <t>88,50</t>
  </si>
  <si>
    <t>52,6819</t>
  </si>
  <si>
    <t>Чемпионат России по пауэрлифтингу и силовым видам спорта "Богатыри Руси II" ПС
Одиночный подъём штанги на бицепс Любители
Белгород/Белгородская область 16 - 17 ноября 2019 г.</t>
  </si>
  <si>
    <t>Подъем на бицепс</t>
  </si>
  <si>
    <t>27,5</t>
  </si>
  <si>
    <t>Ансимов Дмитрий</t>
  </si>
  <si>
    <t>1. Ансимов Дмитрий</t>
  </si>
  <si>
    <t>Юноши 14-15 (05.01.2004)/15</t>
  </si>
  <si>
    <t>49,30</t>
  </si>
  <si>
    <t xml:space="preserve">Кадеты </t>
  </si>
  <si>
    <t>37,5</t>
  </si>
  <si>
    <t>Глушко Дмитрий</t>
  </si>
  <si>
    <t>2. Глушко Дмитрий</t>
  </si>
  <si>
    <t>Юноши 14-15 (04.10.2004)/15</t>
  </si>
  <si>
    <t>56,70</t>
  </si>
  <si>
    <t>Анисимов Александр</t>
  </si>
  <si>
    <t>1. Анисимов Александр</t>
  </si>
  <si>
    <t>Юноши 14-15 (11.01.2005)/14</t>
  </si>
  <si>
    <t>64,90</t>
  </si>
  <si>
    <t xml:space="preserve">Короча/Белгородская область </t>
  </si>
  <si>
    <t>Петрунин Никита</t>
  </si>
  <si>
    <t>-. Петрунин Никита</t>
  </si>
  <si>
    <t>Юноши 16 - 17 (29.07.2002)/17</t>
  </si>
  <si>
    <t>Михайлюков Роман</t>
  </si>
  <si>
    <t>1. Михайлюков Роман</t>
  </si>
  <si>
    <t>Юноши 14-15 (02.04.2004)/15</t>
  </si>
  <si>
    <t>68,00</t>
  </si>
  <si>
    <t>Диденко Николай</t>
  </si>
  <si>
    <t>2. Диденко Николай</t>
  </si>
  <si>
    <t>Юноши 14-15 (02.01.2004)/15</t>
  </si>
  <si>
    <t>Пойманов Никита</t>
  </si>
  <si>
    <t>1. Пойманов Никита</t>
  </si>
  <si>
    <t>Юноши 16 - 17 (15.05.2002)/17</t>
  </si>
  <si>
    <t>Воронин Владислав</t>
  </si>
  <si>
    <t>1. Воронин Владислав</t>
  </si>
  <si>
    <t>Юноши 18 - 19 (03.12.2000)/18</t>
  </si>
  <si>
    <t>57,5o</t>
  </si>
  <si>
    <t>Осетров Евгений</t>
  </si>
  <si>
    <t>1. Осетров Евгений</t>
  </si>
  <si>
    <t>Юниоры 20 - 23 (03.03.1996)/23</t>
  </si>
  <si>
    <t>74,20</t>
  </si>
  <si>
    <t>2. Зубарев Андрей</t>
  </si>
  <si>
    <t>3. Осетров Евгений</t>
  </si>
  <si>
    <t>Открытая (03.03.1996)/23</t>
  </si>
  <si>
    <t>4. Хазыков Руслан</t>
  </si>
  <si>
    <t>Мишуров Кирилл</t>
  </si>
  <si>
    <t>1. Мишуров Кирилл</t>
  </si>
  <si>
    <t>Юноши 16 - 17 (14.09.2002)/17</t>
  </si>
  <si>
    <t>79,50</t>
  </si>
  <si>
    <t>72,5o</t>
  </si>
  <si>
    <t>2. Бекетов Андрей</t>
  </si>
  <si>
    <t>Рядинский Денис</t>
  </si>
  <si>
    <t>1. Рядинский Денис</t>
  </si>
  <si>
    <t>Открытая (06.07.1985)/34</t>
  </si>
  <si>
    <t>82,30</t>
  </si>
  <si>
    <t>Тимофеев Владислав</t>
  </si>
  <si>
    <t>2. Тимофеев Владислав</t>
  </si>
  <si>
    <t>Открытая (02.05.1994)/25</t>
  </si>
  <si>
    <t>72,5</t>
  </si>
  <si>
    <t>3. Бахтин Евгений</t>
  </si>
  <si>
    <t>Михайлов Сергей</t>
  </si>
  <si>
    <t>4. Михайлов Сергей</t>
  </si>
  <si>
    <t>Открытая (03.09.1989)/30</t>
  </si>
  <si>
    <t>5. Замараев Андрей</t>
  </si>
  <si>
    <t>Поданев Игорь</t>
  </si>
  <si>
    <t>1. Поданев Игорь</t>
  </si>
  <si>
    <t>Мастера 40 - 44 (19.02.1979)/40</t>
  </si>
  <si>
    <t>Горбик Владимир</t>
  </si>
  <si>
    <t>2. Горбик Владимир</t>
  </si>
  <si>
    <t>Мастера 40 - 44 (06.01.1978)/41</t>
  </si>
  <si>
    <t>80,40</t>
  </si>
  <si>
    <t xml:space="preserve">Луганск/Луганская область </t>
  </si>
  <si>
    <t>Кудиевский Александр</t>
  </si>
  <si>
    <t>1. Кудиевский Александр</t>
  </si>
  <si>
    <t>Открытая (02.06.1977)/42</t>
  </si>
  <si>
    <t>3. Соколов Артем</t>
  </si>
  <si>
    <t>Валяев Александр</t>
  </si>
  <si>
    <t>4. Валяев Александр</t>
  </si>
  <si>
    <t>Открытая (18.04.1991)/28</t>
  </si>
  <si>
    <t>89,60</t>
  </si>
  <si>
    <t>Мастера 40 - 44 (02.06.1977)/42</t>
  </si>
  <si>
    <t>Медведев Александр</t>
  </si>
  <si>
    <t>2. Медведев Александр</t>
  </si>
  <si>
    <t>Мастера 40 - 44 (18.07.1975)/44</t>
  </si>
  <si>
    <t>86,00</t>
  </si>
  <si>
    <t>Открытая (04.12.1978)/40</t>
  </si>
  <si>
    <t>Карпунин Александр</t>
  </si>
  <si>
    <t>1. Карпунин Александр</t>
  </si>
  <si>
    <t>Мастера 45 - 49 (21.10.1974)/45</t>
  </si>
  <si>
    <t>99,90</t>
  </si>
  <si>
    <t xml:space="preserve">ФОК Олимпийский </t>
  </si>
  <si>
    <t>Назин Александр</t>
  </si>
  <si>
    <t>1. Назин Александр</t>
  </si>
  <si>
    <t>Открытая (21.11.1985)/33</t>
  </si>
  <si>
    <t>2. Ильченко Евгений</t>
  </si>
  <si>
    <t>25,6119</t>
  </si>
  <si>
    <t>49,7831</t>
  </si>
  <si>
    <t>46,7230</t>
  </si>
  <si>
    <t>45,0876</t>
  </si>
  <si>
    <t>43,9590</t>
  </si>
  <si>
    <t>43,3318</t>
  </si>
  <si>
    <t>41,0193</t>
  </si>
  <si>
    <t>38,2904</t>
  </si>
  <si>
    <t>37,7012</t>
  </si>
  <si>
    <t>36,5992</t>
  </si>
  <si>
    <t>36,2567</t>
  </si>
  <si>
    <t>32,8913</t>
  </si>
  <si>
    <t>30,6307</t>
  </si>
  <si>
    <t>30,5502</t>
  </si>
  <si>
    <t>38,5307</t>
  </si>
  <si>
    <t>48,8513</t>
  </si>
  <si>
    <t>46,5305</t>
  </si>
  <si>
    <t>46,5225</t>
  </si>
  <si>
    <t>43,7450</t>
  </si>
  <si>
    <t>42,4170</t>
  </si>
  <si>
    <t>42,2685</t>
  </si>
  <si>
    <t>41,6717</t>
  </si>
  <si>
    <t>40,6020</t>
  </si>
  <si>
    <t>40,3875</t>
  </si>
  <si>
    <t>40,1125</t>
  </si>
  <si>
    <t>39,0000</t>
  </si>
  <si>
    <t>38,5775</t>
  </si>
  <si>
    <t>38,4502</t>
  </si>
  <si>
    <t>36,8312</t>
  </si>
  <si>
    <t>36,6812</t>
  </si>
  <si>
    <t>50,7393</t>
  </si>
  <si>
    <t>43,7220</t>
  </si>
  <si>
    <t>40,6634</t>
  </si>
  <si>
    <t>39,3510</t>
  </si>
  <si>
    <t>38,8043</t>
  </si>
  <si>
    <t>34,7926</t>
  </si>
  <si>
    <t>Чемпионат России по пауэрлифтингу и силовым видам спорта "Богатыри Руси II" ПС
Одиночный подъём штанги на бицепс Профессионалы
Белгород/Белгородская область 16 - 17 ноября 2019 г.</t>
  </si>
  <si>
    <t>Рядинский Данила</t>
  </si>
  <si>
    <t>1. Рядинский Данила</t>
  </si>
  <si>
    <t>Юноши 0-13 (01.12.2009)/9</t>
  </si>
  <si>
    <t>29,30</t>
  </si>
  <si>
    <t>10,0</t>
  </si>
  <si>
    <t>12,5</t>
  </si>
  <si>
    <t>24,2304</t>
  </si>
  <si>
    <t>36,3439</t>
  </si>
  <si>
    <t>55,4028</t>
  </si>
  <si>
    <t>38,7367</t>
  </si>
  <si>
    <t>Чемпионат России по пауэрлифтингу и силовым видам спорта "Богатыри Руси II" ПС
Пауэрспорт Любители
Белгород/Белгородская область 16 - 17 ноября 2019 г.</t>
  </si>
  <si>
    <t>Воронин Павел</t>
  </si>
  <si>
    <t>1. Воронин Павел</t>
  </si>
  <si>
    <t>Юниоры 20 - 23 (17.09.1999)/20</t>
  </si>
  <si>
    <t>Аванесов Марлен</t>
  </si>
  <si>
    <t>3. Аванесов Марлен</t>
  </si>
  <si>
    <t>Открытая (05.12.1994)/24</t>
  </si>
  <si>
    <t>-. Михайлов Сергей</t>
  </si>
  <si>
    <t>Няняков Владислав</t>
  </si>
  <si>
    <t>1. Няняков Владислав</t>
  </si>
  <si>
    <t>Юниоры 20 - 23 (22.09.1998)/21</t>
  </si>
  <si>
    <t>97,50</t>
  </si>
  <si>
    <t>91,8848</t>
  </si>
  <si>
    <t>88,0009</t>
  </si>
  <si>
    <t>74,3223</t>
  </si>
  <si>
    <t>100,9500</t>
  </si>
  <si>
    <t>99,2480</t>
  </si>
  <si>
    <t>97,8745</t>
  </si>
  <si>
    <t>94,3540</t>
  </si>
  <si>
    <t>94,0950</t>
  </si>
  <si>
    <t>108,8685</t>
  </si>
  <si>
    <t>Чемпионат России по пауэрлифтингу и силовым видам спорта "Богатыри Руси II" ПС
Пауэрспорт Профессионалы
Белгород/Белгородская область 16 - 17 ноября 2019 г.</t>
  </si>
  <si>
    <t>ВЕСОВАЯ КАТЕГОРИЯ   75+</t>
  </si>
  <si>
    <t>Подпорина Любовь</t>
  </si>
  <si>
    <t>1. Подпорина Любовь</t>
  </si>
  <si>
    <t>Мастера 45 - 49 (30.09.1970)/49</t>
  </si>
  <si>
    <t>82,50</t>
  </si>
  <si>
    <t>42,5</t>
  </si>
  <si>
    <t>75+</t>
  </si>
  <si>
    <t>59,7036</t>
  </si>
  <si>
    <t>91,4186</t>
  </si>
  <si>
    <t>Чемпионат России по пауэрлифтингу и силовым видам спорта "Богатыри Руси II" НЖ
Любители народный жим (1 вес)
Белгород/Белгородская область 16 - 17 ноября 2019 г.</t>
  </si>
  <si>
    <t>НАП Н.Ж.</t>
  </si>
  <si>
    <t>Народный жим</t>
  </si>
  <si>
    <t>1. Тарской Александр</t>
  </si>
  <si>
    <t>24,0</t>
  </si>
  <si>
    <t>42,0</t>
  </si>
  <si>
    <t xml:space="preserve">НАП Н.Ж. </t>
  </si>
  <si>
    <t>1980,0</t>
  </si>
  <si>
    <t>1512,3240</t>
  </si>
  <si>
    <t>1440,0</t>
  </si>
  <si>
    <t>1134,5760</t>
  </si>
  <si>
    <t>3465,0</t>
  </si>
  <si>
    <t>2652,8041</t>
  </si>
  <si>
    <t>Чемпионат России по пауэрлифтингу и силовым видам спорта "Богатыри Руси II" НЖ
Любители народный жим (1/2 вес)
Белгород/Белгородская область 16 - 17 ноября 2019 г.</t>
  </si>
  <si>
    <t>47,0</t>
  </si>
  <si>
    <t>1. Петрунин Никита</t>
  </si>
  <si>
    <t>1852,5</t>
  </si>
  <si>
    <t>1598,5223</t>
  </si>
  <si>
    <t>1410,0</t>
  </si>
  <si>
    <t>1309,3260</t>
  </si>
  <si>
    <t>Чемпионат России по пауэрлифтингу и силовым видам спорта "Богатыри Руси II" НЖ
Профессионалы народный жим (1 вес)
Белгород/Белгородская область 16 - 17 ноября 2019 г.</t>
  </si>
  <si>
    <t>22,0</t>
  </si>
  <si>
    <t>Шелухин Роман</t>
  </si>
  <si>
    <t>1. Шелухин Роман</t>
  </si>
  <si>
    <t>Открытая (16.10.1992)/27</t>
  </si>
  <si>
    <t>94,60</t>
  </si>
  <si>
    <t>29,0</t>
  </si>
  <si>
    <t>2755,0</t>
  </si>
  <si>
    <t>1927,3979</t>
  </si>
  <si>
    <t>1815,0</t>
  </si>
  <si>
    <t>1381,2150</t>
  </si>
  <si>
    <t>2. Корниенко Наталья</t>
  </si>
  <si>
    <t>35</t>
  </si>
  <si>
    <t>1225,0</t>
  </si>
  <si>
    <t>20,8333</t>
  </si>
  <si>
    <t>Чемпионат России по пауэрлифтингу и силовым видам спорта "Богатыри Руси II" Жимовое двоеборье любители
Белгород/Белгородская область 16 - 17 ноября 2019 г.</t>
  </si>
  <si>
    <t>78,5</t>
  </si>
  <si>
    <t>Пересвет</t>
  </si>
  <si>
    <t>Повторения</t>
  </si>
  <si>
    <t>Вес штанги</t>
  </si>
  <si>
    <t>ВЕСОВАЯ КАТЕГОРИЯ   82,5</t>
  </si>
  <si>
    <t>155</t>
  </si>
  <si>
    <t>30</t>
  </si>
  <si>
    <t>88,2</t>
  </si>
  <si>
    <t>Титан</t>
  </si>
  <si>
    <t>Новый оскол</t>
  </si>
  <si>
    <t>145</t>
  </si>
  <si>
    <t>23</t>
  </si>
  <si>
    <t>175,5</t>
  </si>
  <si>
    <t>1. Величко Владислав</t>
  </si>
  <si>
    <t>Юноши 18-19 (01.04.2000)/19</t>
  </si>
  <si>
    <t>97,9</t>
  </si>
  <si>
    <t>21</t>
  </si>
  <si>
    <t>163,5</t>
  </si>
  <si>
    <t>150</t>
  </si>
  <si>
    <t>18</t>
  </si>
  <si>
    <t>173</t>
  </si>
  <si>
    <t>109</t>
  </si>
  <si>
    <t>Белгород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</si>
</sst>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J14" sqref="J14"/>
    </sheetView>
  </sheetViews>
  <sheetFormatPr defaultRowHeight="12.75"/>
  <cols>
    <col min="1" max="1" width="26" style="3" bestFit="1" customWidth="1"/>
    <col min="2" max="2" width="28.42578125" style="3" bestFit="1" customWidth="1"/>
    <col min="3" max="4" width="9.140625" style="3"/>
    <col min="5" max="5" width="22.7109375" style="3" bestFit="1" customWidth="1"/>
    <col min="6" max="9" width="9.140625" style="3"/>
    <col min="10" max="10" width="12.7109375" style="3" bestFit="1" customWidth="1"/>
    <col min="11" max="11" width="13.85546875" style="3" bestFit="1" customWidth="1"/>
    <col min="12" max="12" width="7.85546875" style="3" bestFit="1" customWidth="1"/>
    <col min="13" max="16384" width="9.140625" style="3"/>
  </cols>
  <sheetData>
    <row r="1" spans="1:12" s="2" customFormat="1" ht="15" customHeight="1">
      <c r="A1" s="18" t="s">
        <v>1115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2" customFormat="1" ht="123.7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 t="s">
        <v>1082</v>
      </c>
      <c r="K3" s="11"/>
      <c r="L3" s="11" t="s">
        <v>1</v>
      </c>
    </row>
    <row r="4" spans="1:12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1119</v>
      </c>
      <c r="K4" s="5" t="s">
        <v>1118</v>
      </c>
      <c r="L4" s="15"/>
    </row>
    <row r="5" spans="1:12" ht="15">
      <c r="A5" s="19" t="s">
        <v>1120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3.5" thickBot="1">
      <c r="A6" s="47" t="s">
        <v>436</v>
      </c>
      <c r="B6" s="47" t="s">
        <v>437</v>
      </c>
      <c r="C6" s="47" t="s">
        <v>1116</v>
      </c>
      <c r="D6" s="20" t="str">
        <f>"0,8364"</f>
        <v>0,8364</v>
      </c>
      <c r="E6" s="47" t="s">
        <v>1117</v>
      </c>
      <c r="F6" s="47" t="s">
        <v>1138</v>
      </c>
      <c r="G6" s="50" t="s">
        <v>1121</v>
      </c>
      <c r="H6" s="50" t="s">
        <v>438</v>
      </c>
      <c r="I6" s="22" t="s">
        <v>439</v>
      </c>
      <c r="J6" s="50" t="s">
        <v>68</v>
      </c>
      <c r="K6" s="50" t="s">
        <v>1122</v>
      </c>
      <c r="L6" s="47" t="s">
        <v>138</v>
      </c>
    </row>
    <row r="7" spans="1:12" ht="15">
      <c r="A7" s="19" t="s">
        <v>125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47" t="s">
        <v>280</v>
      </c>
      <c r="B8" s="47" t="s">
        <v>281</v>
      </c>
      <c r="C8" s="47" t="s">
        <v>1123</v>
      </c>
      <c r="D8" s="20" t="str">
        <f>"0,5978"</f>
        <v>0,5978</v>
      </c>
      <c r="E8" s="47" t="s">
        <v>1124</v>
      </c>
      <c r="F8" s="47" t="s">
        <v>1125</v>
      </c>
      <c r="G8" s="50" t="s">
        <v>1126</v>
      </c>
      <c r="H8" s="50" t="s">
        <v>297</v>
      </c>
      <c r="I8" s="22" t="s">
        <v>1121</v>
      </c>
      <c r="J8" s="50" t="s">
        <v>179</v>
      </c>
      <c r="K8" s="50" t="s">
        <v>1127</v>
      </c>
      <c r="L8" s="47" t="s">
        <v>1128</v>
      </c>
    </row>
    <row r="9" spans="1:12" ht="15">
      <c r="A9" s="51" t="s">
        <v>152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2">
      <c r="A10" s="47" t="s">
        <v>1129</v>
      </c>
      <c r="B10" s="47" t="s">
        <v>1130</v>
      </c>
      <c r="C10" s="47" t="s">
        <v>1131</v>
      </c>
      <c r="D10" s="20" t="str">
        <f>"0,5296"</f>
        <v>0,5296</v>
      </c>
      <c r="E10" s="47" t="s">
        <v>1124</v>
      </c>
      <c r="F10" s="47" t="s">
        <v>1125</v>
      </c>
      <c r="G10" s="50" t="s">
        <v>113</v>
      </c>
      <c r="H10" s="50" t="s">
        <v>475</v>
      </c>
      <c r="I10" s="50"/>
      <c r="J10" s="50" t="s">
        <v>188</v>
      </c>
      <c r="K10" s="50" t="s">
        <v>1132</v>
      </c>
      <c r="L10" s="47" t="s">
        <v>1133</v>
      </c>
    </row>
    <row r="11" spans="1:12" ht="15">
      <c r="A11" s="51" t="s">
        <v>219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2">
      <c r="A12" s="47" t="s">
        <v>999</v>
      </c>
      <c r="B12" s="47" t="s">
        <v>1000</v>
      </c>
      <c r="C12" s="47" t="s">
        <v>1137</v>
      </c>
      <c r="D12" s="20" t="str">
        <f>"0,5296"</f>
        <v>0,5296</v>
      </c>
      <c r="E12" s="47" t="s">
        <v>1124</v>
      </c>
      <c r="F12" s="47" t="s">
        <v>1125</v>
      </c>
      <c r="G12" s="50" t="s">
        <v>1126</v>
      </c>
      <c r="H12" s="50" t="s">
        <v>1134</v>
      </c>
      <c r="I12" s="50" t="s">
        <v>1121</v>
      </c>
      <c r="J12" s="50" t="s">
        <v>242</v>
      </c>
      <c r="K12" s="50" t="s">
        <v>1135</v>
      </c>
      <c r="L12" s="47" t="s">
        <v>1136</v>
      </c>
    </row>
    <row r="13" spans="1:12">
      <c r="A13" s="4"/>
      <c r="B13" s="4"/>
      <c r="C13" s="4"/>
      <c r="D13" s="4"/>
      <c r="F13" s="4"/>
      <c r="L13" s="4"/>
    </row>
    <row r="14" spans="1:12" ht="15">
      <c r="A14" s="4"/>
      <c r="B14" s="4"/>
      <c r="C14" s="4"/>
      <c r="D14" s="4"/>
      <c r="E14" s="23"/>
      <c r="F14" s="4"/>
      <c r="L14" s="4"/>
    </row>
    <row r="15" spans="1:12" ht="15">
      <c r="A15" s="4"/>
      <c r="B15" s="4"/>
      <c r="C15" s="4"/>
      <c r="D15" s="4"/>
      <c r="E15" s="23" t="s">
        <v>31</v>
      </c>
      <c r="F15" s="4"/>
      <c r="L15" s="4"/>
    </row>
    <row r="16" spans="1:12" ht="15">
      <c r="A16" s="4"/>
      <c r="B16" s="4"/>
      <c r="C16" s="4"/>
      <c r="D16" s="4"/>
      <c r="E16" s="23" t="s">
        <v>32</v>
      </c>
      <c r="F16" s="4"/>
      <c r="L16" s="4"/>
    </row>
    <row r="17" spans="5:5" ht="15">
      <c r="E17" s="23" t="s">
        <v>33</v>
      </c>
    </row>
    <row r="18" spans="5:5" ht="15">
      <c r="E18" s="23" t="s">
        <v>34</v>
      </c>
    </row>
    <row r="19" spans="5:5" ht="15">
      <c r="E19" s="23" t="s">
        <v>34</v>
      </c>
    </row>
    <row r="20" spans="5:5" ht="15">
      <c r="E20" s="23" t="s">
        <v>35</v>
      </c>
    </row>
  </sheetData>
  <mergeCells count="14">
    <mergeCell ref="F3:F4"/>
    <mergeCell ref="G3:I3"/>
    <mergeCell ref="J3:K3"/>
    <mergeCell ref="A11:L11"/>
    <mergeCell ref="A1:L2"/>
    <mergeCell ref="L3:L4"/>
    <mergeCell ref="A5:L5"/>
    <mergeCell ref="A7:L7"/>
    <mergeCell ref="A9:L9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8" width="6.5703125" style="3" bestFit="1" customWidth="1"/>
    <col min="9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880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97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881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883</v>
      </c>
      <c r="B6" s="20" t="s">
        <v>884</v>
      </c>
      <c r="C6" s="20" t="s">
        <v>885</v>
      </c>
      <c r="D6" s="20" t="str">
        <f>"0,6730"</f>
        <v>0,6730</v>
      </c>
      <c r="E6" s="20" t="s">
        <v>109</v>
      </c>
      <c r="F6" s="20" t="s">
        <v>110</v>
      </c>
      <c r="G6" s="21" t="s">
        <v>55</v>
      </c>
      <c r="H6" s="21" t="s">
        <v>28</v>
      </c>
      <c r="I6" s="21" t="s">
        <v>29</v>
      </c>
      <c r="J6" s="22"/>
      <c r="K6" s="20" t="str">
        <f>"85,0"</f>
        <v>85,0</v>
      </c>
      <c r="L6" s="21" t="str">
        <f>"57,2050"</f>
        <v>57,2050</v>
      </c>
      <c r="M6" s="20" t="s">
        <v>30</v>
      </c>
    </row>
    <row r="8" spans="1:13" ht="15">
      <c r="A8" s="37" t="s">
        <v>91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31" t="s">
        <v>432</v>
      </c>
      <c r="B9" s="31" t="s">
        <v>433</v>
      </c>
      <c r="C9" s="31" t="s">
        <v>434</v>
      </c>
      <c r="D9" s="31" t="str">
        <f>"0,6418"</f>
        <v>0,6418</v>
      </c>
      <c r="E9" s="31" t="s">
        <v>109</v>
      </c>
      <c r="F9" s="31" t="s">
        <v>110</v>
      </c>
      <c r="G9" s="33" t="s">
        <v>55</v>
      </c>
      <c r="H9" s="33" t="s">
        <v>28</v>
      </c>
      <c r="I9" s="33" t="s">
        <v>68</v>
      </c>
      <c r="J9" s="32"/>
      <c r="K9" s="31" t="str">
        <f>"82,5"</f>
        <v>82,5</v>
      </c>
      <c r="L9" s="33" t="str">
        <f>"55,0664"</f>
        <v>55,0664</v>
      </c>
      <c r="M9" s="31" t="s">
        <v>30</v>
      </c>
    </row>
    <row r="10" spans="1:13">
      <c r="A10" s="34" t="s">
        <v>106</v>
      </c>
      <c r="B10" s="34" t="s">
        <v>107</v>
      </c>
      <c r="C10" s="34" t="s">
        <v>108</v>
      </c>
      <c r="D10" s="34" t="str">
        <f>"0,6454"</f>
        <v>0,6454</v>
      </c>
      <c r="E10" s="34" t="s">
        <v>109</v>
      </c>
      <c r="F10" s="34" t="s">
        <v>110</v>
      </c>
      <c r="G10" s="35" t="s">
        <v>22</v>
      </c>
      <c r="H10" s="35" t="s">
        <v>23</v>
      </c>
      <c r="I10" s="35" t="s">
        <v>55</v>
      </c>
      <c r="J10" s="36"/>
      <c r="K10" s="34" t="str">
        <f>"75,0"</f>
        <v>75,0</v>
      </c>
      <c r="L10" s="35" t="str">
        <f>"48,8890"</f>
        <v>48,8890</v>
      </c>
      <c r="M10" s="34" t="s">
        <v>30</v>
      </c>
    </row>
    <row r="12" spans="1:13" ht="15">
      <c r="A12" s="37" t="s">
        <v>125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3">
      <c r="A13" s="20" t="s">
        <v>887</v>
      </c>
      <c r="B13" s="20" t="s">
        <v>888</v>
      </c>
      <c r="C13" s="20" t="s">
        <v>147</v>
      </c>
      <c r="D13" s="20" t="str">
        <f>"0,5893"</f>
        <v>0,5893</v>
      </c>
      <c r="E13" s="20" t="s">
        <v>109</v>
      </c>
      <c r="F13" s="20" t="s">
        <v>110</v>
      </c>
      <c r="G13" s="21" t="s">
        <v>29</v>
      </c>
      <c r="H13" s="21" t="s">
        <v>74</v>
      </c>
      <c r="I13" s="21" t="s">
        <v>889</v>
      </c>
      <c r="J13" s="22"/>
      <c r="K13" s="20" t="str">
        <f>"92,5"</f>
        <v>92,5</v>
      </c>
      <c r="L13" s="21" t="str">
        <f>"56,2001"</f>
        <v>56,2001</v>
      </c>
      <c r="M13" s="20" t="s">
        <v>30</v>
      </c>
    </row>
    <row r="15" spans="1:13" ht="15">
      <c r="A15" s="37" t="s">
        <v>152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3">
      <c r="A16" s="20" t="s">
        <v>891</v>
      </c>
      <c r="B16" s="20" t="s">
        <v>892</v>
      </c>
      <c r="C16" s="20" t="s">
        <v>893</v>
      </c>
      <c r="D16" s="20" t="str">
        <f>"0,5583"</f>
        <v>0,5583</v>
      </c>
      <c r="E16" s="20" t="s">
        <v>109</v>
      </c>
      <c r="F16" s="20" t="s">
        <v>110</v>
      </c>
      <c r="G16" s="21" t="s">
        <v>131</v>
      </c>
      <c r="H16" s="21" t="s">
        <v>679</v>
      </c>
      <c r="I16" s="22" t="s">
        <v>121</v>
      </c>
      <c r="J16" s="22"/>
      <c r="K16" s="20" t="str">
        <f>"107,5"</f>
        <v>107,5</v>
      </c>
      <c r="L16" s="21" t="str">
        <f>"60,0173"</f>
        <v>60,0173</v>
      </c>
      <c r="M16" s="20" t="s">
        <v>30</v>
      </c>
    </row>
    <row r="18" spans="1:13" ht="15">
      <c r="A18" s="37" t="s">
        <v>219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3">
      <c r="A19" s="31" t="s">
        <v>490</v>
      </c>
      <c r="B19" s="31" t="s">
        <v>894</v>
      </c>
      <c r="C19" s="31" t="s">
        <v>492</v>
      </c>
      <c r="D19" s="31" t="str">
        <f>"0,5366"</f>
        <v>0,5366</v>
      </c>
      <c r="E19" s="31" t="s">
        <v>53</v>
      </c>
      <c r="F19" s="31" t="s">
        <v>200</v>
      </c>
      <c r="G19" s="33" t="s">
        <v>414</v>
      </c>
      <c r="H19" s="33" t="s">
        <v>415</v>
      </c>
      <c r="I19" s="33" t="s">
        <v>139</v>
      </c>
      <c r="J19" s="32"/>
      <c r="K19" s="31" t="str">
        <f>"125,0"</f>
        <v>125,0</v>
      </c>
      <c r="L19" s="33" t="str">
        <f>"67,0750"</f>
        <v>67,0750</v>
      </c>
      <c r="M19" s="31" t="s">
        <v>30</v>
      </c>
    </row>
    <row r="20" spans="1:13">
      <c r="A20" s="34" t="s">
        <v>490</v>
      </c>
      <c r="B20" s="34" t="s">
        <v>491</v>
      </c>
      <c r="C20" s="34" t="s">
        <v>492</v>
      </c>
      <c r="D20" s="34" t="str">
        <f>"0,5366"</f>
        <v>0,5366</v>
      </c>
      <c r="E20" s="34" t="s">
        <v>53</v>
      </c>
      <c r="F20" s="34" t="s">
        <v>200</v>
      </c>
      <c r="G20" s="35" t="s">
        <v>414</v>
      </c>
      <c r="H20" s="35" t="s">
        <v>415</v>
      </c>
      <c r="I20" s="35" t="s">
        <v>139</v>
      </c>
      <c r="J20" s="36"/>
      <c r="K20" s="34" t="str">
        <f>"125,0"</f>
        <v>125,0</v>
      </c>
      <c r="L20" s="35" t="str">
        <f>"67,0750"</f>
        <v>67,0750</v>
      </c>
      <c r="M20" s="34" t="s">
        <v>30</v>
      </c>
    </row>
    <row r="22" spans="1:13" ht="15">
      <c r="A22" s="37" t="s">
        <v>254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3">
      <c r="A23" s="20" t="s">
        <v>895</v>
      </c>
      <c r="B23" s="20" t="s">
        <v>319</v>
      </c>
      <c r="C23" s="20" t="s">
        <v>320</v>
      </c>
      <c r="D23" s="20" t="str">
        <f>"0,5314"</f>
        <v>0,5314</v>
      </c>
      <c r="E23" s="20" t="s">
        <v>109</v>
      </c>
      <c r="F23" s="20" t="s">
        <v>110</v>
      </c>
      <c r="G23" s="21" t="s">
        <v>27</v>
      </c>
      <c r="H23" s="21" t="s">
        <v>68</v>
      </c>
      <c r="I23" s="21" t="s">
        <v>29</v>
      </c>
      <c r="J23" s="22"/>
      <c r="K23" s="20" t="str">
        <f>"85,0"</f>
        <v>85,0</v>
      </c>
      <c r="L23" s="21" t="str">
        <f>"45,1690"</f>
        <v>45,1690</v>
      </c>
      <c r="M23" s="20" t="s">
        <v>30</v>
      </c>
    </row>
    <row r="25" spans="1:13" ht="15">
      <c r="E25" s="23" t="s">
        <v>31</v>
      </c>
    </row>
    <row r="26" spans="1:13" ht="15">
      <c r="E26" s="23" t="s">
        <v>32</v>
      </c>
    </row>
    <row r="27" spans="1:13" ht="15">
      <c r="E27" s="23" t="s">
        <v>33</v>
      </c>
    </row>
    <row r="28" spans="1:13" ht="15">
      <c r="E28" s="23" t="s">
        <v>34</v>
      </c>
    </row>
    <row r="29" spans="1:13" ht="15">
      <c r="E29" s="23" t="s">
        <v>34</v>
      </c>
    </row>
    <row r="30" spans="1:13" ht="15">
      <c r="E30" s="23" t="s">
        <v>35</v>
      </c>
    </row>
    <row r="31" spans="1:13" ht="15">
      <c r="E31" s="23"/>
    </row>
    <row r="33" spans="1:5" ht="18">
      <c r="A33" s="24" t="s">
        <v>36</v>
      </c>
      <c r="B33" s="24"/>
    </row>
    <row r="34" spans="1:5" ht="15">
      <c r="A34" s="25" t="s">
        <v>37</v>
      </c>
      <c r="B34" s="25"/>
    </row>
    <row r="35" spans="1:5" ht="14.25">
      <c r="A35" s="27"/>
      <c r="B35" s="28" t="s">
        <v>38</v>
      </c>
    </row>
    <row r="36" spans="1:5" ht="15">
      <c r="A36" s="29" t="s">
        <v>39</v>
      </c>
      <c r="B36" s="29" t="s">
        <v>40</v>
      </c>
      <c r="C36" s="29" t="s">
        <v>41</v>
      </c>
      <c r="D36" s="29" t="s">
        <v>42</v>
      </c>
      <c r="E36" s="29" t="s">
        <v>43</v>
      </c>
    </row>
    <row r="37" spans="1:5">
      <c r="A37" s="26" t="s">
        <v>431</v>
      </c>
      <c r="B37" s="4" t="s">
        <v>509</v>
      </c>
      <c r="C37" s="4" t="s">
        <v>176</v>
      </c>
      <c r="D37" s="4" t="s">
        <v>68</v>
      </c>
      <c r="E37" s="30" t="s">
        <v>896</v>
      </c>
    </row>
    <row r="39" spans="1:5" ht="14.25">
      <c r="A39" s="27"/>
      <c r="B39" s="28" t="s">
        <v>182</v>
      </c>
    </row>
    <row r="40" spans="1:5" ht="15">
      <c r="A40" s="29" t="s">
        <v>39</v>
      </c>
      <c r="B40" s="29" t="s">
        <v>40</v>
      </c>
      <c r="C40" s="29" t="s">
        <v>41</v>
      </c>
      <c r="D40" s="29" t="s">
        <v>42</v>
      </c>
      <c r="E40" s="29" t="s">
        <v>43</v>
      </c>
    </row>
    <row r="41" spans="1:5">
      <c r="A41" s="26" t="s">
        <v>105</v>
      </c>
      <c r="B41" s="4" t="s">
        <v>183</v>
      </c>
      <c r="C41" s="4" t="s">
        <v>176</v>
      </c>
      <c r="D41" s="4" t="s">
        <v>55</v>
      </c>
      <c r="E41" s="30" t="s">
        <v>897</v>
      </c>
    </row>
    <row r="43" spans="1:5" ht="14.25">
      <c r="A43" s="27"/>
      <c r="B43" s="28" t="s">
        <v>164</v>
      </c>
    </row>
    <row r="44" spans="1:5" ht="15">
      <c r="A44" s="29" t="s">
        <v>39</v>
      </c>
      <c r="B44" s="29" t="s">
        <v>40</v>
      </c>
      <c r="C44" s="29" t="s">
        <v>41</v>
      </c>
      <c r="D44" s="29" t="s">
        <v>42</v>
      </c>
      <c r="E44" s="29" t="s">
        <v>43</v>
      </c>
    </row>
    <row r="45" spans="1:5">
      <c r="A45" s="26" t="s">
        <v>489</v>
      </c>
      <c r="B45" s="4" t="s">
        <v>164</v>
      </c>
      <c r="C45" s="4" t="s">
        <v>242</v>
      </c>
      <c r="D45" s="4" t="s">
        <v>139</v>
      </c>
      <c r="E45" s="30" t="s">
        <v>898</v>
      </c>
    </row>
    <row r="46" spans="1:5">
      <c r="A46" s="26" t="s">
        <v>882</v>
      </c>
      <c r="B46" s="4" t="s">
        <v>164</v>
      </c>
      <c r="C46" s="4" t="s">
        <v>172</v>
      </c>
      <c r="D46" s="4" t="s">
        <v>29</v>
      </c>
      <c r="E46" s="30" t="s">
        <v>899</v>
      </c>
    </row>
    <row r="47" spans="1:5">
      <c r="A47" s="26" t="s">
        <v>317</v>
      </c>
      <c r="B47" s="4" t="s">
        <v>164</v>
      </c>
      <c r="C47" s="4" t="s">
        <v>264</v>
      </c>
      <c r="D47" s="4" t="s">
        <v>29</v>
      </c>
      <c r="E47" s="30" t="s">
        <v>900</v>
      </c>
    </row>
    <row r="49" spans="1:5" ht="14.25">
      <c r="A49" s="27"/>
      <c r="B49" s="28" t="s">
        <v>166</v>
      </c>
    </row>
    <row r="50" spans="1:5" ht="15">
      <c r="A50" s="29" t="s">
        <v>39</v>
      </c>
      <c r="B50" s="29" t="s">
        <v>40</v>
      </c>
      <c r="C50" s="29" t="s">
        <v>41</v>
      </c>
      <c r="D50" s="29" t="s">
        <v>42</v>
      </c>
      <c r="E50" s="29" t="s">
        <v>43</v>
      </c>
    </row>
    <row r="51" spans="1:5">
      <c r="A51" s="26" t="s">
        <v>489</v>
      </c>
      <c r="B51" s="4" t="s">
        <v>191</v>
      </c>
      <c r="C51" s="4" t="s">
        <v>242</v>
      </c>
      <c r="D51" s="4" t="s">
        <v>139</v>
      </c>
      <c r="E51" s="30" t="s">
        <v>898</v>
      </c>
    </row>
    <row r="52" spans="1:5">
      <c r="A52" s="26" t="s">
        <v>890</v>
      </c>
      <c r="B52" s="4" t="s">
        <v>191</v>
      </c>
      <c r="C52" s="4" t="s">
        <v>188</v>
      </c>
      <c r="D52" s="4" t="s">
        <v>679</v>
      </c>
      <c r="E52" s="30" t="s">
        <v>901</v>
      </c>
    </row>
    <row r="53" spans="1:5">
      <c r="A53" s="26" t="s">
        <v>886</v>
      </c>
      <c r="B53" s="4" t="s">
        <v>191</v>
      </c>
      <c r="C53" s="4" t="s">
        <v>179</v>
      </c>
      <c r="D53" s="4" t="s">
        <v>889</v>
      </c>
      <c r="E53" s="30" t="s">
        <v>902</v>
      </c>
    </row>
  </sheetData>
  <mergeCells count="17">
    <mergeCell ref="A15:L15"/>
    <mergeCell ref="A18:L18"/>
    <mergeCell ref="A22:L22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30.28515625" style="4" bestFit="1" customWidth="1"/>
    <col min="7" max="7" width="5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871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88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837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873</v>
      </c>
      <c r="B6" s="31" t="s">
        <v>874</v>
      </c>
      <c r="C6" s="31" t="s">
        <v>875</v>
      </c>
      <c r="D6" s="31" t="str">
        <f>"1,0000"</f>
        <v>1,0000</v>
      </c>
      <c r="E6" s="31" t="s">
        <v>272</v>
      </c>
      <c r="F6" s="31" t="s">
        <v>20</v>
      </c>
      <c r="G6" s="33" t="s">
        <v>148</v>
      </c>
      <c r="H6" s="42" t="s">
        <v>876</v>
      </c>
      <c r="I6" s="31" t="str">
        <f>"3000,0"</f>
        <v>3000,0</v>
      </c>
      <c r="J6" s="33" t="str">
        <f>"36,5853"</f>
        <v>36,5853</v>
      </c>
      <c r="K6" s="31" t="s">
        <v>30</v>
      </c>
    </row>
    <row r="7" spans="1:11">
      <c r="A7" s="34" t="s">
        <v>202</v>
      </c>
      <c r="B7" s="34" t="s">
        <v>203</v>
      </c>
      <c r="C7" s="34" t="s">
        <v>204</v>
      </c>
      <c r="D7" s="34" t="str">
        <f>"1,0000"</f>
        <v>1,0000</v>
      </c>
      <c r="E7" s="34" t="s">
        <v>86</v>
      </c>
      <c r="F7" s="34" t="s">
        <v>87</v>
      </c>
      <c r="G7" s="35" t="s">
        <v>148</v>
      </c>
      <c r="H7" s="44" t="s">
        <v>866</v>
      </c>
      <c r="I7" s="34" t="str">
        <f>"1800,0"</f>
        <v>1800,0</v>
      </c>
      <c r="J7" s="35" t="str">
        <f>"22,9885"</f>
        <v>22,9885</v>
      </c>
      <c r="K7" s="34" t="s">
        <v>30</v>
      </c>
    </row>
    <row r="9" spans="1:11" ht="15">
      <c r="E9" s="23" t="s">
        <v>31</v>
      </c>
    </row>
    <row r="10" spans="1:11" ht="15">
      <c r="E10" s="23" t="s">
        <v>32</v>
      </c>
    </row>
    <row r="11" spans="1:11" ht="15">
      <c r="E11" s="23" t="s">
        <v>33</v>
      </c>
    </row>
    <row r="12" spans="1:11" ht="15">
      <c r="E12" s="23" t="s">
        <v>34</v>
      </c>
    </row>
    <row r="13" spans="1:11" ht="15">
      <c r="E13" s="23" t="s">
        <v>34</v>
      </c>
    </row>
    <row r="14" spans="1:11" ht="15">
      <c r="E14" s="23" t="s">
        <v>35</v>
      </c>
    </row>
    <row r="15" spans="1:11" ht="15">
      <c r="E15" s="23"/>
    </row>
    <row r="17" spans="1:5" ht="18">
      <c r="A17" s="24" t="s">
        <v>36</v>
      </c>
      <c r="B17" s="24"/>
    </row>
    <row r="18" spans="1:5" ht="15">
      <c r="A18" s="25" t="s">
        <v>37</v>
      </c>
      <c r="B18" s="25"/>
    </row>
    <row r="19" spans="1:5" ht="14.25">
      <c r="A19" s="27"/>
      <c r="B19" s="28" t="s">
        <v>164</v>
      </c>
    </row>
    <row r="20" spans="1:5" ht="15">
      <c r="A20" s="29" t="s">
        <v>39</v>
      </c>
      <c r="B20" s="29" t="s">
        <v>40</v>
      </c>
      <c r="C20" s="29" t="s">
        <v>41</v>
      </c>
      <c r="D20" s="29" t="s">
        <v>42</v>
      </c>
      <c r="E20" s="29" t="s">
        <v>773</v>
      </c>
    </row>
    <row r="21" spans="1:5">
      <c r="A21" s="26" t="s">
        <v>872</v>
      </c>
      <c r="B21" s="4" t="s">
        <v>164</v>
      </c>
      <c r="C21" s="4" t="s">
        <v>774</v>
      </c>
      <c r="D21" s="4" t="s">
        <v>877</v>
      </c>
      <c r="E21" s="30" t="s">
        <v>878</v>
      </c>
    </row>
    <row r="23" spans="1:5" ht="14.25">
      <c r="A23" s="27"/>
      <c r="B23" s="28" t="s">
        <v>166</v>
      </c>
    </row>
    <row r="24" spans="1:5" ht="15">
      <c r="A24" s="29" t="s">
        <v>39</v>
      </c>
      <c r="B24" s="29" t="s">
        <v>40</v>
      </c>
      <c r="C24" s="29" t="s">
        <v>41</v>
      </c>
      <c r="D24" s="29" t="s">
        <v>42</v>
      </c>
      <c r="E24" s="29" t="s">
        <v>773</v>
      </c>
    </row>
    <row r="25" spans="1:5">
      <c r="A25" s="26" t="s">
        <v>201</v>
      </c>
      <c r="B25" s="4" t="s">
        <v>249</v>
      </c>
      <c r="C25" s="4" t="s">
        <v>774</v>
      </c>
      <c r="D25" s="4" t="s">
        <v>788</v>
      </c>
      <c r="E25" s="30" t="s">
        <v>879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42578125" style="4" bestFit="1" customWidth="1"/>
    <col min="3" max="4" width="10.5703125" style="4" bestFit="1" customWidth="1"/>
    <col min="5" max="5" width="22.7109375" style="4" bestFit="1" customWidth="1"/>
    <col min="6" max="6" width="33.5703125" style="4" bestFit="1" customWidth="1"/>
    <col min="7" max="7" width="5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865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92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837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134</v>
      </c>
      <c r="B6" s="31" t="s">
        <v>135</v>
      </c>
      <c r="C6" s="31" t="s">
        <v>136</v>
      </c>
      <c r="D6" s="31" t="str">
        <f>"1,0000"</f>
        <v>1,0000</v>
      </c>
      <c r="E6" s="31" t="s">
        <v>86</v>
      </c>
      <c r="F6" s="31" t="s">
        <v>137</v>
      </c>
      <c r="G6" s="33" t="s">
        <v>148</v>
      </c>
      <c r="H6" s="42" t="s">
        <v>866</v>
      </c>
      <c r="I6" s="31" t="str">
        <f>"1800,0"</f>
        <v>1800,0</v>
      </c>
      <c r="J6" s="33" t="str">
        <f>"21,5827"</f>
        <v>21,5827</v>
      </c>
      <c r="K6" s="31" t="s">
        <v>30</v>
      </c>
    </row>
    <row r="7" spans="1:11">
      <c r="A7" s="34" t="s">
        <v>713</v>
      </c>
      <c r="B7" s="34" t="s">
        <v>714</v>
      </c>
      <c r="C7" s="34" t="s">
        <v>715</v>
      </c>
      <c r="D7" s="34" t="str">
        <f>"1,0000"</f>
        <v>1,0000</v>
      </c>
      <c r="E7" s="34" t="s">
        <v>109</v>
      </c>
      <c r="F7" s="34" t="s">
        <v>110</v>
      </c>
      <c r="G7" s="35" t="s">
        <v>148</v>
      </c>
      <c r="H7" s="44" t="s">
        <v>867</v>
      </c>
      <c r="I7" s="34" t="str">
        <f>"2200,0"</f>
        <v>2200,0</v>
      </c>
      <c r="J7" s="35" t="str">
        <f>"22,3577"</f>
        <v>22,3577</v>
      </c>
      <c r="K7" s="34" t="s">
        <v>30</v>
      </c>
    </row>
    <row r="9" spans="1:11" ht="15">
      <c r="E9" s="23" t="s">
        <v>31</v>
      </c>
    </row>
    <row r="10" spans="1:11" ht="15">
      <c r="E10" s="23" t="s">
        <v>32</v>
      </c>
    </row>
    <row r="11" spans="1:11" ht="15">
      <c r="E11" s="23" t="s">
        <v>33</v>
      </c>
    </row>
    <row r="12" spans="1:11" ht="15">
      <c r="E12" s="23" t="s">
        <v>34</v>
      </c>
    </row>
    <row r="13" spans="1:11" ht="15">
      <c r="E13" s="23" t="s">
        <v>34</v>
      </c>
    </row>
    <row r="14" spans="1:11" ht="15">
      <c r="E14" s="23" t="s">
        <v>35</v>
      </c>
    </row>
    <row r="15" spans="1:11" ht="15">
      <c r="E15" s="23"/>
    </row>
    <row r="17" spans="1:5" ht="18">
      <c r="A17" s="24" t="s">
        <v>36</v>
      </c>
      <c r="B17" s="24"/>
    </row>
    <row r="18" spans="1:5" ht="15">
      <c r="A18" s="25" t="s">
        <v>37</v>
      </c>
      <c r="B18" s="25"/>
    </row>
    <row r="19" spans="1:5" ht="14.25">
      <c r="A19" s="27"/>
      <c r="B19" s="28" t="s">
        <v>182</v>
      </c>
    </row>
    <row r="20" spans="1:5" ht="15">
      <c r="A20" s="29" t="s">
        <v>39</v>
      </c>
      <c r="B20" s="29" t="s">
        <v>40</v>
      </c>
      <c r="C20" s="29" t="s">
        <v>41</v>
      </c>
      <c r="D20" s="29" t="s">
        <v>42</v>
      </c>
      <c r="E20" s="29" t="s">
        <v>773</v>
      </c>
    </row>
    <row r="21" spans="1:5">
      <c r="A21" s="26" t="s">
        <v>133</v>
      </c>
      <c r="B21" s="4" t="s">
        <v>183</v>
      </c>
      <c r="C21" s="4" t="s">
        <v>774</v>
      </c>
      <c r="D21" s="4" t="s">
        <v>788</v>
      </c>
      <c r="E21" s="30" t="s">
        <v>868</v>
      </c>
    </row>
    <row r="23" spans="1:5" ht="14.25">
      <c r="A23" s="27"/>
      <c r="B23" s="28" t="s">
        <v>164</v>
      </c>
    </row>
    <row r="24" spans="1:5" ht="15">
      <c r="A24" s="29" t="s">
        <v>39</v>
      </c>
      <c r="B24" s="29" t="s">
        <v>40</v>
      </c>
      <c r="C24" s="29" t="s">
        <v>41</v>
      </c>
      <c r="D24" s="29" t="s">
        <v>42</v>
      </c>
      <c r="E24" s="29" t="s">
        <v>773</v>
      </c>
    </row>
    <row r="25" spans="1:5">
      <c r="A25" s="26" t="s">
        <v>712</v>
      </c>
      <c r="B25" s="4" t="s">
        <v>164</v>
      </c>
      <c r="C25" s="4" t="s">
        <v>774</v>
      </c>
      <c r="D25" s="4" t="s">
        <v>869</v>
      </c>
      <c r="E25" s="30" t="s">
        <v>870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34.42578125" style="4" bestFit="1" customWidth="1"/>
    <col min="7" max="7" width="5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854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02.7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837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705</v>
      </c>
      <c r="B6" s="31" t="s">
        <v>706</v>
      </c>
      <c r="C6" s="31" t="s">
        <v>85</v>
      </c>
      <c r="D6" s="31" t="str">
        <f>"1,0000"</f>
        <v>1,0000</v>
      </c>
      <c r="E6" s="31" t="s">
        <v>272</v>
      </c>
      <c r="F6" s="31" t="s">
        <v>466</v>
      </c>
      <c r="G6" s="33" t="s">
        <v>102</v>
      </c>
      <c r="H6" s="42" t="s">
        <v>855</v>
      </c>
      <c r="I6" s="31" t="str">
        <f>"2550,0"</f>
        <v>2550,0</v>
      </c>
      <c r="J6" s="33" t="str">
        <f>"34,2741"</f>
        <v>34,2741</v>
      </c>
      <c r="K6" s="31" t="s">
        <v>30</v>
      </c>
    </row>
    <row r="7" spans="1:11">
      <c r="A7" s="34" t="s">
        <v>857</v>
      </c>
      <c r="B7" s="34" t="s">
        <v>858</v>
      </c>
      <c r="C7" s="34" t="s">
        <v>859</v>
      </c>
      <c r="D7" s="34" t="str">
        <f>"1,0000"</f>
        <v>1,0000</v>
      </c>
      <c r="E7" s="34" t="s">
        <v>397</v>
      </c>
      <c r="F7" s="34" t="s">
        <v>398</v>
      </c>
      <c r="G7" s="35" t="s">
        <v>102</v>
      </c>
      <c r="H7" s="44" t="s">
        <v>860</v>
      </c>
      <c r="I7" s="34" t="str">
        <f>"4200,0"</f>
        <v>4200,0</v>
      </c>
      <c r="J7" s="35" t="str">
        <f>"42,6395"</f>
        <v>42,6395</v>
      </c>
      <c r="K7" s="34" t="s">
        <v>30</v>
      </c>
    </row>
    <row r="9" spans="1:11" ht="15">
      <c r="E9" s="23" t="s">
        <v>31</v>
      </c>
    </row>
    <row r="10" spans="1:11" ht="15">
      <c r="E10" s="23" t="s">
        <v>32</v>
      </c>
    </row>
    <row r="11" spans="1:11" ht="15">
      <c r="E11" s="23" t="s">
        <v>33</v>
      </c>
    </row>
    <row r="12" spans="1:11" ht="15">
      <c r="E12" s="23" t="s">
        <v>34</v>
      </c>
    </row>
    <row r="13" spans="1:11" ht="15">
      <c r="E13" s="23" t="s">
        <v>34</v>
      </c>
    </row>
    <row r="14" spans="1:11" ht="15">
      <c r="E14" s="23" t="s">
        <v>35</v>
      </c>
    </row>
    <row r="15" spans="1:11" ht="15">
      <c r="E15" s="23"/>
    </row>
    <row r="17" spans="1:5" ht="18">
      <c r="A17" s="24" t="s">
        <v>36</v>
      </c>
      <c r="B17" s="24"/>
    </row>
    <row r="18" spans="1:5" ht="15">
      <c r="A18" s="25" t="s">
        <v>37</v>
      </c>
      <c r="B18" s="25"/>
    </row>
    <row r="19" spans="1:5" ht="14.25">
      <c r="A19" s="27"/>
      <c r="B19" s="28" t="s">
        <v>164</v>
      </c>
    </row>
    <row r="20" spans="1:5" ht="15">
      <c r="A20" s="29" t="s">
        <v>39</v>
      </c>
      <c r="B20" s="29" t="s">
        <v>40</v>
      </c>
      <c r="C20" s="29" t="s">
        <v>41</v>
      </c>
      <c r="D20" s="29" t="s">
        <v>42</v>
      </c>
      <c r="E20" s="29" t="s">
        <v>773</v>
      </c>
    </row>
    <row r="21" spans="1:5">
      <c r="A21" s="26" t="s">
        <v>704</v>
      </c>
      <c r="B21" s="4" t="s">
        <v>164</v>
      </c>
      <c r="C21" s="4" t="s">
        <v>774</v>
      </c>
      <c r="D21" s="4" t="s">
        <v>861</v>
      </c>
      <c r="E21" s="30" t="s">
        <v>862</v>
      </c>
    </row>
    <row r="23" spans="1:5" ht="14.25">
      <c r="A23" s="27"/>
      <c r="B23" s="28" t="s">
        <v>166</v>
      </c>
    </row>
    <row r="24" spans="1:5" ht="15">
      <c r="A24" s="29" t="s">
        <v>39</v>
      </c>
      <c r="B24" s="29" t="s">
        <v>40</v>
      </c>
      <c r="C24" s="29" t="s">
        <v>41</v>
      </c>
      <c r="D24" s="29" t="s">
        <v>42</v>
      </c>
      <c r="E24" s="29" t="s">
        <v>773</v>
      </c>
    </row>
    <row r="25" spans="1:5">
      <c r="A25" s="26" t="s">
        <v>856</v>
      </c>
      <c r="B25" s="4" t="s">
        <v>191</v>
      </c>
      <c r="C25" s="4" t="s">
        <v>774</v>
      </c>
      <c r="D25" s="4" t="s">
        <v>863</v>
      </c>
      <c r="E25" s="30" t="s">
        <v>864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33.5703125" style="4" bestFit="1" customWidth="1"/>
    <col min="7" max="7" width="5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844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09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837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0" t="s">
        <v>792</v>
      </c>
      <c r="B6" s="20" t="s">
        <v>793</v>
      </c>
      <c r="C6" s="20" t="s">
        <v>794</v>
      </c>
      <c r="D6" s="20" t="str">
        <f>"1,0000"</f>
        <v>1,0000</v>
      </c>
      <c r="E6" s="20" t="s">
        <v>86</v>
      </c>
      <c r="F6" s="20" t="s">
        <v>137</v>
      </c>
      <c r="G6" s="21" t="s">
        <v>101</v>
      </c>
      <c r="H6" s="46" t="s">
        <v>845</v>
      </c>
      <c r="I6" s="20" t="str">
        <f>"1800,0"</f>
        <v>1800,0</v>
      </c>
      <c r="J6" s="21" t="str">
        <f>"27,0676"</f>
        <v>27,0676</v>
      </c>
      <c r="K6" s="20" t="s">
        <v>30</v>
      </c>
    </row>
    <row r="8" spans="1:11" ht="15">
      <c r="A8" s="37" t="s">
        <v>760</v>
      </c>
      <c r="B8" s="37"/>
      <c r="C8" s="37"/>
      <c r="D8" s="37"/>
      <c r="E8" s="37"/>
      <c r="F8" s="37"/>
      <c r="G8" s="37"/>
      <c r="H8" s="37"/>
      <c r="I8" s="37"/>
      <c r="J8" s="37"/>
    </row>
    <row r="9" spans="1:11">
      <c r="A9" s="20" t="s">
        <v>847</v>
      </c>
      <c r="B9" s="20" t="s">
        <v>848</v>
      </c>
      <c r="C9" s="20" t="s">
        <v>849</v>
      </c>
      <c r="D9" s="20" t="str">
        <f>"1,0000"</f>
        <v>1,0000</v>
      </c>
      <c r="E9" s="20" t="s">
        <v>109</v>
      </c>
      <c r="F9" s="20" t="s">
        <v>110</v>
      </c>
      <c r="G9" s="21" t="s">
        <v>101</v>
      </c>
      <c r="H9" s="46" t="s">
        <v>850</v>
      </c>
      <c r="I9" s="20" t="str">
        <f>"2700,0"</f>
        <v>2700,0</v>
      </c>
      <c r="J9" s="21" t="str">
        <f>"33,4158"</f>
        <v>33,4158</v>
      </c>
      <c r="K9" s="20" t="s">
        <v>30</v>
      </c>
    </row>
    <row r="11" spans="1:11" ht="15">
      <c r="E11" s="23" t="s">
        <v>31</v>
      </c>
    </row>
    <row r="12" spans="1:11" ht="15">
      <c r="E12" s="23" t="s">
        <v>32</v>
      </c>
    </row>
    <row r="13" spans="1:11" ht="15">
      <c r="E13" s="23" t="s">
        <v>33</v>
      </c>
    </row>
    <row r="14" spans="1:11" ht="15">
      <c r="E14" s="23" t="s">
        <v>34</v>
      </c>
    </row>
    <row r="15" spans="1:11" ht="15">
      <c r="E15" s="23" t="s">
        <v>34</v>
      </c>
    </row>
    <row r="16" spans="1:11" ht="15">
      <c r="E16" s="23" t="s">
        <v>35</v>
      </c>
    </row>
    <row r="17" spans="1:5" ht="15">
      <c r="E17" s="23"/>
    </row>
    <row r="19" spans="1:5" ht="18">
      <c r="A19" s="24" t="s">
        <v>36</v>
      </c>
      <c r="B19" s="24"/>
    </row>
    <row r="20" spans="1:5" ht="15">
      <c r="A20" s="25" t="s">
        <v>160</v>
      </c>
      <c r="B20" s="25"/>
    </row>
    <row r="21" spans="1:5" ht="14.25">
      <c r="A21" s="27"/>
      <c r="B21" s="28" t="s">
        <v>164</v>
      </c>
    </row>
    <row r="22" spans="1:5" ht="15">
      <c r="A22" s="29" t="s">
        <v>39</v>
      </c>
      <c r="B22" s="29" t="s">
        <v>40</v>
      </c>
      <c r="C22" s="29" t="s">
        <v>41</v>
      </c>
      <c r="D22" s="29" t="s">
        <v>42</v>
      </c>
      <c r="E22" s="29" t="s">
        <v>773</v>
      </c>
    </row>
    <row r="23" spans="1:5">
      <c r="A23" s="26" t="s">
        <v>791</v>
      </c>
      <c r="B23" s="4" t="s">
        <v>164</v>
      </c>
      <c r="C23" s="4" t="s">
        <v>774</v>
      </c>
      <c r="D23" s="4" t="s">
        <v>788</v>
      </c>
      <c r="E23" s="30" t="s">
        <v>851</v>
      </c>
    </row>
    <row r="26" spans="1:5" ht="15">
      <c r="A26" s="25" t="s">
        <v>37</v>
      </c>
      <c r="B26" s="25"/>
    </row>
    <row r="27" spans="1:5" ht="14.25">
      <c r="A27" s="27"/>
      <c r="B27" s="28" t="s">
        <v>164</v>
      </c>
    </row>
    <row r="28" spans="1:5" ht="15">
      <c r="A28" s="29" t="s">
        <v>39</v>
      </c>
      <c r="B28" s="29" t="s">
        <v>40</v>
      </c>
      <c r="C28" s="29" t="s">
        <v>41</v>
      </c>
      <c r="D28" s="29" t="s">
        <v>42</v>
      </c>
      <c r="E28" s="29" t="s">
        <v>773</v>
      </c>
    </row>
    <row r="29" spans="1:5">
      <c r="A29" s="26" t="s">
        <v>846</v>
      </c>
      <c r="B29" s="4" t="s">
        <v>164</v>
      </c>
      <c r="C29" s="4" t="s">
        <v>774</v>
      </c>
      <c r="D29" s="4" t="s">
        <v>852</v>
      </c>
      <c r="E29" s="30" t="s">
        <v>853</v>
      </c>
    </row>
  </sheetData>
  <mergeCells count="13">
    <mergeCell ref="I3:I4"/>
    <mergeCell ref="J3:J4"/>
    <mergeCell ref="K3:K4"/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21.85546875" style="4" bestFit="1" customWidth="1"/>
    <col min="7" max="7" width="4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836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90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837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0" t="s">
        <v>839</v>
      </c>
      <c r="B6" s="20" t="s">
        <v>840</v>
      </c>
      <c r="C6" s="20" t="s">
        <v>413</v>
      </c>
      <c r="D6" s="20" t="str">
        <f>"1,0000"</f>
        <v>1,0000</v>
      </c>
      <c r="E6" s="20" t="s">
        <v>86</v>
      </c>
      <c r="F6" s="20" t="s">
        <v>379</v>
      </c>
      <c r="G6" s="21" t="s">
        <v>65</v>
      </c>
      <c r="H6" s="46" t="s">
        <v>841</v>
      </c>
      <c r="I6" s="20" t="str">
        <f>"1870,0"</f>
        <v>1870,0</v>
      </c>
      <c r="J6" s="21" t="str">
        <f>"27,7037"</f>
        <v>27,7037</v>
      </c>
      <c r="K6" s="20" t="s">
        <v>30</v>
      </c>
    </row>
    <row r="8" spans="1:11" ht="15">
      <c r="E8" s="23" t="s">
        <v>31</v>
      </c>
    </row>
    <row r="9" spans="1:11" ht="15">
      <c r="E9" s="23" t="s">
        <v>32</v>
      </c>
    </row>
    <row r="10" spans="1:11" ht="15">
      <c r="E10" s="23" t="s">
        <v>33</v>
      </c>
    </row>
    <row r="11" spans="1:11" ht="15">
      <c r="E11" s="23" t="s">
        <v>34</v>
      </c>
    </row>
    <row r="12" spans="1:11" ht="15">
      <c r="E12" s="23" t="s">
        <v>34</v>
      </c>
    </row>
    <row r="13" spans="1:11" ht="15">
      <c r="E13" s="23" t="s">
        <v>35</v>
      </c>
    </row>
    <row r="14" spans="1:11" ht="15">
      <c r="E14" s="23"/>
    </row>
    <row r="16" spans="1:11" ht="18">
      <c r="A16" s="24" t="s">
        <v>36</v>
      </c>
      <c r="B16" s="24"/>
    </row>
    <row r="17" spans="1:5" ht="15">
      <c r="A17" s="25" t="s">
        <v>160</v>
      </c>
      <c r="B17" s="25"/>
    </row>
    <row r="18" spans="1:5" ht="14.25">
      <c r="A18" s="27"/>
      <c r="B18" s="28" t="s">
        <v>164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773</v>
      </c>
    </row>
    <row r="20" spans="1:5">
      <c r="A20" s="26" t="s">
        <v>838</v>
      </c>
      <c r="B20" s="4" t="s">
        <v>164</v>
      </c>
      <c r="C20" s="4" t="s">
        <v>774</v>
      </c>
      <c r="D20" s="4" t="s">
        <v>842</v>
      </c>
      <c r="E20" s="30" t="s">
        <v>843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20.85546875" style="4" bestFit="1" customWidth="1"/>
    <col min="7" max="7" width="4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835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88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759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771</v>
      </c>
      <c r="B6" s="31" t="s">
        <v>767</v>
      </c>
      <c r="C6" s="31" t="s">
        <v>768</v>
      </c>
      <c r="D6" s="31" t="str">
        <f>"1,0000"</f>
        <v>1,0000</v>
      </c>
      <c r="E6" s="31" t="s">
        <v>86</v>
      </c>
      <c r="F6" s="31" t="s">
        <v>769</v>
      </c>
      <c r="G6" s="33" t="s">
        <v>55</v>
      </c>
      <c r="H6" s="42" t="s">
        <v>783</v>
      </c>
      <c r="I6" s="31" t="str">
        <f>"1875,0"</f>
        <v>1875,0</v>
      </c>
      <c r="J6" s="33" t="str">
        <f>"23,6742"</f>
        <v>23,6742</v>
      </c>
      <c r="K6" s="31" t="s">
        <v>30</v>
      </c>
    </row>
    <row r="7" spans="1:11">
      <c r="A7" s="34" t="s">
        <v>771</v>
      </c>
      <c r="B7" s="34" t="s">
        <v>772</v>
      </c>
      <c r="C7" s="34" t="s">
        <v>768</v>
      </c>
      <c r="D7" s="34" t="str">
        <f>"1,0000"</f>
        <v>1,0000</v>
      </c>
      <c r="E7" s="34" t="s">
        <v>86</v>
      </c>
      <c r="F7" s="34" t="s">
        <v>769</v>
      </c>
      <c r="G7" s="35" t="s">
        <v>55</v>
      </c>
      <c r="H7" s="44" t="s">
        <v>783</v>
      </c>
      <c r="I7" s="34" t="str">
        <f>"1875,0"</f>
        <v>1875,0</v>
      </c>
      <c r="J7" s="35" t="str">
        <f>"23,6742"</f>
        <v>23,6742</v>
      </c>
      <c r="K7" s="34" t="s">
        <v>30</v>
      </c>
    </row>
    <row r="9" spans="1:11" ht="15">
      <c r="E9" s="23" t="s">
        <v>31</v>
      </c>
    </row>
    <row r="10" spans="1:11" ht="15">
      <c r="E10" s="23" t="s">
        <v>32</v>
      </c>
    </row>
    <row r="11" spans="1:11" ht="15">
      <c r="E11" s="23" t="s">
        <v>33</v>
      </c>
    </row>
    <row r="12" spans="1:11" ht="15">
      <c r="E12" s="23" t="s">
        <v>34</v>
      </c>
    </row>
    <row r="13" spans="1:11" ht="15">
      <c r="E13" s="23" t="s">
        <v>34</v>
      </c>
    </row>
    <row r="14" spans="1:11" ht="15">
      <c r="E14" s="23" t="s">
        <v>35</v>
      </c>
    </row>
    <row r="15" spans="1:11" ht="15">
      <c r="E15" s="23"/>
    </row>
    <row r="17" spans="1:5" ht="18">
      <c r="A17" s="24" t="s">
        <v>36</v>
      </c>
      <c r="B17" s="24"/>
    </row>
    <row r="18" spans="1:5" ht="15">
      <c r="A18" s="25" t="s">
        <v>37</v>
      </c>
      <c r="B18" s="25"/>
    </row>
    <row r="19" spans="1:5" ht="14.25">
      <c r="A19" s="27"/>
      <c r="B19" s="28" t="s">
        <v>164</v>
      </c>
    </row>
    <row r="20" spans="1:5" ht="15">
      <c r="A20" s="29" t="s">
        <v>39</v>
      </c>
      <c r="B20" s="29" t="s">
        <v>40</v>
      </c>
      <c r="C20" s="29" t="s">
        <v>41</v>
      </c>
      <c r="D20" s="29" t="s">
        <v>42</v>
      </c>
      <c r="E20" s="29" t="s">
        <v>773</v>
      </c>
    </row>
    <row r="21" spans="1:5">
      <c r="A21" s="26" t="s">
        <v>765</v>
      </c>
      <c r="B21" s="4" t="s">
        <v>164</v>
      </c>
      <c r="C21" s="4" t="s">
        <v>774</v>
      </c>
      <c r="D21" s="4" t="s">
        <v>784</v>
      </c>
      <c r="E21" s="30" t="s">
        <v>785</v>
      </c>
    </row>
    <row r="23" spans="1:5" ht="14.25">
      <c r="A23" s="27"/>
      <c r="B23" s="28" t="s">
        <v>166</v>
      </c>
    </row>
    <row r="24" spans="1:5" ht="15">
      <c r="A24" s="29" t="s">
        <v>39</v>
      </c>
      <c r="B24" s="29" t="s">
        <v>40</v>
      </c>
      <c r="C24" s="29" t="s">
        <v>41</v>
      </c>
      <c r="D24" s="29" t="s">
        <v>42</v>
      </c>
      <c r="E24" s="29" t="s">
        <v>773</v>
      </c>
    </row>
    <row r="25" spans="1:5">
      <c r="A25" s="26" t="s">
        <v>765</v>
      </c>
      <c r="B25" s="4" t="s">
        <v>371</v>
      </c>
      <c r="C25" s="4" t="s">
        <v>774</v>
      </c>
      <c r="D25" s="4" t="s">
        <v>784</v>
      </c>
      <c r="E25" s="30" t="s">
        <v>785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F9" sqref="F9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34.42578125" style="4" bestFit="1" customWidth="1"/>
    <col min="7" max="7" width="4.5703125" style="3" bestFit="1" customWidth="1"/>
    <col min="8" max="8" width="5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795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93.7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759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472</v>
      </c>
      <c r="B6" s="31" t="s">
        <v>800</v>
      </c>
      <c r="C6" s="31" t="s">
        <v>474</v>
      </c>
      <c r="D6" s="31" t="str">
        <f>"1,0000"</f>
        <v>1,0000</v>
      </c>
      <c r="E6" s="31" t="s">
        <v>109</v>
      </c>
      <c r="F6" s="31" t="s">
        <v>110</v>
      </c>
      <c r="G6" s="33" t="s">
        <v>65</v>
      </c>
      <c r="H6" s="42" t="s">
        <v>78</v>
      </c>
      <c r="I6" s="31" t="str">
        <f>"6600,0"</f>
        <v>6600,0</v>
      </c>
      <c r="J6" s="33" t="str">
        <f>"67,4157"</f>
        <v>67,4157</v>
      </c>
      <c r="K6" s="31" t="s">
        <v>30</v>
      </c>
    </row>
    <row r="7" spans="1:11">
      <c r="A7" s="38" t="s">
        <v>801</v>
      </c>
      <c r="B7" s="38" t="s">
        <v>625</v>
      </c>
      <c r="C7" s="38" t="s">
        <v>626</v>
      </c>
      <c r="D7" s="38" t="str">
        <f>"1,0000"</f>
        <v>1,0000</v>
      </c>
      <c r="E7" s="38" t="s">
        <v>86</v>
      </c>
      <c r="F7" s="38" t="s">
        <v>137</v>
      </c>
      <c r="G7" s="40" t="s">
        <v>65</v>
      </c>
      <c r="H7" s="43" t="s">
        <v>28</v>
      </c>
      <c r="I7" s="38" t="str">
        <f>"4400,0"</f>
        <v>4400,0</v>
      </c>
      <c r="J7" s="40" t="str">
        <f>"45,5486"</f>
        <v>45,5486</v>
      </c>
      <c r="K7" s="38" t="s">
        <v>30</v>
      </c>
    </row>
    <row r="8" spans="1:11">
      <c r="A8" s="38" t="s">
        <v>803</v>
      </c>
      <c r="B8" s="38" t="s">
        <v>804</v>
      </c>
      <c r="C8" s="38" t="s">
        <v>805</v>
      </c>
      <c r="D8" s="38" t="str">
        <f>"1,0000"</f>
        <v>1,0000</v>
      </c>
      <c r="E8" s="38" t="s">
        <v>109</v>
      </c>
      <c r="F8" s="38" t="s">
        <v>110</v>
      </c>
      <c r="G8" s="40" t="s">
        <v>65</v>
      </c>
      <c r="H8" s="43" t="s">
        <v>806</v>
      </c>
      <c r="I8" s="38" t="str">
        <f>"3905,0"</f>
        <v>3905,0</v>
      </c>
      <c r="J8" s="40" t="str">
        <f>"47,7968"</f>
        <v>47,7968</v>
      </c>
      <c r="K8" s="38" t="s">
        <v>30</v>
      </c>
    </row>
    <row r="9" spans="1:11">
      <c r="A9" s="38" t="s">
        <v>808</v>
      </c>
      <c r="B9" s="38" t="s">
        <v>809</v>
      </c>
      <c r="C9" s="38" t="s">
        <v>147</v>
      </c>
      <c r="D9" s="38" t="str">
        <f>"1,0000"</f>
        <v>1,0000</v>
      </c>
      <c r="E9" s="38" t="s">
        <v>53</v>
      </c>
      <c r="F9" s="38" t="s">
        <v>466</v>
      </c>
      <c r="G9" s="40" t="s">
        <v>65</v>
      </c>
      <c r="H9" s="43" t="s">
        <v>22</v>
      </c>
      <c r="I9" s="38" t="str">
        <f>"3575,0"</f>
        <v>3575,0</v>
      </c>
      <c r="J9" s="40" t="str">
        <f>"40,1685"</f>
        <v>40,1685</v>
      </c>
      <c r="K9" s="38" t="s">
        <v>30</v>
      </c>
    </row>
    <row r="10" spans="1:11">
      <c r="A10" s="38" t="s">
        <v>811</v>
      </c>
      <c r="B10" s="38" t="s">
        <v>812</v>
      </c>
      <c r="C10" s="38" t="s">
        <v>147</v>
      </c>
      <c r="D10" s="38" t="str">
        <f>"1,0000"</f>
        <v>1,0000</v>
      </c>
      <c r="E10" s="38" t="s">
        <v>278</v>
      </c>
      <c r="F10" s="38" t="s">
        <v>20</v>
      </c>
      <c r="G10" s="40" t="s">
        <v>65</v>
      </c>
      <c r="H10" s="43" t="s">
        <v>813</v>
      </c>
      <c r="I10" s="38" t="str">
        <f>"3080,0"</f>
        <v>3080,0</v>
      </c>
      <c r="J10" s="40" t="str">
        <f>"34,6067"</f>
        <v>34,6067</v>
      </c>
      <c r="K10" s="38" t="s">
        <v>30</v>
      </c>
    </row>
    <row r="11" spans="1:11">
      <c r="A11" s="38" t="s">
        <v>814</v>
      </c>
      <c r="B11" s="38" t="s">
        <v>767</v>
      </c>
      <c r="C11" s="38" t="s">
        <v>768</v>
      </c>
      <c r="D11" s="38" t="str">
        <f>"1,0000"</f>
        <v>1,0000</v>
      </c>
      <c r="E11" s="38" t="s">
        <v>86</v>
      </c>
      <c r="F11" s="38" t="s">
        <v>769</v>
      </c>
      <c r="G11" s="40" t="s">
        <v>65</v>
      </c>
      <c r="H11" s="43" t="s">
        <v>770</v>
      </c>
      <c r="I11" s="38" t="str">
        <f>"2695,0"</f>
        <v>2695,0</v>
      </c>
      <c r="J11" s="40" t="str">
        <f>"34,0277"</f>
        <v>34,0277</v>
      </c>
      <c r="K11" s="38" t="s">
        <v>30</v>
      </c>
    </row>
    <row r="12" spans="1:11">
      <c r="A12" s="38" t="s">
        <v>815</v>
      </c>
      <c r="B12" s="38" t="s">
        <v>447</v>
      </c>
      <c r="C12" s="38" t="s">
        <v>448</v>
      </c>
      <c r="D12" s="38" t="str">
        <f>"1,0000"</f>
        <v>1,0000</v>
      </c>
      <c r="E12" s="38" t="s">
        <v>53</v>
      </c>
      <c r="F12" s="38" t="s">
        <v>449</v>
      </c>
      <c r="G12" s="40" t="s">
        <v>65</v>
      </c>
      <c r="H12" s="43" t="s">
        <v>816</v>
      </c>
      <c r="I12" s="38" t="str">
        <f>"2640,0"</f>
        <v>2640,0</v>
      </c>
      <c r="J12" s="40" t="str">
        <f>"32,7746"</f>
        <v>32,7746</v>
      </c>
      <c r="K12" s="38" t="s">
        <v>30</v>
      </c>
    </row>
    <row r="13" spans="1:11">
      <c r="A13" s="38" t="s">
        <v>818</v>
      </c>
      <c r="B13" s="38" t="s">
        <v>819</v>
      </c>
      <c r="C13" s="38" t="s">
        <v>764</v>
      </c>
      <c r="D13" s="38" t="str">
        <f>"1,0000"</f>
        <v>1,0000</v>
      </c>
      <c r="E13" s="38" t="s">
        <v>86</v>
      </c>
      <c r="F13" s="38" t="s">
        <v>87</v>
      </c>
      <c r="G13" s="40" t="s">
        <v>65</v>
      </c>
      <c r="H13" s="43" t="s">
        <v>820</v>
      </c>
      <c r="I13" s="38" t="str">
        <f>"3135,0"</f>
        <v>3135,0</v>
      </c>
      <c r="J13" s="40" t="str">
        <f>"33,7459"</f>
        <v>33,7459</v>
      </c>
      <c r="K13" s="38" t="s">
        <v>30</v>
      </c>
    </row>
    <row r="14" spans="1:11">
      <c r="A14" s="34" t="s">
        <v>766</v>
      </c>
      <c r="B14" s="34" t="s">
        <v>772</v>
      </c>
      <c r="C14" s="34" t="s">
        <v>768</v>
      </c>
      <c r="D14" s="34" t="str">
        <f>"1,0000"</f>
        <v>1,0000</v>
      </c>
      <c r="E14" s="34" t="s">
        <v>86</v>
      </c>
      <c r="F14" s="34" t="s">
        <v>769</v>
      </c>
      <c r="G14" s="35" t="s">
        <v>65</v>
      </c>
      <c r="H14" s="44" t="s">
        <v>770</v>
      </c>
      <c r="I14" s="34" t="str">
        <f>"2695,0"</f>
        <v>2695,0</v>
      </c>
      <c r="J14" s="35" t="str">
        <f>"34,0277"</f>
        <v>34,0277</v>
      </c>
      <c r="K14" s="34" t="s">
        <v>30</v>
      </c>
    </row>
    <row r="16" spans="1:11" ht="15">
      <c r="E16" s="23" t="s">
        <v>31</v>
      </c>
    </row>
    <row r="17" spans="1:5" ht="15">
      <c r="E17" s="23" t="s">
        <v>32</v>
      </c>
    </row>
    <row r="18" spans="1:5" ht="15">
      <c r="E18" s="23" t="s">
        <v>33</v>
      </c>
    </row>
    <row r="19" spans="1:5" ht="15">
      <c r="E19" s="23" t="s">
        <v>34</v>
      </c>
    </row>
    <row r="20" spans="1:5" ht="15">
      <c r="E20" s="23" t="s">
        <v>34</v>
      </c>
    </row>
    <row r="21" spans="1:5" ht="15">
      <c r="E21" s="23" t="s">
        <v>35</v>
      </c>
    </row>
    <row r="22" spans="1:5" ht="15">
      <c r="E22" s="23"/>
    </row>
    <row r="24" spans="1:5" ht="18">
      <c r="A24" s="24" t="s">
        <v>36</v>
      </c>
      <c r="B24" s="24"/>
    </row>
    <row r="25" spans="1:5" ht="15">
      <c r="A25" s="25" t="s">
        <v>37</v>
      </c>
      <c r="B25" s="25"/>
    </row>
    <row r="26" spans="1:5" ht="14.25">
      <c r="A26" s="27"/>
      <c r="B26" s="28" t="s">
        <v>164</v>
      </c>
    </row>
    <row r="27" spans="1:5" ht="15">
      <c r="A27" s="29" t="s">
        <v>39</v>
      </c>
      <c r="B27" s="29" t="s">
        <v>40</v>
      </c>
      <c r="C27" s="29" t="s">
        <v>41</v>
      </c>
      <c r="D27" s="29" t="s">
        <v>42</v>
      </c>
      <c r="E27" s="29" t="s">
        <v>773</v>
      </c>
    </row>
    <row r="28" spans="1:5">
      <c r="A28" s="26" t="s">
        <v>471</v>
      </c>
      <c r="B28" s="4" t="s">
        <v>164</v>
      </c>
      <c r="C28" s="4" t="s">
        <v>774</v>
      </c>
      <c r="D28" s="4" t="s">
        <v>821</v>
      </c>
      <c r="E28" s="30" t="s">
        <v>822</v>
      </c>
    </row>
    <row r="29" spans="1:5">
      <c r="A29" s="26" t="s">
        <v>802</v>
      </c>
      <c r="B29" s="4" t="s">
        <v>164</v>
      </c>
      <c r="C29" s="4" t="s">
        <v>774</v>
      </c>
      <c r="D29" s="4" t="s">
        <v>823</v>
      </c>
      <c r="E29" s="30" t="s">
        <v>824</v>
      </c>
    </row>
    <row r="30" spans="1:5">
      <c r="A30" s="26" t="s">
        <v>623</v>
      </c>
      <c r="B30" s="4" t="s">
        <v>164</v>
      </c>
      <c r="C30" s="4" t="s">
        <v>774</v>
      </c>
      <c r="D30" s="4" t="s">
        <v>825</v>
      </c>
      <c r="E30" s="30" t="s">
        <v>826</v>
      </c>
    </row>
    <row r="31" spans="1:5">
      <c r="A31" s="26" t="s">
        <v>807</v>
      </c>
      <c r="B31" s="4" t="s">
        <v>164</v>
      </c>
      <c r="C31" s="4" t="s">
        <v>774</v>
      </c>
      <c r="D31" s="4" t="s">
        <v>827</v>
      </c>
      <c r="E31" s="30" t="s">
        <v>828</v>
      </c>
    </row>
    <row r="32" spans="1:5">
      <c r="A32" s="26" t="s">
        <v>810</v>
      </c>
      <c r="B32" s="4" t="s">
        <v>164</v>
      </c>
      <c r="C32" s="4" t="s">
        <v>774</v>
      </c>
      <c r="D32" s="4" t="s">
        <v>829</v>
      </c>
      <c r="E32" s="30" t="s">
        <v>830</v>
      </c>
    </row>
    <row r="33" spans="1:5">
      <c r="A33" s="26" t="s">
        <v>765</v>
      </c>
      <c r="B33" s="4" t="s">
        <v>164</v>
      </c>
      <c r="C33" s="4" t="s">
        <v>774</v>
      </c>
      <c r="D33" s="4" t="s">
        <v>777</v>
      </c>
      <c r="E33" s="30" t="s">
        <v>778</v>
      </c>
    </row>
    <row r="34" spans="1:5">
      <c r="A34" s="26" t="s">
        <v>445</v>
      </c>
      <c r="B34" s="4" t="s">
        <v>164</v>
      </c>
      <c r="C34" s="4" t="s">
        <v>774</v>
      </c>
      <c r="D34" s="4" t="s">
        <v>831</v>
      </c>
      <c r="E34" s="30" t="s">
        <v>832</v>
      </c>
    </row>
    <row r="36" spans="1:5" ht="14.25">
      <c r="A36" s="27"/>
      <c r="B36" s="28" t="s">
        <v>166</v>
      </c>
    </row>
    <row r="37" spans="1:5" ht="15">
      <c r="A37" s="29" t="s">
        <v>39</v>
      </c>
      <c r="B37" s="29" t="s">
        <v>40</v>
      </c>
      <c r="C37" s="29" t="s">
        <v>41</v>
      </c>
      <c r="D37" s="29" t="s">
        <v>42</v>
      </c>
      <c r="E37" s="29" t="s">
        <v>773</v>
      </c>
    </row>
    <row r="38" spans="1:5">
      <c r="A38" s="26" t="s">
        <v>765</v>
      </c>
      <c r="B38" s="4" t="s">
        <v>371</v>
      </c>
      <c r="C38" s="4" t="s">
        <v>774</v>
      </c>
      <c r="D38" s="4" t="s">
        <v>777</v>
      </c>
      <c r="E38" s="30" t="s">
        <v>778</v>
      </c>
    </row>
    <row r="39" spans="1:5">
      <c r="A39" s="26" t="s">
        <v>817</v>
      </c>
      <c r="B39" s="4" t="s">
        <v>371</v>
      </c>
      <c r="C39" s="4" t="s">
        <v>774</v>
      </c>
      <c r="D39" s="4" t="s">
        <v>833</v>
      </c>
      <c r="E39" s="30" t="s">
        <v>834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5"/>
  <sheetViews>
    <sheetView topLeftCell="A7" workbookViewId="0">
      <selection activeCell="D35" sqref="D35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28.42578125" style="4" bestFit="1" customWidth="1"/>
    <col min="7" max="7" width="4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790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10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759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797</v>
      </c>
      <c r="B6" s="31" t="s">
        <v>798</v>
      </c>
      <c r="C6" s="31" t="s">
        <v>799</v>
      </c>
      <c r="D6" s="31" t="str">
        <f>"1,0000"</f>
        <v>1,0000</v>
      </c>
      <c r="E6" s="31" t="s">
        <v>53</v>
      </c>
      <c r="F6" s="31" t="s">
        <v>398</v>
      </c>
      <c r="G6" s="48" t="s">
        <v>1112</v>
      </c>
      <c r="H6" s="42" t="s">
        <v>67</v>
      </c>
      <c r="I6" s="49" t="s">
        <v>1113</v>
      </c>
      <c r="J6" s="48" t="s">
        <v>1114</v>
      </c>
      <c r="K6" s="31" t="s">
        <v>30</v>
      </c>
    </row>
    <row r="7" spans="1:11">
      <c r="A7" s="47" t="s">
        <v>1111</v>
      </c>
      <c r="B7" s="20" t="s">
        <v>793</v>
      </c>
      <c r="C7" s="20" t="s">
        <v>794</v>
      </c>
      <c r="D7" s="20" t="str">
        <f>"1,0000"</f>
        <v>1,0000</v>
      </c>
      <c r="E7" s="20" t="s">
        <v>86</v>
      </c>
      <c r="F7" s="20" t="s">
        <v>137</v>
      </c>
      <c r="G7" s="21" t="s">
        <v>67</v>
      </c>
      <c r="H7" s="46" t="s">
        <v>770</v>
      </c>
      <c r="I7" s="20" t="str">
        <f>"1715,0"</f>
        <v>1715,0</v>
      </c>
      <c r="J7" s="21" t="str">
        <f>"25,7894"</f>
        <v>25,7894</v>
      </c>
      <c r="K7" s="20" t="s">
        <v>30</v>
      </c>
    </row>
    <row r="9" spans="1:11" ht="15">
      <c r="E9" s="23" t="s">
        <v>31</v>
      </c>
    </row>
    <row r="10" spans="1:11" ht="15">
      <c r="E10" s="23" t="s">
        <v>32</v>
      </c>
    </row>
    <row r="11" spans="1:11" ht="15">
      <c r="E11" s="23" t="s">
        <v>33</v>
      </c>
    </row>
    <row r="12" spans="1:11" ht="15">
      <c r="E12" s="23" t="s">
        <v>34</v>
      </c>
    </row>
    <row r="13" spans="1:11" ht="15">
      <c r="E13" s="23" t="s">
        <v>34</v>
      </c>
    </row>
    <row r="14" spans="1:11" ht="15">
      <c r="E14" s="23" t="s">
        <v>35</v>
      </c>
    </row>
    <row r="15" spans="1:11" ht="15">
      <c r="E15" s="23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17.28515625" style="4" bestFit="1" customWidth="1"/>
    <col min="7" max="7" width="5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786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05.7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759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0" t="s">
        <v>580</v>
      </c>
      <c r="B6" s="20" t="s">
        <v>581</v>
      </c>
      <c r="C6" s="20" t="s">
        <v>582</v>
      </c>
      <c r="D6" s="20" t="str">
        <f>"1,0000"</f>
        <v>1,0000</v>
      </c>
      <c r="E6" s="20" t="s">
        <v>199</v>
      </c>
      <c r="F6" s="20" t="s">
        <v>583</v>
      </c>
      <c r="G6" s="21" t="s">
        <v>102</v>
      </c>
      <c r="H6" s="46" t="s">
        <v>787</v>
      </c>
      <c r="I6" s="20" t="str">
        <f>"1800,0"</f>
        <v>1800,0</v>
      </c>
      <c r="J6" s="21" t="str">
        <f>"16,9172"</f>
        <v>16,9172</v>
      </c>
      <c r="K6" s="20" t="s">
        <v>30</v>
      </c>
    </row>
    <row r="8" spans="1:11" ht="15">
      <c r="E8" s="23" t="s">
        <v>31</v>
      </c>
    </row>
    <row r="9" spans="1:11" ht="15">
      <c r="E9" s="23" t="s">
        <v>32</v>
      </c>
    </row>
    <row r="10" spans="1:11" ht="15">
      <c r="E10" s="23" t="s">
        <v>33</v>
      </c>
    </row>
    <row r="11" spans="1:11" ht="15">
      <c r="E11" s="23" t="s">
        <v>34</v>
      </c>
    </row>
    <row r="12" spans="1:11" ht="15">
      <c r="E12" s="23" t="s">
        <v>34</v>
      </c>
    </row>
    <row r="13" spans="1:11" ht="15">
      <c r="E13" s="23" t="s">
        <v>35</v>
      </c>
    </row>
    <row r="14" spans="1:11" ht="15">
      <c r="E14" s="23"/>
    </row>
    <row r="16" spans="1:11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164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773</v>
      </c>
    </row>
    <row r="20" spans="1:5">
      <c r="A20" s="26" t="s">
        <v>579</v>
      </c>
      <c r="B20" s="4" t="s">
        <v>164</v>
      </c>
      <c r="C20" s="4" t="s">
        <v>774</v>
      </c>
      <c r="D20" s="4" t="s">
        <v>788</v>
      </c>
      <c r="E20" s="30" t="s">
        <v>789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10.7109375" style="4" bestFit="1" customWidth="1"/>
    <col min="5" max="5" width="22.7109375" style="4" bestFit="1" customWidth="1"/>
    <col min="6" max="6" width="30.28515625" style="4" bestFit="1" customWidth="1"/>
    <col min="7" max="7" width="4.5703125" style="3" bestFit="1" customWidth="1"/>
    <col min="8" max="8" width="4.5703125" style="45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1100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95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1081</v>
      </c>
      <c r="E3" s="11" t="s">
        <v>4</v>
      </c>
      <c r="F3" s="11" t="s">
        <v>8</v>
      </c>
      <c r="G3" s="11" t="s">
        <v>1082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91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873</v>
      </c>
      <c r="B6" s="31" t="s">
        <v>874</v>
      </c>
      <c r="C6" s="31" t="s">
        <v>875</v>
      </c>
      <c r="D6" s="31" t="str">
        <f>"0,7610"</f>
        <v>0,7610</v>
      </c>
      <c r="E6" s="31" t="s">
        <v>272</v>
      </c>
      <c r="F6" s="31" t="s">
        <v>20</v>
      </c>
      <c r="G6" s="33" t="s">
        <v>68</v>
      </c>
      <c r="H6" s="42" t="s">
        <v>1101</v>
      </c>
      <c r="I6" s="31" t="str">
        <f>"1815,0"</f>
        <v>1815,0</v>
      </c>
      <c r="J6" s="33" t="str">
        <f>"1381,2150"</f>
        <v>1381,2150</v>
      </c>
      <c r="K6" s="31" t="s">
        <v>30</v>
      </c>
    </row>
    <row r="7" spans="1:11">
      <c r="A7" s="38" t="s">
        <v>766</v>
      </c>
      <c r="B7" s="38" t="s">
        <v>767</v>
      </c>
      <c r="C7" s="38" t="s">
        <v>768</v>
      </c>
      <c r="D7" s="38" t="str">
        <f>"0,7879"</f>
        <v>0,7879</v>
      </c>
      <c r="E7" s="38" t="s">
        <v>86</v>
      </c>
      <c r="F7" s="38" t="s">
        <v>769</v>
      </c>
      <c r="G7" s="40" t="s">
        <v>28</v>
      </c>
      <c r="H7" s="43" t="s">
        <v>845</v>
      </c>
      <c r="I7" s="38" t="str">
        <f>"1440,0"</f>
        <v>1440,0</v>
      </c>
      <c r="J7" s="40" t="str">
        <f>"1134,5760"</f>
        <v>1134,5760</v>
      </c>
      <c r="K7" s="38" t="s">
        <v>30</v>
      </c>
    </row>
    <row r="8" spans="1:11">
      <c r="A8" s="34" t="s">
        <v>771</v>
      </c>
      <c r="B8" s="34" t="s">
        <v>772</v>
      </c>
      <c r="C8" s="34" t="s">
        <v>768</v>
      </c>
      <c r="D8" s="34" t="str">
        <f>"0,7879"</f>
        <v>0,7879</v>
      </c>
      <c r="E8" s="34" t="s">
        <v>86</v>
      </c>
      <c r="F8" s="34" t="s">
        <v>769</v>
      </c>
      <c r="G8" s="35" t="s">
        <v>28</v>
      </c>
      <c r="H8" s="44" t="s">
        <v>845</v>
      </c>
      <c r="I8" s="34" t="str">
        <f>"1440,0"</f>
        <v>1440,0</v>
      </c>
      <c r="J8" s="35" t="str">
        <f>"1134,5760"</f>
        <v>1134,5760</v>
      </c>
      <c r="K8" s="34" t="s">
        <v>30</v>
      </c>
    </row>
    <row r="10" spans="1:11" ht="15">
      <c r="A10" s="37" t="s">
        <v>152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1">
      <c r="A11" s="20" t="s">
        <v>1103</v>
      </c>
      <c r="B11" s="20" t="s">
        <v>1104</v>
      </c>
      <c r="C11" s="20" t="s">
        <v>1105</v>
      </c>
      <c r="D11" s="20" t="str">
        <f>"0,6996"</f>
        <v>0,6996</v>
      </c>
      <c r="E11" s="20" t="s">
        <v>53</v>
      </c>
      <c r="F11" s="20" t="s">
        <v>379</v>
      </c>
      <c r="G11" s="21" t="s">
        <v>88</v>
      </c>
      <c r="H11" s="46" t="s">
        <v>1106</v>
      </c>
      <c r="I11" s="20" t="str">
        <f>"2755,0"</f>
        <v>2755,0</v>
      </c>
      <c r="J11" s="21" t="str">
        <f>"1927,3979"</f>
        <v>1927,3979</v>
      </c>
      <c r="K11" s="20" t="s">
        <v>30</v>
      </c>
    </row>
    <row r="13" spans="1:11" ht="15">
      <c r="E13" s="23" t="s">
        <v>31</v>
      </c>
    </row>
    <row r="14" spans="1:11" ht="15">
      <c r="E14" s="23" t="s">
        <v>32</v>
      </c>
    </row>
    <row r="15" spans="1:11" ht="15">
      <c r="E15" s="23" t="s">
        <v>33</v>
      </c>
    </row>
    <row r="16" spans="1:11" ht="15">
      <c r="E16" s="23" t="s">
        <v>34</v>
      </c>
    </row>
    <row r="17" spans="1:5" ht="15">
      <c r="E17" s="23" t="s">
        <v>34</v>
      </c>
    </row>
    <row r="18" spans="1:5" ht="15">
      <c r="E18" s="23" t="s">
        <v>35</v>
      </c>
    </row>
    <row r="19" spans="1:5" ht="15">
      <c r="E19" s="23"/>
    </row>
    <row r="21" spans="1:5" ht="18">
      <c r="A21" s="24" t="s">
        <v>36</v>
      </c>
      <c r="B21" s="24"/>
    </row>
    <row r="22" spans="1:5" ht="15">
      <c r="A22" s="25" t="s">
        <v>37</v>
      </c>
      <c r="B22" s="25"/>
    </row>
    <row r="23" spans="1:5" ht="14.25">
      <c r="A23" s="27"/>
      <c r="B23" s="28" t="s">
        <v>164</v>
      </c>
    </row>
    <row r="24" spans="1:5" ht="15">
      <c r="A24" s="29" t="s">
        <v>39</v>
      </c>
      <c r="B24" s="29" t="s">
        <v>40</v>
      </c>
      <c r="C24" s="29" t="s">
        <v>41</v>
      </c>
      <c r="D24" s="29" t="s">
        <v>42</v>
      </c>
      <c r="E24" s="29" t="s">
        <v>1086</v>
      </c>
    </row>
    <row r="25" spans="1:5">
      <c r="A25" s="26" t="s">
        <v>1102</v>
      </c>
      <c r="B25" s="4" t="s">
        <v>164</v>
      </c>
      <c r="C25" s="4" t="s">
        <v>188</v>
      </c>
      <c r="D25" s="4" t="s">
        <v>1107</v>
      </c>
      <c r="E25" s="30" t="s">
        <v>1108</v>
      </c>
    </row>
    <row r="26" spans="1:5">
      <c r="A26" s="26" t="s">
        <v>872</v>
      </c>
      <c r="B26" s="4" t="s">
        <v>164</v>
      </c>
      <c r="C26" s="4" t="s">
        <v>176</v>
      </c>
      <c r="D26" s="4" t="s">
        <v>1109</v>
      </c>
      <c r="E26" s="30" t="s">
        <v>1110</v>
      </c>
    </row>
    <row r="27" spans="1:5">
      <c r="A27" s="26" t="s">
        <v>765</v>
      </c>
      <c r="B27" s="4" t="s">
        <v>164</v>
      </c>
      <c r="C27" s="4" t="s">
        <v>176</v>
      </c>
      <c r="D27" s="4" t="s">
        <v>1089</v>
      </c>
      <c r="E27" s="30" t="s">
        <v>1090</v>
      </c>
    </row>
    <row r="29" spans="1:5" ht="14.25">
      <c r="A29" s="27"/>
      <c r="B29" s="28" t="s">
        <v>166</v>
      </c>
    </row>
    <row r="30" spans="1:5" ht="15">
      <c r="A30" s="29" t="s">
        <v>39</v>
      </c>
      <c r="B30" s="29" t="s">
        <v>40</v>
      </c>
      <c r="C30" s="29" t="s">
        <v>41</v>
      </c>
      <c r="D30" s="29" t="s">
        <v>42</v>
      </c>
      <c r="E30" s="29" t="s">
        <v>1086</v>
      </c>
    </row>
    <row r="31" spans="1:5">
      <c r="A31" s="26" t="s">
        <v>765</v>
      </c>
      <c r="B31" s="4" t="s">
        <v>371</v>
      </c>
      <c r="C31" s="4" t="s">
        <v>176</v>
      </c>
      <c r="D31" s="4" t="s">
        <v>1089</v>
      </c>
      <c r="E31" s="30" t="s">
        <v>1090</v>
      </c>
    </row>
  </sheetData>
  <mergeCells count="13">
    <mergeCell ref="I3:I4"/>
    <mergeCell ref="J3:J4"/>
    <mergeCell ref="K3:K4"/>
    <mergeCell ref="A5:J5"/>
    <mergeCell ref="A10:J10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20.85546875" style="4" bestFit="1" customWidth="1"/>
    <col min="7" max="7" width="4.5703125" style="3" bestFit="1" customWidth="1"/>
    <col min="8" max="8" width="4.5703125" style="45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782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01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759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771</v>
      </c>
      <c r="B6" s="31" t="s">
        <v>767</v>
      </c>
      <c r="C6" s="31" t="s">
        <v>768</v>
      </c>
      <c r="D6" s="31" t="str">
        <f>"1,0000"</f>
        <v>1,0000</v>
      </c>
      <c r="E6" s="31" t="s">
        <v>86</v>
      </c>
      <c r="F6" s="31" t="s">
        <v>769</v>
      </c>
      <c r="G6" s="33" t="s">
        <v>55</v>
      </c>
      <c r="H6" s="42" t="s">
        <v>783</v>
      </c>
      <c r="I6" s="31" t="str">
        <f>"1875,0"</f>
        <v>1875,0</v>
      </c>
      <c r="J6" s="33" t="str">
        <f>"23,6742"</f>
        <v>23,6742</v>
      </c>
      <c r="K6" s="31" t="s">
        <v>30</v>
      </c>
    </row>
    <row r="7" spans="1:11">
      <c r="A7" s="34" t="s">
        <v>771</v>
      </c>
      <c r="B7" s="34" t="s">
        <v>772</v>
      </c>
      <c r="C7" s="34" t="s">
        <v>768</v>
      </c>
      <c r="D7" s="34" t="str">
        <f>"1,0000"</f>
        <v>1,0000</v>
      </c>
      <c r="E7" s="34" t="s">
        <v>86</v>
      </c>
      <c r="F7" s="34" t="s">
        <v>769</v>
      </c>
      <c r="G7" s="35" t="s">
        <v>55</v>
      </c>
      <c r="H7" s="44" t="s">
        <v>783</v>
      </c>
      <c r="I7" s="34" t="str">
        <f>"1875,0"</f>
        <v>1875,0</v>
      </c>
      <c r="J7" s="35" t="str">
        <f>"23,6742"</f>
        <v>23,6742</v>
      </c>
      <c r="K7" s="34" t="s">
        <v>30</v>
      </c>
    </row>
    <row r="9" spans="1:11" ht="15">
      <c r="E9" s="23" t="s">
        <v>31</v>
      </c>
    </row>
    <row r="10" spans="1:11" ht="15">
      <c r="E10" s="23" t="s">
        <v>32</v>
      </c>
    </row>
    <row r="11" spans="1:11" ht="15">
      <c r="E11" s="23" t="s">
        <v>33</v>
      </c>
    </row>
    <row r="12" spans="1:11" ht="15">
      <c r="E12" s="23" t="s">
        <v>34</v>
      </c>
    </row>
    <row r="13" spans="1:11" ht="15">
      <c r="E13" s="23" t="s">
        <v>34</v>
      </c>
    </row>
    <row r="14" spans="1:11" ht="15">
      <c r="E14" s="23" t="s">
        <v>35</v>
      </c>
    </row>
    <row r="15" spans="1:11" ht="15">
      <c r="E15" s="23"/>
    </row>
    <row r="17" spans="1:5" ht="18">
      <c r="A17" s="24" t="s">
        <v>36</v>
      </c>
      <c r="B17" s="24"/>
    </row>
    <row r="18" spans="1:5" ht="15">
      <c r="A18" s="25" t="s">
        <v>37</v>
      </c>
      <c r="B18" s="25"/>
    </row>
    <row r="19" spans="1:5" ht="14.25">
      <c r="A19" s="27"/>
      <c r="B19" s="28" t="s">
        <v>164</v>
      </c>
    </row>
    <row r="20" spans="1:5" ht="15">
      <c r="A20" s="29" t="s">
        <v>39</v>
      </c>
      <c r="B20" s="29" t="s">
        <v>40</v>
      </c>
      <c r="C20" s="29" t="s">
        <v>41</v>
      </c>
      <c r="D20" s="29" t="s">
        <v>42</v>
      </c>
      <c r="E20" s="29" t="s">
        <v>773</v>
      </c>
    </row>
    <row r="21" spans="1:5">
      <c r="A21" s="26" t="s">
        <v>765</v>
      </c>
      <c r="B21" s="4" t="s">
        <v>164</v>
      </c>
      <c r="C21" s="4" t="s">
        <v>774</v>
      </c>
      <c r="D21" s="4" t="s">
        <v>784</v>
      </c>
      <c r="E21" s="30" t="s">
        <v>785</v>
      </c>
    </row>
    <row r="23" spans="1:5" ht="14.25">
      <c r="A23" s="27"/>
      <c r="B23" s="28" t="s">
        <v>166</v>
      </c>
    </row>
    <row r="24" spans="1:5" ht="15">
      <c r="A24" s="29" t="s">
        <v>39</v>
      </c>
      <c r="B24" s="29" t="s">
        <v>40</v>
      </c>
      <c r="C24" s="29" t="s">
        <v>41</v>
      </c>
      <c r="D24" s="29" t="s">
        <v>42</v>
      </c>
      <c r="E24" s="29" t="s">
        <v>773</v>
      </c>
    </row>
    <row r="25" spans="1:5">
      <c r="A25" s="26" t="s">
        <v>765</v>
      </c>
      <c r="B25" s="4" t="s">
        <v>371</v>
      </c>
      <c r="C25" s="4" t="s">
        <v>774</v>
      </c>
      <c r="D25" s="4" t="s">
        <v>784</v>
      </c>
      <c r="E25" s="30" t="s">
        <v>785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15" sqref="A15:XFD15"/>
    </sheetView>
  </sheetViews>
  <sheetFormatPr defaultRowHeight="12.75"/>
  <cols>
    <col min="1" max="1" width="26" style="4" bestFit="1" customWidth="1"/>
    <col min="2" max="2" width="28.5703125" style="4" bestFit="1" customWidth="1"/>
    <col min="3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5.5703125" style="45" bestFit="1" customWidth="1"/>
    <col min="9" max="9" width="7.85546875" style="4" bestFit="1" customWidth="1"/>
    <col min="10" max="10" width="8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757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18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758</v>
      </c>
      <c r="E3" s="11" t="s">
        <v>4</v>
      </c>
      <c r="F3" s="11" t="s">
        <v>8</v>
      </c>
      <c r="G3" s="11" t="s">
        <v>759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760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762</v>
      </c>
      <c r="B6" s="31" t="s">
        <v>763</v>
      </c>
      <c r="C6" s="31" t="s">
        <v>764</v>
      </c>
      <c r="D6" s="31" t="str">
        <f>"1,0000"</f>
        <v>1,0000</v>
      </c>
      <c r="E6" s="31" t="s">
        <v>86</v>
      </c>
      <c r="F6" s="31" t="s">
        <v>87</v>
      </c>
      <c r="G6" s="33" t="s">
        <v>65</v>
      </c>
      <c r="H6" s="42" t="s">
        <v>192</v>
      </c>
      <c r="I6" s="31" t="str">
        <f>"23100,0"</f>
        <v>23100,0</v>
      </c>
      <c r="J6" s="33" t="str">
        <f>"248,6544"</f>
        <v>248,6544</v>
      </c>
      <c r="K6" s="31" t="s">
        <v>30</v>
      </c>
    </row>
    <row r="7" spans="1:11">
      <c r="A7" s="38" t="s">
        <v>766</v>
      </c>
      <c r="B7" s="38" t="s">
        <v>767</v>
      </c>
      <c r="C7" s="38" t="s">
        <v>768</v>
      </c>
      <c r="D7" s="38" t="str">
        <f>"1,0000"</f>
        <v>1,0000</v>
      </c>
      <c r="E7" s="38" t="s">
        <v>86</v>
      </c>
      <c r="F7" s="38" t="s">
        <v>769</v>
      </c>
      <c r="G7" s="40" t="s">
        <v>65</v>
      </c>
      <c r="H7" s="43" t="s">
        <v>770</v>
      </c>
      <c r="I7" s="38" t="str">
        <f>"2695,0"</f>
        <v>2695,0</v>
      </c>
      <c r="J7" s="40" t="str">
        <f>"34,0277"</f>
        <v>34,0277</v>
      </c>
      <c r="K7" s="38" t="s">
        <v>30</v>
      </c>
    </row>
    <row r="8" spans="1:11">
      <c r="A8" s="34" t="s">
        <v>771</v>
      </c>
      <c r="B8" s="34" t="s">
        <v>772</v>
      </c>
      <c r="C8" s="34" t="s">
        <v>768</v>
      </c>
      <c r="D8" s="34" t="str">
        <f>"1,0000"</f>
        <v>1,0000</v>
      </c>
      <c r="E8" s="34" t="s">
        <v>86</v>
      </c>
      <c r="F8" s="34" t="s">
        <v>769</v>
      </c>
      <c r="G8" s="35" t="s">
        <v>65</v>
      </c>
      <c r="H8" s="44" t="s">
        <v>770</v>
      </c>
      <c r="I8" s="34" t="str">
        <f>"2695,0"</f>
        <v>2695,0</v>
      </c>
      <c r="J8" s="35" t="str">
        <f>"34,0277"</f>
        <v>34,0277</v>
      </c>
      <c r="K8" s="34" t="s">
        <v>30</v>
      </c>
    </row>
    <row r="10" spans="1:11" ht="15">
      <c r="E10" s="23" t="s">
        <v>31</v>
      </c>
    </row>
    <row r="11" spans="1:11" ht="15">
      <c r="E11" s="23" t="s">
        <v>32</v>
      </c>
    </row>
    <row r="12" spans="1:11" ht="15">
      <c r="E12" s="23" t="s">
        <v>33</v>
      </c>
    </row>
    <row r="13" spans="1:11" ht="15">
      <c r="E13" s="23" t="s">
        <v>34</v>
      </c>
    </row>
    <row r="14" spans="1:11" ht="15">
      <c r="E14" s="23" t="s">
        <v>34</v>
      </c>
    </row>
    <row r="15" spans="1:11" ht="15">
      <c r="E15" s="23" t="s">
        <v>35</v>
      </c>
    </row>
    <row r="16" spans="1:11" ht="15">
      <c r="E16" s="23"/>
    </row>
    <row r="18" spans="1:5" ht="18">
      <c r="A18" s="24" t="s">
        <v>36</v>
      </c>
      <c r="B18" s="24"/>
    </row>
    <row r="19" spans="1:5" ht="15">
      <c r="A19" s="25" t="s">
        <v>37</v>
      </c>
      <c r="B19" s="25"/>
    </row>
    <row r="20" spans="1:5" ht="14.25">
      <c r="A20" s="27"/>
      <c r="B20" s="28" t="s">
        <v>164</v>
      </c>
    </row>
    <row r="21" spans="1:5" ht="15">
      <c r="A21" s="29" t="s">
        <v>39</v>
      </c>
      <c r="B21" s="29" t="s">
        <v>40</v>
      </c>
      <c r="C21" s="29" t="s">
        <v>41</v>
      </c>
      <c r="D21" s="29" t="s">
        <v>42</v>
      </c>
      <c r="E21" s="29" t="s">
        <v>773</v>
      </c>
    </row>
    <row r="22" spans="1:5">
      <c r="A22" s="26" t="s">
        <v>761</v>
      </c>
      <c r="B22" s="4" t="s">
        <v>164</v>
      </c>
      <c r="C22" s="4" t="s">
        <v>774</v>
      </c>
      <c r="D22" s="4" t="s">
        <v>775</v>
      </c>
      <c r="E22" s="30" t="s">
        <v>776</v>
      </c>
    </row>
    <row r="23" spans="1:5">
      <c r="A23" s="26" t="s">
        <v>765</v>
      </c>
      <c r="B23" s="4" t="s">
        <v>164</v>
      </c>
      <c r="C23" s="4" t="s">
        <v>774</v>
      </c>
      <c r="D23" s="4" t="s">
        <v>777</v>
      </c>
      <c r="E23" s="30" t="s">
        <v>778</v>
      </c>
    </row>
    <row r="25" spans="1:5" ht="14.25">
      <c r="A25" s="27"/>
      <c r="B25" s="28" t="s">
        <v>166</v>
      </c>
    </row>
    <row r="26" spans="1:5" ht="15">
      <c r="A26" s="29" t="s">
        <v>39</v>
      </c>
      <c r="B26" s="29" t="s">
        <v>40</v>
      </c>
      <c r="C26" s="29" t="s">
        <v>41</v>
      </c>
      <c r="D26" s="29" t="s">
        <v>42</v>
      </c>
      <c r="E26" s="29" t="s">
        <v>773</v>
      </c>
    </row>
    <row r="27" spans="1:5">
      <c r="A27" s="26" t="s">
        <v>765</v>
      </c>
      <c r="B27" s="4" t="s">
        <v>371</v>
      </c>
      <c r="C27" s="4" t="s">
        <v>774</v>
      </c>
      <c r="D27" s="4" t="s">
        <v>777</v>
      </c>
      <c r="E27" s="30" t="s">
        <v>778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E20" sqref="E2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8" width="5.5703125" style="3" bestFit="1" customWidth="1"/>
    <col min="9" max="9" width="2.1406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18" t="s">
        <v>754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7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</row>
    <row r="3" spans="1:17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13</v>
      </c>
      <c r="L3" s="11"/>
      <c r="M3" s="11"/>
      <c r="N3" s="11"/>
      <c r="O3" s="11" t="s">
        <v>1</v>
      </c>
      <c r="P3" s="11" t="s">
        <v>3</v>
      </c>
      <c r="Q3" s="16" t="s">
        <v>2</v>
      </c>
    </row>
    <row r="4" spans="1:17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15"/>
      <c r="P4" s="15"/>
      <c r="Q4" s="17"/>
    </row>
    <row r="5" spans="1:17" ht="15">
      <c r="A5" s="19" t="s">
        <v>219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7">
      <c r="A6" s="20" t="s">
        <v>349</v>
      </c>
      <c r="B6" s="20" t="s">
        <v>350</v>
      </c>
      <c r="C6" s="20" t="s">
        <v>351</v>
      </c>
      <c r="D6" s="20" t="str">
        <f>"0,5375"</f>
        <v>0,5375</v>
      </c>
      <c r="E6" s="20" t="s">
        <v>86</v>
      </c>
      <c r="F6" s="20" t="s">
        <v>87</v>
      </c>
      <c r="G6" s="21" t="s">
        <v>103</v>
      </c>
      <c r="H6" s="21" t="s">
        <v>114</v>
      </c>
      <c r="I6" s="22"/>
      <c r="J6" s="22"/>
      <c r="K6" s="21" t="s">
        <v>148</v>
      </c>
      <c r="L6" s="21" t="s">
        <v>150</v>
      </c>
      <c r="M6" s="22" t="s">
        <v>158</v>
      </c>
      <c r="N6" s="22"/>
      <c r="O6" s="20" t="str">
        <f>"380,0"</f>
        <v>380,0</v>
      </c>
      <c r="P6" s="21" t="str">
        <f>"271,6525"</f>
        <v>271,6525</v>
      </c>
      <c r="Q6" s="20" t="s">
        <v>30</v>
      </c>
    </row>
    <row r="8" spans="1:17" ht="15">
      <c r="E8" s="23" t="s">
        <v>31</v>
      </c>
    </row>
    <row r="9" spans="1:17" ht="15">
      <c r="E9" s="23" t="s">
        <v>32</v>
      </c>
    </row>
    <row r="10" spans="1:17" ht="15">
      <c r="E10" s="23" t="s">
        <v>33</v>
      </c>
    </row>
    <row r="11" spans="1:17" ht="15">
      <c r="E11" s="23" t="s">
        <v>34</v>
      </c>
    </row>
    <row r="12" spans="1:17" ht="15">
      <c r="E12" s="23" t="s">
        <v>34</v>
      </c>
    </row>
    <row r="13" spans="1:17" ht="15">
      <c r="E13" s="23" t="s">
        <v>35</v>
      </c>
    </row>
    <row r="14" spans="1:17" ht="15">
      <c r="E14" s="23"/>
    </row>
    <row r="16" spans="1:17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166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348</v>
      </c>
      <c r="B20" s="4" t="s">
        <v>249</v>
      </c>
      <c r="C20" s="4" t="s">
        <v>242</v>
      </c>
      <c r="D20" s="4" t="s">
        <v>755</v>
      </c>
      <c r="E20" s="30" t="s">
        <v>756</v>
      </c>
    </row>
  </sheetData>
  <mergeCells count="13">
    <mergeCell ref="O3:O4"/>
    <mergeCell ref="P3:P4"/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.28515625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750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13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11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686</v>
      </c>
      <c r="B6" s="20" t="s">
        <v>687</v>
      </c>
      <c r="C6" s="20" t="s">
        <v>688</v>
      </c>
      <c r="D6" s="20" t="str">
        <f>"1,1624"</f>
        <v>1,1624</v>
      </c>
      <c r="E6" s="20" t="s">
        <v>199</v>
      </c>
      <c r="F6" s="20" t="s">
        <v>200</v>
      </c>
      <c r="G6" s="22" t="s">
        <v>751</v>
      </c>
      <c r="H6" s="22" t="s">
        <v>751</v>
      </c>
      <c r="I6" s="21" t="s">
        <v>58</v>
      </c>
      <c r="J6" s="22"/>
      <c r="K6" s="20" t="str">
        <f>"40,0"</f>
        <v>40,0</v>
      </c>
      <c r="L6" s="21" t="str">
        <f>"57,1901"</f>
        <v>57,1901</v>
      </c>
      <c r="M6" s="20" t="s">
        <v>30</v>
      </c>
    </row>
    <row r="8" spans="1:13" ht="15">
      <c r="A8" s="37" t="s">
        <v>69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695</v>
      </c>
      <c r="B9" s="20" t="s">
        <v>696</v>
      </c>
      <c r="C9" s="20" t="s">
        <v>697</v>
      </c>
      <c r="D9" s="20" t="str">
        <f>"0,7307"</f>
        <v>0,7307</v>
      </c>
      <c r="E9" s="20" t="s">
        <v>199</v>
      </c>
      <c r="F9" s="20" t="s">
        <v>200</v>
      </c>
      <c r="G9" s="22" t="s">
        <v>58</v>
      </c>
      <c r="H9" s="21" t="s">
        <v>58</v>
      </c>
      <c r="I9" s="21" t="s">
        <v>26</v>
      </c>
      <c r="J9" s="22"/>
      <c r="K9" s="20" t="str">
        <f>"50,0"</f>
        <v>50,0</v>
      </c>
      <c r="L9" s="21" t="str">
        <f>"44,9381"</f>
        <v>44,9381</v>
      </c>
      <c r="M9" s="20" t="s">
        <v>30</v>
      </c>
    </row>
    <row r="11" spans="1:13" ht="15">
      <c r="E11" s="23" t="s">
        <v>31</v>
      </c>
    </row>
    <row r="12" spans="1:13" ht="15">
      <c r="E12" s="23" t="s">
        <v>32</v>
      </c>
    </row>
    <row r="13" spans="1:13" ht="15">
      <c r="E13" s="23" t="s">
        <v>33</v>
      </c>
    </row>
    <row r="14" spans="1:13" ht="15">
      <c r="E14" s="23" t="s">
        <v>34</v>
      </c>
    </row>
    <row r="15" spans="1:13" ht="15">
      <c r="E15" s="23" t="s">
        <v>34</v>
      </c>
    </row>
    <row r="16" spans="1:13" ht="15">
      <c r="E16" s="23" t="s">
        <v>35</v>
      </c>
    </row>
    <row r="17" spans="1:5" ht="15">
      <c r="E17" s="23"/>
    </row>
    <row r="19" spans="1:5" ht="18">
      <c r="A19" s="24" t="s">
        <v>36</v>
      </c>
      <c r="B19" s="24"/>
    </row>
    <row r="20" spans="1:5" ht="15">
      <c r="A20" s="25" t="s">
        <v>37</v>
      </c>
      <c r="B20" s="25"/>
    </row>
    <row r="21" spans="1:5" ht="14.25">
      <c r="A21" s="27"/>
      <c r="B21" s="28" t="s">
        <v>38</v>
      </c>
    </row>
    <row r="22" spans="1:5" ht="15">
      <c r="A22" s="29" t="s">
        <v>39</v>
      </c>
      <c r="B22" s="29" t="s">
        <v>40</v>
      </c>
      <c r="C22" s="29" t="s">
        <v>41</v>
      </c>
      <c r="D22" s="29" t="s">
        <v>42</v>
      </c>
      <c r="E22" s="29" t="s">
        <v>43</v>
      </c>
    </row>
    <row r="23" spans="1:5">
      <c r="A23" s="26" t="s">
        <v>685</v>
      </c>
      <c r="B23" s="4" t="s">
        <v>44</v>
      </c>
      <c r="C23" s="4" t="s">
        <v>45</v>
      </c>
      <c r="D23" s="4" t="s">
        <v>58</v>
      </c>
      <c r="E23" s="30" t="s">
        <v>752</v>
      </c>
    </row>
    <row r="24" spans="1:5">
      <c r="A24" s="26" t="s">
        <v>694</v>
      </c>
      <c r="B24" s="4" t="s">
        <v>44</v>
      </c>
      <c r="C24" s="4" t="s">
        <v>168</v>
      </c>
      <c r="D24" s="4" t="s">
        <v>26</v>
      </c>
      <c r="E24" s="30" t="s">
        <v>753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7" width="6.5703125" style="3" bestFit="1" customWidth="1"/>
    <col min="8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734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09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13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152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735</v>
      </c>
      <c r="B6" s="20" t="s">
        <v>736</v>
      </c>
      <c r="C6" s="20" t="s">
        <v>737</v>
      </c>
      <c r="D6" s="20" t="str">
        <f>"0,5619"</f>
        <v>0,5619</v>
      </c>
      <c r="E6" s="20" t="s">
        <v>53</v>
      </c>
      <c r="F6" s="20" t="s">
        <v>20</v>
      </c>
      <c r="G6" s="22" t="s">
        <v>632</v>
      </c>
      <c r="H6" s="22"/>
      <c r="I6" s="22"/>
      <c r="J6" s="22"/>
      <c r="K6" s="20" t="str">
        <f>"0.00"</f>
        <v>0.00</v>
      </c>
      <c r="L6" s="21" t="str">
        <f>"0,0000"</f>
        <v>0,0000</v>
      </c>
      <c r="M6" s="20" t="s">
        <v>30</v>
      </c>
    </row>
    <row r="8" spans="1:13" ht="15">
      <c r="A8" s="37" t="s">
        <v>219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31" t="s">
        <v>738</v>
      </c>
      <c r="B9" s="31" t="s">
        <v>586</v>
      </c>
      <c r="C9" s="31" t="s">
        <v>587</v>
      </c>
      <c r="D9" s="31" t="str">
        <f>"0,5386"</f>
        <v>0,5386</v>
      </c>
      <c r="E9" s="31" t="s">
        <v>53</v>
      </c>
      <c r="F9" s="31" t="s">
        <v>404</v>
      </c>
      <c r="G9" s="33" t="s">
        <v>739</v>
      </c>
      <c r="H9" s="32" t="s">
        <v>740</v>
      </c>
      <c r="I9" s="32"/>
      <c r="J9" s="32"/>
      <c r="K9" s="31" t="str">
        <f>"300,0"</f>
        <v>300,0</v>
      </c>
      <c r="L9" s="33" t="str">
        <f>"161,5800"</f>
        <v>161,5800</v>
      </c>
      <c r="M9" s="31" t="s">
        <v>30</v>
      </c>
    </row>
    <row r="10" spans="1:13">
      <c r="A10" s="34" t="s">
        <v>741</v>
      </c>
      <c r="B10" s="34" t="s">
        <v>222</v>
      </c>
      <c r="C10" s="34" t="s">
        <v>223</v>
      </c>
      <c r="D10" s="34" t="str">
        <f>"0,5377"</f>
        <v>0,5377</v>
      </c>
      <c r="E10" s="34" t="s">
        <v>86</v>
      </c>
      <c r="F10" s="34" t="s">
        <v>224</v>
      </c>
      <c r="G10" s="35" t="s">
        <v>225</v>
      </c>
      <c r="H10" s="35" t="s">
        <v>226</v>
      </c>
      <c r="I10" s="35" t="s">
        <v>227</v>
      </c>
      <c r="J10" s="36"/>
      <c r="K10" s="34" t="str">
        <f>"290,0"</f>
        <v>290,0</v>
      </c>
      <c r="L10" s="35" t="str">
        <f>"155,9330"</f>
        <v>155,9330</v>
      </c>
      <c r="M10" s="34" t="s">
        <v>30</v>
      </c>
    </row>
    <row r="12" spans="1:13" ht="15">
      <c r="A12" s="37" t="s">
        <v>254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3">
      <c r="A13" s="20" t="s">
        <v>743</v>
      </c>
      <c r="B13" s="20" t="s">
        <v>744</v>
      </c>
      <c r="C13" s="20" t="s">
        <v>745</v>
      </c>
      <c r="D13" s="20" t="str">
        <f>"0,5306"</f>
        <v>0,5306</v>
      </c>
      <c r="E13" s="20" t="s">
        <v>53</v>
      </c>
      <c r="F13" s="20" t="s">
        <v>746</v>
      </c>
      <c r="G13" s="22" t="s">
        <v>151</v>
      </c>
      <c r="H13" s="21" t="s">
        <v>151</v>
      </c>
      <c r="I13" s="21" t="s">
        <v>262</v>
      </c>
      <c r="J13" s="22"/>
      <c r="K13" s="20" t="str">
        <f>"270,0"</f>
        <v>270,0</v>
      </c>
      <c r="L13" s="21" t="str">
        <f>"143,2620"</f>
        <v>143,2620</v>
      </c>
      <c r="M13" s="20" t="s">
        <v>30</v>
      </c>
    </row>
    <row r="15" spans="1:13" ht="15">
      <c r="E15" s="23" t="s">
        <v>31</v>
      </c>
    </row>
    <row r="16" spans="1:13" ht="15">
      <c r="E16" s="23" t="s">
        <v>32</v>
      </c>
    </row>
    <row r="17" spans="1:5" ht="15">
      <c r="E17" s="23" t="s">
        <v>33</v>
      </c>
    </row>
    <row r="18" spans="1:5" ht="15">
      <c r="E18" s="23" t="s">
        <v>34</v>
      </c>
    </row>
    <row r="19" spans="1:5" ht="15">
      <c r="E19" s="23" t="s">
        <v>34</v>
      </c>
    </row>
    <row r="20" spans="1:5" ht="15">
      <c r="E20" s="23" t="s">
        <v>35</v>
      </c>
    </row>
    <row r="21" spans="1:5" ht="15">
      <c r="E21" s="23"/>
    </row>
    <row r="23" spans="1:5" ht="18">
      <c r="A23" s="24" t="s">
        <v>36</v>
      </c>
      <c r="B23" s="24"/>
    </row>
    <row r="24" spans="1:5" ht="15">
      <c r="A24" s="25" t="s">
        <v>37</v>
      </c>
      <c r="B24" s="25"/>
    </row>
    <row r="25" spans="1:5" ht="14.25">
      <c r="A25" s="27"/>
      <c r="B25" s="28" t="s">
        <v>164</v>
      </c>
    </row>
    <row r="26" spans="1:5" ht="15">
      <c r="A26" s="29" t="s">
        <v>39</v>
      </c>
      <c r="B26" s="29" t="s">
        <v>40</v>
      </c>
      <c r="C26" s="29" t="s">
        <v>41</v>
      </c>
      <c r="D26" s="29" t="s">
        <v>42</v>
      </c>
      <c r="E26" s="29" t="s">
        <v>43</v>
      </c>
    </row>
    <row r="27" spans="1:5">
      <c r="A27" s="26" t="s">
        <v>584</v>
      </c>
      <c r="B27" s="4" t="s">
        <v>164</v>
      </c>
      <c r="C27" s="4" t="s">
        <v>242</v>
      </c>
      <c r="D27" s="4" t="s">
        <v>647</v>
      </c>
      <c r="E27" s="30" t="s">
        <v>747</v>
      </c>
    </row>
    <row r="28" spans="1:5">
      <c r="A28" s="26" t="s">
        <v>220</v>
      </c>
      <c r="B28" s="4" t="s">
        <v>164</v>
      </c>
      <c r="C28" s="4" t="s">
        <v>242</v>
      </c>
      <c r="D28" s="4" t="s">
        <v>227</v>
      </c>
      <c r="E28" s="30" t="s">
        <v>748</v>
      </c>
    </row>
    <row r="29" spans="1:5">
      <c r="A29" s="26" t="s">
        <v>742</v>
      </c>
      <c r="B29" s="4" t="s">
        <v>164</v>
      </c>
      <c r="C29" s="4" t="s">
        <v>264</v>
      </c>
      <c r="D29" s="4" t="s">
        <v>262</v>
      </c>
      <c r="E29" s="30" t="s">
        <v>749</v>
      </c>
    </row>
  </sheetData>
  <mergeCells count="14"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94"/>
  <sheetViews>
    <sheetView workbookViewId="0">
      <selection activeCell="B6" sqref="B6"/>
    </sheetView>
  </sheetViews>
  <sheetFormatPr defaultRowHeight="12.75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8" width="6.5703125" style="3" bestFit="1" customWidth="1"/>
    <col min="9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665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90.7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13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666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668</v>
      </c>
      <c r="B6" s="20" t="s">
        <v>669</v>
      </c>
      <c r="C6" s="20" t="s">
        <v>670</v>
      </c>
      <c r="D6" s="20" t="str">
        <f>"1,1634"</f>
        <v>1,1634</v>
      </c>
      <c r="E6" s="20" t="s">
        <v>397</v>
      </c>
      <c r="F6" s="20" t="s">
        <v>398</v>
      </c>
      <c r="G6" s="21" t="s">
        <v>27</v>
      </c>
      <c r="H6" s="21" t="s">
        <v>420</v>
      </c>
      <c r="I6" s="21" t="s">
        <v>74</v>
      </c>
      <c r="J6" s="22"/>
      <c r="K6" s="20" t="str">
        <f>"90,0"</f>
        <v>90,0</v>
      </c>
      <c r="L6" s="21" t="str">
        <f>"128,7884"</f>
        <v>128,7884</v>
      </c>
      <c r="M6" s="20" t="s">
        <v>30</v>
      </c>
    </row>
    <row r="8" spans="1:13" ht="15">
      <c r="A8" s="37" t="s">
        <v>374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672</v>
      </c>
      <c r="B9" s="20" t="s">
        <v>673</v>
      </c>
      <c r="C9" s="20" t="s">
        <v>674</v>
      </c>
      <c r="D9" s="20" t="str">
        <f>"0,9229"</f>
        <v>0,9229</v>
      </c>
      <c r="E9" s="20" t="s">
        <v>397</v>
      </c>
      <c r="F9" s="20" t="s">
        <v>398</v>
      </c>
      <c r="G9" s="21" t="s">
        <v>29</v>
      </c>
      <c r="H9" s="21" t="s">
        <v>74</v>
      </c>
      <c r="I9" s="21" t="s">
        <v>88</v>
      </c>
      <c r="J9" s="22"/>
      <c r="K9" s="20" t="str">
        <f>"95,0"</f>
        <v>95,0</v>
      </c>
      <c r="L9" s="21" t="str">
        <f>"87,6708"</f>
        <v>87,6708</v>
      </c>
      <c r="M9" s="20" t="s">
        <v>30</v>
      </c>
    </row>
    <row r="11" spans="1:13" ht="15">
      <c r="A11" s="37" t="s">
        <v>381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31" t="s">
        <v>676</v>
      </c>
      <c r="B12" s="31" t="s">
        <v>677</v>
      </c>
      <c r="C12" s="31" t="s">
        <v>678</v>
      </c>
      <c r="D12" s="31" t="str">
        <f>"0,8609"</f>
        <v>0,8609</v>
      </c>
      <c r="E12" s="31" t="s">
        <v>397</v>
      </c>
      <c r="F12" s="31" t="s">
        <v>398</v>
      </c>
      <c r="G12" s="33" t="s">
        <v>74</v>
      </c>
      <c r="H12" s="32" t="s">
        <v>101</v>
      </c>
      <c r="I12" s="33" t="s">
        <v>101</v>
      </c>
      <c r="J12" s="32"/>
      <c r="K12" s="31" t="str">
        <f>"100,0"</f>
        <v>100,0</v>
      </c>
      <c r="L12" s="33" t="str">
        <f>"92,9772"</f>
        <v>92,9772</v>
      </c>
      <c r="M12" s="31" t="s">
        <v>30</v>
      </c>
    </row>
    <row r="13" spans="1:13">
      <c r="A13" s="34" t="s">
        <v>383</v>
      </c>
      <c r="B13" s="34" t="s">
        <v>384</v>
      </c>
      <c r="C13" s="34" t="s">
        <v>385</v>
      </c>
      <c r="D13" s="34" t="str">
        <f>"0,8993"</f>
        <v>0,8993</v>
      </c>
      <c r="E13" s="34" t="s">
        <v>386</v>
      </c>
      <c r="F13" s="34" t="s">
        <v>379</v>
      </c>
      <c r="G13" s="35" t="s">
        <v>101</v>
      </c>
      <c r="H13" s="35" t="s">
        <v>679</v>
      </c>
      <c r="I13" s="35" t="s">
        <v>680</v>
      </c>
      <c r="J13" s="36"/>
      <c r="K13" s="34" t="str">
        <f>"112,5"</f>
        <v>112,5</v>
      </c>
      <c r="L13" s="35" t="str">
        <f>"188,6844"</f>
        <v>188,6844</v>
      </c>
      <c r="M13" s="34" t="s">
        <v>30</v>
      </c>
    </row>
    <row r="15" spans="1:13" ht="15">
      <c r="A15" s="37" t="s">
        <v>81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3">
      <c r="A16" s="31" t="s">
        <v>682</v>
      </c>
      <c r="B16" s="31" t="s">
        <v>683</v>
      </c>
      <c r="C16" s="31" t="s">
        <v>684</v>
      </c>
      <c r="D16" s="31" t="str">
        <f>"0,7441"</f>
        <v>0,7441</v>
      </c>
      <c r="E16" s="31" t="s">
        <v>397</v>
      </c>
      <c r="F16" s="31" t="s">
        <v>398</v>
      </c>
      <c r="G16" s="33" t="s">
        <v>55</v>
      </c>
      <c r="H16" s="33" t="s">
        <v>29</v>
      </c>
      <c r="I16" s="33" t="s">
        <v>88</v>
      </c>
      <c r="J16" s="32"/>
      <c r="K16" s="31" t="str">
        <f>"95,0"</f>
        <v>95,0</v>
      </c>
      <c r="L16" s="33" t="str">
        <f>"86,9539"</f>
        <v>86,9539</v>
      </c>
      <c r="M16" s="31" t="s">
        <v>30</v>
      </c>
    </row>
    <row r="17" spans="1:13">
      <c r="A17" s="38" t="s">
        <v>389</v>
      </c>
      <c r="B17" s="38" t="s">
        <v>390</v>
      </c>
      <c r="C17" s="38" t="s">
        <v>391</v>
      </c>
      <c r="D17" s="38" t="str">
        <f>"0,7434"</f>
        <v>0,7434</v>
      </c>
      <c r="E17" s="38" t="s">
        <v>109</v>
      </c>
      <c r="F17" s="38" t="s">
        <v>110</v>
      </c>
      <c r="G17" s="40" t="s">
        <v>139</v>
      </c>
      <c r="H17" s="40" t="s">
        <v>96</v>
      </c>
      <c r="I17" s="39" t="s">
        <v>140</v>
      </c>
      <c r="J17" s="39"/>
      <c r="K17" s="38" t="str">
        <f>"130,0"</f>
        <v>130,0</v>
      </c>
      <c r="L17" s="40" t="str">
        <f>"102,4474"</f>
        <v>102,4474</v>
      </c>
      <c r="M17" s="38" t="s">
        <v>30</v>
      </c>
    </row>
    <row r="18" spans="1:13">
      <c r="A18" s="34" t="s">
        <v>83</v>
      </c>
      <c r="B18" s="34" t="s">
        <v>84</v>
      </c>
      <c r="C18" s="34" t="s">
        <v>85</v>
      </c>
      <c r="D18" s="34" t="str">
        <f>"0,7261"</f>
        <v>0,7261</v>
      </c>
      <c r="E18" s="34" t="s">
        <v>86</v>
      </c>
      <c r="F18" s="34" t="s">
        <v>87</v>
      </c>
      <c r="G18" s="35" t="s">
        <v>28</v>
      </c>
      <c r="H18" s="35" t="s">
        <v>68</v>
      </c>
      <c r="I18" s="35" t="s">
        <v>29</v>
      </c>
      <c r="J18" s="36"/>
      <c r="K18" s="34" t="str">
        <f>"85,0"</f>
        <v>85,0</v>
      </c>
      <c r="L18" s="35" t="str">
        <f>"104,9287"</f>
        <v>104,9287</v>
      </c>
      <c r="M18" s="34" t="s">
        <v>30</v>
      </c>
    </row>
    <row r="20" spans="1:13" ht="15">
      <c r="A20" s="37" t="s">
        <v>14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3">
      <c r="A21" s="20" t="s">
        <v>686</v>
      </c>
      <c r="B21" s="20" t="s">
        <v>687</v>
      </c>
      <c r="C21" s="20" t="s">
        <v>688</v>
      </c>
      <c r="D21" s="20" t="str">
        <f>"1,1624"</f>
        <v>1,1624</v>
      </c>
      <c r="E21" s="20" t="s">
        <v>199</v>
      </c>
      <c r="F21" s="20" t="s">
        <v>200</v>
      </c>
      <c r="G21" s="21" t="s">
        <v>58</v>
      </c>
      <c r="H21" s="21" t="s">
        <v>26</v>
      </c>
      <c r="I21" s="21" t="s">
        <v>380</v>
      </c>
      <c r="J21" s="22"/>
      <c r="K21" s="20" t="str">
        <f>"57,5"</f>
        <v>57,5</v>
      </c>
      <c r="L21" s="21" t="str">
        <f>"82,2107"</f>
        <v>82,2107</v>
      </c>
      <c r="M21" s="20" t="s">
        <v>30</v>
      </c>
    </row>
    <row r="23" spans="1:13" ht="15">
      <c r="A23" s="37" t="s">
        <v>381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3">
      <c r="A24" s="20" t="s">
        <v>690</v>
      </c>
      <c r="B24" s="20" t="s">
        <v>691</v>
      </c>
      <c r="C24" s="20" t="s">
        <v>692</v>
      </c>
      <c r="D24" s="20" t="str">
        <f>"0,8345"</f>
        <v>0,8345</v>
      </c>
      <c r="E24" s="20" t="s">
        <v>397</v>
      </c>
      <c r="F24" s="20" t="s">
        <v>398</v>
      </c>
      <c r="G24" s="21" t="s">
        <v>679</v>
      </c>
      <c r="H24" s="22" t="s">
        <v>693</v>
      </c>
      <c r="I24" s="22" t="s">
        <v>693</v>
      </c>
      <c r="J24" s="22"/>
      <c r="K24" s="20" t="str">
        <f>"107,5"</f>
        <v>107,5</v>
      </c>
      <c r="L24" s="21" t="str">
        <f>"110,3418"</f>
        <v>110,3418</v>
      </c>
      <c r="M24" s="20" t="s">
        <v>30</v>
      </c>
    </row>
    <row r="26" spans="1:13" ht="15">
      <c r="A26" s="37" t="s">
        <v>69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3">
      <c r="A27" s="31" t="s">
        <v>695</v>
      </c>
      <c r="B27" s="31" t="s">
        <v>696</v>
      </c>
      <c r="C27" s="31" t="s">
        <v>697</v>
      </c>
      <c r="D27" s="31" t="str">
        <f>"0,7307"</f>
        <v>0,7307</v>
      </c>
      <c r="E27" s="31" t="s">
        <v>199</v>
      </c>
      <c r="F27" s="31" t="s">
        <v>200</v>
      </c>
      <c r="G27" s="33" t="s">
        <v>26</v>
      </c>
      <c r="H27" s="33" t="s">
        <v>21</v>
      </c>
      <c r="I27" s="33" t="s">
        <v>23</v>
      </c>
      <c r="J27" s="32"/>
      <c r="K27" s="31" t="str">
        <f>"70,0"</f>
        <v>70,0</v>
      </c>
      <c r="L27" s="33" t="str">
        <f>"62,9133"</f>
        <v>62,9133</v>
      </c>
      <c r="M27" s="31" t="s">
        <v>30</v>
      </c>
    </row>
    <row r="28" spans="1:13">
      <c r="A28" s="34" t="s">
        <v>699</v>
      </c>
      <c r="B28" s="34" t="s">
        <v>700</v>
      </c>
      <c r="C28" s="34" t="s">
        <v>701</v>
      </c>
      <c r="D28" s="34" t="str">
        <f>"0,7580"</f>
        <v>0,7580</v>
      </c>
      <c r="E28" s="34" t="s">
        <v>86</v>
      </c>
      <c r="F28" s="34" t="s">
        <v>379</v>
      </c>
      <c r="G28" s="35" t="s">
        <v>564</v>
      </c>
      <c r="H28" s="35" t="s">
        <v>702</v>
      </c>
      <c r="I28" s="36" t="s">
        <v>703</v>
      </c>
      <c r="J28" s="36"/>
      <c r="K28" s="34" t="str">
        <f>"202,5"</f>
        <v>202,5</v>
      </c>
      <c r="L28" s="35" t="str">
        <f>"153,4950"</f>
        <v>153,4950</v>
      </c>
      <c r="M28" s="34" t="s">
        <v>30</v>
      </c>
    </row>
    <row r="30" spans="1:13" ht="15">
      <c r="A30" s="37" t="s">
        <v>81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3">
      <c r="A31" s="20" t="s">
        <v>705</v>
      </c>
      <c r="B31" s="20" t="s">
        <v>706</v>
      </c>
      <c r="C31" s="20" t="s">
        <v>85</v>
      </c>
      <c r="D31" s="20" t="str">
        <f>"0,6687"</f>
        <v>0,6687</v>
      </c>
      <c r="E31" s="20" t="s">
        <v>272</v>
      </c>
      <c r="F31" s="20" t="s">
        <v>466</v>
      </c>
      <c r="G31" s="21" t="s">
        <v>116</v>
      </c>
      <c r="H31" s="21" t="s">
        <v>148</v>
      </c>
      <c r="I31" s="21" t="s">
        <v>46</v>
      </c>
      <c r="J31" s="22"/>
      <c r="K31" s="20" t="str">
        <f>"205,0"</f>
        <v>205,0</v>
      </c>
      <c r="L31" s="21" t="str">
        <f>"137,0835"</f>
        <v>137,0835</v>
      </c>
      <c r="M31" s="20" t="s">
        <v>30</v>
      </c>
    </row>
    <row r="33" spans="1:13" ht="15">
      <c r="A33" s="37" t="s">
        <v>91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1:13">
      <c r="A34" s="31" t="s">
        <v>708</v>
      </c>
      <c r="B34" s="31" t="s">
        <v>709</v>
      </c>
      <c r="C34" s="31" t="s">
        <v>434</v>
      </c>
      <c r="D34" s="31" t="str">
        <f>"0,6418"</f>
        <v>0,6418</v>
      </c>
      <c r="E34" s="31" t="s">
        <v>53</v>
      </c>
      <c r="F34" s="31" t="s">
        <v>110</v>
      </c>
      <c r="G34" s="33" t="s">
        <v>482</v>
      </c>
      <c r="H34" s="33" t="s">
        <v>315</v>
      </c>
      <c r="I34" s="33" t="s">
        <v>115</v>
      </c>
      <c r="J34" s="32"/>
      <c r="K34" s="31" t="str">
        <f>"180,0"</f>
        <v>180,0</v>
      </c>
      <c r="L34" s="33" t="str">
        <f>"115,5240"</f>
        <v>115,5240</v>
      </c>
      <c r="M34" s="31" t="s">
        <v>30</v>
      </c>
    </row>
    <row r="35" spans="1:13">
      <c r="A35" s="34" t="s">
        <v>118</v>
      </c>
      <c r="B35" s="34" t="s">
        <v>119</v>
      </c>
      <c r="C35" s="34" t="s">
        <v>120</v>
      </c>
      <c r="D35" s="34" t="str">
        <f>"0,6251"</f>
        <v>0,6251</v>
      </c>
      <c r="E35" s="34" t="s">
        <v>19</v>
      </c>
      <c r="F35" s="34" t="s">
        <v>20</v>
      </c>
      <c r="G35" s="35" t="s">
        <v>123</v>
      </c>
      <c r="H35" s="35" t="s">
        <v>115</v>
      </c>
      <c r="I35" s="35" t="s">
        <v>124</v>
      </c>
      <c r="J35" s="36"/>
      <c r="K35" s="34" t="str">
        <f>"185,0"</f>
        <v>185,0</v>
      </c>
      <c r="L35" s="35" t="str">
        <f>"116,6843"</f>
        <v>116,6843</v>
      </c>
      <c r="M35" s="34" t="s">
        <v>30</v>
      </c>
    </row>
    <row r="37" spans="1:13" ht="15">
      <c r="A37" s="37" t="s">
        <v>125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3">
      <c r="A38" s="20" t="s">
        <v>710</v>
      </c>
      <c r="B38" s="20" t="s">
        <v>146</v>
      </c>
      <c r="C38" s="20" t="s">
        <v>147</v>
      </c>
      <c r="D38" s="20" t="str">
        <f>"0,5893"</f>
        <v>0,5893</v>
      </c>
      <c r="E38" s="20" t="s">
        <v>53</v>
      </c>
      <c r="F38" s="20" t="s">
        <v>20</v>
      </c>
      <c r="G38" s="21" t="s">
        <v>711</v>
      </c>
      <c r="H38" s="22" t="s">
        <v>262</v>
      </c>
      <c r="I38" s="22"/>
      <c r="J38" s="22"/>
      <c r="K38" s="20" t="str">
        <f>"260.00o"</f>
        <v>260.00o</v>
      </c>
      <c r="L38" s="21" t="str">
        <f>"153,2180"</f>
        <v>153,2180</v>
      </c>
      <c r="M38" s="20" t="s">
        <v>30</v>
      </c>
    </row>
    <row r="40" spans="1:13" ht="15">
      <c r="A40" s="37" t="s">
        <v>152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3">
      <c r="A41" s="20" t="s">
        <v>713</v>
      </c>
      <c r="B41" s="20" t="s">
        <v>714</v>
      </c>
      <c r="C41" s="20" t="s">
        <v>715</v>
      </c>
      <c r="D41" s="20" t="str">
        <f>"0,5581"</f>
        <v>0,5581</v>
      </c>
      <c r="E41" s="20" t="s">
        <v>109</v>
      </c>
      <c r="F41" s="20" t="s">
        <v>110</v>
      </c>
      <c r="G41" s="21" t="s">
        <v>159</v>
      </c>
      <c r="H41" s="21" t="s">
        <v>260</v>
      </c>
      <c r="I41" s="22"/>
      <c r="J41" s="22"/>
      <c r="K41" s="20" t="str">
        <f>"235,0"</f>
        <v>235,0</v>
      </c>
      <c r="L41" s="21" t="str">
        <f>"131,1535"</f>
        <v>131,1535</v>
      </c>
      <c r="M41" s="20" t="s">
        <v>30</v>
      </c>
    </row>
    <row r="43" spans="1:13" ht="15">
      <c r="A43" s="37" t="s">
        <v>254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3">
      <c r="A44" s="20" t="s">
        <v>256</v>
      </c>
      <c r="B44" s="20" t="s">
        <v>257</v>
      </c>
      <c r="C44" s="20" t="s">
        <v>258</v>
      </c>
      <c r="D44" s="20" t="str">
        <f>"0,5258"</f>
        <v>0,5258</v>
      </c>
      <c r="E44" s="20" t="s">
        <v>259</v>
      </c>
      <c r="F44" s="20" t="s">
        <v>20</v>
      </c>
      <c r="G44" s="21" t="s">
        <v>143</v>
      </c>
      <c r="H44" s="21" t="s">
        <v>151</v>
      </c>
      <c r="I44" s="22"/>
      <c r="J44" s="22"/>
      <c r="K44" s="20" t="str">
        <f>"260,0"</f>
        <v>260,0</v>
      </c>
      <c r="L44" s="21" t="str">
        <f>"138,0751"</f>
        <v>138,0751</v>
      </c>
      <c r="M44" s="20" t="s">
        <v>30</v>
      </c>
    </row>
    <row r="46" spans="1:13" ht="15">
      <c r="E46" s="23" t="s">
        <v>31</v>
      </c>
    </row>
    <row r="47" spans="1:13" ht="15">
      <c r="E47" s="23" t="s">
        <v>32</v>
      </c>
    </row>
    <row r="48" spans="1:13" ht="15">
      <c r="E48" s="23" t="s">
        <v>33</v>
      </c>
    </row>
    <row r="49" spans="1:5" ht="15">
      <c r="E49" s="23" t="s">
        <v>34</v>
      </c>
    </row>
    <row r="50" spans="1:5" ht="15">
      <c r="E50" s="23" t="s">
        <v>34</v>
      </c>
    </row>
    <row r="51" spans="1:5" ht="15">
      <c r="E51" s="23" t="s">
        <v>35</v>
      </c>
    </row>
    <row r="52" spans="1:5" ht="15">
      <c r="E52" s="23"/>
    </row>
    <row r="54" spans="1:5" ht="18">
      <c r="A54" s="24" t="s">
        <v>36</v>
      </c>
      <c r="B54" s="24"/>
    </row>
    <row r="55" spans="1:5" ht="15">
      <c r="A55" s="25" t="s">
        <v>160</v>
      </c>
      <c r="B55" s="25"/>
    </row>
    <row r="56" spans="1:5" ht="14.25">
      <c r="A56" s="27"/>
      <c r="B56" s="28" t="s">
        <v>161</v>
      </c>
    </row>
    <row r="57" spans="1:5" ht="15">
      <c r="A57" s="29" t="s">
        <v>39</v>
      </c>
      <c r="B57" s="29" t="s">
        <v>40</v>
      </c>
      <c r="C57" s="29" t="s">
        <v>41</v>
      </c>
      <c r="D57" s="29" t="s">
        <v>42</v>
      </c>
      <c r="E57" s="29" t="s">
        <v>43</v>
      </c>
    </row>
    <row r="58" spans="1:5">
      <c r="A58" s="26" t="s">
        <v>667</v>
      </c>
      <c r="B58" s="4" t="s">
        <v>44</v>
      </c>
      <c r="C58" s="4" t="s">
        <v>716</v>
      </c>
      <c r="D58" s="4" t="s">
        <v>74</v>
      </c>
      <c r="E58" s="30" t="s">
        <v>717</v>
      </c>
    </row>
    <row r="59" spans="1:5">
      <c r="A59" s="26" t="s">
        <v>388</v>
      </c>
      <c r="B59" s="4" t="s">
        <v>509</v>
      </c>
      <c r="C59" s="4" t="s">
        <v>172</v>
      </c>
      <c r="D59" s="4" t="s">
        <v>96</v>
      </c>
      <c r="E59" s="30" t="s">
        <v>718</v>
      </c>
    </row>
    <row r="60" spans="1:5">
      <c r="A60" s="26" t="s">
        <v>675</v>
      </c>
      <c r="B60" s="4" t="s">
        <v>162</v>
      </c>
      <c r="C60" s="4" t="s">
        <v>513</v>
      </c>
      <c r="D60" s="4" t="s">
        <v>101</v>
      </c>
      <c r="E60" s="30" t="s">
        <v>719</v>
      </c>
    </row>
    <row r="61" spans="1:5">
      <c r="A61" s="26" t="s">
        <v>681</v>
      </c>
      <c r="B61" s="4" t="s">
        <v>175</v>
      </c>
      <c r="C61" s="4" t="s">
        <v>172</v>
      </c>
      <c r="D61" s="4" t="s">
        <v>88</v>
      </c>
      <c r="E61" s="30" t="s">
        <v>720</v>
      </c>
    </row>
    <row r="63" spans="1:5" ht="14.25">
      <c r="A63" s="27"/>
      <c r="B63" s="28" t="s">
        <v>164</v>
      </c>
    </row>
    <row r="64" spans="1:5" ht="15">
      <c r="A64" s="29" t="s">
        <v>39</v>
      </c>
      <c r="B64" s="29" t="s">
        <v>40</v>
      </c>
      <c r="C64" s="29" t="s">
        <v>41</v>
      </c>
      <c r="D64" s="29" t="s">
        <v>42</v>
      </c>
      <c r="E64" s="29" t="s">
        <v>43</v>
      </c>
    </row>
    <row r="65" spans="1:5">
      <c r="A65" s="26" t="s">
        <v>671</v>
      </c>
      <c r="B65" s="4" t="s">
        <v>164</v>
      </c>
      <c r="C65" s="4" t="s">
        <v>511</v>
      </c>
      <c r="D65" s="4" t="s">
        <v>88</v>
      </c>
      <c r="E65" s="30" t="s">
        <v>721</v>
      </c>
    </row>
    <row r="67" spans="1:5" ht="14.25">
      <c r="A67" s="27"/>
      <c r="B67" s="28" t="s">
        <v>166</v>
      </c>
    </row>
    <row r="68" spans="1:5" ht="15">
      <c r="A68" s="29" t="s">
        <v>39</v>
      </c>
      <c r="B68" s="29" t="s">
        <v>40</v>
      </c>
      <c r="C68" s="29" t="s">
        <v>41</v>
      </c>
      <c r="D68" s="29" t="s">
        <v>42</v>
      </c>
      <c r="E68" s="29" t="s">
        <v>43</v>
      </c>
    </row>
    <row r="69" spans="1:5">
      <c r="A69" s="26" t="s">
        <v>382</v>
      </c>
      <c r="B69" s="4" t="s">
        <v>171</v>
      </c>
      <c r="C69" s="4" t="s">
        <v>513</v>
      </c>
      <c r="D69" s="4" t="s">
        <v>680</v>
      </c>
      <c r="E69" s="30" t="s">
        <v>722</v>
      </c>
    </row>
    <row r="70" spans="1:5">
      <c r="A70" s="26" t="s">
        <v>82</v>
      </c>
      <c r="B70" s="4" t="s">
        <v>171</v>
      </c>
      <c r="C70" s="4" t="s">
        <v>172</v>
      </c>
      <c r="D70" s="4" t="s">
        <v>29</v>
      </c>
      <c r="E70" s="30" t="s">
        <v>723</v>
      </c>
    </row>
    <row r="73" spans="1:5" ht="15">
      <c r="A73" s="25" t="s">
        <v>37</v>
      </c>
      <c r="B73" s="25"/>
    </row>
    <row r="74" spans="1:5" ht="14.25">
      <c r="A74" s="27"/>
      <c r="B74" s="28" t="s">
        <v>38</v>
      </c>
    </row>
    <row r="75" spans="1:5" ht="15">
      <c r="A75" s="29" t="s">
        <v>39</v>
      </c>
      <c r="B75" s="29" t="s">
        <v>40</v>
      </c>
      <c r="C75" s="29" t="s">
        <v>41</v>
      </c>
      <c r="D75" s="29" t="s">
        <v>42</v>
      </c>
      <c r="E75" s="29" t="s">
        <v>43</v>
      </c>
    </row>
    <row r="76" spans="1:5">
      <c r="A76" s="26" t="s">
        <v>689</v>
      </c>
      <c r="B76" s="4" t="s">
        <v>175</v>
      </c>
      <c r="C76" s="4" t="s">
        <v>513</v>
      </c>
      <c r="D76" s="4" t="s">
        <v>679</v>
      </c>
      <c r="E76" s="30" t="s">
        <v>724</v>
      </c>
    </row>
    <row r="77" spans="1:5">
      <c r="A77" s="26" t="s">
        <v>685</v>
      </c>
      <c r="B77" s="4" t="s">
        <v>44</v>
      </c>
      <c r="C77" s="4" t="s">
        <v>45</v>
      </c>
      <c r="D77" s="4" t="s">
        <v>380</v>
      </c>
      <c r="E77" s="30" t="s">
        <v>725</v>
      </c>
    </row>
    <row r="78" spans="1:5">
      <c r="A78" s="26" t="s">
        <v>694</v>
      </c>
      <c r="B78" s="4" t="s">
        <v>44</v>
      </c>
      <c r="C78" s="4" t="s">
        <v>168</v>
      </c>
      <c r="D78" s="4" t="s">
        <v>23</v>
      </c>
      <c r="E78" s="30" t="s">
        <v>726</v>
      </c>
    </row>
    <row r="80" spans="1:5" ht="14.25">
      <c r="A80" s="27"/>
      <c r="B80" s="28" t="s">
        <v>182</v>
      </c>
    </row>
    <row r="81" spans="1:5" ht="15">
      <c r="A81" s="29" t="s">
        <v>39</v>
      </c>
      <c r="B81" s="29" t="s">
        <v>40</v>
      </c>
      <c r="C81" s="29" t="s">
        <v>41</v>
      </c>
      <c r="D81" s="29" t="s">
        <v>42</v>
      </c>
      <c r="E81" s="29" t="s">
        <v>43</v>
      </c>
    </row>
    <row r="82" spans="1:5">
      <c r="A82" s="26" t="s">
        <v>255</v>
      </c>
      <c r="B82" s="4" t="s">
        <v>183</v>
      </c>
      <c r="C82" s="4" t="s">
        <v>264</v>
      </c>
      <c r="D82" s="4" t="s">
        <v>151</v>
      </c>
      <c r="E82" s="30" t="s">
        <v>727</v>
      </c>
    </row>
    <row r="84" spans="1:5" ht="14.25">
      <c r="A84" s="27"/>
      <c r="B84" s="28" t="s">
        <v>164</v>
      </c>
    </row>
    <row r="85" spans="1:5" ht="15">
      <c r="A85" s="29" t="s">
        <v>39</v>
      </c>
      <c r="B85" s="29" t="s">
        <v>40</v>
      </c>
      <c r="C85" s="29" t="s">
        <v>41</v>
      </c>
      <c r="D85" s="29" t="s">
        <v>42</v>
      </c>
      <c r="E85" s="29" t="s">
        <v>43</v>
      </c>
    </row>
    <row r="86" spans="1:5">
      <c r="A86" s="26" t="s">
        <v>698</v>
      </c>
      <c r="B86" s="4" t="s">
        <v>164</v>
      </c>
      <c r="C86" s="4" t="s">
        <v>168</v>
      </c>
      <c r="D86" s="4" t="s">
        <v>702</v>
      </c>
      <c r="E86" s="30" t="s">
        <v>728</v>
      </c>
    </row>
    <row r="87" spans="1:5">
      <c r="A87" s="26" t="s">
        <v>144</v>
      </c>
      <c r="B87" s="4" t="s">
        <v>164</v>
      </c>
      <c r="C87" s="4" t="s">
        <v>179</v>
      </c>
      <c r="D87" s="4" t="s">
        <v>151</v>
      </c>
      <c r="E87" s="30" t="s">
        <v>729</v>
      </c>
    </row>
    <row r="88" spans="1:5">
      <c r="A88" s="26" t="s">
        <v>704</v>
      </c>
      <c r="B88" s="4" t="s">
        <v>164</v>
      </c>
      <c r="C88" s="4" t="s">
        <v>172</v>
      </c>
      <c r="D88" s="4" t="s">
        <v>46</v>
      </c>
      <c r="E88" s="30" t="s">
        <v>730</v>
      </c>
    </row>
    <row r="89" spans="1:5">
      <c r="A89" s="26" t="s">
        <v>712</v>
      </c>
      <c r="B89" s="4" t="s">
        <v>164</v>
      </c>
      <c r="C89" s="4" t="s">
        <v>188</v>
      </c>
      <c r="D89" s="4" t="s">
        <v>260</v>
      </c>
      <c r="E89" s="30" t="s">
        <v>731</v>
      </c>
    </row>
    <row r="90" spans="1:5">
      <c r="A90" s="26" t="s">
        <v>707</v>
      </c>
      <c r="B90" s="4" t="s">
        <v>164</v>
      </c>
      <c r="C90" s="4" t="s">
        <v>176</v>
      </c>
      <c r="D90" s="4" t="s">
        <v>115</v>
      </c>
      <c r="E90" s="30" t="s">
        <v>732</v>
      </c>
    </row>
    <row r="92" spans="1:5" ht="14.25">
      <c r="A92" s="27"/>
      <c r="B92" s="28" t="s">
        <v>166</v>
      </c>
    </row>
    <row r="93" spans="1:5" ht="15">
      <c r="A93" s="29" t="s">
        <v>39</v>
      </c>
      <c r="B93" s="29" t="s">
        <v>40</v>
      </c>
      <c r="C93" s="29" t="s">
        <v>41</v>
      </c>
      <c r="D93" s="29" t="s">
        <v>42</v>
      </c>
      <c r="E93" s="29" t="s">
        <v>43</v>
      </c>
    </row>
    <row r="94" spans="1:5">
      <c r="A94" s="26" t="s">
        <v>117</v>
      </c>
      <c r="B94" s="4" t="s">
        <v>191</v>
      </c>
      <c r="C94" s="4" t="s">
        <v>176</v>
      </c>
      <c r="D94" s="4" t="s">
        <v>124</v>
      </c>
      <c r="E94" s="30" t="s">
        <v>733</v>
      </c>
    </row>
  </sheetData>
  <mergeCells count="23">
    <mergeCell ref="A37:L37"/>
    <mergeCell ref="A40:L40"/>
    <mergeCell ref="A43:L43"/>
    <mergeCell ref="A15:L15"/>
    <mergeCell ref="A20:L20"/>
    <mergeCell ref="A23:L23"/>
    <mergeCell ref="A26:L26"/>
    <mergeCell ref="A30:L30"/>
    <mergeCell ref="A33:L33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659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13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381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661</v>
      </c>
      <c r="B6" s="20" t="s">
        <v>662</v>
      </c>
      <c r="C6" s="20" t="s">
        <v>663</v>
      </c>
      <c r="D6" s="20" t="str">
        <f>"0,8316"</f>
        <v>0,8316</v>
      </c>
      <c r="E6" s="20" t="s">
        <v>86</v>
      </c>
      <c r="F6" s="20" t="s">
        <v>87</v>
      </c>
      <c r="G6" s="21" t="s">
        <v>55</v>
      </c>
      <c r="H6" s="22" t="s">
        <v>28</v>
      </c>
      <c r="I6" s="22" t="s">
        <v>28</v>
      </c>
      <c r="J6" s="22"/>
      <c r="K6" s="20" t="str">
        <f>"75,0"</f>
        <v>75,0</v>
      </c>
      <c r="L6" s="21" t="str">
        <f>"63,4927"</f>
        <v>63,4927</v>
      </c>
      <c r="M6" s="20" t="s">
        <v>30</v>
      </c>
    </row>
    <row r="8" spans="1:13" ht="15">
      <c r="E8" s="23" t="s">
        <v>31</v>
      </c>
    </row>
    <row r="9" spans="1:13" ht="15">
      <c r="E9" s="23" t="s">
        <v>32</v>
      </c>
    </row>
    <row r="10" spans="1:13" ht="15">
      <c r="E10" s="23" t="s">
        <v>33</v>
      </c>
    </row>
    <row r="11" spans="1:13" ht="15">
      <c r="E11" s="23" t="s">
        <v>34</v>
      </c>
    </row>
    <row r="12" spans="1:13" ht="15">
      <c r="E12" s="23" t="s">
        <v>34</v>
      </c>
    </row>
    <row r="13" spans="1:13" ht="15">
      <c r="E13" s="23" t="s">
        <v>35</v>
      </c>
    </row>
    <row r="14" spans="1:13" ht="15">
      <c r="E14" s="23"/>
    </row>
    <row r="16" spans="1:13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166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660</v>
      </c>
      <c r="B20" s="4" t="s">
        <v>191</v>
      </c>
      <c r="C20" s="4" t="s">
        <v>513</v>
      </c>
      <c r="D20" s="4" t="s">
        <v>55</v>
      </c>
      <c r="E20" s="30" t="s">
        <v>664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7" width="5.5703125" style="3" bestFit="1" customWidth="1"/>
    <col min="8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>
      <c r="A1" s="18" t="s">
        <v>653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40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5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69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655</v>
      </c>
      <c r="B6" s="20" t="s">
        <v>656</v>
      </c>
      <c r="C6" s="20" t="s">
        <v>657</v>
      </c>
      <c r="D6" s="20" t="str">
        <f>"0,8197"</f>
        <v>0,8197</v>
      </c>
      <c r="E6" s="20" t="s">
        <v>53</v>
      </c>
      <c r="F6" s="20" t="s">
        <v>87</v>
      </c>
      <c r="G6" s="22" t="s">
        <v>98</v>
      </c>
      <c r="H6" s="21" t="s">
        <v>233</v>
      </c>
      <c r="I6" s="21" t="s">
        <v>482</v>
      </c>
      <c r="J6" s="22"/>
      <c r="K6" s="20" t="str">
        <f>"160,0"</f>
        <v>160,0</v>
      </c>
      <c r="L6" s="21" t="str">
        <f>"131,1520"</f>
        <v>131,1520</v>
      </c>
      <c r="M6" s="20" t="s">
        <v>30</v>
      </c>
    </row>
    <row r="8" spans="1:13" ht="15">
      <c r="E8" s="23" t="s">
        <v>31</v>
      </c>
    </row>
    <row r="9" spans="1:13" ht="15">
      <c r="E9" s="23" t="s">
        <v>32</v>
      </c>
    </row>
    <row r="10" spans="1:13" ht="15">
      <c r="E10" s="23" t="s">
        <v>33</v>
      </c>
    </row>
    <row r="11" spans="1:13" ht="15">
      <c r="E11" s="23" t="s">
        <v>34</v>
      </c>
    </row>
    <row r="12" spans="1:13" ht="15">
      <c r="E12" s="23" t="s">
        <v>34</v>
      </c>
    </row>
    <row r="13" spans="1:13" ht="15">
      <c r="E13" s="23" t="s">
        <v>35</v>
      </c>
    </row>
    <row r="14" spans="1:13" ht="15">
      <c r="E14" s="23"/>
    </row>
    <row r="16" spans="1:13" ht="18">
      <c r="A16" s="24" t="s">
        <v>36</v>
      </c>
      <c r="B16" s="24"/>
    </row>
    <row r="17" spans="1:5" ht="15">
      <c r="A17" s="25" t="s">
        <v>160</v>
      </c>
      <c r="B17" s="25"/>
    </row>
    <row r="18" spans="1:5" ht="14.25">
      <c r="A18" s="27"/>
      <c r="B18" s="28" t="s">
        <v>164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654</v>
      </c>
      <c r="B20" s="4" t="s">
        <v>164</v>
      </c>
      <c r="C20" s="4" t="s">
        <v>168</v>
      </c>
      <c r="D20" s="4" t="s">
        <v>103</v>
      </c>
      <c r="E20" s="30" t="s">
        <v>658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A3" sqref="A3:A4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622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14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152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31" t="s">
        <v>624</v>
      </c>
      <c r="B6" s="31" t="s">
        <v>625</v>
      </c>
      <c r="C6" s="31" t="s">
        <v>626</v>
      </c>
      <c r="D6" s="31" t="str">
        <f>"0,5630"</f>
        <v>0,5630</v>
      </c>
      <c r="E6" s="31" t="s">
        <v>86</v>
      </c>
      <c r="F6" s="31" t="s">
        <v>137</v>
      </c>
      <c r="G6" s="33" t="s">
        <v>260</v>
      </c>
      <c r="H6" s="33" t="s">
        <v>141</v>
      </c>
      <c r="I6" s="33" t="s">
        <v>261</v>
      </c>
      <c r="J6" s="32"/>
      <c r="K6" s="31" t="str">
        <f>"245,0"</f>
        <v>245,0</v>
      </c>
      <c r="L6" s="33" t="str">
        <f>"137,9350"</f>
        <v>137,9350</v>
      </c>
      <c r="M6" s="31" t="s">
        <v>30</v>
      </c>
    </row>
    <row r="7" spans="1:13">
      <c r="A7" s="38" t="s">
        <v>628</v>
      </c>
      <c r="B7" s="38" t="s">
        <v>629</v>
      </c>
      <c r="C7" s="38" t="s">
        <v>630</v>
      </c>
      <c r="D7" s="38" t="str">
        <f>"0,5591"</f>
        <v>0,5591</v>
      </c>
      <c r="E7" s="38" t="s">
        <v>631</v>
      </c>
      <c r="F7" s="38" t="s">
        <v>379</v>
      </c>
      <c r="G7" s="39" t="s">
        <v>632</v>
      </c>
      <c r="H7" s="40" t="s">
        <v>632</v>
      </c>
      <c r="I7" s="40" t="s">
        <v>633</v>
      </c>
      <c r="J7" s="39"/>
      <c r="K7" s="38" t="str">
        <f>"265,0"</f>
        <v>265,0</v>
      </c>
      <c r="L7" s="40" t="str">
        <f>"148,1615"</f>
        <v>148,1615</v>
      </c>
      <c r="M7" s="38" t="s">
        <v>30</v>
      </c>
    </row>
    <row r="8" spans="1:13">
      <c r="A8" s="34" t="s">
        <v>635</v>
      </c>
      <c r="B8" s="34" t="s">
        <v>636</v>
      </c>
      <c r="C8" s="34" t="s">
        <v>637</v>
      </c>
      <c r="D8" s="34" t="str">
        <f>"0,5575"</f>
        <v>0,5575</v>
      </c>
      <c r="E8" s="34" t="s">
        <v>631</v>
      </c>
      <c r="F8" s="34" t="s">
        <v>379</v>
      </c>
      <c r="G8" s="35" t="s">
        <v>157</v>
      </c>
      <c r="H8" s="36" t="s">
        <v>438</v>
      </c>
      <c r="I8" s="35" t="s">
        <v>132</v>
      </c>
      <c r="J8" s="36"/>
      <c r="K8" s="34" t="str">
        <f>"165,0"</f>
        <v>165,0</v>
      </c>
      <c r="L8" s="35" t="str">
        <f>"151,3194"</f>
        <v>151,3194</v>
      </c>
      <c r="M8" s="34" t="s">
        <v>30</v>
      </c>
    </row>
    <row r="10" spans="1:13" ht="15">
      <c r="A10" s="37" t="s">
        <v>219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3">
      <c r="A11" s="20" t="s">
        <v>639</v>
      </c>
      <c r="B11" s="20" t="s">
        <v>640</v>
      </c>
      <c r="C11" s="20" t="s">
        <v>641</v>
      </c>
      <c r="D11" s="20" t="str">
        <f>"0,5444"</f>
        <v>0,5444</v>
      </c>
      <c r="E11" s="20" t="s">
        <v>53</v>
      </c>
      <c r="F11" s="20" t="s">
        <v>87</v>
      </c>
      <c r="G11" s="21" t="s">
        <v>213</v>
      </c>
      <c r="H11" s="21" t="s">
        <v>642</v>
      </c>
      <c r="I11" s="21" t="s">
        <v>218</v>
      </c>
      <c r="J11" s="22"/>
      <c r="K11" s="20" t="str">
        <f>"235,0"</f>
        <v>235,0</v>
      </c>
      <c r="L11" s="21" t="str">
        <f>"127,9340"</f>
        <v>127,9340</v>
      </c>
      <c r="M11" s="20" t="s">
        <v>30</v>
      </c>
    </row>
    <row r="13" spans="1:13" ht="15">
      <c r="A13" s="37" t="s">
        <v>497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3">
      <c r="A14" s="20" t="s">
        <v>644</v>
      </c>
      <c r="B14" s="20" t="s">
        <v>645</v>
      </c>
      <c r="C14" s="20" t="s">
        <v>646</v>
      </c>
      <c r="D14" s="20" t="str">
        <f>"0,5116"</f>
        <v>0,5116</v>
      </c>
      <c r="E14" s="20" t="s">
        <v>631</v>
      </c>
      <c r="F14" s="20" t="s">
        <v>379</v>
      </c>
      <c r="G14" s="21" t="s">
        <v>263</v>
      </c>
      <c r="H14" s="21" t="s">
        <v>227</v>
      </c>
      <c r="I14" s="22" t="s">
        <v>647</v>
      </c>
      <c r="J14" s="22"/>
      <c r="K14" s="20" t="str">
        <f>"290,0"</f>
        <v>290,0</v>
      </c>
      <c r="L14" s="21" t="str">
        <f>"148,3756"</f>
        <v>148,3756</v>
      </c>
      <c r="M14" s="20" t="s">
        <v>30</v>
      </c>
    </row>
    <row r="16" spans="1:13" ht="15">
      <c r="E16" s="23" t="s">
        <v>31</v>
      </c>
    </row>
    <row r="17" spans="1:5" ht="15">
      <c r="E17" s="23" t="s">
        <v>32</v>
      </c>
    </row>
    <row r="18" spans="1:5" ht="15">
      <c r="E18" s="23" t="s">
        <v>33</v>
      </c>
    </row>
    <row r="19" spans="1:5" ht="15">
      <c r="E19" s="23" t="s">
        <v>34</v>
      </c>
    </row>
    <row r="20" spans="1:5" ht="15">
      <c r="E20" s="23" t="s">
        <v>34</v>
      </c>
    </row>
    <row r="21" spans="1:5" ht="15">
      <c r="E21" s="23" t="s">
        <v>35</v>
      </c>
    </row>
    <row r="22" spans="1:5" ht="15">
      <c r="E22" s="23"/>
    </row>
    <row r="24" spans="1:5" ht="18">
      <c r="A24" s="24" t="s">
        <v>36</v>
      </c>
      <c r="B24" s="24"/>
    </row>
    <row r="25" spans="1:5" ht="15">
      <c r="A25" s="25" t="s">
        <v>37</v>
      </c>
      <c r="B25" s="25"/>
    </row>
    <row r="26" spans="1:5" ht="14.25">
      <c r="A26" s="27"/>
      <c r="B26" s="28" t="s">
        <v>164</v>
      </c>
    </row>
    <row r="27" spans="1:5" ht="15">
      <c r="A27" s="29" t="s">
        <v>39</v>
      </c>
      <c r="B27" s="29" t="s">
        <v>40</v>
      </c>
      <c r="C27" s="29" t="s">
        <v>41</v>
      </c>
      <c r="D27" s="29" t="s">
        <v>42</v>
      </c>
      <c r="E27" s="29" t="s">
        <v>43</v>
      </c>
    </row>
    <row r="28" spans="1:5">
      <c r="A28" s="26" t="s">
        <v>643</v>
      </c>
      <c r="B28" s="4" t="s">
        <v>164</v>
      </c>
      <c r="C28" s="4" t="s">
        <v>541</v>
      </c>
      <c r="D28" s="4" t="s">
        <v>227</v>
      </c>
      <c r="E28" s="30" t="s">
        <v>648</v>
      </c>
    </row>
    <row r="29" spans="1:5">
      <c r="A29" s="26" t="s">
        <v>623</v>
      </c>
      <c r="B29" s="4" t="s">
        <v>164</v>
      </c>
      <c r="C29" s="4" t="s">
        <v>188</v>
      </c>
      <c r="D29" s="4" t="s">
        <v>261</v>
      </c>
      <c r="E29" s="30" t="s">
        <v>649</v>
      </c>
    </row>
    <row r="30" spans="1:5">
      <c r="A30" s="26" t="s">
        <v>638</v>
      </c>
      <c r="B30" s="4" t="s">
        <v>164</v>
      </c>
      <c r="C30" s="4" t="s">
        <v>242</v>
      </c>
      <c r="D30" s="4" t="s">
        <v>260</v>
      </c>
      <c r="E30" s="30" t="s">
        <v>650</v>
      </c>
    </row>
    <row r="32" spans="1:5" ht="14.25">
      <c r="A32" s="27"/>
      <c r="B32" s="28" t="s">
        <v>166</v>
      </c>
    </row>
    <row r="33" spans="1:5" ht="15">
      <c r="A33" s="29" t="s">
        <v>39</v>
      </c>
      <c r="B33" s="29" t="s">
        <v>40</v>
      </c>
      <c r="C33" s="29" t="s">
        <v>41</v>
      </c>
      <c r="D33" s="29" t="s">
        <v>42</v>
      </c>
      <c r="E33" s="29" t="s">
        <v>43</v>
      </c>
    </row>
    <row r="34" spans="1:5">
      <c r="A34" s="26" t="s">
        <v>634</v>
      </c>
      <c r="B34" s="4" t="s">
        <v>171</v>
      </c>
      <c r="C34" s="4" t="s">
        <v>188</v>
      </c>
      <c r="D34" s="4" t="s">
        <v>132</v>
      </c>
      <c r="E34" s="30" t="s">
        <v>651</v>
      </c>
    </row>
    <row r="35" spans="1:5">
      <c r="A35" s="26" t="s">
        <v>627</v>
      </c>
      <c r="B35" s="4" t="s">
        <v>191</v>
      </c>
      <c r="C35" s="4" t="s">
        <v>188</v>
      </c>
      <c r="D35" s="4" t="s">
        <v>633</v>
      </c>
      <c r="E35" s="30" t="s">
        <v>652</v>
      </c>
    </row>
  </sheetData>
  <mergeCells count="14">
    <mergeCell ref="K3:K4"/>
    <mergeCell ref="L3:L4"/>
    <mergeCell ref="M3:M4"/>
    <mergeCell ref="A5:L5"/>
    <mergeCell ref="A10:L10"/>
    <mergeCell ref="A13:L13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3" sqref="A3:A4"/>
    </sheetView>
  </sheetViews>
  <sheetFormatPr defaultRowHeight="12.75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615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30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381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617</v>
      </c>
      <c r="B6" s="20" t="s">
        <v>618</v>
      </c>
      <c r="C6" s="20" t="s">
        <v>403</v>
      </c>
      <c r="D6" s="20" t="str">
        <f>"0,8744"</f>
        <v>0,8744</v>
      </c>
      <c r="E6" s="20" t="s">
        <v>53</v>
      </c>
      <c r="F6" s="20" t="s">
        <v>87</v>
      </c>
      <c r="G6" s="21" t="s">
        <v>99</v>
      </c>
      <c r="H6" s="22" t="s">
        <v>74</v>
      </c>
      <c r="I6" s="22" t="s">
        <v>121</v>
      </c>
      <c r="J6" s="22"/>
      <c r="K6" s="20" t="str">
        <f>"80,0"</f>
        <v>80,0</v>
      </c>
      <c r="L6" s="21" t="str">
        <f>"69,9520"</f>
        <v>69,9520</v>
      </c>
      <c r="M6" s="20" t="s">
        <v>30</v>
      </c>
    </row>
    <row r="8" spans="1:13" ht="15">
      <c r="A8" s="37" t="s">
        <v>254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358</v>
      </c>
      <c r="B9" s="20" t="s">
        <v>359</v>
      </c>
      <c r="C9" s="20" t="s">
        <v>360</v>
      </c>
      <c r="D9" s="20" t="str">
        <f>"0,5241"</f>
        <v>0,5241</v>
      </c>
      <c r="E9" s="20" t="s">
        <v>86</v>
      </c>
      <c r="F9" s="20" t="s">
        <v>87</v>
      </c>
      <c r="G9" s="21" t="s">
        <v>115</v>
      </c>
      <c r="H9" s="21" t="s">
        <v>148</v>
      </c>
      <c r="I9" s="21" t="s">
        <v>206</v>
      </c>
      <c r="J9" s="22"/>
      <c r="K9" s="20" t="str">
        <f>"230,0"</f>
        <v>230,0</v>
      </c>
      <c r="L9" s="21" t="str">
        <f>"131,6330"</f>
        <v>131,6330</v>
      </c>
      <c r="M9" s="20" t="s">
        <v>30</v>
      </c>
    </row>
    <row r="11" spans="1:13" ht="15">
      <c r="E11" s="23" t="s">
        <v>31</v>
      </c>
    </row>
    <row r="12" spans="1:13" ht="15">
      <c r="E12" s="23" t="s">
        <v>32</v>
      </c>
    </row>
    <row r="13" spans="1:13" ht="15">
      <c r="E13" s="23" t="s">
        <v>33</v>
      </c>
    </row>
    <row r="14" spans="1:13" ht="15">
      <c r="E14" s="23" t="s">
        <v>34</v>
      </c>
    </row>
    <row r="15" spans="1:13" ht="15">
      <c r="E15" s="23" t="s">
        <v>34</v>
      </c>
    </row>
    <row r="16" spans="1:13" ht="15">
      <c r="E16" s="23" t="s">
        <v>35</v>
      </c>
    </row>
    <row r="17" spans="1:5" ht="15">
      <c r="E17" s="23"/>
    </row>
    <row r="19" spans="1:5" ht="18">
      <c r="A19" s="24" t="s">
        <v>36</v>
      </c>
      <c r="B19" s="24"/>
    </row>
    <row r="20" spans="1:5" ht="15">
      <c r="A20" s="25" t="s">
        <v>160</v>
      </c>
      <c r="B20" s="25"/>
    </row>
    <row r="21" spans="1:5" ht="14.25">
      <c r="A21" s="27"/>
      <c r="B21" s="28" t="s">
        <v>619</v>
      </c>
    </row>
    <row r="22" spans="1:5" ht="15">
      <c r="A22" s="29" t="s">
        <v>39</v>
      </c>
      <c r="B22" s="29" t="s">
        <v>40</v>
      </c>
      <c r="C22" s="29" t="s">
        <v>41</v>
      </c>
      <c r="D22" s="29" t="s">
        <v>42</v>
      </c>
      <c r="E22" s="29" t="s">
        <v>43</v>
      </c>
    </row>
    <row r="23" spans="1:5">
      <c r="A23" s="26" t="s">
        <v>616</v>
      </c>
      <c r="B23" s="4" t="s">
        <v>183</v>
      </c>
      <c r="C23" s="4" t="s">
        <v>513</v>
      </c>
      <c r="D23" s="4" t="s">
        <v>28</v>
      </c>
      <c r="E23" s="30" t="s">
        <v>620</v>
      </c>
    </row>
    <row r="26" spans="1:5" ht="15">
      <c r="A26" s="25" t="s">
        <v>37</v>
      </c>
      <c r="B26" s="25"/>
    </row>
    <row r="27" spans="1:5" ht="14.25">
      <c r="A27" s="27"/>
      <c r="B27" s="28" t="s">
        <v>166</v>
      </c>
    </row>
    <row r="28" spans="1:5" ht="15">
      <c r="A28" s="29" t="s">
        <v>39</v>
      </c>
      <c r="B28" s="29" t="s">
        <v>40</v>
      </c>
      <c r="C28" s="29" t="s">
        <v>41</v>
      </c>
      <c r="D28" s="29" t="s">
        <v>42</v>
      </c>
      <c r="E28" s="29" t="s">
        <v>43</v>
      </c>
    </row>
    <row r="29" spans="1:5">
      <c r="A29" s="26" t="s">
        <v>357</v>
      </c>
      <c r="B29" s="4" t="s">
        <v>167</v>
      </c>
      <c r="C29" s="4" t="s">
        <v>264</v>
      </c>
      <c r="D29" s="4" t="s">
        <v>206</v>
      </c>
      <c r="E29" s="30" t="s">
        <v>621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7.7109375" style="4" bestFit="1" customWidth="1"/>
    <col min="3" max="3" width="10.5703125" style="4" bestFit="1" customWidth="1"/>
    <col min="4" max="4" width="10.7109375" style="4" bestFit="1" customWidth="1"/>
    <col min="5" max="5" width="22.7109375" style="4" bestFit="1" customWidth="1"/>
    <col min="6" max="6" width="34.42578125" style="4" bestFit="1" customWidth="1"/>
    <col min="7" max="7" width="5.5703125" style="3" bestFit="1" customWidth="1"/>
    <col min="8" max="8" width="4.5703125" style="45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1093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08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1081</v>
      </c>
      <c r="E3" s="11" t="s">
        <v>4</v>
      </c>
      <c r="F3" s="11" t="s">
        <v>8</v>
      </c>
      <c r="G3" s="11" t="s">
        <v>1082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381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0" t="s">
        <v>797</v>
      </c>
      <c r="B6" s="20" t="s">
        <v>798</v>
      </c>
      <c r="C6" s="20" t="s">
        <v>799</v>
      </c>
      <c r="D6" s="20" t="str">
        <f>"0,9286"</f>
        <v>0,9286</v>
      </c>
      <c r="E6" s="20" t="s">
        <v>53</v>
      </c>
      <c r="F6" s="20" t="s">
        <v>398</v>
      </c>
      <c r="G6" s="21" t="s">
        <v>56</v>
      </c>
      <c r="H6" s="46" t="s">
        <v>1094</v>
      </c>
      <c r="I6" s="20" t="str">
        <f>"1410,0"</f>
        <v>1410,0</v>
      </c>
      <c r="J6" s="21" t="str">
        <f>"1309,3260"</f>
        <v>1309,3260</v>
      </c>
      <c r="K6" s="20" t="s">
        <v>30</v>
      </c>
    </row>
    <row r="8" spans="1:11" ht="15">
      <c r="A8" s="37" t="s">
        <v>69</v>
      </c>
      <c r="B8" s="37"/>
      <c r="C8" s="37"/>
      <c r="D8" s="37"/>
      <c r="E8" s="37"/>
      <c r="F8" s="37"/>
      <c r="G8" s="37"/>
      <c r="H8" s="37"/>
      <c r="I8" s="37"/>
      <c r="J8" s="37"/>
    </row>
    <row r="9" spans="1:11">
      <c r="A9" s="20" t="s">
        <v>1095</v>
      </c>
      <c r="B9" s="20" t="s">
        <v>929</v>
      </c>
      <c r="C9" s="20" t="s">
        <v>925</v>
      </c>
      <c r="D9" s="20" t="str">
        <f>"0,8629"</f>
        <v>0,8629</v>
      </c>
      <c r="E9" s="20" t="s">
        <v>199</v>
      </c>
      <c r="F9" s="20" t="s">
        <v>200</v>
      </c>
      <c r="G9" s="21" t="s">
        <v>66</v>
      </c>
      <c r="H9" s="46" t="s">
        <v>820</v>
      </c>
      <c r="I9" s="20" t="str">
        <f>"1852,5"</f>
        <v>1852,5</v>
      </c>
      <c r="J9" s="21" t="str">
        <f>"1598,5223"</f>
        <v>1598,5223</v>
      </c>
      <c r="K9" s="20" t="s">
        <v>30</v>
      </c>
    </row>
    <row r="11" spans="1:11" ht="15">
      <c r="E11" s="23" t="s">
        <v>31</v>
      </c>
    </row>
    <row r="12" spans="1:11" ht="15">
      <c r="E12" s="23" t="s">
        <v>32</v>
      </c>
    </row>
    <row r="13" spans="1:11" ht="15">
      <c r="E13" s="23" t="s">
        <v>33</v>
      </c>
    </row>
    <row r="14" spans="1:11" ht="15">
      <c r="E14" s="23" t="s">
        <v>34</v>
      </c>
    </row>
    <row r="15" spans="1:11" ht="15">
      <c r="E15" s="23" t="s">
        <v>34</v>
      </c>
    </row>
    <row r="16" spans="1:11" ht="15">
      <c r="E16" s="23" t="s">
        <v>35</v>
      </c>
    </row>
    <row r="17" spans="1:5" ht="15">
      <c r="E17" s="23"/>
    </row>
    <row r="19" spans="1:5" ht="18">
      <c r="A19" s="24" t="s">
        <v>36</v>
      </c>
      <c r="B19" s="24"/>
    </row>
    <row r="20" spans="1:5" ht="15">
      <c r="A20" s="25" t="s">
        <v>37</v>
      </c>
      <c r="B20" s="25"/>
    </row>
    <row r="21" spans="1:5" ht="14.25">
      <c r="A21" s="27"/>
      <c r="B21" s="28" t="s">
        <v>38</v>
      </c>
    </row>
    <row r="22" spans="1:5" ht="15">
      <c r="A22" s="29" t="s">
        <v>39</v>
      </c>
      <c r="B22" s="29" t="s">
        <v>40</v>
      </c>
      <c r="C22" s="29" t="s">
        <v>41</v>
      </c>
      <c r="D22" s="29" t="s">
        <v>42</v>
      </c>
      <c r="E22" s="29" t="s">
        <v>1086</v>
      </c>
    </row>
    <row r="23" spans="1:5">
      <c r="A23" s="26" t="s">
        <v>927</v>
      </c>
      <c r="B23" s="4" t="s">
        <v>162</v>
      </c>
      <c r="C23" s="4" t="s">
        <v>168</v>
      </c>
      <c r="D23" s="4" t="s">
        <v>1096</v>
      </c>
      <c r="E23" s="30" t="s">
        <v>1097</v>
      </c>
    </row>
    <row r="24" spans="1:5">
      <c r="A24" s="26" t="s">
        <v>796</v>
      </c>
      <c r="B24" s="4" t="s">
        <v>44</v>
      </c>
      <c r="C24" s="4" t="s">
        <v>513</v>
      </c>
      <c r="D24" s="4" t="s">
        <v>1098</v>
      </c>
      <c r="E24" s="30" t="s">
        <v>1099</v>
      </c>
    </row>
  </sheetData>
  <mergeCells count="13">
    <mergeCell ref="I3:I4"/>
    <mergeCell ref="J3:J4"/>
    <mergeCell ref="K3:K4"/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58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42578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6.85546875" style="4" bestFit="1" customWidth="1"/>
    <col min="14" max="16384" width="9.140625" style="3"/>
  </cols>
  <sheetData>
    <row r="1" spans="1:13" s="2" customFormat="1" ht="29.1" customHeight="1">
      <c r="A1" s="18" t="s">
        <v>545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15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381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547</v>
      </c>
      <c r="B6" s="20" t="s">
        <v>548</v>
      </c>
      <c r="C6" s="20" t="s">
        <v>549</v>
      </c>
      <c r="D6" s="20" t="str">
        <f>"0,8422"</f>
        <v>0,8422</v>
      </c>
      <c r="E6" s="20" t="s">
        <v>199</v>
      </c>
      <c r="F6" s="20" t="s">
        <v>200</v>
      </c>
      <c r="G6" s="22" t="s">
        <v>102</v>
      </c>
      <c r="H6" s="22" t="s">
        <v>102</v>
      </c>
      <c r="I6" s="21" t="s">
        <v>102</v>
      </c>
      <c r="J6" s="22"/>
      <c r="K6" s="20" t="str">
        <f>"150,0"</f>
        <v>150,0</v>
      </c>
      <c r="L6" s="21" t="str">
        <f>"126,3300"</f>
        <v>126,3300</v>
      </c>
      <c r="M6" s="20" t="s">
        <v>550</v>
      </c>
    </row>
    <row r="8" spans="1:13" ht="15">
      <c r="A8" s="37" t="s">
        <v>91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552</v>
      </c>
      <c r="B9" s="20" t="s">
        <v>553</v>
      </c>
      <c r="C9" s="20" t="s">
        <v>554</v>
      </c>
      <c r="D9" s="20" t="str">
        <f>"0,6257"</f>
        <v>0,6257</v>
      </c>
      <c r="E9" s="20" t="s">
        <v>53</v>
      </c>
      <c r="F9" s="20" t="s">
        <v>404</v>
      </c>
      <c r="G9" s="21" t="s">
        <v>112</v>
      </c>
      <c r="H9" s="21" t="s">
        <v>102</v>
      </c>
      <c r="I9" s="22" t="s">
        <v>157</v>
      </c>
      <c r="J9" s="22"/>
      <c r="K9" s="20" t="str">
        <f>"150,0"</f>
        <v>150,0</v>
      </c>
      <c r="L9" s="21" t="str">
        <f>"93,8550"</f>
        <v>93,8550</v>
      </c>
      <c r="M9" s="20" t="s">
        <v>30</v>
      </c>
    </row>
    <row r="11" spans="1:13" ht="15">
      <c r="A11" s="37" t="s">
        <v>125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31" t="s">
        <v>556</v>
      </c>
      <c r="B12" s="31" t="s">
        <v>557</v>
      </c>
      <c r="C12" s="31" t="s">
        <v>558</v>
      </c>
      <c r="D12" s="31" t="str">
        <f>"0,5973"</f>
        <v>0,5973</v>
      </c>
      <c r="E12" s="31" t="s">
        <v>53</v>
      </c>
      <c r="F12" s="31" t="s">
        <v>379</v>
      </c>
      <c r="G12" s="33" t="s">
        <v>233</v>
      </c>
      <c r="H12" s="32" t="s">
        <v>103</v>
      </c>
      <c r="I12" s="32"/>
      <c r="J12" s="32"/>
      <c r="K12" s="31" t="str">
        <f>"150,0"</f>
        <v>150,0</v>
      </c>
      <c r="L12" s="33" t="str">
        <f>"90,4909"</f>
        <v>90,4909</v>
      </c>
      <c r="M12" s="31" t="s">
        <v>30</v>
      </c>
    </row>
    <row r="13" spans="1:13">
      <c r="A13" s="38" t="s">
        <v>560</v>
      </c>
      <c r="B13" s="38" t="s">
        <v>561</v>
      </c>
      <c r="C13" s="38" t="s">
        <v>562</v>
      </c>
      <c r="D13" s="38" t="str">
        <f>"0,6098"</f>
        <v>0,6098</v>
      </c>
      <c r="E13" s="38" t="s">
        <v>86</v>
      </c>
      <c r="F13" s="38" t="s">
        <v>563</v>
      </c>
      <c r="G13" s="40" t="s">
        <v>115</v>
      </c>
      <c r="H13" s="40" t="s">
        <v>116</v>
      </c>
      <c r="I13" s="40" t="s">
        <v>564</v>
      </c>
      <c r="J13" s="39"/>
      <c r="K13" s="38" t="str">
        <f>"195,0"</f>
        <v>195,0</v>
      </c>
      <c r="L13" s="40" t="str">
        <f>"118,9110"</f>
        <v>118,9110</v>
      </c>
      <c r="M13" s="38" t="s">
        <v>30</v>
      </c>
    </row>
    <row r="14" spans="1:13">
      <c r="A14" s="38" t="s">
        <v>566</v>
      </c>
      <c r="B14" s="38" t="s">
        <v>567</v>
      </c>
      <c r="C14" s="38" t="s">
        <v>568</v>
      </c>
      <c r="D14" s="38" t="str">
        <f>"0,6018"</f>
        <v>0,6018</v>
      </c>
      <c r="E14" s="38" t="s">
        <v>53</v>
      </c>
      <c r="F14" s="38" t="s">
        <v>20</v>
      </c>
      <c r="G14" s="40" t="s">
        <v>102</v>
      </c>
      <c r="H14" s="39" t="s">
        <v>103</v>
      </c>
      <c r="I14" s="40" t="s">
        <v>103</v>
      </c>
      <c r="J14" s="39"/>
      <c r="K14" s="38" t="str">
        <f>"160,0"</f>
        <v>160,0</v>
      </c>
      <c r="L14" s="40" t="str">
        <f>"96,2880"</f>
        <v>96,2880</v>
      </c>
      <c r="M14" s="38" t="s">
        <v>30</v>
      </c>
    </row>
    <row r="15" spans="1:13">
      <c r="A15" s="38" t="s">
        <v>570</v>
      </c>
      <c r="B15" s="38" t="s">
        <v>571</v>
      </c>
      <c r="C15" s="38" t="s">
        <v>457</v>
      </c>
      <c r="D15" s="38" t="str">
        <f>"0,5960"</f>
        <v>0,5960</v>
      </c>
      <c r="E15" s="38" t="s">
        <v>278</v>
      </c>
      <c r="F15" s="38" t="s">
        <v>20</v>
      </c>
      <c r="G15" s="40" t="s">
        <v>112</v>
      </c>
      <c r="H15" s="40" t="s">
        <v>297</v>
      </c>
      <c r="I15" s="39" t="s">
        <v>103</v>
      </c>
      <c r="J15" s="39"/>
      <c r="K15" s="38" t="str">
        <f>"152,5"</f>
        <v>152,5</v>
      </c>
      <c r="L15" s="40" t="str">
        <f>"90,8900"</f>
        <v>90,8900</v>
      </c>
      <c r="M15" s="38" t="s">
        <v>30</v>
      </c>
    </row>
    <row r="16" spans="1:13">
      <c r="A16" s="34" t="s">
        <v>572</v>
      </c>
      <c r="B16" s="34" t="s">
        <v>573</v>
      </c>
      <c r="C16" s="34" t="s">
        <v>574</v>
      </c>
      <c r="D16" s="34" t="str">
        <f>"0,5881"</f>
        <v>0,5881</v>
      </c>
      <c r="E16" s="34" t="s">
        <v>347</v>
      </c>
      <c r="F16" s="34" t="s">
        <v>20</v>
      </c>
      <c r="G16" s="36" t="s">
        <v>102</v>
      </c>
      <c r="H16" s="36" t="s">
        <v>157</v>
      </c>
      <c r="I16" s="36" t="s">
        <v>157</v>
      </c>
      <c r="J16" s="36"/>
      <c r="K16" s="34" t="str">
        <f>"0.00"</f>
        <v>0.00</v>
      </c>
      <c r="L16" s="35" t="str">
        <f>"0,0000"</f>
        <v>0,0000</v>
      </c>
      <c r="M16" s="34" t="s">
        <v>30</v>
      </c>
    </row>
    <row r="18" spans="1:13" ht="15">
      <c r="A18" s="37" t="s">
        <v>152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3">
      <c r="A19" s="20" t="s">
        <v>576</v>
      </c>
      <c r="B19" s="20" t="s">
        <v>577</v>
      </c>
      <c r="C19" s="20" t="s">
        <v>578</v>
      </c>
      <c r="D19" s="20" t="str">
        <f>"0,5701"</f>
        <v>0,5701</v>
      </c>
      <c r="E19" s="20" t="s">
        <v>199</v>
      </c>
      <c r="F19" s="20" t="s">
        <v>200</v>
      </c>
      <c r="G19" s="21" t="s">
        <v>96</v>
      </c>
      <c r="H19" s="21" t="s">
        <v>111</v>
      </c>
      <c r="I19" s="22"/>
      <c r="J19" s="22"/>
      <c r="K19" s="20" t="str">
        <f>"135,0"</f>
        <v>135,0</v>
      </c>
      <c r="L19" s="21" t="str">
        <f>"78,5028"</f>
        <v>78,5028</v>
      </c>
      <c r="M19" s="20" t="s">
        <v>30</v>
      </c>
    </row>
    <row r="21" spans="1:13" ht="15">
      <c r="A21" s="37" t="s">
        <v>219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3">
      <c r="A22" s="31" t="s">
        <v>580</v>
      </c>
      <c r="B22" s="31" t="s">
        <v>581</v>
      </c>
      <c r="C22" s="31" t="s">
        <v>582</v>
      </c>
      <c r="D22" s="31" t="str">
        <f>"0,5414"</f>
        <v>0,5414</v>
      </c>
      <c r="E22" s="31" t="s">
        <v>199</v>
      </c>
      <c r="F22" s="31" t="s">
        <v>583</v>
      </c>
      <c r="G22" s="33" t="s">
        <v>148</v>
      </c>
      <c r="H22" s="32" t="s">
        <v>150</v>
      </c>
      <c r="I22" s="33" t="s">
        <v>150</v>
      </c>
      <c r="J22" s="32"/>
      <c r="K22" s="31" t="str">
        <f>"210,0"</f>
        <v>210,0</v>
      </c>
      <c r="L22" s="33" t="str">
        <f>"113,6940"</f>
        <v>113,6940</v>
      </c>
      <c r="M22" s="31" t="s">
        <v>30</v>
      </c>
    </row>
    <row r="23" spans="1:13">
      <c r="A23" s="38" t="s">
        <v>585</v>
      </c>
      <c r="B23" s="38" t="s">
        <v>586</v>
      </c>
      <c r="C23" s="38" t="s">
        <v>587</v>
      </c>
      <c r="D23" s="38" t="str">
        <f>"0,5386"</f>
        <v>0,5386</v>
      </c>
      <c r="E23" s="38" t="s">
        <v>53</v>
      </c>
      <c r="F23" s="38" t="s">
        <v>404</v>
      </c>
      <c r="G23" s="40" t="s">
        <v>116</v>
      </c>
      <c r="H23" s="40" t="s">
        <v>148</v>
      </c>
      <c r="I23" s="39"/>
      <c r="J23" s="39"/>
      <c r="K23" s="38" t="str">
        <f>"200,0"</f>
        <v>200,0</v>
      </c>
      <c r="L23" s="40" t="str">
        <f>"107,7200"</f>
        <v>107,7200</v>
      </c>
      <c r="M23" s="38" t="s">
        <v>30</v>
      </c>
    </row>
    <row r="24" spans="1:13">
      <c r="A24" s="34" t="s">
        <v>588</v>
      </c>
      <c r="B24" s="34" t="s">
        <v>345</v>
      </c>
      <c r="C24" s="34" t="s">
        <v>346</v>
      </c>
      <c r="D24" s="34" t="str">
        <f>"0,5378"</f>
        <v>0,5378</v>
      </c>
      <c r="E24" s="34" t="s">
        <v>347</v>
      </c>
      <c r="F24" s="34" t="s">
        <v>20</v>
      </c>
      <c r="G24" s="35" t="s">
        <v>589</v>
      </c>
      <c r="H24" s="36" t="s">
        <v>124</v>
      </c>
      <c r="I24" s="35" t="s">
        <v>124</v>
      </c>
      <c r="J24" s="36"/>
      <c r="K24" s="34" t="str">
        <f>"185,0"</f>
        <v>185,0</v>
      </c>
      <c r="L24" s="35" t="str">
        <f>"99,4930"</f>
        <v>99,4930</v>
      </c>
      <c r="M24" s="34" t="s">
        <v>30</v>
      </c>
    </row>
    <row r="26" spans="1:13" ht="15">
      <c r="A26" s="37" t="s">
        <v>254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3">
      <c r="A27" s="31" t="s">
        <v>591</v>
      </c>
      <c r="B27" s="31" t="s">
        <v>592</v>
      </c>
      <c r="C27" s="31" t="s">
        <v>593</v>
      </c>
      <c r="D27" s="31" t="str">
        <f>"0,5301"</f>
        <v>0,5301</v>
      </c>
      <c r="E27" s="31" t="s">
        <v>53</v>
      </c>
      <c r="F27" s="31" t="s">
        <v>87</v>
      </c>
      <c r="G27" s="33" t="s">
        <v>233</v>
      </c>
      <c r="H27" s="33" t="s">
        <v>234</v>
      </c>
      <c r="I27" s="33" t="s">
        <v>594</v>
      </c>
      <c r="J27" s="32"/>
      <c r="K27" s="31" t="str">
        <f>"162,5"</f>
        <v>162,5</v>
      </c>
      <c r="L27" s="33" t="str">
        <f>"86,1412"</f>
        <v>86,1412</v>
      </c>
      <c r="M27" s="31" t="s">
        <v>30</v>
      </c>
    </row>
    <row r="28" spans="1:13">
      <c r="A28" s="38" t="s">
        <v>596</v>
      </c>
      <c r="B28" s="38" t="s">
        <v>597</v>
      </c>
      <c r="C28" s="38" t="s">
        <v>598</v>
      </c>
      <c r="D28" s="38" t="str">
        <f>"0,5308"</f>
        <v>0,5308</v>
      </c>
      <c r="E28" s="38" t="s">
        <v>53</v>
      </c>
      <c r="F28" s="38" t="s">
        <v>87</v>
      </c>
      <c r="G28" s="40" t="s">
        <v>102</v>
      </c>
      <c r="H28" s="40" t="s">
        <v>234</v>
      </c>
      <c r="I28" s="40" t="s">
        <v>482</v>
      </c>
      <c r="J28" s="39"/>
      <c r="K28" s="38" t="str">
        <f>"160,0"</f>
        <v>160,0</v>
      </c>
      <c r="L28" s="40" t="str">
        <f>"84,9280"</f>
        <v>84,9280</v>
      </c>
      <c r="M28" s="38" t="s">
        <v>30</v>
      </c>
    </row>
    <row r="29" spans="1:13">
      <c r="A29" s="34" t="s">
        <v>600</v>
      </c>
      <c r="B29" s="34" t="s">
        <v>601</v>
      </c>
      <c r="C29" s="34" t="s">
        <v>320</v>
      </c>
      <c r="D29" s="34" t="str">
        <f>"0,5314"</f>
        <v>0,5314</v>
      </c>
      <c r="E29" s="34" t="s">
        <v>53</v>
      </c>
      <c r="F29" s="34" t="s">
        <v>87</v>
      </c>
      <c r="G29" s="35" t="s">
        <v>112</v>
      </c>
      <c r="H29" s="35" t="s">
        <v>98</v>
      </c>
      <c r="I29" s="35" t="s">
        <v>102</v>
      </c>
      <c r="J29" s="36"/>
      <c r="K29" s="34" t="str">
        <f>"150,0"</f>
        <v>150,0</v>
      </c>
      <c r="L29" s="35" t="str">
        <f>"79,7100"</f>
        <v>79,7100</v>
      </c>
      <c r="M29" s="34" t="s">
        <v>30</v>
      </c>
    </row>
    <row r="31" spans="1:13" ht="15">
      <c r="E31" s="23" t="s">
        <v>31</v>
      </c>
    </row>
    <row r="32" spans="1:13" ht="15">
      <c r="E32" s="23" t="s">
        <v>32</v>
      </c>
    </row>
    <row r="33" spans="1:5" ht="15">
      <c r="E33" s="23" t="s">
        <v>33</v>
      </c>
    </row>
    <row r="34" spans="1:5" ht="15">
      <c r="E34" s="23" t="s">
        <v>34</v>
      </c>
    </row>
    <row r="35" spans="1:5" ht="15">
      <c r="E35" s="23" t="s">
        <v>34</v>
      </c>
    </row>
    <row r="36" spans="1:5" ht="15">
      <c r="E36" s="23" t="s">
        <v>35</v>
      </c>
    </row>
    <row r="37" spans="1:5" ht="15">
      <c r="E37" s="23"/>
    </row>
    <row r="39" spans="1:5" ht="18">
      <c r="A39" s="24" t="s">
        <v>36</v>
      </c>
      <c r="B39" s="24"/>
    </row>
    <row r="40" spans="1:5" ht="15">
      <c r="A40" s="25" t="s">
        <v>37</v>
      </c>
      <c r="B40" s="25"/>
    </row>
    <row r="41" spans="1:5" ht="14.25">
      <c r="A41" s="27"/>
      <c r="B41" s="28" t="s">
        <v>182</v>
      </c>
    </row>
    <row r="42" spans="1:5" ht="15">
      <c r="A42" s="29" t="s">
        <v>39</v>
      </c>
      <c r="B42" s="29" t="s">
        <v>40</v>
      </c>
      <c r="C42" s="29" t="s">
        <v>41</v>
      </c>
      <c r="D42" s="29" t="s">
        <v>42</v>
      </c>
      <c r="E42" s="29" t="s">
        <v>43</v>
      </c>
    </row>
    <row r="43" spans="1:5">
      <c r="A43" s="26" t="s">
        <v>555</v>
      </c>
      <c r="B43" s="4" t="s">
        <v>183</v>
      </c>
      <c r="C43" s="4" t="s">
        <v>179</v>
      </c>
      <c r="D43" s="4" t="s">
        <v>102</v>
      </c>
      <c r="E43" s="30" t="s">
        <v>602</v>
      </c>
    </row>
    <row r="44" spans="1:5">
      <c r="A44" s="26" t="s">
        <v>575</v>
      </c>
      <c r="B44" s="4" t="s">
        <v>183</v>
      </c>
      <c r="C44" s="4" t="s">
        <v>188</v>
      </c>
      <c r="D44" s="4" t="s">
        <v>111</v>
      </c>
      <c r="E44" s="30" t="s">
        <v>603</v>
      </c>
    </row>
    <row r="46" spans="1:5" ht="14.25">
      <c r="A46" s="27"/>
      <c r="B46" s="28" t="s">
        <v>164</v>
      </c>
    </row>
    <row r="47" spans="1:5" ht="15">
      <c r="A47" s="29" t="s">
        <v>39</v>
      </c>
      <c r="B47" s="29" t="s">
        <v>40</v>
      </c>
      <c r="C47" s="29" t="s">
        <v>41</v>
      </c>
      <c r="D47" s="29" t="s">
        <v>42</v>
      </c>
      <c r="E47" s="29" t="s">
        <v>43</v>
      </c>
    </row>
    <row r="48" spans="1:5">
      <c r="A48" s="26" t="s">
        <v>546</v>
      </c>
      <c r="B48" s="4" t="s">
        <v>164</v>
      </c>
      <c r="C48" s="4" t="s">
        <v>513</v>
      </c>
      <c r="D48" s="4" t="s">
        <v>102</v>
      </c>
      <c r="E48" s="30" t="s">
        <v>604</v>
      </c>
    </row>
    <row r="49" spans="1:5">
      <c r="A49" s="26" t="s">
        <v>559</v>
      </c>
      <c r="B49" s="4" t="s">
        <v>164</v>
      </c>
      <c r="C49" s="4" t="s">
        <v>179</v>
      </c>
      <c r="D49" s="4" t="s">
        <v>564</v>
      </c>
      <c r="E49" s="30" t="s">
        <v>605</v>
      </c>
    </row>
    <row r="50" spans="1:5">
      <c r="A50" s="26" t="s">
        <v>579</v>
      </c>
      <c r="B50" s="4" t="s">
        <v>164</v>
      </c>
      <c r="C50" s="4" t="s">
        <v>242</v>
      </c>
      <c r="D50" s="4" t="s">
        <v>150</v>
      </c>
      <c r="E50" s="30" t="s">
        <v>606</v>
      </c>
    </row>
    <row r="51" spans="1:5">
      <c r="A51" s="26" t="s">
        <v>584</v>
      </c>
      <c r="B51" s="4" t="s">
        <v>164</v>
      </c>
      <c r="C51" s="4" t="s">
        <v>242</v>
      </c>
      <c r="D51" s="4" t="s">
        <v>148</v>
      </c>
      <c r="E51" s="30" t="s">
        <v>607</v>
      </c>
    </row>
    <row r="52" spans="1:5">
      <c r="A52" s="26" t="s">
        <v>343</v>
      </c>
      <c r="B52" s="4" t="s">
        <v>164</v>
      </c>
      <c r="C52" s="4" t="s">
        <v>242</v>
      </c>
      <c r="D52" s="4" t="s">
        <v>124</v>
      </c>
      <c r="E52" s="30" t="s">
        <v>608</v>
      </c>
    </row>
    <row r="53" spans="1:5">
      <c r="A53" s="26" t="s">
        <v>565</v>
      </c>
      <c r="B53" s="4" t="s">
        <v>164</v>
      </c>
      <c r="C53" s="4" t="s">
        <v>179</v>
      </c>
      <c r="D53" s="4" t="s">
        <v>103</v>
      </c>
      <c r="E53" s="30" t="s">
        <v>609</v>
      </c>
    </row>
    <row r="54" spans="1:5">
      <c r="A54" s="26" t="s">
        <v>551</v>
      </c>
      <c r="B54" s="4" t="s">
        <v>164</v>
      </c>
      <c r="C54" s="4" t="s">
        <v>176</v>
      </c>
      <c r="D54" s="4" t="s">
        <v>102</v>
      </c>
      <c r="E54" s="30" t="s">
        <v>610</v>
      </c>
    </row>
    <row r="55" spans="1:5">
      <c r="A55" s="26" t="s">
        <v>569</v>
      </c>
      <c r="B55" s="4" t="s">
        <v>164</v>
      </c>
      <c r="C55" s="4" t="s">
        <v>179</v>
      </c>
      <c r="D55" s="4" t="s">
        <v>297</v>
      </c>
      <c r="E55" s="30" t="s">
        <v>611</v>
      </c>
    </row>
    <row r="56" spans="1:5">
      <c r="A56" s="26" t="s">
        <v>590</v>
      </c>
      <c r="B56" s="4" t="s">
        <v>164</v>
      </c>
      <c r="C56" s="4" t="s">
        <v>264</v>
      </c>
      <c r="D56" s="4" t="s">
        <v>438</v>
      </c>
      <c r="E56" s="30" t="s">
        <v>612</v>
      </c>
    </row>
    <row r="57" spans="1:5">
      <c r="A57" s="26" t="s">
        <v>595</v>
      </c>
      <c r="B57" s="4" t="s">
        <v>164</v>
      </c>
      <c r="C57" s="4" t="s">
        <v>264</v>
      </c>
      <c r="D57" s="4" t="s">
        <v>103</v>
      </c>
      <c r="E57" s="30" t="s">
        <v>613</v>
      </c>
    </row>
    <row r="58" spans="1:5">
      <c r="A58" s="26" t="s">
        <v>599</v>
      </c>
      <c r="B58" s="4" t="s">
        <v>164</v>
      </c>
      <c r="C58" s="4" t="s">
        <v>264</v>
      </c>
      <c r="D58" s="4" t="s">
        <v>102</v>
      </c>
      <c r="E58" s="30" t="s">
        <v>614</v>
      </c>
    </row>
  </sheetData>
  <mergeCells count="17">
    <mergeCell ref="A18:L18"/>
    <mergeCell ref="A21:L21"/>
    <mergeCell ref="A26:L26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127"/>
  <sheetViews>
    <sheetView workbookViewId="0">
      <selection activeCell="B6" sqref="B6:F6"/>
    </sheetView>
  </sheetViews>
  <sheetFormatPr defaultRowHeight="12.75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373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20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374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376</v>
      </c>
      <c r="B6" s="20" t="s">
        <v>377</v>
      </c>
      <c r="C6" s="20" t="s">
        <v>378</v>
      </c>
      <c r="D6" s="20" t="str">
        <f>"0,9256"</f>
        <v>0,9256</v>
      </c>
      <c r="E6" s="20" t="s">
        <v>86</v>
      </c>
      <c r="F6" s="20" t="s">
        <v>379</v>
      </c>
      <c r="G6" s="21" t="s">
        <v>65</v>
      </c>
      <c r="H6" s="21" t="s">
        <v>380</v>
      </c>
      <c r="I6" s="22" t="s">
        <v>21</v>
      </c>
      <c r="J6" s="22"/>
      <c r="K6" s="20" t="str">
        <f>"57,5"</f>
        <v>57,5</v>
      </c>
      <c r="L6" s="21" t="str">
        <f>"53,2220"</f>
        <v>53,2220</v>
      </c>
      <c r="M6" s="20" t="s">
        <v>30</v>
      </c>
    </row>
    <row r="8" spans="1:13" ht="15">
      <c r="A8" s="37" t="s">
        <v>381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383</v>
      </c>
      <c r="B9" s="20" t="s">
        <v>384</v>
      </c>
      <c r="C9" s="20" t="s">
        <v>385</v>
      </c>
      <c r="D9" s="20" t="str">
        <f>"0,8993"</f>
        <v>0,8993</v>
      </c>
      <c r="E9" s="20" t="s">
        <v>386</v>
      </c>
      <c r="F9" s="20" t="s">
        <v>379</v>
      </c>
      <c r="G9" s="21" t="s">
        <v>21</v>
      </c>
      <c r="H9" s="21" t="s">
        <v>387</v>
      </c>
      <c r="I9" s="21" t="s">
        <v>22</v>
      </c>
      <c r="J9" s="22"/>
      <c r="K9" s="20" t="str">
        <f>"65,0"</f>
        <v>65,0</v>
      </c>
      <c r="L9" s="21" t="str">
        <f>"109,0176"</f>
        <v>109,0176</v>
      </c>
      <c r="M9" s="20" t="s">
        <v>30</v>
      </c>
    </row>
    <row r="11" spans="1:13" ht="15">
      <c r="A11" s="37" t="s">
        <v>81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20" t="s">
        <v>389</v>
      </c>
      <c r="B12" s="20" t="s">
        <v>390</v>
      </c>
      <c r="C12" s="20" t="s">
        <v>391</v>
      </c>
      <c r="D12" s="20" t="str">
        <f>"0,7434"</f>
        <v>0,7434</v>
      </c>
      <c r="E12" s="20" t="s">
        <v>109</v>
      </c>
      <c r="F12" s="20" t="s">
        <v>110</v>
      </c>
      <c r="G12" s="21" t="s">
        <v>25</v>
      </c>
      <c r="H12" s="21" t="s">
        <v>26</v>
      </c>
      <c r="I12" s="21" t="s">
        <v>392</v>
      </c>
      <c r="J12" s="22"/>
      <c r="K12" s="20" t="str">
        <f>"52,5"</f>
        <v>52,5</v>
      </c>
      <c r="L12" s="21" t="str">
        <f>"41,3730"</f>
        <v>41,3730</v>
      </c>
      <c r="M12" s="20" t="s">
        <v>30</v>
      </c>
    </row>
    <row r="14" spans="1:13" ht="15">
      <c r="A14" s="37" t="s">
        <v>381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3">
      <c r="A15" s="31" t="s">
        <v>394</v>
      </c>
      <c r="B15" s="31" t="s">
        <v>395</v>
      </c>
      <c r="C15" s="31" t="s">
        <v>396</v>
      </c>
      <c r="D15" s="31" t="str">
        <f>"0,8271"</f>
        <v>0,8271</v>
      </c>
      <c r="E15" s="31" t="s">
        <v>397</v>
      </c>
      <c r="F15" s="31" t="s">
        <v>398</v>
      </c>
      <c r="G15" s="33" t="s">
        <v>26</v>
      </c>
      <c r="H15" s="33" t="s">
        <v>21</v>
      </c>
      <c r="I15" s="33" t="s">
        <v>399</v>
      </c>
      <c r="J15" s="32"/>
      <c r="K15" s="31" t="str">
        <f>"67,5"</f>
        <v>67,5</v>
      </c>
      <c r="L15" s="33" t="str">
        <f>"65,8785"</f>
        <v>65,8785</v>
      </c>
      <c r="M15" s="31" t="s">
        <v>30</v>
      </c>
    </row>
    <row r="16" spans="1:13">
      <c r="A16" s="34" t="s">
        <v>401</v>
      </c>
      <c r="B16" s="34" t="s">
        <v>402</v>
      </c>
      <c r="C16" s="34" t="s">
        <v>403</v>
      </c>
      <c r="D16" s="34" t="str">
        <f>"0,8286"</f>
        <v>0,8286</v>
      </c>
      <c r="E16" s="34" t="s">
        <v>53</v>
      </c>
      <c r="F16" s="34" t="s">
        <v>404</v>
      </c>
      <c r="G16" s="35" t="s">
        <v>100</v>
      </c>
      <c r="H16" s="35" t="s">
        <v>405</v>
      </c>
      <c r="I16" s="36" t="s">
        <v>101</v>
      </c>
      <c r="J16" s="36"/>
      <c r="K16" s="34" t="str">
        <f>"95,0"</f>
        <v>95,0</v>
      </c>
      <c r="L16" s="35" t="str">
        <f>"88,9502"</f>
        <v>88,9502</v>
      </c>
      <c r="M16" s="34" t="s">
        <v>30</v>
      </c>
    </row>
    <row r="18" spans="1:13" ht="15">
      <c r="A18" s="37" t="s">
        <v>69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3">
      <c r="A19" s="31" t="s">
        <v>407</v>
      </c>
      <c r="B19" s="31" t="s">
        <v>408</v>
      </c>
      <c r="C19" s="31" t="s">
        <v>409</v>
      </c>
      <c r="D19" s="31" t="str">
        <f>"0,7278"</f>
        <v>0,7278</v>
      </c>
      <c r="E19" s="31" t="s">
        <v>109</v>
      </c>
      <c r="F19" s="31" t="s">
        <v>110</v>
      </c>
      <c r="G19" s="33" t="s">
        <v>101</v>
      </c>
      <c r="H19" s="33" t="s">
        <v>121</v>
      </c>
      <c r="I19" s="33" t="s">
        <v>122</v>
      </c>
      <c r="J19" s="32"/>
      <c r="K19" s="31" t="str">
        <f>"115,0"</f>
        <v>115,0</v>
      </c>
      <c r="L19" s="33" t="str">
        <f>"84,5340"</f>
        <v>84,5340</v>
      </c>
      <c r="M19" s="31" t="s">
        <v>30</v>
      </c>
    </row>
    <row r="20" spans="1:13">
      <c r="A20" s="34" t="s">
        <v>411</v>
      </c>
      <c r="B20" s="34" t="s">
        <v>412</v>
      </c>
      <c r="C20" s="34" t="s">
        <v>413</v>
      </c>
      <c r="D20" s="34" t="str">
        <f>"0,7258"</f>
        <v>0,7258</v>
      </c>
      <c r="E20" s="34" t="s">
        <v>53</v>
      </c>
      <c r="F20" s="34" t="s">
        <v>20</v>
      </c>
      <c r="G20" s="35" t="s">
        <v>414</v>
      </c>
      <c r="H20" s="35" t="s">
        <v>214</v>
      </c>
      <c r="I20" s="35" t="s">
        <v>415</v>
      </c>
      <c r="J20" s="36"/>
      <c r="K20" s="34" t="str">
        <f>"120,0"</f>
        <v>120,0</v>
      </c>
      <c r="L20" s="35" t="str">
        <f>"87,0960"</f>
        <v>87,0960</v>
      </c>
      <c r="M20" s="34" t="s">
        <v>30</v>
      </c>
    </row>
    <row r="22" spans="1:13" ht="15">
      <c r="A22" s="37" t="s">
        <v>81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3">
      <c r="A23" s="31" t="s">
        <v>417</v>
      </c>
      <c r="B23" s="31" t="s">
        <v>418</v>
      </c>
      <c r="C23" s="31" t="s">
        <v>419</v>
      </c>
      <c r="D23" s="31" t="str">
        <f>"0,7014"</f>
        <v>0,7014</v>
      </c>
      <c r="E23" s="31" t="s">
        <v>53</v>
      </c>
      <c r="F23" s="31" t="s">
        <v>404</v>
      </c>
      <c r="G23" s="33" t="s">
        <v>68</v>
      </c>
      <c r="H23" s="33" t="s">
        <v>420</v>
      </c>
      <c r="I23" s="33" t="s">
        <v>74</v>
      </c>
      <c r="J23" s="32"/>
      <c r="K23" s="31" t="str">
        <f>"90,0"</f>
        <v>90,0</v>
      </c>
      <c r="L23" s="33" t="str">
        <f>"71,3324"</f>
        <v>71,3324</v>
      </c>
      <c r="M23" s="31" t="s">
        <v>30</v>
      </c>
    </row>
    <row r="24" spans="1:13">
      <c r="A24" s="38" t="s">
        <v>269</v>
      </c>
      <c r="B24" s="38" t="s">
        <v>270</v>
      </c>
      <c r="C24" s="38" t="s">
        <v>271</v>
      </c>
      <c r="D24" s="38" t="str">
        <f>"0,6767"</f>
        <v>0,6767</v>
      </c>
      <c r="E24" s="38" t="s">
        <v>272</v>
      </c>
      <c r="F24" s="38" t="s">
        <v>20</v>
      </c>
      <c r="G24" s="40" t="s">
        <v>112</v>
      </c>
      <c r="H24" s="39" t="s">
        <v>102</v>
      </c>
      <c r="I24" s="39" t="s">
        <v>102</v>
      </c>
      <c r="J24" s="39"/>
      <c r="K24" s="38" t="str">
        <f>"140,0"</f>
        <v>140,0</v>
      </c>
      <c r="L24" s="40" t="str">
        <f>"94,7380"</f>
        <v>94,7380</v>
      </c>
      <c r="M24" s="38" t="s">
        <v>30</v>
      </c>
    </row>
    <row r="25" spans="1:13">
      <c r="A25" s="34" t="s">
        <v>422</v>
      </c>
      <c r="B25" s="34" t="s">
        <v>423</v>
      </c>
      <c r="C25" s="34" t="s">
        <v>424</v>
      </c>
      <c r="D25" s="34" t="str">
        <f>"0,6812"</f>
        <v>0,6812</v>
      </c>
      <c r="E25" s="34" t="s">
        <v>425</v>
      </c>
      <c r="F25" s="34" t="s">
        <v>426</v>
      </c>
      <c r="G25" s="35" t="s">
        <v>78</v>
      </c>
      <c r="H25" s="36" t="s">
        <v>96</v>
      </c>
      <c r="I25" s="35" t="s">
        <v>96</v>
      </c>
      <c r="J25" s="36"/>
      <c r="K25" s="34" t="str">
        <f>"130,0"</f>
        <v>130,0</v>
      </c>
      <c r="L25" s="35" t="str">
        <f>"92,8067"</f>
        <v>92,8067</v>
      </c>
      <c r="M25" s="34" t="s">
        <v>30</v>
      </c>
    </row>
    <row r="27" spans="1:13" ht="15">
      <c r="A27" s="37" t="s">
        <v>91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3">
      <c r="A28" s="31" t="s">
        <v>428</v>
      </c>
      <c r="B28" s="31" t="s">
        <v>429</v>
      </c>
      <c r="C28" s="31" t="s">
        <v>430</v>
      </c>
      <c r="D28" s="31" t="str">
        <f>"0,6347"</f>
        <v>0,6347</v>
      </c>
      <c r="E28" s="31" t="s">
        <v>109</v>
      </c>
      <c r="F28" s="31" t="s">
        <v>110</v>
      </c>
      <c r="G28" s="33" t="s">
        <v>88</v>
      </c>
      <c r="H28" s="33" t="s">
        <v>89</v>
      </c>
      <c r="I28" s="33" t="s">
        <v>101</v>
      </c>
      <c r="J28" s="32"/>
      <c r="K28" s="31" t="str">
        <f>"100,0"</f>
        <v>100,0</v>
      </c>
      <c r="L28" s="33" t="str">
        <f>"68,5476"</f>
        <v>68,5476</v>
      </c>
      <c r="M28" s="31" t="s">
        <v>30</v>
      </c>
    </row>
    <row r="29" spans="1:13">
      <c r="A29" s="38" t="s">
        <v>432</v>
      </c>
      <c r="B29" s="38" t="s">
        <v>433</v>
      </c>
      <c r="C29" s="38" t="s">
        <v>434</v>
      </c>
      <c r="D29" s="38" t="str">
        <f>"0,6418"</f>
        <v>0,6418</v>
      </c>
      <c r="E29" s="38" t="s">
        <v>109</v>
      </c>
      <c r="F29" s="38" t="s">
        <v>110</v>
      </c>
      <c r="G29" s="40" t="s">
        <v>112</v>
      </c>
      <c r="H29" s="39" t="s">
        <v>98</v>
      </c>
      <c r="I29" s="40" t="s">
        <v>98</v>
      </c>
      <c r="J29" s="39"/>
      <c r="K29" s="38" t="str">
        <f>"145,0"</f>
        <v>145,0</v>
      </c>
      <c r="L29" s="40" t="str">
        <f>"96,7834"</f>
        <v>96,7834</v>
      </c>
      <c r="M29" s="38" t="s">
        <v>30</v>
      </c>
    </row>
    <row r="30" spans="1:13">
      <c r="A30" s="38" t="s">
        <v>436</v>
      </c>
      <c r="B30" s="38" t="s">
        <v>437</v>
      </c>
      <c r="C30" s="38" t="s">
        <v>434</v>
      </c>
      <c r="D30" s="38" t="str">
        <f>"0,6418"</f>
        <v>0,6418</v>
      </c>
      <c r="E30" s="38" t="s">
        <v>278</v>
      </c>
      <c r="F30" s="38" t="s">
        <v>20</v>
      </c>
      <c r="G30" s="40" t="s">
        <v>157</v>
      </c>
      <c r="H30" s="40" t="s">
        <v>438</v>
      </c>
      <c r="I30" s="39" t="s">
        <v>439</v>
      </c>
      <c r="J30" s="39"/>
      <c r="K30" s="38" t="str">
        <f>"162,5"</f>
        <v>162,5</v>
      </c>
      <c r="L30" s="40" t="str">
        <f>"104,2925"</f>
        <v>104,2925</v>
      </c>
      <c r="M30" s="38" t="s">
        <v>30</v>
      </c>
    </row>
    <row r="31" spans="1:13">
      <c r="A31" s="38" t="s">
        <v>441</v>
      </c>
      <c r="B31" s="38" t="s">
        <v>442</v>
      </c>
      <c r="C31" s="38" t="s">
        <v>443</v>
      </c>
      <c r="D31" s="38" t="str">
        <f>"0,6246"</f>
        <v>0,6246</v>
      </c>
      <c r="E31" s="38" t="s">
        <v>53</v>
      </c>
      <c r="F31" s="38" t="s">
        <v>87</v>
      </c>
      <c r="G31" s="40" t="s">
        <v>139</v>
      </c>
      <c r="H31" s="40" t="s">
        <v>96</v>
      </c>
      <c r="I31" s="40" t="s">
        <v>444</v>
      </c>
      <c r="J31" s="39"/>
      <c r="K31" s="38" t="str">
        <f>"135,0"</f>
        <v>135,0</v>
      </c>
      <c r="L31" s="40" t="str">
        <f>"84,3210"</f>
        <v>84,3210</v>
      </c>
      <c r="M31" s="38" t="s">
        <v>30</v>
      </c>
    </row>
    <row r="32" spans="1:13">
      <c r="A32" s="38" t="s">
        <v>446</v>
      </c>
      <c r="B32" s="38" t="s">
        <v>447</v>
      </c>
      <c r="C32" s="38" t="s">
        <v>448</v>
      </c>
      <c r="D32" s="38" t="str">
        <f>"0,6298"</f>
        <v>0,6298</v>
      </c>
      <c r="E32" s="38" t="s">
        <v>53</v>
      </c>
      <c r="F32" s="38" t="s">
        <v>449</v>
      </c>
      <c r="G32" s="40" t="s">
        <v>122</v>
      </c>
      <c r="H32" s="39" t="s">
        <v>78</v>
      </c>
      <c r="I32" s="39" t="s">
        <v>139</v>
      </c>
      <c r="J32" s="39"/>
      <c r="K32" s="38" t="str">
        <f>"115,0"</f>
        <v>115,0</v>
      </c>
      <c r="L32" s="40" t="str">
        <f>"72,4270"</f>
        <v>72,4270</v>
      </c>
      <c r="M32" s="38" t="s">
        <v>30</v>
      </c>
    </row>
    <row r="33" spans="1:13">
      <c r="A33" s="34" t="s">
        <v>275</v>
      </c>
      <c r="B33" s="34" t="s">
        <v>276</v>
      </c>
      <c r="C33" s="34" t="s">
        <v>277</v>
      </c>
      <c r="D33" s="34" t="str">
        <f>"0,6262"</f>
        <v>0,6262</v>
      </c>
      <c r="E33" s="34" t="s">
        <v>278</v>
      </c>
      <c r="F33" s="34" t="s">
        <v>20</v>
      </c>
      <c r="G33" s="35" t="s">
        <v>98</v>
      </c>
      <c r="H33" s="35" t="s">
        <v>102</v>
      </c>
      <c r="I33" s="35" t="s">
        <v>297</v>
      </c>
      <c r="J33" s="36"/>
      <c r="K33" s="34" t="str">
        <f>"152,5"</f>
        <v>152,5</v>
      </c>
      <c r="L33" s="35" t="str">
        <f>"102,0847"</f>
        <v>102,0847</v>
      </c>
      <c r="M33" s="34" t="s">
        <v>30</v>
      </c>
    </row>
    <row r="35" spans="1:13" ht="15">
      <c r="A35" s="37" t="s">
        <v>125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3">
      <c r="A36" s="31" t="s">
        <v>451</v>
      </c>
      <c r="B36" s="31" t="s">
        <v>452</v>
      </c>
      <c r="C36" s="31" t="s">
        <v>453</v>
      </c>
      <c r="D36" s="31" t="str">
        <f>"0,6000"</f>
        <v>0,6000</v>
      </c>
      <c r="E36" s="31" t="s">
        <v>53</v>
      </c>
      <c r="F36" s="31" t="s">
        <v>379</v>
      </c>
      <c r="G36" s="33" t="s">
        <v>233</v>
      </c>
      <c r="H36" s="32" t="s">
        <v>157</v>
      </c>
      <c r="I36" s="33" t="s">
        <v>234</v>
      </c>
      <c r="J36" s="32"/>
      <c r="K36" s="31" t="str">
        <f>"155,0"</f>
        <v>155,0</v>
      </c>
      <c r="L36" s="33" t="str">
        <f>"93,0000"</f>
        <v>93,0000</v>
      </c>
      <c r="M36" s="31" t="s">
        <v>30</v>
      </c>
    </row>
    <row r="37" spans="1:13">
      <c r="A37" s="38" t="s">
        <v>455</v>
      </c>
      <c r="B37" s="38" t="s">
        <v>456</v>
      </c>
      <c r="C37" s="38" t="s">
        <v>457</v>
      </c>
      <c r="D37" s="38" t="str">
        <f>"0,5960"</f>
        <v>0,5960</v>
      </c>
      <c r="E37" s="38" t="s">
        <v>53</v>
      </c>
      <c r="F37" s="38" t="s">
        <v>379</v>
      </c>
      <c r="G37" s="39" t="s">
        <v>458</v>
      </c>
      <c r="H37" s="40" t="s">
        <v>459</v>
      </c>
      <c r="I37" s="39" t="s">
        <v>157</v>
      </c>
      <c r="J37" s="39"/>
      <c r="K37" s="38" t="str">
        <f>"147,5"</f>
        <v>147,5</v>
      </c>
      <c r="L37" s="40" t="str">
        <f>"87,9100"</f>
        <v>87,9100</v>
      </c>
      <c r="M37" s="38" t="s">
        <v>30</v>
      </c>
    </row>
    <row r="38" spans="1:13">
      <c r="A38" s="38" t="s">
        <v>460</v>
      </c>
      <c r="B38" s="38" t="s">
        <v>461</v>
      </c>
      <c r="C38" s="38" t="s">
        <v>462</v>
      </c>
      <c r="D38" s="38" t="str">
        <f>"0,6004"</f>
        <v>0,6004</v>
      </c>
      <c r="E38" s="38" t="s">
        <v>53</v>
      </c>
      <c r="F38" s="38" t="s">
        <v>398</v>
      </c>
      <c r="G38" s="39" t="s">
        <v>111</v>
      </c>
      <c r="H38" s="39" t="s">
        <v>111</v>
      </c>
      <c r="I38" s="39" t="s">
        <v>111</v>
      </c>
      <c r="J38" s="39"/>
      <c r="K38" s="38" t="str">
        <f>"0.00"</f>
        <v>0.00</v>
      </c>
      <c r="L38" s="40" t="str">
        <f>"0,0000"</f>
        <v>0,0000</v>
      </c>
      <c r="M38" s="38" t="s">
        <v>30</v>
      </c>
    </row>
    <row r="39" spans="1:13">
      <c r="A39" s="38" t="s">
        <v>464</v>
      </c>
      <c r="B39" s="38" t="s">
        <v>465</v>
      </c>
      <c r="C39" s="38" t="s">
        <v>453</v>
      </c>
      <c r="D39" s="38" t="str">
        <f>"0,6000"</f>
        <v>0,6000</v>
      </c>
      <c r="E39" s="38" t="s">
        <v>53</v>
      </c>
      <c r="F39" s="38" t="s">
        <v>466</v>
      </c>
      <c r="G39" s="40" t="s">
        <v>96</v>
      </c>
      <c r="H39" s="40" t="s">
        <v>111</v>
      </c>
      <c r="I39" s="40" t="s">
        <v>112</v>
      </c>
      <c r="J39" s="39"/>
      <c r="K39" s="38" t="str">
        <f>"140,0"</f>
        <v>140,0</v>
      </c>
      <c r="L39" s="40" t="str">
        <f>"86,6040"</f>
        <v>86,6040</v>
      </c>
      <c r="M39" s="38" t="s">
        <v>30</v>
      </c>
    </row>
    <row r="40" spans="1:13">
      <c r="A40" s="34" t="s">
        <v>468</v>
      </c>
      <c r="B40" s="34" t="s">
        <v>469</v>
      </c>
      <c r="C40" s="34" t="s">
        <v>470</v>
      </c>
      <c r="D40" s="34" t="str">
        <f>"0,5930"</f>
        <v>0,5930</v>
      </c>
      <c r="E40" s="34" t="s">
        <v>347</v>
      </c>
      <c r="F40" s="34" t="s">
        <v>20</v>
      </c>
      <c r="G40" s="36" t="s">
        <v>139</v>
      </c>
      <c r="H40" s="35" t="s">
        <v>287</v>
      </c>
      <c r="I40" s="35" t="s">
        <v>96</v>
      </c>
      <c r="J40" s="36"/>
      <c r="K40" s="34" t="str">
        <f>"130,0"</f>
        <v>130,0</v>
      </c>
      <c r="L40" s="35" t="str">
        <f>"84,1823"</f>
        <v>84,1823</v>
      </c>
      <c r="M40" s="34" t="s">
        <v>30</v>
      </c>
    </row>
    <row r="42" spans="1:13" ht="15">
      <c r="A42" s="37" t="s">
        <v>152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3">
      <c r="A43" s="31" t="s">
        <v>472</v>
      </c>
      <c r="B43" s="31" t="s">
        <v>473</v>
      </c>
      <c r="C43" s="31" t="s">
        <v>474</v>
      </c>
      <c r="D43" s="31" t="str">
        <f>"0,5594"</f>
        <v>0,5594</v>
      </c>
      <c r="E43" s="31" t="s">
        <v>109</v>
      </c>
      <c r="F43" s="31" t="s">
        <v>110</v>
      </c>
      <c r="G43" s="33" t="s">
        <v>113</v>
      </c>
      <c r="H43" s="33" t="s">
        <v>475</v>
      </c>
      <c r="I43" s="32"/>
      <c r="J43" s="32"/>
      <c r="K43" s="31" t="str">
        <f>"142,5"</f>
        <v>142,5</v>
      </c>
      <c r="L43" s="33" t="str">
        <f>"82,9031"</f>
        <v>82,9031</v>
      </c>
      <c r="M43" s="31" t="s">
        <v>30</v>
      </c>
    </row>
    <row r="44" spans="1:13">
      <c r="A44" s="38" t="s">
        <v>289</v>
      </c>
      <c r="B44" s="38" t="s">
        <v>290</v>
      </c>
      <c r="C44" s="38" t="s">
        <v>291</v>
      </c>
      <c r="D44" s="38" t="str">
        <f>"0,5558"</f>
        <v>0,5558</v>
      </c>
      <c r="E44" s="38" t="s">
        <v>278</v>
      </c>
      <c r="F44" s="38" t="s">
        <v>20</v>
      </c>
      <c r="G44" s="40" t="s">
        <v>114</v>
      </c>
      <c r="H44" s="40" t="s">
        <v>115</v>
      </c>
      <c r="I44" s="39" t="s">
        <v>205</v>
      </c>
      <c r="J44" s="39"/>
      <c r="K44" s="38" t="str">
        <f>"180,0"</f>
        <v>180,0</v>
      </c>
      <c r="L44" s="40" t="str">
        <f>"100,0440"</f>
        <v>100,0440</v>
      </c>
      <c r="M44" s="38" t="s">
        <v>30</v>
      </c>
    </row>
    <row r="45" spans="1:13">
      <c r="A45" s="38" t="s">
        <v>476</v>
      </c>
      <c r="B45" s="38" t="s">
        <v>477</v>
      </c>
      <c r="C45" s="38" t="s">
        <v>291</v>
      </c>
      <c r="D45" s="38" t="str">
        <f>"0,5558"</f>
        <v>0,5558</v>
      </c>
      <c r="E45" s="38" t="s">
        <v>53</v>
      </c>
      <c r="F45" s="38" t="s">
        <v>87</v>
      </c>
      <c r="G45" s="39" t="s">
        <v>122</v>
      </c>
      <c r="H45" s="39" t="s">
        <v>122</v>
      </c>
      <c r="I45" s="39" t="s">
        <v>122</v>
      </c>
      <c r="J45" s="39"/>
      <c r="K45" s="38" t="str">
        <f>"0.00"</f>
        <v>0.00</v>
      </c>
      <c r="L45" s="40" t="str">
        <f>"0,0000"</f>
        <v>0,0000</v>
      </c>
      <c r="M45" s="38" t="s">
        <v>30</v>
      </c>
    </row>
    <row r="46" spans="1:13">
      <c r="A46" s="38" t="s">
        <v>479</v>
      </c>
      <c r="B46" s="38" t="s">
        <v>480</v>
      </c>
      <c r="C46" s="38" t="s">
        <v>481</v>
      </c>
      <c r="D46" s="38" t="str">
        <f>"0,5613"</f>
        <v>0,5613</v>
      </c>
      <c r="E46" s="38" t="s">
        <v>53</v>
      </c>
      <c r="F46" s="38" t="s">
        <v>404</v>
      </c>
      <c r="G46" s="40" t="s">
        <v>102</v>
      </c>
      <c r="H46" s="40" t="s">
        <v>234</v>
      </c>
      <c r="I46" s="40" t="s">
        <v>482</v>
      </c>
      <c r="J46" s="39"/>
      <c r="K46" s="38" t="str">
        <f>"160,0"</f>
        <v>160,0</v>
      </c>
      <c r="L46" s="40" t="str">
        <f>"90,0774"</f>
        <v>90,0774</v>
      </c>
      <c r="M46" s="38" t="s">
        <v>30</v>
      </c>
    </row>
    <row r="47" spans="1:13">
      <c r="A47" s="34" t="s">
        <v>298</v>
      </c>
      <c r="B47" s="34" t="s">
        <v>299</v>
      </c>
      <c r="C47" s="34" t="s">
        <v>296</v>
      </c>
      <c r="D47" s="34" t="str">
        <f>"0,5610"</f>
        <v>0,5610</v>
      </c>
      <c r="E47" s="34" t="s">
        <v>109</v>
      </c>
      <c r="F47" s="34" t="s">
        <v>110</v>
      </c>
      <c r="G47" s="35" t="s">
        <v>102</v>
      </c>
      <c r="H47" s="35" t="s">
        <v>157</v>
      </c>
      <c r="I47" s="35" t="s">
        <v>483</v>
      </c>
      <c r="J47" s="36"/>
      <c r="K47" s="34" t="str">
        <f>"157,5"</f>
        <v>157,5</v>
      </c>
      <c r="L47" s="35" t="str">
        <f>"103,6433"</f>
        <v>103,6433</v>
      </c>
      <c r="M47" s="34" t="s">
        <v>30</v>
      </c>
    </row>
    <row r="49" spans="1:13" ht="15">
      <c r="A49" s="37" t="s">
        <v>219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1:13">
      <c r="A50" s="31" t="s">
        <v>485</v>
      </c>
      <c r="B50" s="31" t="s">
        <v>486</v>
      </c>
      <c r="C50" s="31" t="s">
        <v>487</v>
      </c>
      <c r="D50" s="31" t="str">
        <f>"0,5385"</f>
        <v>0,5385</v>
      </c>
      <c r="E50" s="31" t="s">
        <v>199</v>
      </c>
      <c r="F50" s="31" t="s">
        <v>200</v>
      </c>
      <c r="G50" s="33" t="s">
        <v>114</v>
      </c>
      <c r="H50" s="33" t="s">
        <v>123</v>
      </c>
      <c r="I50" s="32" t="s">
        <v>115</v>
      </c>
      <c r="J50" s="32"/>
      <c r="K50" s="31" t="str">
        <f>"175,0"</f>
        <v>175,0</v>
      </c>
      <c r="L50" s="33" t="str">
        <f>"94,2375"</f>
        <v>94,2375</v>
      </c>
      <c r="M50" s="31" t="s">
        <v>30</v>
      </c>
    </row>
    <row r="51" spans="1:13">
      <c r="A51" s="38" t="s">
        <v>488</v>
      </c>
      <c r="B51" s="38" t="s">
        <v>307</v>
      </c>
      <c r="C51" s="38" t="s">
        <v>308</v>
      </c>
      <c r="D51" s="38" t="str">
        <f>"0,5388"</f>
        <v>0,5388</v>
      </c>
      <c r="E51" s="38" t="s">
        <v>278</v>
      </c>
      <c r="F51" s="38" t="s">
        <v>304</v>
      </c>
      <c r="G51" s="39" t="s">
        <v>103</v>
      </c>
      <c r="H51" s="39" t="s">
        <v>103</v>
      </c>
      <c r="I51" s="39" t="s">
        <v>103</v>
      </c>
      <c r="J51" s="39"/>
      <c r="K51" s="38" t="str">
        <f>"0.00"</f>
        <v>0.00</v>
      </c>
      <c r="L51" s="40" t="str">
        <f>"0,0000"</f>
        <v>0,0000</v>
      </c>
      <c r="M51" s="38" t="s">
        <v>30</v>
      </c>
    </row>
    <row r="52" spans="1:13">
      <c r="A52" s="38" t="s">
        <v>490</v>
      </c>
      <c r="B52" s="38" t="s">
        <v>491</v>
      </c>
      <c r="C52" s="38" t="s">
        <v>492</v>
      </c>
      <c r="D52" s="38" t="str">
        <f>"0,5366"</f>
        <v>0,5366</v>
      </c>
      <c r="E52" s="38" t="s">
        <v>199</v>
      </c>
      <c r="F52" s="38" t="s">
        <v>200</v>
      </c>
      <c r="G52" s="40" t="s">
        <v>102</v>
      </c>
      <c r="H52" s="40" t="s">
        <v>103</v>
      </c>
      <c r="I52" s="40" t="s">
        <v>114</v>
      </c>
      <c r="J52" s="39"/>
      <c r="K52" s="38" t="str">
        <f>"170,0"</f>
        <v>170,0</v>
      </c>
      <c r="L52" s="40" t="str">
        <f>"91,2220"</f>
        <v>91,2220</v>
      </c>
      <c r="M52" s="38" t="s">
        <v>30</v>
      </c>
    </row>
    <row r="53" spans="1:13">
      <c r="A53" s="34" t="s">
        <v>494</v>
      </c>
      <c r="B53" s="34" t="s">
        <v>495</v>
      </c>
      <c r="C53" s="34" t="s">
        <v>496</v>
      </c>
      <c r="D53" s="34" t="str">
        <f>"0,5407"</f>
        <v>0,5407</v>
      </c>
      <c r="E53" s="34" t="s">
        <v>278</v>
      </c>
      <c r="F53" s="34" t="s">
        <v>20</v>
      </c>
      <c r="G53" s="36" t="s">
        <v>98</v>
      </c>
      <c r="H53" s="36" t="s">
        <v>98</v>
      </c>
      <c r="I53" s="35" t="s">
        <v>98</v>
      </c>
      <c r="J53" s="36"/>
      <c r="K53" s="34" t="str">
        <f>"145,0"</f>
        <v>145,0</v>
      </c>
      <c r="L53" s="35" t="str">
        <f>"91,9650"</f>
        <v>91,9650</v>
      </c>
      <c r="M53" s="34" t="s">
        <v>30</v>
      </c>
    </row>
    <row r="55" spans="1:13" ht="15">
      <c r="A55" s="37" t="s">
        <v>254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1:13">
      <c r="A56" s="31" t="s">
        <v>311</v>
      </c>
      <c r="B56" s="31" t="s">
        <v>312</v>
      </c>
      <c r="C56" s="31" t="s">
        <v>313</v>
      </c>
      <c r="D56" s="31" t="str">
        <f>"0,5239"</f>
        <v>0,5239</v>
      </c>
      <c r="E56" s="31" t="s">
        <v>53</v>
      </c>
      <c r="F56" s="31" t="s">
        <v>314</v>
      </c>
      <c r="G56" s="33" t="s">
        <v>115</v>
      </c>
      <c r="H56" s="33" t="s">
        <v>124</v>
      </c>
      <c r="I56" s="33" t="s">
        <v>212</v>
      </c>
      <c r="J56" s="32"/>
      <c r="K56" s="31" t="str">
        <f>"190,0"</f>
        <v>190,0</v>
      </c>
      <c r="L56" s="33" t="str">
        <f>"99,5410"</f>
        <v>99,5410</v>
      </c>
      <c r="M56" s="31" t="s">
        <v>30</v>
      </c>
    </row>
    <row r="57" spans="1:13">
      <c r="A57" s="34" t="s">
        <v>311</v>
      </c>
      <c r="B57" s="34" t="s">
        <v>321</v>
      </c>
      <c r="C57" s="34" t="s">
        <v>313</v>
      </c>
      <c r="D57" s="34" t="str">
        <f>"0,5239"</f>
        <v>0,5239</v>
      </c>
      <c r="E57" s="34" t="s">
        <v>53</v>
      </c>
      <c r="F57" s="34" t="s">
        <v>314</v>
      </c>
      <c r="G57" s="35" t="s">
        <v>115</v>
      </c>
      <c r="H57" s="35" t="s">
        <v>124</v>
      </c>
      <c r="I57" s="35" t="s">
        <v>212</v>
      </c>
      <c r="J57" s="36"/>
      <c r="K57" s="34" t="str">
        <f>"190,0"</f>
        <v>190,0</v>
      </c>
      <c r="L57" s="35" t="str">
        <f>"100,4369"</f>
        <v>100,4369</v>
      </c>
      <c r="M57" s="34" t="s">
        <v>30</v>
      </c>
    </row>
    <row r="59" spans="1:13" ht="15">
      <c r="A59" s="37" t="s">
        <v>497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3">
      <c r="A60" s="20" t="s">
        <v>499</v>
      </c>
      <c r="B60" s="20" t="s">
        <v>500</v>
      </c>
      <c r="C60" s="20" t="s">
        <v>501</v>
      </c>
      <c r="D60" s="20" t="str">
        <f>"0,5192"</f>
        <v>0,5192</v>
      </c>
      <c r="E60" s="20" t="s">
        <v>53</v>
      </c>
      <c r="F60" s="20" t="s">
        <v>20</v>
      </c>
      <c r="G60" s="21" t="s">
        <v>502</v>
      </c>
      <c r="H60" s="21" t="s">
        <v>503</v>
      </c>
      <c r="I60" s="22" t="s">
        <v>438</v>
      </c>
      <c r="J60" s="22"/>
      <c r="K60" s="20" t="str">
        <f>"157,5"</f>
        <v>157,5</v>
      </c>
      <c r="L60" s="21" t="str">
        <f>"82,0193"</f>
        <v>82,0193</v>
      </c>
      <c r="M60" s="20" t="s">
        <v>30</v>
      </c>
    </row>
    <row r="62" spans="1:13" ht="15">
      <c r="A62" s="37" t="s">
        <v>504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spans="1:13">
      <c r="A63" s="20" t="s">
        <v>506</v>
      </c>
      <c r="B63" s="20" t="s">
        <v>507</v>
      </c>
      <c r="C63" s="20" t="s">
        <v>508</v>
      </c>
      <c r="D63" s="20" t="str">
        <f>"0,4941"</f>
        <v>0,4941</v>
      </c>
      <c r="E63" s="20" t="s">
        <v>86</v>
      </c>
      <c r="F63" s="20" t="s">
        <v>87</v>
      </c>
      <c r="G63" s="21" t="s">
        <v>101</v>
      </c>
      <c r="H63" s="21" t="s">
        <v>131</v>
      </c>
      <c r="I63" s="21" t="s">
        <v>121</v>
      </c>
      <c r="J63" s="22"/>
      <c r="K63" s="20" t="str">
        <f>"110,0"</f>
        <v>110,0</v>
      </c>
      <c r="L63" s="21" t="str">
        <f>"65,4386"</f>
        <v>65,4386</v>
      </c>
      <c r="M63" s="20" t="s">
        <v>30</v>
      </c>
    </row>
    <row r="65" spans="1:5" ht="15">
      <c r="E65" s="23" t="s">
        <v>31</v>
      </c>
    </row>
    <row r="66" spans="1:5" ht="15">
      <c r="E66" s="23" t="s">
        <v>32</v>
      </c>
    </row>
    <row r="67" spans="1:5" ht="15">
      <c r="E67" s="23" t="s">
        <v>33</v>
      </c>
    </row>
    <row r="68" spans="1:5" ht="15">
      <c r="E68" s="23" t="s">
        <v>34</v>
      </c>
    </row>
    <row r="69" spans="1:5" ht="15">
      <c r="E69" s="23" t="s">
        <v>34</v>
      </c>
    </row>
    <row r="70" spans="1:5" ht="15">
      <c r="E70" s="23" t="s">
        <v>35</v>
      </c>
    </row>
    <row r="71" spans="1:5" ht="15">
      <c r="E71" s="23"/>
    </row>
    <row r="73" spans="1:5" ht="18">
      <c r="A73" s="24" t="s">
        <v>36</v>
      </c>
      <c r="B73" s="24"/>
    </row>
    <row r="74" spans="1:5" ht="15">
      <c r="A74" s="25" t="s">
        <v>160</v>
      </c>
      <c r="B74" s="25"/>
    </row>
    <row r="75" spans="1:5" ht="14.25">
      <c r="A75" s="27"/>
      <c r="B75" s="28" t="s">
        <v>161</v>
      </c>
    </row>
    <row r="76" spans="1:5" ht="15">
      <c r="A76" s="29" t="s">
        <v>39</v>
      </c>
      <c r="B76" s="29" t="s">
        <v>40</v>
      </c>
      <c r="C76" s="29" t="s">
        <v>41</v>
      </c>
      <c r="D76" s="29" t="s">
        <v>42</v>
      </c>
      <c r="E76" s="29" t="s">
        <v>43</v>
      </c>
    </row>
    <row r="77" spans="1:5">
      <c r="A77" s="26" t="s">
        <v>388</v>
      </c>
      <c r="B77" s="4" t="s">
        <v>509</v>
      </c>
      <c r="C77" s="4" t="s">
        <v>172</v>
      </c>
      <c r="D77" s="4" t="s">
        <v>392</v>
      </c>
      <c r="E77" s="30" t="s">
        <v>510</v>
      </c>
    </row>
    <row r="79" spans="1:5" ht="14.25">
      <c r="A79" s="27"/>
      <c r="B79" s="28" t="s">
        <v>164</v>
      </c>
    </row>
    <row r="80" spans="1:5" ht="15">
      <c r="A80" s="29" t="s">
        <v>39</v>
      </c>
      <c r="B80" s="29" t="s">
        <v>40</v>
      </c>
      <c r="C80" s="29" t="s">
        <v>41</v>
      </c>
      <c r="D80" s="29" t="s">
        <v>42</v>
      </c>
      <c r="E80" s="29" t="s">
        <v>43</v>
      </c>
    </row>
    <row r="81" spans="1:5">
      <c r="A81" s="26" t="s">
        <v>375</v>
      </c>
      <c r="B81" s="4" t="s">
        <v>164</v>
      </c>
      <c r="C81" s="4" t="s">
        <v>511</v>
      </c>
      <c r="D81" s="4" t="s">
        <v>380</v>
      </c>
      <c r="E81" s="30" t="s">
        <v>512</v>
      </c>
    </row>
    <row r="83" spans="1:5" ht="14.25">
      <c r="A83" s="27"/>
      <c r="B83" s="28" t="s">
        <v>166</v>
      </c>
    </row>
    <row r="84" spans="1:5" ht="15">
      <c r="A84" s="29" t="s">
        <v>39</v>
      </c>
      <c r="B84" s="29" t="s">
        <v>40</v>
      </c>
      <c r="C84" s="29" t="s">
        <v>41</v>
      </c>
      <c r="D84" s="29" t="s">
        <v>42</v>
      </c>
      <c r="E84" s="29" t="s">
        <v>43</v>
      </c>
    </row>
    <row r="85" spans="1:5">
      <c r="A85" s="26" t="s">
        <v>382</v>
      </c>
      <c r="B85" s="4" t="s">
        <v>171</v>
      </c>
      <c r="C85" s="4" t="s">
        <v>513</v>
      </c>
      <c r="D85" s="4" t="s">
        <v>22</v>
      </c>
      <c r="E85" s="30" t="s">
        <v>514</v>
      </c>
    </row>
    <row r="88" spans="1:5" ht="15">
      <c r="A88" s="25" t="s">
        <v>37</v>
      </c>
      <c r="B88" s="25"/>
    </row>
    <row r="89" spans="1:5" ht="14.25">
      <c r="A89" s="27"/>
      <c r="B89" s="28" t="s">
        <v>38</v>
      </c>
    </row>
    <row r="90" spans="1:5" ht="15">
      <c r="A90" s="29" t="s">
        <v>39</v>
      </c>
      <c r="B90" s="29" t="s">
        <v>40</v>
      </c>
      <c r="C90" s="29" t="s">
        <v>41</v>
      </c>
      <c r="D90" s="29" t="s">
        <v>42</v>
      </c>
      <c r="E90" s="29" t="s">
        <v>43</v>
      </c>
    </row>
    <row r="91" spans="1:5">
      <c r="A91" s="26" t="s">
        <v>431</v>
      </c>
      <c r="B91" s="4" t="s">
        <v>509</v>
      </c>
      <c r="C91" s="4" t="s">
        <v>176</v>
      </c>
      <c r="D91" s="4" t="s">
        <v>98</v>
      </c>
      <c r="E91" s="30" t="s">
        <v>515</v>
      </c>
    </row>
    <row r="92" spans="1:5">
      <c r="A92" s="26" t="s">
        <v>400</v>
      </c>
      <c r="B92" s="4" t="s">
        <v>162</v>
      </c>
      <c r="C92" s="4" t="s">
        <v>513</v>
      </c>
      <c r="D92" s="4" t="s">
        <v>88</v>
      </c>
      <c r="E92" s="30" t="s">
        <v>516</v>
      </c>
    </row>
    <row r="93" spans="1:5">
      <c r="A93" s="26" t="s">
        <v>471</v>
      </c>
      <c r="B93" s="4" t="s">
        <v>509</v>
      </c>
      <c r="C93" s="4" t="s">
        <v>188</v>
      </c>
      <c r="D93" s="4" t="s">
        <v>475</v>
      </c>
      <c r="E93" s="30" t="s">
        <v>517</v>
      </c>
    </row>
    <row r="94" spans="1:5">
      <c r="A94" s="26" t="s">
        <v>416</v>
      </c>
      <c r="B94" s="4" t="s">
        <v>162</v>
      </c>
      <c r="C94" s="4" t="s">
        <v>172</v>
      </c>
      <c r="D94" s="4" t="s">
        <v>74</v>
      </c>
      <c r="E94" s="30" t="s">
        <v>518</v>
      </c>
    </row>
    <row r="95" spans="1:5">
      <c r="A95" s="26" t="s">
        <v>427</v>
      </c>
      <c r="B95" s="4" t="s">
        <v>162</v>
      </c>
      <c r="C95" s="4" t="s">
        <v>176</v>
      </c>
      <c r="D95" s="4" t="s">
        <v>101</v>
      </c>
      <c r="E95" s="30" t="s">
        <v>519</v>
      </c>
    </row>
    <row r="96" spans="1:5">
      <c r="A96" s="26" t="s">
        <v>393</v>
      </c>
      <c r="B96" s="4" t="s">
        <v>175</v>
      </c>
      <c r="C96" s="4" t="s">
        <v>513</v>
      </c>
      <c r="D96" s="4" t="s">
        <v>399</v>
      </c>
      <c r="E96" s="30" t="s">
        <v>520</v>
      </c>
    </row>
    <row r="98" spans="1:5" ht="14.25">
      <c r="A98" s="27"/>
      <c r="B98" s="28" t="s">
        <v>182</v>
      </c>
    </row>
    <row r="99" spans="1:5" ht="15">
      <c r="A99" s="29" t="s">
        <v>39</v>
      </c>
      <c r="B99" s="29" t="s">
        <v>40</v>
      </c>
      <c r="C99" s="29" t="s">
        <v>41</v>
      </c>
      <c r="D99" s="29" t="s">
        <v>42</v>
      </c>
      <c r="E99" s="29" t="s">
        <v>43</v>
      </c>
    </row>
    <row r="100" spans="1:5">
      <c r="A100" s="26" t="s">
        <v>406</v>
      </c>
      <c r="B100" s="4" t="s">
        <v>183</v>
      </c>
      <c r="C100" s="4" t="s">
        <v>168</v>
      </c>
      <c r="D100" s="4" t="s">
        <v>122</v>
      </c>
      <c r="E100" s="30" t="s">
        <v>521</v>
      </c>
    </row>
    <row r="102" spans="1:5" ht="14.25">
      <c r="A102" s="27"/>
      <c r="B102" s="28" t="s">
        <v>164</v>
      </c>
    </row>
    <row r="103" spans="1:5" ht="15">
      <c r="A103" s="29" t="s">
        <v>39</v>
      </c>
      <c r="B103" s="29" t="s">
        <v>40</v>
      </c>
      <c r="C103" s="29" t="s">
        <v>41</v>
      </c>
      <c r="D103" s="29" t="s">
        <v>42</v>
      </c>
      <c r="E103" s="29" t="s">
        <v>43</v>
      </c>
    </row>
    <row r="104" spans="1:5">
      <c r="A104" s="26" t="s">
        <v>435</v>
      </c>
      <c r="B104" s="4" t="s">
        <v>164</v>
      </c>
      <c r="C104" s="4" t="s">
        <v>176</v>
      </c>
      <c r="D104" s="4" t="s">
        <v>438</v>
      </c>
      <c r="E104" s="30" t="s">
        <v>522</v>
      </c>
    </row>
    <row r="105" spans="1:5">
      <c r="A105" s="26" t="s">
        <v>288</v>
      </c>
      <c r="B105" s="4" t="s">
        <v>164</v>
      </c>
      <c r="C105" s="4" t="s">
        <v>188</v>
      </c>
      <c r="D105" s="4" t="s">
        <v>115</v>
      </c>
      <c r="E105" s="30" t="s">
        <v>523</v>
      </c>
    </row>
    <row r="106" spans="1:5">
      <c r="A106" s="26" t="s">
        <v>310</v>
      </c>
      <c r="B106" s="4" t="s">
        <v>164</v>
      </c>
      <c r="C106" s="4" t="s">
        <v>264</v>
      </c>
      <c r="D106" s="4" t="s">
        <v>116</v>
      </c>
      <c r="E106" s="30" t="s">
        <v>524</v>
      </c>
    </row>
    <row r="107" spans="1:5">
      <c r="A107" s="26" t="s">
        <v>268</v>
      </c>
      <c r="B107" s="4" t="s">
        <v>164</v>
      </c>
      <c r="C107" s="4" t="s">
        <v>172</v>
      </c>
      <c r="D107" s="4" t="s">
        <v>112</v>
      </c>
      <c r="E107" s="30" t="s">
        <v>525</v>
      </c>
    </row>
    <row r="108" spans="1:5">
      <c r="A108" s="26" t="s">
        <v>484</v>
      </c>
      <c r="B108" s="4" t="s">
        <v>164</v>
      </c>
      <c r="C108" s="4" t="s">
        <v>242</v>
      </c>
      <c r="D108" s="4" t="s">
        <v>123</v>
      </c>
      <c r="E108" s="30" t="s">
        <v>526</v>
      </c>
    </row>
    <row r="109" spans="1:5">
      <c r="A109" s="26" t="s">
        <v>450</v>
      </c>
      <c r="B109" s="4" t="s">
        <v>164</v>
      </c>
      <c r="C109" s="4" t="s">
        <v>179</v>
      </c>
      <c r="D109" s="4" t="s">
        <v>157</v>
      </c>
      <c r="E109" s="30" t="s">
        <v>527</v>
      </c>
    </row>
    <row r="110" spans="1:5">
      <c r="A110" s="26" t="s">
        <v>454</v>
      </c>
      <c r="B110" s="4" t="s">
        <v>164</v>
      </c>
      <c r="C110" s="4" t="s">
        <v>179</v>
      </c>
      <c r="D110" s="4" t="s">
        <v>458</v>
      </c>
      <c r="E110" s="30" t="s">
        <v>528</v>
      </c>
    </row>
    <row r="111" spans="1:5">
      <c r="A111" s="26" t="s">
        <v>410</v>
      </c>
      <c r="B111" s="4" t="s">
        <v>164</v>
      </c>
      <c r="C111" s="4" t="s">
        <v>168</v>
      </c>
      <c r="D111" s="4" t="s">
        <v>78</v>
      </c>
      <c r="E111" s="30" t="s">
        <v>529</v>
      </c>
    </row>
    <row r="112" spans="1:5">
      <c r="A112" s="26" t="s">
        <v>440</v>
      </c>
      <c r="B112" s="4" t="s">
        <v>164</v>
      </c>
      <c r="C112" s="4" t="s">
        <v>176</v>
      </c>
      <c r="D112" s="4" t="s">
        <v>111</v>
      </c>
      <c r="E112" s="30" t="s">
        <v>530</v>
      </c>
    </row>
    <row r="113" spans="1:5">
      <c r="A113" s="26" t="s">
        <v>445</v>
      </c>
      <c r="B113" s="4" t="s">
        <v>164</v>
      </c>
      <c r="C113" s="4" t="s">
        <v>176</v>
      </c>
      <c r="D113" s="4" t="s">
        <v>122</v>
      </c>
      <c r="E113" s="30" t="s">
        <v>531</v>
      </c>
    </row>
    <row r="115" spans="1:5" ht="14.25">
      <c r="A115" s="27"/>
      <c r="B115" s="28" t="s">
        <v>166</v>
      </c>
    </row>
    <row r="116" spans="1:5" ht="15">
      <c r="A116" s="29" t="s">
        <v>39</v>
      </c>
      <c r="B116" s="29" t="s">
        <v>40</v>
      </c>
      <c r="C116" s="29" t="s">
        <v>41</v>
      </c>
      <c r="D116" s="29" t="s">
        <v>42</v>
      </c>
      <c r="E116" s="29" t="s">
        <v>43</v>
      </c>
    </row>
    <row r="117" spans="1:5">
      <c r="A117" s="26" t="s">
        <v>293</v>
      </c>
      <c r="B117" s="4" t="s">
        <v>249</v>
      </c>
      <c r="C117" s="4" t="s">
        <v>188</v>
      </c>
      <c r="D117" s="4" t="s">
        <v>483</v>
      </c>
      <c r="E117" s="30" t="s">
        <v>532</v>
      </c>
    </row>
    <row r="118" spans="1:5">
      <c r="A118" s="26" t="s">
        <v>274</v>
      </c>
      <c r="B118" s="4" t="s">
        <v>167</v>
      </c>
      <c r="C118" s="4" t="s">
        <v>176</v>
      </c>
      <c r="D118" s="4" t="s">
        <v>297</v>
      </c>
      <c r="E118" s="30" t="s">
        <v>533</v>
      </c>
    </row>
    <row r="119" spans="1:5">
      <c r="A119" s="26" t="s">
        <v>310</v>
      </c>
      <c r="B119" s="4" t="s">
        <v>191</v>
      </c>
      <c r="C119" s="4" t="s">
        <v>264</v>
      </c>
      <c r="D119" s="4" t="s">
        <v>116</v>
      </c>
      <c r="E119" s="30" t="s">
        <v>534</v>
      </c>
    </row>
    <row r="120" spans="1:5">
      <c r="A120" s="26" t="s">
        <v>421</v>
      </c>
      <c r="B120" s="4" t="s">
        <v>167</v>
      </c>
      <c r="C120" s="4" t="s">
        <v>172</v>
      </c>
      <c r="D120" s="4" t="s">
        <v>96</v>
      </c>
      <c r="E120" s="30" t="s">
        <v>535</v>
      </c>
    </row>
    <row r="121" spans="1:5">
      <c r="A121" s="26" t="s">
        <v>493</v>
      </c>
      <c r="B121" s="4" t="s">
        <v>249</v>
      </c>
      <c r="C121" s="4" t="s">
        <v>242</v>
      </c>
      <c r="D121" s="4" t="s">
        <v>98</v>
      </c>
      <c r="E121" s="30" t="s">
        <v>536</v>
      </c>
    </row>
    <row r="122" spans="1:5">
      <c r="A122" s="26" t="s">
        <v>489</v>
      </c>
      <c r="B122" s="4" t="s">
        <v>191</v>
      </c>
      <c r="C122" s="4" t="s">
        <v>242</v>
      </c>
      <c r="D122" s="4" t="s">
        <v>114</v>
      </c>
      <c r="E122" s="30" t="s">
        <v>537</v>
      </c>
    </row>
    <row r="123" spans="1:5">
      <c r="A123" s="26" t="s">
        <v>478</v>
      </c>
      <c r="B123" s="4" t="s">
        <v>191</v>
      </c>
      <c r="C123" s="4" t="s">
        <v>188</v>
      </c>
      <c r="D123" s="4" t="s">
        <v>103</v>
      </c>
      <c r="E123" s="30" t="s">
        <v>538</v>
      </c>
    </row>
    <row r="124" spans="1:5">
      <c r="A124" s="26" t="s">
        <v>463</v>
      </c>
      <c r="B124" s="4" t="s">
        <v>191</v>
      </c>
      <c r="C124" s="4" t="s">
        <v>179</v>
      </c>
      <c r="D124" s="4" t="s">
        <v>112</v>
      </c>
      <c r="E124" s="30" t="s">
        <v>539</v>
      </c>
    </row>
    <row r="125" spans="1:5">
      <c r="A125" s="26" t="s">
        <v>467</v>
      </c>
      <c r="B125" s="4" t="s">
        <v>167</v>
      </c>
      <c r="C125" s="4" t="s">
        <v>179</v>
      </c>
      <c r="D125" s="4" t="s">
        <v>96</v>
      </c>
      <c r="E125" s="30" t="s">
        <v>540</v>
      </c>
    </row>
    <row r="126" spans="1:5">
      <c r="A126" s="26" t="s">
        <v>498</v>
      </c>
      <c r="B126" s="4" t="s">
        <v>191</v>
      </c>
      <c r="C126" s="4" t="s">
        <v>541</v>
      </c>
      <c r="D126" s="4" t="s">
        <v>483</v>
      </c>
      <c r="E126" s="30" t="s">
        <v>542</v>
      </c>
    </row>
    <row r="127" spans="1:5">
      <c r="A127" s="26" t="s">
        <v>505</v>
      </c>
      <c r="B127" s="4" t="s">
        <v>249</v>
      </c>
      <c r="C127" s="4" t="s">
        <v>543</v>
      </c>
      <c r="D127" s="4" t="s">
        <v>121</v>
      </c>
      <c r="E127" s="30" t="s">
        <v>544</v>
      </c>
    </row>
  </sheetData>
  <mergeCells count="24">
    <mergeCell ref="A49:L49"/>
    <mergeCell ref="A55:L55"/>
    <mergeCell ref="A59:L59"/>
    <mergeCell ref="A62:L62"/>
    <mergeCell ref="A14:L14"/>
    <mergeCell ref="A18:L18"/>
    <mergeCell ref="A22:L22"/>
    <mergeCell ref="A27:L27"/>
    <mergeCell ref="A35:L35"/>
    <mergeCell ref="A42:L42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0"/>
  <sheetViews>
    <sheetView topLeftCell="A3" workbookViewId="0">
      <selection activeCell="E15" sqref="E15:E18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7" width="6.5703125" style="3" bestFit="1" customWidth="1"/>
    <col min="8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366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58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219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368</v>
      </c>
      <c r="B6" s="20" t="s">
        <v>369</v>
      </c>
      <c r="C6" s="20" t="s">
        <v>370</v>
      </c>
      <c r="D6" s="20" t="str">
        <f>"0,5437"</f>
        <v>0,5437</v>
      </c>
      <c r="E6" s="20" t="s">
        <v>53</v>
      </c>
      <c r="F6" s="20" t="s">
        <v>20</v>
      </c>
      <c r="G6" s="21" t="s">
        <v>215</v>
      </c>
      <c r="H6" s="22" t="s">
        <v>96</v>
      </c>
      <c r="I6" s="22" t="s">
        <v>111</v>
      </c>
      <c r="J6" s="22"/>
      <c r="K6" s="20" t="str">
        <f>"125,0"</f>
        <v>125,0</v>
      </c>
      <c r="L6" s="21" t="str">
        <f>"93,7882"</f>
        <v>93,7882</v>
      </c>
      <c r="M6" s="20" t="s">
        <v>30</v>
      </c>
    </row>
    <row r="8" spans="1:13" ht="15">
      <c r="E8" s="23" t="s">
        <v>31</v>
      </c>
    </row>
    <row r="9" spans="1:13" ht="15">
      <c r="E9" s="23" t="s">
        <v>32</v>
      </c>
    </row>
    <row r="10" spans="1:13" ht="15">
      <c r="E10" s="23" t="s">
        <v>33</v>
      </c>
    </row>
    <row r="11" spans="1:13" ht="15">
      <c r="E11" s="23" t="s">
        <v>34</v>
      </c>
    </row>
    <row r="12" spans="1:13" ht="15">
      <c r="E12" s="23" t="s">
        <v>34</v>
      </c>
    </row>
    <row r="13" spans="1:13" ht="15">
      <c r="E13" s="23" t="s">
        <v>35</v>
      </c>
    </row>
    <row r="14" spans="1:13" ht="15">
      <c r="E14" s="23"/>
    </row>
    <row r="16" spans="1:13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166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367</v>
      </c>
      <c r="B20" s="4" t="s">
        <v>371</v>
      </c>
      <c r="C20" s="4" t="s">
        <v>242</v>
      </c>
      <c r="D20" s="4" t="s">
        <v>139</v>
      </c>
      <c r="E20" s="30" t="s">
        <v>372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F10" sqref="F1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8" width="6.5703125" style="3" bestFit="1" customWidth="1"/>
    <col min="9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338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91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152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340</v>
      </c>
      <c r="B6" s="20" t="s">
        <v>341</v>
      </c>
      <c r="C6" s="20" t="s">
        <v>342</v>
      </c>
      <c r="D6" s="20" t="str">
        <f>"0,5545"</f>
        <v>0,5545</v>
      </c>
      <c r="E6" s="20" t="s">
        <v>272</v>
      </c>
      <c r="F6" s="20" t="s">
        <v>20</v>
      </c>
      <c r="G6" s="21" t="s">
        <v>88</v>
      </c>
      <c r="H6" s="21" t="s">
        <v>101</v>
      </c>
      <c r="I6" s="21" t="s">
        <v>121</v>
      </c>
      <c r="J6" s="22"/>
      <c r="K6" s="20" t="str">
        <f>"110,0"</f>
        <v>110,0</v>
      </c>
      <c r="L6" s="21" t="str">
        <f>"60,9950"</f>
        <v>60,9950</v>
      </c>
      <c r="M6" s="20" t="s">
        <v>30</v>
      </c>
    </row>
    <row r="8" spans="1:13" ht="15">
      <c r="A8" s="37" t="s">
        <v>219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31" t="s">
        <v>344</v>
      </c>
      <c r="B9" s="31" t="s">
        <v>345</v>
      </c>
      <c r="C9" s="31" t="s">
        <v>346</v>
      </c>
      <c r="D9" s="31" t="str">
        <f>"0,5378"</f>
        <v>0,5378</v>
      </c>
      <c r="E9" s="31" t="s">
        <v>347</v>
      </c>
      <c r="F9" s="31" t="s">
        <v>20</v>
      </c>
      <c r="G9" s="33" t="s">
        <v>114</v>
      </c>
      <c r="H9" s="33" t="s">
        <v>123</v>
      </c>
      <c r="I9" s="33" t="s">
        <v>115</v>
      </c>
      <c r="J9" s="32"/>
      <c r="K9" s="31" t="str">
        <f>"180,0"</f>
        <v>180,0</v>
      </c>
      <c r="L9" s="33" t="str">
        <f>"96,8040"</f>
        <v>96,8040</v>
      </c>
      <c r="M9" s="31" t="s">
        <v>30</v>
      </c>
    </row>
    <row r="10" spans="1:13">
      <c r="A10" s="34" t="s">
        <v>349</v>
      </c>
      <c r="B10" s="34" t="s">
        <v>350</v>
      </c>
      <c r="C10" s="34" t="s">
        <v>351</v>
      </c>
      <c r="D10" s="34" t="str">
        <f>"0,5375"</f>
        <v>0,5375</v>
      </c>
      <c r="E10" s="34" t="s">
        <v>86</v>
      </c>
      <c r="F10" s="34" t="s">
        <v>87</v>
      </c>
      <c r="G10" s="35" t="s">
        <v>103</v>
      </c>
      <c r="H10" s="36" t="s">
        <v>352</v>
      </c>
      <c r="I10" s="35" t="s">
        <v>352</v>
      </c>
      <c r="J10" s="36"/>
      <c r="K10" s="34" t="str">
        <f>"166,0"</f>
        <v>166,0</v>
      </c>
      <c r="L10" s="35" t="str">
        <f>"118,6693"</f>
        <v>118,6693</v>
      </c>
      <c r="M10" s="34" t="s">
        <v>30</v>
      </c>
    </row>
    <row r="12" spans="1:13" ht="15">
      <c r="A12" s="37" t="s">
        <v>254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3">
      <c r="A13" s="31" t="s">
        <v>354</v>
      </c>
      <c r="B13" s="31" t="s">
        <v>355</v>
      </c>
      <c r="C13" s="31" t="s">
        <v>356</v>
      </c>
      <c r="D13" s="31" t="str">
        <f>"0,5251"</f>
        <v>0,5251</v>
      </c>
      <c r="E13" s="31" t="s">
        <v>53</v>
      </c>
      <c r="F13" s="31" t="s">
        <v>20</v>
      </c>
      <c r="G13" s="33" t="s">
        <v>234</v>
      </c>
      <c r="H13" s="33" t="s">
        <v>315</v>
      </c>
      <c r="I13" s="32" t="s">
        <v>115</v>
      </c>
      <c r="J13" s="32"/>
      <c r="K13" s="31" t="str">
        <f>"170,0"</f>
        <v>170,0</v>
      </c>
      <c r="L13" s="33" t="str">
        <f>"89,2670"</f>
        <v>89,2670</v>
      </c>
      <c r="M13" s="31" t="s">
        <v>30</v>
      </c>
    </row>
    <row r="14" spans="1:13">
      <c r="A14" s="34" t="s">
        <v>358</v>
      </c>
      <c r="B14" s="34" t="s">
        <v>359</v>
      </c>
      <c r="C14" s="34" t="s">
        <v>360</v>
      </c>
      <c r="D14" s="34" t="str">
        <f>"0,5241"</f>
        <v>0,5241</v>
      </c>
      <c r="E14" s="34" t="s">
        <v>86</v>
      </c>
      <c r="F14" s="34" t="s">
        <v>87</v>
      </c>
      <c r="G14" s="35" t="s">
        <v>98</v>
      </c>
      <c r="H14" s="35" t="s">
        <v>157</v>
      </c>
      <c r="I14" s="35" t="s">
        <v>132</v>
      </c>
      <c r="J14" s="36"/>
      <c r="K14" s="34" t="str">
        <f>"165,0"</f>
        <v>165,0</v>
      </c>
      <c r="L14" s="35" t="str">
        <f>"94,4323"</f>
        <v>94,4323</v>
      </c>
      <c r="M14" s="34" t="s">
        <v>30</v>
      </c>
    </row>
    <row r="16" spans="1:13" ht="15">
      <c r="E16" s="23" t="s">
        <v>31</v>
      </c>
    </row>
    <row r="17" spans="1:5" ht="15">
      <c r="E17" s="23" t="s">
        <v>32</v>
      </c>
    </row>
    <row r="18" spans="1:5" ht="15">
      <c r="E18" s="23" t="s">
        <v>33</v>
      </c>
    </row>
    <row r="19" spans="1:5" ht="15">
      <c r="E19" s="23" t="s">
        <v>34</v>
      </c>
    </row>
    <row r="20" spans="1:5" ht="15">
      <c r="E20" s="23" t="s">
        <v>34</v>
      </c>
    </row>
    <row r="21" spans="1:5" ht="15">
      <c r="E21" s="23" t="s">
        <v>35</v>
      </c>
    </row>
    <row r="22" spans="1:5" ht="15">
      <c r="E22" s="23"/>
    </row>
    <row r="24" spans="1:5" ht="18">
      <c r="A24" s="24" t="s">
        <v>36</v>
      </c>
      <c r="B24" s="24"/>
    </row>
    <row r="25" spans="1:5" ht="15">
      <c r="A25" s="25" t="s">
        <v>37</v>
      </c>
      <c r="B25" s="25"/>
    </row>
    <row r="26" spans="1:5" ht="14.25">
      <c r="A26" s="27"/>
      <c r="B26" s="28" t="s">
        <v>164</v>
      </c>
    </row>
    <row r="27" spans="1:5" ht="15">
      <c r="A27" s="29" t="s">
        <v>39</v>
      </c>
      <c r="B27" s="29" t="s">
        <v>40</v>
      </c>
      <c r="C27" s="29" t="s">
        <v>41</v>
      </c>
      <c r="D27" s="29" t="s">
        <v>42</v>
      </c>
      <c r="E27" s="29" t="s">
        <v>43</v>
      </c>
    </row>
    <row r="28" spans="1:5">
      <c r="A28" s="26" t="s">
        <v>343</v>
      </c>
      <c r="B28" s="4" t="s">
        <v>164</v>
      </c>
      <c r="C28" s="4" t="s">
        <v>242</v>
      </c>
      <c r="D28" s="4" t="s">
        <v>115</v>
      </c>
      <c r="E28" s="30" t="s">
        <v>361</v>
      </c>
    </row>
    <row r="29" spans="1:5">
      <c r="A29" s="26" t="s">
        <v>353</v>
      </c>
      <c r="B29" s="4" t="s">
        <v>164</v>
      </c>
      <c r="C29" s="4" t="s">
        <v>264</v>
      </c>
      <c r="D29" s="4" t="s">
        <v>114</v>
      </c>
      <c r="E29" s="30" t="s">
        <v>362</v>
      </c>
    </row>
    <row r="30" spans="1:5">
      <c r="A30" s="26" t="s">
        <v>339</v>
      </c>
      <c r="B30" s="4" t="s">
        <v>164</v>
      </c>
      <c r="C30" s="4" t="s">
        <v>188</v>
      </c>
      <c r="D30" s="4" t="s">
        <v>121</v>
      </c>
      <c r="E30" s="30" t="s">
        <v>363</v>
      </c>
    </row>
    <row r="32" spans="1:5" ht="14.25">
      <c r="A32" s="27"/>
      <c r="B32" s="28" t="s">
        <v>166</v>
      </c>
    </row>
    <row r="33" spans="1:5" ht="15">
      <c r="A33" s="29" t="s">
        <v>39</v>
      </c>
      <c r="B33" s="29" t="s">
        <v>40</v>
      </c>
      <c r="C33" s="29" t="s">
        <v>41</v>
      </c>
      <c r="D33" s="29" t="s">
        <v>42</v>
      </c>
      <c r="E33" s="29" t="s">
        <v>43</v>
      </c>
    </row>
    <row r="34" spans="1:5">
      <c r="A34" s="26" t="s">
        <v>348</v>
      </c>
      <c r="B34" s="4" t="s">
        <v>249</v>
      </c>
      <c r="C34" s="4" t="s">
        <v>242</v>
      </c>
      <c r="D34" s="4" t="s">
        <v>352</v>
      </c>
      <c r="E34" s="30" t="s">
        <v>364</v>
      </c>
    </row>
    <row r="35" spans="1:5">
      <c r="A35" s="26" t="s">
        <v>357</v>
      </c>
      <c r="B35" s="4" t="s">
        <v>167</v>
      </c>
      <c r="C35" s="4" t="s">
        <v>264</v>
      </c>
      <c r="D35" s="4" t="s">
        <v>132</v>
      </c>
      <c r="E35" s="30" t="s">
        <v>365</v>
      </c>
    </row>
  </sheetData>
  <mergeCells count="14"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62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5.570312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267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06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12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269</v>
      </c>
      <c r="B6" s="20" t="s">
        <v>270</v>
      </c>
      <c r="C6" s="20" t="s">
        <v>271</v>
      </c>
      <c r="D6" s="20" t="str">
        <f>"0,6767"</f>
        <v>0,6767</v>
      </c>
      <c r="E6" s="20" t="s">
        <v>272</v>
      </c>
      <c r="F6" s="20" t="s">
        <v>20</v>
      </c>
      <c r="G6" s="22" t="s">
        <v>96</v>
      </c>
      <c r="H6" s="21" t="s">
        <v>111</v>
      </c>
      <c r="I6" s="22" t="s">
        <v>98</v>
      </c>
      <c r="J6" s="22"/>
      <c r="K6" s="20" t="str">
        <f>"135,0"</f>
        <v>135,0</v>
      </c>
      <c r="L6" s="21" t="str">
        <f>"91,3545"</f>
        <v>91,3545</v>
      </c>
      <c r="M6" s="20" t="s">
        <v>30</v>
      </c>
    </row>
    <row r="8" spans="1:13" ht="15">
      <c r="A8" s="37" t="s">
        <v>91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31" t="s">
        <v>106</v>
      </c>
      <c r="B9" s="31" t="s">
        <v>107</v>
      </c>
      <c r="C9" s="31" t="s">
        <v>108</v>
      </c>
      <c r="D9" s="31" t="str">
        <f>"0,6454"</f>
        <v>0,6454</v>
      </c>
      <c r="E9" s="31" t="s">
        <v>109</v>
      </c>
      <c r="F9" s="31" t="s">
        <v>110</v>
      </c>
      <c r="G9" s="33" t="s">
        <v>139</v>
      </c>
      <c r="H9" s="33" t="s">
        <v>96</v>
      </c>
      <c r="I9" s="33" t="s">
        <v>111</v>
      </c>
      <c r="J9" s="33" t="s">
        <v>273</v>
      </c>
      <c r="K9" s="31" t="str">
        <f>"135,0"</f>
        <v>135,0</v>
      </c>
      <c r="L9" s="33" t="str">
        <f>"88,0003"</f>
        <v>88,0003</v>
      </c>
      <c r="M9" s="31" t="s">
        <v>30</v>
      </c>
    </row>
    <row r="10" spans="1:13">
      <c r="A10" s="34" t="s">
        <v>275</v>
      </c>
      <c r="B10" s="34" t="s">
        <v>276</v>
      </c>
      <c r="C10" s="34" t="s">
        <v>277</v>
      </c>
      <c r="D10" s="34" t="str">
        <f>"0,6262"</f>
        <v>0,6262</v>
      </c>
      <c r="E10" s="34" t="s">
        <v>278</v>
      </c>
      <c r="F10" s="34" t="s">
        <v>20</v>
      </c>
      <c r="G10" s="35" t="s">
        <v>111</v>
      </c>
      <c r="H10" s="35" t="s">
        <v>112</v>
      </c>
      <c r="I10" s="35" t="s">
        <v>98</v>
      </c>
      <c r="J10" s="36"/>
      <c r="K10" s="34" t="str">
        <f>"145,0"</f>
        <v>145,0</v>
      </c>
      <c r="L10" s="35" t="str">
        <f>"97,0641"</f>
        <v>97,0641</v>
      </c>
      <c r="M10" s="34" t="s">
        <v>30</v>
      </c>
    </row>
    <row r="12" spans="1:13" ht="15">
      <c r="A12" s="37" t="s">
        <v>125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3">
      <c r="A13" s="31" t="s">
        <v>280</v>
      </c>
      <c r="B13" s="31" t="s">
        <v>281</v>
      </c>
      <c r="C13" s="31" t="s">
        <v>282</v>
      </c>
      <c r="D13" s="31" t="str">
        <f>"0,5926"</f>
        <v>0,5926</v>
      </c>
      <c r="E13" s="31" t="s">
        <v>109</v>
      </c>
      <c r="F13" s="31" t="s">
        <v>110</v>
      </c>
      <c r="G13" s="33" t="s">
        <v>140</v>
      </c>
      <c r="H13" s="33" t="s">
        <v>113</v>
      </c>
      <c r="I13" s="32"/>
      <c r="J13" s="32"/>
      <c r="K13" s="31" t="str">
        <f>"137,5"</f>
        <v>137,5</v>
      </c>
      <c r="L13" s="33" t="str">
        <f>"81,4825"</f>
        <v>81,4825</v>
      </c>
      <c r="M13" s="31" t="s">
        <v>30</v>
      </c>
    </row>
    <row r="14" spans="1:13">
      <c r="A14" s="34" t="s">
        <v>284</v>
      </c>
      <c r="B14" s="34" t="s">
        <v>285</v>
      </c>
      <c r="C14" s="34" t="s">
        <v>286</v>
      </c>
      <c r="D14" s="34" t="str">
        <f>"0,5935"</f>
        <v>0,5935</v>
      </c>
      <c r="E14" s="34" t="s">
        <v>86</v>
      </c>
      <c r="F14" s="34" t="s">
        <v>87</v>
      </c>
      <c r="G14" s="35" t="s">
        <v>287</v>
      </c>
      <c r="H14" s="35" t="s">
        <v>140</v>
      </c>
      <c r="I14" s="36" t="s">
        <v>111</v>
      </c>
      <c r="J14" s="36"/>
      <c r="K14" s="34" t="str">
        <f>"132,5"</f>
        <v>132,5</v>
      </c>
      <c r="L14" s="35" t="str">
        <f>"78,6388"</f>
        <v>78,6388</v>
      </c>
      <c r="M14" s="34" t="s">
        <v>30</v>
      </c>
    </row>
    <row r="16" spans="1:13" ht="15">
      <c r="A16" s="37" t="s">
        <v>152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3">
      <c r="A17" s="31" t="s">
        <v>289</v>
      </c>
      <c r="B17" s="31" t="s">
        <v>290</v>
      </c>
      <c r="C17" s="31" t="s">
        <v>291</v>
      </c>
      <c r="D17" s="31" t="str">
        <f>"0,5558"</f>
        <v>0,5558</v>
      </c>
      <c r="E17" s="31" t="s">
        <v>278</v>
      </c>
      <c r="F17" s="31" t="s">
        <v>20</v>
      </c>
      <c r="G17" s="33" t="s">
        <v>157</v>
      </c>
      <c r="H17" s="33" t="s">
        <v>132</v>
      </c>
      <c r="I17" s="33" t="s">
        <v>292</v>
      </c>
      <c r="J17" s="32"/>
      <c r="K17" s="31" t="str">
        <f>"172,5"</f>
        <v>172,5</v>
      </c>
      <c r="L17" s="33" t="str">
        <f>"95,8755"</f>
        <v>95,8755</v>
      </c>
      <c r="M17" s="31" t="s">
        <v>30</v>
      </c>
    </row>
    <row r="18" spans="1:13">
      <c r="A18" s="38" t="s">
        <v>294</v>
      </c>
      <c r="B18" s="38" t="s">
        <v>295</v>
      </c>
      <c r="C18" s="38" t="s">
        <v>296</v>
      </c>
      <c r="D18" s="38" t="str">
        <f>"0,5610"</f>
        <v>0,5610</v>
      </c>
      <c r="E18" s="38" t="s">
        <v>109</v>
      </c>
      <c r="F18" s="38" t="s">
        <v>110</v>
      </c>
      <c r="G18" s="40" t="s">
        <v>102</v>
      </c>
      <c r="H18" s="39" t="s">
        <v>297</v>
      </c>
      <c r="I18" s="40" t="s">
        <v>297</v>
      </c>
      <c r="J18" s="39"/>
      <c r="K18" s="38" t="str">
        <f>"152,5"</f>
        <v>152,5</v>
      </c>
      <c r="L18" s="40" t="str">
        <f>"85,5525"</f>
        <v>85,5525</v>
      </c>
      <c r="M18" s="38" t="s">
        <v>30</v>
      </c>
    </row>
    <row r="19" spans="1:13">
      <c r="A19" s="34" t="s">
        <v>298</v>
      </c>
      <c r="B19" s="34" t="s">
        <v>299</v>
      </c>
      <c r="C19" s="34" t="s">
        <v>296</v>
      </c>
      <c r="D19" s="34" t="str">
        <f>"0,5610"</f>
        <v>0,5610</v>
      </c>
      <c r="E19" s="34" t="s">
        <v>109</v>
      </c>
      <c r="F19" s="34" t="s">
        <v>110</v>
      </c>
      <c r="G19" s="35" t="s">
        <v>102</v>
      </c>
      <c r="H19" s="36" t="s">
        <v>297</v>
      </c>
      <c r="I19" s="35" t="s">
        <v>297</v>
      </c>
      <c r="J19" s="36"/>
      <c r="K19" s="34" t="str">
        <f>"152,5"</f>
        <v>152,5</v>
      </c>
      <c r="L19" s="35" t="str">
        <f>"100,3531"</f>
        <v>100,3531</v>
      </c>
      <c r="M19" s="34" t="s">
        <v>30</v>
      </c>
    </row>
    <row r="21" spans="1:13" ht="15">
      <c r="A21" s="37" t="s">
        <v>219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3">
      <c r="A22" s="31" t="s">
        <v>301</v>
      </c>
      <c r="B22" s="31" t="s">
        <v>302</v>
      </c>
      <c r="C22" s="31" t="s">
        <v>303</v>
      </c>
      <c r="D22" s="31" t="str">
        <f>"0,5431"</f>
        <v>0,5431</v>
      </c>
      <c r="E22" s="31" t="s">
        <v>278</v>
      </c>
      <c r="F22" s="31" t="s">
        <v>304</v>
      </c>
      <c r="G22" s="33" t="s">
        <v>124</v>
      </c>
      <c r="H22" s="33" t="s">
        <v>138</v>
      </c>
      <c r="I22" s="32"/>
      <c r="J22" s="32"/>
      <c r="K22" s="31" t="str">
        <f>"192,5"</f>
        <v>192,5</v>
      </c>
      <c r="L22" s="33" t="str">
        <f>"104,5467"</f>
        <v>104,5467</v>
      </c>
      <c r="M22" s="31" t="s">
        <v>30</v>
      </c>
    </row>
    <row r="23" spans="1:13">
      <c r="A23" s="38" t="s">
        <v>306</v>
      </c>
      <c r="B23" s="38" t="s">
        <v>307</v>
      </c>
      <c r="C23" s="38" t="s">
        <v>308</v>
      </c>
      <c r="D23" s="38" t="str">
        <f>"0,5388"</f>
        <v>0,5388</v>
      </c>
      <c r="E23" s="38" t="s">
        <v>278</v>
      </c>
      <c r="F23" s="38" t="s">
        <v>304</v>
      </c>
      <c r="G23" s="40" t="s">
        <v>111</v>
      </c>
      <c r="H23" s="40" t="s">
        <v>112</v>
      </c>
      <c r="I23" s="39" t="s">
        <v>102</v>
      </c>
      <c r="J23" s="39"/>
      <c r="K23" s="38" t="str">
        <f>"140,0"</f>
        <v>140,0</v>
      </c>
      <c r="L23" s="40" t="str">
        <f>"75,4320"</f>
        <v>75,4320</v>
      </c>
      <c r="M23" s="38" t="s">
        <v>30</v>
      </c>
    </row>
    <row r="24" spans="1:13">
      <c r="A24" s="34" t="s">
        <v>301</v>
      </c>
      <c r="B24" s="34" t="s">
        <v>309</v>
      </c>
      <c r="C24" s="34" t="s">
        <v>303</v>
      </c>
      <c r="D24" s="34" t="str">
        <f>"0,5431"</f>
        <v>0,5431</v>
      </c>
      <c r="E24" s="34" t="s">
        <v>278</v>
      </c>
      <c r="F24" s="34" t="s">
        <v>304</v>
      </c>
      <c r="G24" s="35" t="s">
        <v>124</v>
      </c>
      <c r="H24" s="35" t="s">
        <v>138</v>
      </c>
      <c r="I24" s="36"/>
      <c r="J24" s="36"/>
      <c r="K24" s="34" t="str">
        <f>"192,5"</f>
        <v>192,5</v>
      </c>
      <c r="L24" s="35" t="str">
        <f>"119,6015"</f>
        <v>119,6015</v>
      </c>
      <c r="M24" s="34" t="s">
        <v>30</v>
      </c>
    </row>
    <row r="26" spans="1:13" ht="15">
      <c r="A26" s="37" t="s">
        <v>254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3">
      <c r="A27" s="31" t="s">
        <v>311</v>
      </c>
      <c r="B27" s="31" t="s">
        <v>312</v>
      </c>
      <c r="C27" s="31" t="s">
        <v>313</v>
      </c>
      <c r="D27" s="31" t="str">
        <f>"0,5239"</f>
        <v>0,5239</v>
      </c>
      <c r="E27" s="31" t="s">
        <v>53</v>
      </c>
      <c r="F27" s="31" t="s">
        <v>314</v>
      </c>
      <c r="G27" s="33" t="s">
        <v>104</v>
      </c>
      <c r="H27" s="33" t="s">
        <v>315</v>
      </c>
      <c r="I27" s="33" t="s">
        <v>316</v>
      </c>
      <c r="J27" s="32"/>
      <c r="K27" s="31" t="str">
        <f>"177,5"</f>
        <v>177,5</v>
      </c>
      <c r="L27" s="33" t="str">
        <f>"92,9922"</f>
        <v>92,9922</v>
      </c>
      <c r="M27" s="31" t="s">
        <v>30</v>
      </c>
    </row>
    <row r="28" spans="1:13">
      <c r="A28" s="38" t="s">
        <v>318</v>
      </c>
      <c r="B28" s="38" t="s">
        <v>319</v>
      </c>
      <c r="C28" s="38" t="s">
        <v>320</v>
      </c>
      <c r="D28" s="38" t="str">
        <f>"0,5314"</f>
        <v>0,5314</v>
      </c>
      <c r="E28" s="38" t="s">
        <v>109</v>
      </c>
      <c r="F28" s="38" t="s">
        <v>110</v>
      </c>
      <c r="G28" s="40" t="s">
        <v>78</v>
      </c>
      <c r="H28" s="40" t="s">
        <v>139</v>
      </c>
      <c r="I28" s="40" t="s">
        <v>287</v>
      </c>
      <c r="J28" s="39"/>
      <c r="K28" s="38" t="str">
        <f>"127,5"</f>
        <v>127,5</v>
      </c>
      <c r="L28" s="40" t="str">
        <f>"67,7535"</f>
        <v>67,7535</v>
      </c>
      <c r="M28" s="38" t="s">
        <v>30</v>
      </c>
    </row>
    <row r="29" spans="1:13">
      <c r="A29" s="34" t="s">
        <v>311</v>
      </c>
      <c r="B29" s="34" t="s">
        <v>321</v>
      </c>
      <c r="C29" s="34" t="s">
        <v>313</v>
      </c>
      <c r="D29" s="34" t="str">
        <f>"0,5239"</f>
        <v>0,5239</v>
      </c>
      <c r="E29" s="34" t="s">
        <v>53</v>
      </c>
      <c r="F29" s="34" t="s">
        <v>314</v>
      </c>
      <c r="G29" s="35" t="s">
        <v>104</v>
      </c>
      <c r="H29" s="35" t="s">
        <v>315</v>
      </c>
      <c r="I29" s="35" t="s">
        <v>316</v>
      </c>
      <c r="J29" s="36"/>
      <c r="K29" s="34" t="str">
        <f>"177,5"</f>
        <v>177,5</v>
      </c>
      <c r="L29" s="35" t="str">
        <f>"93,8292"</f>
        <v>93,8292</v>
      </c>
      <c r="M29" s="34" t="s">
        <v>30</v>
      </c>
    </row>
    <row r="31" spans="1:13" ht="15">
      <c r="E31" s="23" t="s">
        <v>31</v>
      </c>
    </row>
    <row r="32" spans="1:13" ht="15">
      <c r="E32" s="23" t="s">
        <v>32</v>
      </c>
    </row>
    <row r="33" spans="1:5" ht="15">
      <c r="E33" s="23" t="s">
        <v>33</v>
      </c>
    </row>
    <row r="34" spans="1:5" ht="15">
      <c r="E34" s="23" t="s">
        <v>34</v>
      </c>
    </row>
    <row r="35" spans="1:5" ht="15">
      <c r="E35" s="23" t="s">
        <v>34</v>
      </c>
    </row>
    <row r="36" spans="1:5" ht="15">
      <c r="E36" s="23" t="s">
        <v>35</v>
      </c>
    </row>
    <row r="37" spans="1:5" ht="15">
      <c r="E37" s="23"/>
    </row>
    <row r="39" spans="1:5" ht="18">
      <c r="A39" s="24" t="s">
        <v>36</v>
      </c>
      <c r="B39" s="24"/>
    </row>
    <row r="40" spans="1:5" ht="15">
      <c r="A40" s="25" t="s">
        <v>37</v>
      </c>
      <c r="B40" s="25"/>
    </row>
    <row r="41" spans="1:5" ht="14.25">
      <c r="A41" s="27"/>
      <c r="B41" s="28" t="s">
        <v>182</v>
      </c>
    </row>
    <row r="42" spans="1:5" ht="15">
      <c r="A42" s="29" t="s">
        <v>39</v>
      </c>
      <c r="B42" s="29" t="s">
        <v>40</v>
      </c>
      <c r="C42" s="29" t="s">
        <v>41</v>
      </c>
      <c r="D42" s="29" t="s">
        <v>42</v>
      </c>
      <c r="E42" s="29" t="s">
        <v>43</v>
      </c>
    </row>
    <row r="43" spans="1:5">
      <c r="A43" s="26" t="s">
        <v>105</v>
      </c>
      <c r="B43" s="4" t="s">
        <v>183</v>
      </c>
      <c r="C43" s="4" t="s">
        <v>176</v>
      </c>
      <c r="D43" s="4" t="s">
        <v>111</v>
      </c>
      <c r="E43" s="30" t="s">
        <v>322</v>
      </c>
    </row>
    <row r="45" spans="1:5" ht="14.25">
      <c r="A45" s="27"/>
      <c r="B45" s="28" t="s">
        <v>164</v>
      </c>
    </row>
    <row r="46" spans="1:5" ht="15">
      <c r="A46" s="29" t="s">
        <v>39</v>
      </c>
      <c r="B46" s="29" t="s">
        <v>40</v>
      </c>
      <c r="C46" s="29" t="s">
        <v>41</v>
      </c>
      <c r="D46" s="29" t="s">
        <v>42</v>
      </c>
      <c r="E46" s="29" t="s">
        <v>43</v>
      </c>
    </row>
    <row r="47" spans="1:5">
      <c r="A47" s="26" t="s">
        <v>300</v>
      </c>
      <c r="B47" s="4" t="s">
        <v>164</v>
      </c>
      <c r="C47" s="4" t="s">
        <v>242</v>
      </c>
      <c r="D47" s="4" t="s">
        <v>138</v>
      </c>
      <c r="E47" s="30" t="s">
        <v>323</v>
      </c>
    </row>
    <row r="48" spans="1:5">
      <c r="A48" s="26" t="s">
        <v>288</v>
      </c>
      <c r="B48" s="4" t="s">
        <v>164</v>
      </c>
      <c r="C48" s="4" t="s">
        <v>188</v>
      </c>
      <c r="D48" s="4" t="s">
        <v>292</v>
      </c>
      <c r="E48" s="30" t="s">
        <v>324</v>
      </c>
    </row>
    <row r="49" spans="1:5">
      <c r="A49" s="26" t="s">
        <v>310</v>
      </c>
      <c r="B49" s="4" t="s">
        <v>164</v>
      </c>
      <c r="C49" s="4" t="s">
        <v>264</v>
      </c>
      <c r="D49" s="4" t="s">
        <v>325</v>
      </c>
      <c r="E49" s="30" t="s">
        <v>326</v>
      </c>
    </row>
    <row r="50" spans="1:5">
      <c r="A50" s="26" t="s">
        <v>268</v>
      </c>
      <c r="B50" s="4" t="s">
        <v>164</v>
      </c>
      <c r="C50" s="4" t="s">
        <v>172</v>
      </c>
      <c r="D50" s="4" t="s">
        <v>111</v>
      </c>
      <c r="E50" s="30" t="s">
        <v>327</v>
      </c>
    </row>
    <row r="51" spans="1:5">
      <c r="A51" s="26" t="s">
        <v>293</v>
      </c>
      <c r="B51" s="4" t="s">
        <v>164</v>
      </c>
      <c r="C51" s="4" t="s">
        <v>188</v>
      </c>
      <c r="D51" s="4" t="s">
        <v>297</v>
      </c>
      <c r="E51" s="30" t="s">
        <v>328</v>
      </c>
    </row>
    <row r="52" spans="1:5">
      <c r="A52" s="26" t="s">
        <v>279</v>
      </c>
      <c r="B52" s="4" t="s">
        <v>164</v>
      </c>
      <c r="C52" s="4" t="s">
        <v>179</v>
      </c>
      <c r="D52" s="4" t="s">
        <v>113</v>
      </c>
      <c r="E52" s="30" t="s">
        <v>329</v>
      </c>
    </row>
    <row r="53" spans="1:5">
      <c r="A53" s="26" t="s">
        <v>283</v>
      </c>
      <c r="B53" s="4" t="s">
        <v>164</v>
      </c>
      <c r="C53" s="4" t="s">
        <v>179</v>
      </c>
      <c r="D53" s="4" t="s">
        <v>140</v>
      </c>
      <c r="E53" s="30" t="s">
        <v>330</v>
      </c>
    </row>
    <row r="54" spans="1:5">
      <c r="A54" s="26" t="s">
        <v>305</v>
      </c>
      <c r="B54" s="4" t="s">
        <v>164</v>
      </c>
      <c r="C54" s="4" t="s">
        <v>242</v>
      </c>
      <c r="D54" s="4" t="s">
        <v>112</v>
      </c>
      <c r="E54" s="30" t="s">
        <v>331</v>
      </c>
    </row>
    <row r="55" spans="1:5">
      <c r="A55" s="26" t="s">
        <v>317</v>
      </c>
      <c r="B55" s="4" t="s">
        <v>164</v>
      </c>
      <c r="C55" s="4" t="s">
        <v>264</v>
      </c>
      <c r="D55" s="4" t="s">
        <v>287</v>
      </c>
      <c r="E55" s="30" t="s">
        <v>332</v>
      </c>
    </row>
    <row r="57" spans="1:5" ht="14.25">
      <c r="A57" s="27"/>
      <c r="B57" s="28" t="s">
        <v>166</v>
      </c>
    </row>
    <row r="58" spans="1:5" ht="15">
      <c r="A58" s="29" t="s">
        <v>39</v>
      </c>
      <c r="B58" s="29" t="s">
        <v>40</v>
      </c>
      <c r="C58" s="29" t="s">
        <v>41</v>
      </c>
      <c r="D58" s="29" t="s">
        <v>42</v>
      </c>
      <c r="E58" s="29" t="s">
        <v>43</v>
      </c>
    </row>
    <row r="59" spans="1:5">
      <c r="A59" s="26" t="s">
        <v>300</v>
      </c>
      <c r="B59" s="4" t="s">
        <v>167</v>
      </c>
      <c r="C59" s="4" t="s">
        <v>242</v>
      </c>
      <c r="D59" s="4" t="s">
        <v>138</v>
      </c>
      <c r="E59" s="30" t="s">
        <v>333</v>
      </c>
    </row>
    <row r="60" spans="1:5">
      <c r="A60" s="26" t="s">
        <v>293</v>
      </c>
      <c r="B60" s="4" t="s">
        <v>249</v>
      </c>
      <c r="C60" s="4" t="s">
        <v>188</v>
      </c>
      <c r="D60" s="4" t="s">
        <v>297</v>
      </c>
      <c r="E60" s="30" t="s">
        <v>334</v>
      </c>
    </row>
    <row r="61" spans="1:5">
      <c r="A61" s="26" t="s">
        <v>274</v>
      </c>
      <c r="B61" s="4" t="s">
        <v>167</v>
      </c>
      <c r="C61" s="4" t="s">
        <v>176</v>
      </c>
      <c r="D61" s="4" t="s">
        <v>98</v>
      </c>
      <c r="E61" s="30" t="s">
        <v>335</v>
      </c>
    </row>
    <row r="62" spans="1:5">
      <c r="A62" s="26" t="s">
        <v>310</v>
      </c>
      <c r="B62" s="4" t="s">
        <v>191</v>
      </c>
      <c r="C62" s="4" t="s">
        <v>264</v>
      </c>
      <c r="D62" s="4" t="s">
        <v>325</v>
      </c>
      <c r="E62" s="30" t="s">
        <v>336</v>
      </c>
    </row>
  </sheetData>
  <mergeCells count="17">
    <mergeCell ref="A16:L16"/>
    <mergeCell ref="A21:L21"/>
    <mergeCell ref="A26:L26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42578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6" width="5.5703125" style="3" bestFit="1" customWidth="1"/>
    <col min="17" max="17" width="2.1406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18" t="s">
        <v>253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11</v>
      </c>
      <c r="H3" s="11"/>
      <c r="I3" s="11"/>
      <c r="J3" s="11"/>
      <c r="K3" s="11" t="s">
        <v>12</v>
      </c>
      <c r="L3" s="11"/>
      <c r="M3" s="11"/>
      <c r="N3" s="11"/>
      <c r="O3" s="11" t="s">
        <v>13</v>
      </c>
      <c r="P3" s="11"/>
      <c r="Q3" s="11"/>
      <c r="R3" s="11"/>
      <c r="S3" s="11" t="s">
        <v>1</v>
      </c>
      <c r="T3" s="11" t="s">
        <v>3</v>
      </c>
      <c r="U3" s="16" t="s">
        <v>2</v>
      </c>
    </row>
    <row r="4" spans="1:21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15"/>
      <c r="T4" s="15"/>
      <c r="U4" s="17"/>
    </row>
    <row r="5" spans="1:21" ht="15">
      <c r="A5" s="19" t="s">
        <v>254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1">
      <c r="A6" s="20" t="s">
        <v>256</v>
      </c>
      <c r="B6" s="20" t="s">
        <v>257</v>
      </c>
      <c r="C6" s="20" t="s">
        <v>258</v>
      </c>
      <c r="D6" s="20" t="str">
        <f>"0,5258"</f>
        <v>0,5258</v>
      </c>
      <c r="E6" s="20" t="s">
        <v>259</v>
      </c>
      <c r="F6" s="20" t="s">
        <v>20</v>
      </c>
      <c r="G6" s="21" t="s">
        <v>158</v>
      </c>
      <c r="H6" s="21" t="s">
        <v>260</v>
      </c>
      <c r="I6" s="22" t="s">
        <v>261</v>
      </c>
      <c r="J6" s="22"/>
      <c r="K6" s="21" t="s">
        <v>151</v>
      </c>
      <c r="L6" s="21" t="s">
        <v>262</v>
      </c>
      <c r="M6" s="22" t="s">
        <v>263</v>
      </c>
      <c r="N6" s="22"/>
      <c r="O6" s="21" t="s">
        <v>143</v>
      </c>
      <c r="P6" s="21" t="s">
        <v>151</v>
      </c>
      <c r="Q6" s="22"/>
      <c r="R6" s="22"/>
      <c r="S6" s="20" t="str">
        <f>"765,0"</f>
        <v>765,0</v>
      </c>
      <c r="T6" s="21" t="str">
        <f>"406,2594"</f>
        <v>406,2594</v>
      </c>
      <c r="U6" s="20" t="s">
        <v>30</v>
      </c>
    </row>
    <row r="8" spans="1:21" ht="15">
      <c r="E8" s="23" t="s">
        <v>31</v>
      </c>
    </row>
    <row r="9" spans="1:21" ht="15">
      <c r="E9" s="23" t="s">
        <v>32</v>
      </c>
    </row>
    <row r="10" spans="1:21" ht="15">
      <c r="E10" s="23" t="s">
        <v>33</v>
      </c>
    </row>
    <row r="11" spans="1:21" ht="15">
      <c r="E11" s="23" t="s">
        <v>34</v>
      </c>
    </row>
    <row r="12" spans="1:21" ht="15">
      <c r="E12" s="23" t="s">
        <v>34</v>
      </c>
    </row>
    <row r="13" spans="1:21" ht="15">
      <c r="E13" s="23" t="s">
        <v>35</v>
      </c>
    </row>
    <row r="14" spans="1:21" ht="15">
      <c r="E14" s="23"/>
    </row>
    <row r="16" spans="1:21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182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255</v>
      </c>
      <c r="B20" s="4" t="s">
        <v>183</v>
      </c>
      <c r="C20" s="4" t="s">
        <v>264</v>
      </c>
      <c r="D20" s="4" t="s">
        <v>265</v>
      </c>
      <c r="E20" s="30" t="s">
        <v>266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6.5703125" style="3" bestFit="1" customWidth="1"/>
    <col min="10" max="10" width="4.85546875" style="3" bestFit="1" customWidth="1"/>
    <col min="11" max="13" width="6.5703125" style="3" bestFit="1" customWidth="1"/>
    <col min="14" max="14" width="4.85546875" style="3" bestFit="1" customWidth="1"/>
    <col min="15" max="17" width="6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18" t="s">
        <v>194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11</v>
      </c>
      <c r="H3" s="11"/>
      <c r="I3" s="11"/>
      <c r="J3" s="11"/>
      <c r="K3" s="11" t="s">
        <v>12</v>
      </c>
      <c r="L3" s="11"/>
      <c r="M3" s="11"/>
      <c r="N3" s="11"/>
      <c r="O3" s="11" t="s">
        <v>13</v>
      </c>
      <c r="P3" s="11"/>
      <c r="Q3" s="11"/>
      <c r="R3" s="11"/>
      <c r="S3" s="11" t="s">
        <v>1</v>
      </c>
      <c r="T3" s="11" t="s">
        <v>3</v>
      </c>
      <c r="U3" s="16" t="s">
        <v>2</v>
      </c>
    </row>
    <row r="4" spans="1:21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15"/>
      <c r="T4" s="15"/>
      <c r="U4" s="17"/>
    </row>
    <row r="5" spans="1:21" ht="15">
      <c r="A5" s="19" t="s">
        <v>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1">
      <c r="A6" s="20" t="s">
        <v>196</v>
      </c>
      <c r="B6" s="20" t="s">
        <v>197</v>
      </c>
      <c r="C6" s="20" t="s">
        <v>198</v>
      </c>
      <c r="D6" s="20" t="str">
        <f>"0,6828"</f>
        <v>0,6828</v>
      </c>
      <c r="E6" s="20" t="s">
        <v>199</v>
      </c>
      <c r="F6" s="20" t="s">
        <v>200</v>
      </c>
      <c r="G6" s="21" t="s">
        <v>74</v>
      </c>
      <c r="H6" s="21" t="s">
        <v>131</v>
      </c>
      <c r="I6" s="22" t="s">
        <v>121</v>
      </c>
      <c r="J6" s="22"/>
      <c r="K6" s="21" t="s">
        <v>23</v>
      </c>
      <c r="L6" s="22" t="s">
        <v>55</v>
      </c>
      <c r="M6" s="21" t="s">
        <v>28</v>
      </c>
      <c r="N6" s="22"/>
      <c r="O6" s="21" t="s">
        <v>101</v>
      </c>
      <c r="P6" s="21" t="s">
        <v>121</v>
      </c>
      <c r="Q6" s="22" t="s">
        <v>78</v>
      </c>
      <c r="R6" s="22"/>
      <c r="S6" s="20" t="str">
        <f>"295,0"</f>
        <v>295,0</v>
      </c>
      <c r="T6" s="21" t="str">
        <f>"247,7540"</f>
        <v>247,7540</v>
      </c>
      <c r="U6" s="20" t="s">
        <v>30</v>
      </c>
    </row>
    <row r="8" spans="1:21" ht="15">
      <c r="A8" s="37" t="s">
        <v>91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1">
      <c r="A9" s="20" t="s">
        <v>202</v>
      </c>
      <c r="B9" s="20" t="s">
        <v>203</v>
      </c>
      <c r="C9" s="20" t="s">
        <v>204</v>
      </c>
      <c r="D9" s="20" t="str">
        <f>"0,6430"</f>
        <v>0,6430</v>
      </c>
      <c r="E9" s="20" t="s">
        <v>86</v>
      </c>
      <c r="F9" s="20" t="s">
        <v>87</v>
      </c>
      <c r="G9" s="21" t="s">
        <v>115</v>
      </c>
      <c r="H9" s="22" t="s">
        <v>205</v>
      </c>
      <c r="I9" s="21" t="s">
        <v>205</v>
      </c>
      <c r="J9" s="22"/>
      <c r="K9" s="21" t="s">
        <v>78</v>
      </c>
      <c r="L9" s="21" t="s">
        <v>139</v>
      </c>
      <c r="M9" s="22"/>
      <c r="N9" s="22"/>
      <c r="O9" s="21" t="s">
        <v>206</v>
      </c>
      <c r="P9" s="21" t="s">
        <v>141</v>
      </c>
      <c r="Q9" s="22"/>
      <c r="R9" s="22"/>
      <c r="S9" s="20" t="str">
        <f>"552,5"</f>
        <v>552,5</v>
      </c>
      <c r="T9" s="21" t="str">
        <f>"472,4925"</f>
        <v>472,4925</v>
      </c>
      <c r="U9" s="20" t="s">
        <v>30</v>
      </c>
    </row>
    <row r="11" spans="1:21" ht="15">
      <c r="A11" s="37" t="s">
        <v>152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1">
      <c r="A12" s="20" t="s">
        <v>208</v>
      </c>
      <c r="B12" s="20" t="s">
        <v>209</v>
      </c>
      <c r="C12" s="20" t="s">
        <v>210</v>
      </c>
      <c r="D12" s="20" t="str">
        <f>"0,5779"</f>
        <v>0,5779</v>
      </c>
      <c r="E12" s="20" t="s">
        <v>53</v>
      </c>
      <c r="F12" s="20" t="s">
        <v>20</v>
      </c>
      <c r="G12" s="21" t="s">
        <v>211</v>
      </c>
      <c r="H12" s="21" t="s">
        <v>212</v>
      </c>
      <c r="I12" s="21" t="s">
        <v>213</v>
      </c>
      <c r="J12" s="22"/>
      <c r="K12" s="21" t="s">
        <v>214</v>
      </c>
      <c r="L12" s="21" t="s">
        <v>215</v>
      </c>
      <c r="M12" s="21" t="s">
        <v>216</v>
      </c>
      <c r="N12" s="22"/>
      <c r="O12" s="21" t="s">
        <v>213</v>
      </c>
      <c r="P12" s="21" t="s">
        <v>217</v>
      </c>
      <c r="Q12" s="21" t="s">
        <v>218</v>
      </c>
      <c r="R12" s="22"/>
      <c r="S12" s="20" t="str">
        <f>"567.50o"</f>
        <v>567.50o</v>
      </c>
      <c r="T12" s="21" t="str">
        <f>"327,9582"</f>
        <v>327,9582</v>
      </c>
      <c r="U12" s="20" t="s">
        <v>30</v>
      </c>
    </row>
    <row r="14" spans="1:21" ht="15">
      <c r="A14" s="37" t="s">
        <v>219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spans="1:21">
      <c r="A15" s="31" t="s">
        <v>221</v>
      </c>
      <c r="B15" s="31" t="s">
        <v>222</v>
      </c>
      <c r="C15" s="31" t="s">
        <v>223</v>
      </c>
      <c r="D15" s="31" t="str">
        <f>"0,5377"</f>
        <v>0,5377</v>
      </c>
      <c r="E15" s="31" t="s">
        <v>86</v>
      </c>
      <c r="F15" s="31" t="s">
        <v>224</v>
      </c>
      <c r="G15" s="33" t="s">
        <v>158</v>
      </c>
      <c r="H15" s="33" t="s">
        <v>206</v>
      </c>
      <c r="I15" s="32"/>
      <c r="J15" s="32"/>
      <c r="K15" s="33" t="s">
        <v>103</v>
      </c>
      <c r="L15" s="33" t="s">
        <v>132</v>
      </c>
      <c r="M15" s="32" t="s">
        <v>114</v>
      </c>
      <c r="N15" s="32"/>
      <c r="O15" s="33" t="s">
        <v>225</v>
      </c>
      <c r="P15" s="33" t="s">
        <v>226</v>
      </c>
      <c r="Q15" s="33" t="s">
        <v>227</v>
      </c>
      <c r="R15" s="32"/>
      <c r="S15" s="31" t="str">
        <f>"685,0"</f>
        <v>685,0</v>
      </c>
      <c r="T15" s="33" t="str">
        <f>"368,3245"</f>
        <v>368,3245</v>
      </c>
      <c r="U15" s="31" t="s">
        <v>30</v>
      </c>
    </row>
    <row r="16" spans="1:21">
      <c r="A16" s="38" t="s">
        <v>229</v>
      </c>
      <c r="B16" s="38" t="s">
        <v>230</v>
      </c>
      <c r="C16" s="38" t="s">
        <v>231</v>
      </c>
      <c r="D16" s="38" t="str">
        <f>"0,5398"</f>
        <v>0,5398</v>
      </c>
      <c r="E16" s="38" t="s">
        <v>53</v>
      </c>
      <c r="F16" s="38" t="s">
        <v>20</v>
      </c>
      <c r="G16" s="40" t="s">
        <v>213</v>
      </c>
      <c r="H16" s="40" t="s">
        <v>232</v>
      </c>
      <c r="I16" s="40" t="s">
        <v>217</v>
      </c>
      <c r="J16" s="39"/>
      <c r="K16" s="40" t="s">
        <v>97</v>
      </c>
      <c r="L16" s="40" t="s">
        <v>233</v>
      </c>
      <c r="M16" s="40" t="s">
        <v>234</v>
      </c>
      <c r="N16" s="39"/>
      <c r="O16" s="40" t="s">
        <v>235</v>
      </c>
      <c r="P16" s="40" t="s">
        <v>236</v>
      </c>
      <c r="Q16" s="40" t="s">
        <v>237</v>
      </c>
      <c r="R16" s="39"/>
      <c r="S16" s="38" t="str">
        <f>"655.00o"</f>
        <v>655.00o</v>
      </c>
      <c r="T16" s="40" t="str">
        <f>"353,5690"</f>
        <v>353,5690</v>
      </c>
      <c r="U16" s="38" t="s">
        <v>30</v>
      </c>
    </row>
    <row r="17" spans="1:21">
      <c r="A17" s="34" t="s">
        <v>238</v>
      </c>
      <c r="B17" s="34" t="s">
        <v>239</v>
      </c>
      <c r="C17" s="34" t="s">
        <v>231</v>
      </c>
      <c r="D17" s="34" t="str">
        <f>"0,5398"</f>
        <v>0,5398</v>
      </c>
      <c r="E17" s="34" t="s">
        <v>53</v>
      </c>
      <c r="F17" s="34" t="s">
        <v>20</v>
      </c>
      <c r="G17" s="35" t="s">
        <v>213</v>
      </c>
      <c r="H17" s="35" t="s">
        <v>232</v>
      </c>
      <c r="I17" s="35" t="s">
        <v>217</v>
      </c>
      <c r="J17" s="36"/>
      <c r="K17" s="35" t="s">
        <v>97</v>
      </c>
      <c r="L17" s="35" t="s">
        <v>233</v>
      </c>
      <c r="M17" s="35" t="s">
        <v>234</v>
      </c>
      <c r="N17" s="36"/>
      <c r="O17" s="35" t="s">
        <v>235</v>
      </c>
      <c r="P17" s="35" t="s">
        <v>236</v>
      </c>
      <c r="Q17" s="35" t="s">
        <v>237</v>
      </c>
      <c r="R17" s="36"/>
      <c r="S17" s="34" t="str">
        <f>"655.00o"</f>
        <v>655.00o</v>
      </c>
      <c r="T17" s="35" t="str">
        <f>"394,9366"</f>
        <v>394,9366</v>
      </c>
      <c r="U17" s="34" t="s">
        <v>30</v>
      </c>
    </row>
    <row r="19" spans="1:21" ht="15">
      <c r="E19" s="23" t="s">
        <v>31</v>
      </c>
    </row>
    <row r="20" spans="1:21" ht="15">
      <c r="E20" s="23" t="s">
        <v>32</v>
      </c>
    </row>
    <row r="21" spans="1:21" ht="15">
      <c r="E21" s="23" t="s">
        <v>33</v>
      </c>
    </row>
    <row r="22" spans="1:21" ht="15">
      <c r="E22" s="23" t="s">
        <v>34</v>
      </c>
    </row>
    <row r="23" spans="1:21" ht="15">
      <c r="E23" s="23" t="s">
        <v>34</v>
      </c>
    </row>
    <row r="24" spans="1:21" ht="15">
      <c r="E24" s="23" t="s">
        <v>35</v>
      </c>
    </row>
    <row r="25" spans="1:21" ht="15">
      <c r="E25" s="23"/>
    </row>
    <row r="27" spans="1:21" ht="18">
      <c r="A27" s="24" t="s">
        <v>36</v>
      </c>
      <c r="B27" s="24"/>
    </row>
    <row r="28" spans="1:21" ht="15">
      <c r="A28" s="25" t="s">
        <v>37</v>
      </c>
      <c r="B28" s="25"/>
    </row>
    <row r="29" spans="1:21" ht="14.25">
      <c r="A29" s="27"/>
      <c r="B29" s="28" t="s">
        <v>38</v>
      </c>
    </row>
    <row r="30" spans="1:21" ht="15">
      <c r="A30" s="29" t="s">
        <v>39</v>
      </c>
      <c r="B30" s="29" t="s">
        <v>40</v>
      </c>
      <c r="C30" s="29" t="s">
        <v>41</v>
      </c>
      <c r="D30" s="29" t="s">
        <v>42</v>
      </c>
      <c r="E30" s="29" t="s">
        <v>43</v>
      </c>
    </row>
    <row r="31" spans="1:21">
      <c r="A31" s="26" t="s">
        <v>195</v>
      </c>
      <c r="B31" s="4" t="s">
        <v>175</v>
      </c>
      <c r="C31" s="4" t="s">
        <v>172</v>
      </c>
      <c r="D31" s="4" t="s">
        <v>240</v>
      </c>
      <c r="E31" s="30" t="s">
        <v>241</v>
      </c>
    </row>
    <row r="33" spans="1:5" ht="14.25">
      <c r="A33" s="27"/>
      <c r="B33" s="28" t="s">
        <v>164</v>
      </c>
    </row>
    <row r="34" spans="1:5" ht="15">
      <c r="A34" s="29" t="s">
        <v>39</v>
      </c>
      <c r="B34" s="29" t="s">
        <v>40</v>
      </c>
      <c r="C34" s="29" t="s">
        <v>41</v>
      </c>
      <c r="D34" s="29" t="s">
        <v>42</v>
      </c>
      <c r="E34" s="29" t="s">
        <v>43</v>
      </c>
    </row>
    <row r="35" spans="1:5">
      <c r="A35" s="26" t="s">
        <v>220</v>
      </c>
      <c r="B35" s="4" t="s">
        <v>164</v>
      </c>
      <c r="C35" s="4" t="s">
        <v>242</v>
      </c>
      <c r="D35" s="4" t="s">
        <v>243</v>
      </c>
      <c r="E35" s="30" t="s">
        <v>244</v>
      </c>
    </row>
    <row r="36" spans="1:5">
      <c r="A36" s="26" t="s">
        <v>228</v>
      </c>
      <c r="B36" s="4" t="s">
        <v>164</v>
      </c>
      <c r="C36" s="4" t="s">
        <v>242</v>
      </c>
      <c r="D36" s="4" t="s">
        <v>245</v>
      </c>
      <c r="E36" s="30" t="s">
        <v>246</v>
      </c>
    </row>
    <row r="37" spans="1:5">
      <c r="A37" s="26" t="s">
        <v>207</v>
      </c>
      <c r="B37" s="4" t="s">
        <v>164</v>
      </c>
      <c r="C37" s="4" t="s">
        <v>188</v>
      </c>
      <c r="D37" s="4" t="s">
        <v>247</v>
      </c>
      <c r="E37" s="30" t="s">
        <v>248</v>
      </c>
    </row>
    <row r="39" spans="1:5" ht="14.25">
      <c r="A39" s="27"/>
      <c r="B39" s="28" t="s">
        <v>166</v>
      </c>
    </row>
    <row r="40" spans="1:5" ht="15">
      <c r="A40" s="29" t="s">
        <v>39</v>
      </c>
      <c r="B40" s="29" t="s">
        <v>40</v>
      </c>
      <c r="C40" s="29" t="s">
        <v>41</v>
      </c>
      <c r="D40" s="29" t="s">
        <v>42</v>
      </c>
      <c r="E40" s="29" t="s">
        <v>43</v>
      </c>
    </row>
    <row r="41" spans="1:5">
      <c r="A41" s="26" t="s">
        <v>201</v>
      </c>
      <c r="B41" s="4" t="s">
        <v>249</v>
      </c>
      <c r="C41" s="4" t="s">
        <v>176</v>
      </c>
      <c r="D41" s="4" t="s">
        <v>250</v>
      </c>
      <c r="E41" s="30" t="s">
        <v>251</v>
      </c>
    </row>
    <row r="42" spans="1:5">
      <c r="A42" s="26" t="s">
        <v>228</v>
      </c>
      <c r="B42" s="4" t="s">
        <v>167</v>
      </c>
      <c r="C42" s="4" t="s">
        <v>242</v>
      </c>
      <c r="D42" s="4" t="s">
        <v>245</v>
      </c>
      <c r="E42" s="30" t="s">
        <v>252</v>
      </c>
    </row>
  </sheetData>
  <mergeCells count="17">
    <mergeCell ref="A14:T14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7" width="5.5703125" style="3" bestFit="1" customWidth="1"/>
    <col min="8" max="9" width="6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5.5703125" style="3" bestFit="1" customWidth="1"/>
    <col min="16" max="17" width="6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18" t="s">
        <v>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11</v>
      </c>
      <c r="H3" s="11"/>
      <c r="I3" s="11"/>
      <c r="J3" s="11"/>
      <c r="K3" s="11" t="s">
        <v>12</v>
      </c>
      <c r="L3" s="11"/>
      <c r="M3" s="11"/>
      <c r="N3" s="11"/>
      <c r="O3" s="11" t="s">
        <v>13</v>
      </c>
      <c r="P3" s="11"/>
      <c r="Q3" s="11"/>
      <c r="R3" s="11"/>
      <c r="S3" s="11" t="s">
        <v>1</v>
      </c>
      <c r="T3" s="11" t="s">
        <v>3</v>
      </c>
      <c r="U3" s="16" t="s">
        <v>2</v>
      </c>
    </row>
    <row r="4" spans="1:21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15"/>
      <c r="T4" s="15"/>
      <c r="U4" s="17"/>
    </row>
    <row r="5" spans="1:21" ht="1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1">
      <c r="A6" s="31" t="s">
        <v>50</v>
      </c>
      <c r="B6" s="31" t="s">
        <v>51</v>
      </c>
      <c r="C6" s="31" t="s">
        <v>52</v>
      </c>
      <c r="D6" s="31" t="str">
        <f>"0,9693"</f>
        <v>0,9693</v>
      </c>
      <c r="E6" s="31" t="s">
        <v>53</v>
      </c>
      <c r="F6" s="31" t="s">
        <v>20</v>
      </c>
      <c r="G6" s="32" t="s">
        <v>21</v>
      </c>
      <c r="H6" s="33" t="s">
        <v>54</v>
      </c>
      <c r="I6" s="32" t="s">
        <v>55</v>
      </c>
      <c r="J6" s="32"/>
      <c r="K6" s="33" t="s">
        <v>56</v>
      </c>
      <c r="L6" s="33" t="s">
        <v>57</v>
      </c>
      <c r="M6" s="32" t="s">
        <v>58</v>
      </c>
      <c r="N6" s="32"/>
      <c r="O6" s="33" t="s">
        <v>59</v>
      </c>
      <c r="P6" s="33" t="s">
        <v>54</v>
      </c>
      <c r="Q6" s="33" t="s">
        <v>60</v>
      </c>
      <c r="R6" s="32"/>
      <c r="S6" s="31" t="str">
        <f>"180.00o"</f>
        <v>180.00o</v>
      </c>
      <c r="T6" s="33" t="str">
        <f>"188,4416"</f>
        <v>188,4416</v>
      </c>
      <c r="U6" s="31" t="s">
        <v>30</v>
      </c>
    </row>
    <row r="7" spans="1:21">
      <c r="A7" s="34" t="s">
        <v>62</v>
      </c>
      <c r="B7" s="34" t="s">
        <v>63</v>
      </c>
      <c r="C7" s="34" t="s">
        <v>64</v>
      </c>
      <c r="D7" s="34" t="str">
        <f>"0,9944"</f>
        <v>0,9944</v>
      </c>
      <c r="E7" s="34" t="s">
        <v>53</v>
      </c>
      <c r="F7" s="34" t="s">
        <v>20</v>
      </c>
      <c r="G7" s="35" t="s">
        <v>65</v>
      </c>
      <c r="H7" s="35" t="s">
        <v>21</v>
      </c>
      <c r="I7" s="35" t="s">
        <v>22</v>
      </c>
      <c r="J7" s="36"/>
      <c r="K7" s="35" t="s">
        <v>66</v>
      </c>
      <c r="L7" s="35" t="s">
        <v>67</v>
      </c>
      <c r="M7" s="36"/>
      <c r="N7" s="36"/>
      <c r="O7" s="35" t="s">
        <v>27</v>
      </c>
      <c r="P7" s="35" t="s">
        <v>68</v>
      </c>
      <c r="Q7" s="35" t="s">
        <v>29</v>
      </c>
      <c r="R7" s="36"/>
      <c r="S7" s="34" t="str">
        <f>"185,0"</f>
        <v>185,0</v>
      </c>
      <c r="T7" s="35" t="str">
        <f>"183,9548"</f>
        <v>183,9548</v>
      </c>
      <c r="U7" s="34" t="s">
        <v>30</v>
      </c>
    </row>
    <row r="9" spans="1:21" ht="15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1">
      <c r="A10" s="20" t="s">
        <v>71</v>
      </c>
      <c r="B10" s="20" t="s">
        <v>72</v>
      </c>
      <c r="C10" s="20" t="s">
        <v>73</v>
      </c>
      <c r="D10" s="20" t="str">
        <f>"0,8047"</f>
        <v>0,8047</v>
      </c>
      <c r="E10" s="20" t="s">
        <v>53</v>
      </c>
      <c r="F10" s="20" t="s">
        <v>20</v>
      </c>
      <c r="G10" s="22" t="s">
        <v>74</v>
      </c>
      <c r="H10" s="21" t="s">
        <v>75</v>
      </c>
      <c r="I10" s="21" t="s">
        <v>76</v>
      </c>
      <c r="J10" s="22"/>
      <c r="K10" s="22" t="s">
        <v>21</v>
      </c>
      <c r="L10" s="21" t="s">
        <v>77</v>
      </c>
      <c r="M10" s="22" t="s">
        <v>23</v>
      </c>
      <c r="N10" s="22"/>
      <c r="O10" s="21" t="s">
        <v>78</v>
      </c>
      <c r="P10" s="21" t="s">
        <v>79</v>
      </c>
      <c r="Q10" s="21" t="s">
        <v>80</v>
      </c>
      <c r="R10" s="22"/>
      <c r="S10" s="20" t="str">
        <f>"307.50o"</f>
        <v>307.50o</v>
      </c>
      <c r="T10" s="21" t="str">
        <f>"283,0774"</f>
        <v>283,0774</v>
      </c>
      <c r="U10" s="20" t="s">
        <v>30</v>
      </c>
    </row>
    <row r="12" spans="1:21" ht="15">
      <c r="A12" s="37" t="s">
        <v>81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</row>
    <row r="13" spans="1:21">
      <c r="A13" s="20" t="s">
        <v>83</v>
      </c>
      <c r="B13" s="20" t="s">
        <v>84</v>
      </c>
      <c r="C13" s="20" t="s">
        <v>85</v>
      </c>
      <c r="D13" s="20" t="str">
        <f>"0,7261"</f>
        <v>0,7261</v>
      </c>
      <c r="E13" s="20" t="s">
        <v>86</v>
      </c>
      <c r="F13" s="20" t="s">
        <v>87</v>
      </c>
      <c r="G13" s="21" t="s">
        <v>28</v>
      </c>
      <c r="H13" s="21" t="s">
        <v>68</v>
      </c>
      <c r="I13" s="21" t="s">
        <v>29</v>
      </c>
      <c r="J13" s="22"/>
      <c r="K13" s="22" t="s">
        <v>58</v>
      </c>
      <c r="L13" s="22" t="s">
        <v>58</v>
      </c>
      <c r="M13" s="21" t="s">
        <v>58</v>
      </c>
      <c r="N13" s="22"/>
      <c r="O13" s="21" t="s">
        <v>88</v>
      </c>
      <c r="P13" s="21" t="s">
        <v>89</v>
      </c>
      <c r="Q13" s="22" t="s">
        <v>90</v>
      </c>
      <c r="R13" s="22"/>
      <c r="S13" s="20" t="str">
        <f>"222,5"</f>
        <v>222,5</v>
      </c>
      <c r="T13" s="21" t="str">
        <f>"274,6662"</f>
        <v>274,6662</v>
      </c>
      <c r="U13" s="20" t="s">
        <v>30</v>
      </c>
    </row>
    <row r="15" spans="1:21" ht="15">
      <c r="A15" s="37" t="s">
        <v>91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1">
      <c r="A16" s="31" t="s">
        <v>93</v>
      </c>
      <c r="B16" s="31" t="s">
        <v>94</v>
      </c>
      <c r="C16" s="31" t="s">
        <v>95</v>
      </c>
      <c r="D16" s="31" t="str">
        <f>"0,6273"</f>
        <v>0,6273</v>
      </c>
      <c r="E16" s="31" t="s">
        <v>53</v>
      </c>
      <c r="F16" s="31" t="s">
        <v>20</v>
      </c>
      <c r="G16" s="32" t="s">
        <v>96</v>
      </c>
      <c r="H16" s="33" t="s">
        <v>97</v>
      </c>
      <c r="I16" s="32" t="s">
        <v>98</v>
      </c>
      <c r="J16" s="32"/>
      <c r="K16" s="33" t="s">
        <v>99</v>
      </c>
      <c r="L16" s="33" t="s">
        <v>100</v>
      </c>
      <c r="M16" s="32" t="s">
        <v>101</v>
      </c>
      <c r="N16" s="32"/>
      <c r="O16" s="33" t="s">
        <v>102</v>
      </c>
      <c r="P16" s="32" t="s">
        <v>103</v>
      </c>
      <c r="Q16" s="33" t="s">
        <v>104</v>
      </c>
      <c r="R16" s="32"/>
      <c r="S16" s="31" t="str">
        <f>"395.00o"</f>
        <v>395.00o</v>
      </c>
      <c r="T16" s="33" t="str">
        <f>"292,3845"</f>
        <v>292,3845</v>
      </c>
      <c r="U16" s="31" t="s">
        <v>30</v>
      </c>
    </row>
    <row r="17" spans="1:21">
      <c r="A17" s="38" t="s">
        <v>106</v>
      </c>
      <c r="B17" s="38" t="s">
        <v>107</v>
      </c>
      <c r="C17" s="38" t="s">
        <v>108</v>
      </c>
      <c r="D17" s="38" t="str">
        <f>"0,6454"</f>
        <v>0,6454</v>
      </c>
      <c r="E17" s="38" t="s">
        <v>109</v>
      </c>
      <c r="F17" s="38" t="s">
        <v>110</v>
      </c>
      <c r="G17" s="39" t="s">
        <v>111</v>
      </c>
      <c r="H17" s="40" t="s">
        <v>112</v>
      </c>
      <c r="I17" s="40" t="s">
        <v>98</v>
      </c>
      <c r="J17" s="39"/>
      <c r="K17" s="40" t="s">
        <v>96</v>
      </c>
      <c r="L17" s="40" t="s">
        <v>111</v>
      </c>
      <c r="M17" s="40" t="s">
        <v>113</v>
      </c>
      <c r="N17" s="39"/>
      <c r="O17" s="40" t="s">
        <v>114</v>
      </c>
      <c r="P17" s="40" t="s">
        <v>115</v>
      </c>
      <c r="Q17" s="40" t="s">
        <v>116</v>
      </c>
      <c r="R17" s="39"/>
      <c r="S17" s="38" t="str">
        <f>"472,5"</f>
        <v>472,5</v>
      </c>
      <c r="T17" s="40" t="str">
        <f>"308,0010"</f>
        <v>308,0010</v>
      </c>
      <c r="U17" s="38" t="s">
        <v>30</v>
      </c>
    </row>
    <row r="18" spans="1:21">
      <c r="A18" s="34" t="s">
        <v>118</v>
      </c>
      <c r="B18" s="34" t="s">
        <v>119</v>
      </c>
      <c r="C18" s="34" t="s">
        <v>120</v>
      </c>
      <c r="D18" s="34" t="str">
        <f>"0,6251"</f>
        <v>0,6251</v>
      </c>
      <c r="E18" s="34" t="s">
        <v>19</v>
      </c>
      <c r="F18" s="34" t="s">
        <v>20</v>
      </c>
      <c r="G18" s="35" t="s">
        <v>101</v>
      </c>
      <c r="H18" s="35" t="s">
        <v>78</v>
      </c>
      <c r="I18" s="36" t="s">
        <v>111</v>
      </c>
      <c r="J18" s="36"/>
      <c r="K18" s="35" t="s">
        <v>101</v>
      </c>
      <c r="L18" s="35" t="s">
        <v>121</v>
      </c>
      <c r="M18" s="35" t="s">
        <v>122</v>
      </c>
      <c r="N18" s="36"/>
      <c r="O18" s="35" t="s">
        <v>123</v>
      </c>
      <c r="P18" s="35" t="s">
        <v>115</v>
      </c>
      <c r="Q18" s="35" t="s">
        <v>124</v>
      </c>
      <c r="R18" s="36"/>
      <c r="S18" s="34" t="str">
        <f>"420,0"</f>
        <v>420,0</v>
      </c>
      <c r="T18" s="35" t="str">
        <f>"264,9049"</f>
        <v>264,9049</v>
      </c>
      <c r="U18" s="34" t="s">
        <v>30</v>
      </c>
    </row>
    <row r="20" spans="1:21" ht="15">
      <c r="A20" s="37" t="s">
        <v>125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1">
      <c r="A21" s="31" t="s">
        <v>127</v>
      </c>
      <c r="B21" s="31" t="s">
        <v>128</v>
      </c>
      <c r="C21" s="31" t="s">
        <v>129</v>
      </c>
      <c r="D21" s="31" t="str">
        <f>"0,5857"</f>
        <v>0,5857</v>
      </c>
      <c r="E21" s="31" t="s">
        <v>130</v>
      </c>
      <c r="F21" s="31" t="s">
        <v>20</v>
      </c>
      <c r="G21" s="33" t="s">
        <v>96</v>
      </c>
      <c r="H21" s="32" t="s">
        <v>112</v>
      </c>
      <c r="I21" s="33" t="s">
        <v>102</v>
      </c>
      <c r="J21" s="32"/>
      <c r="K21" s="33" t="s">
        <v>131</v>
      </c>
      <c r="L21" s="32" t="s">
        <v>121</v>
      </c>
      <c r="M21" s="32" t="s">
        <v>122</v>
      </c>
      <c r="N21" s="32"/>
      <c r="O21" s="32" t="s">
        <v>132</v>
      </c>
      <c r="P21" s="32" t="s">
        <v>123</v>
      </c>
      <c r="Q21" s="33" t="s">
        <v>123</v>
      </c>
      <c r="R21" s="32"/>
      <c r="S21" s="31" t="str">
        <f>"430,0"</f>
        <v>430,0</v>
      </c>
      <c r="T21" s="33" t="str">
        <f>"271,9991"</f>
        <v>271,9991</v>
      </c>
      <c r="U21" s="31" t="s">
        <v>30</v>
      </c>
    </row>
    <row r="22" spans="1:21">
      <c r="A22" s="38" t="s">
        <v>134</v>
      </c>
      <c r="B22" s="38" t="s">
        <v>135</v>
      </c>
      <c r="C22" s="38" t="s">
        <v>136</v>
      </c>
      <c r="D22" s="38" t="str">
        <f>"0,6147"</f>
        <v>0,6147</v>
      </c>
      <c r="E22" s="38" t="s">
        <v>86</v>
      </c>
      <c r="F22" s="38" t="s">
        <v>137</v>
      </c>
      <c r="G22" s="40" t="s">
        <v>115</v>
      </c>
      <c r="H22" s="40" t="s">
        <v>124</v>
      </c>
      <c r="I22" s="40" t="s">
        <v>138</v>
      </c>
      <c r="J22" s="39"/>
      <c r="K22" s="40" t="s">
        <v>139</v>
      </c>
      <c r="L22" s="40" t="s">
        <v>96</v>
      </c>
      <c r="M22" s="40" t="s">
        <v>140</v>
      </c>
      <c r="N22" s="39"/>
      <c r="O22" s="40" t="s">
        <v>141</v>
      </c>
      <c r="P22" s="40" t="s">
        <v>142</v>
      </c>
      <c r="Q22" s="39" t="s">
        <v>143</v>
      </c>
      <c r="R22" s="39"/>
      <c r="S22" s="38" t="str">
        <f>"572,5"</f>
        <v>572,5</v>
      </c>
      <c r="T22" s="40" t="str">
        <f>"358,9541"</f>
        <v>358,9541</v>
      </c>
      <c r="U22" s="38" t="s">
        <v>30</v>
      </c>
    </row>
    <row r="23" spans="1:21">
      <c r="A23" s="34" t="s">
        <v>145</v>
      </c>
      <c r="B23" s="34" t="s">
        <v>146</v>
      </c>
      <c r="C23" s="34" t="s">
        <v>147</v>
      </c>
      <c r="D23" s="34" t="str">
        <f>"0,5893"</f>
        <v>0,5893</v>
      </c>
      <c r="E23" s="34" t="s">
        <v>53</v>
      </c>
      <c r="F23" s="34" t="s">
        <v>20</v>
      </c>
      <c r="G23" s="35" t="s">
        <v>148</v>
      </c>
      <c r="H23" s="35" t="s">
        <v>149</v>
      </c>
      <c r="I23" s="36" t="s">
        <v>150</v>
      </c>
      <c r="J23" s="36"/>
      <c r="K23" s="36" t="s">
        <v>102</v>
      </c>
      <c r="L23" s="36" t="s">
        <v>102</v>
      </c>
      <c r="M23" s="36" t="s">
        <v>102</v>
      </c>
      <c r="N23" s="36"/>
      <c r="O23" s="36" t="s">
        <v>151</v>
      </c>
      <c r="P23" s="36"/>
      <c r="Q23" s="36"/>
      <c r="R23" s="36"/>
      <c r="S23" s="34" t="str">
        <f>"0.00"</f>
        <v>0.00</v>
      </c>
      <c r="T23" s="35" t="str">
        <f>"0,0000"</f>
        <v>0,0000</v>
      </c>
      <c r="U23" s="34" t="s">
        <v>30</v>
      </c>
    </row>
    <row r="25" spans="1:21" ht="15">
      <c r="A25" s="37" t="s">
        <v>152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1:21">
      <c r="A26" s="20" t="s">
        <v>154</v>
      </c>
      <c r="B26" s="20" t="s">
        <v>155</v>
      </c>
      <c r="C26" s="20" t="s">
        <v>156</v>
      </c>
      <c r="D26" s="20" t="str">
        <f>"0,5723"</f>
        <v>0,5723</v>
      </c>
      <c r="E26" s="20" t="s">
        <v>19</v>
      </c>
      <c r="F26" s="20" t="s">
        <v>20</v>
      </c>
      <c r="G26" s="21" t="s">
        <v>157</v>
      </c>
      <c r="H26" s="22" t="s">
        <v>132</v>
      </c>
      <c r="I26" s="22" t="s">
        <v>114</v>
      </c>
      <c r="J26" s="22"/>
      <c r="K26" s="21" t="s">
        <v>122</v>
      </c>
      <c r="L26" s="21" t="s">
        <v>78</v>
      </c>
      <c r="M26" s="22" t="s">
        <v>139</v>
      </c>
      <c r="N26" s="22"/>
      <c r="O26" s="21" t="s">
        <v>150</v>
      </c>
      <c r="P26" s="21" t="s">
        <v>158</v>
      </c>
      <c r="Q26" s="21" t="s">
        <v>159</v>
      </c>
      <c r="R26" s="22"/>
      <c r="S26" s="20" t="str">
        <f>"500,0"</f>
        <v>500,0</v>
      </c>
      <c r="T26" s="21" t="str">
        <f>"286,1500"</f>
        <v>286,1500</v>
      </c>
      <c r="U26" s="20" t="s">
        <v>30</v>
      </c>
    </row>
    <row r="28" spans="1:21" ht="15">
      <c r="E28" s="23" t="s">
        <v>31</v>
      </c>
    </row>
    <row r="29" spans="1:21" ht="15">
      <c r="E29" s="23" t="s">
        <v>32</v>
      </c>
    </row>
    <row r="30" spans="1:21" ht="15">
      <c r="E30" s="23" t="s">
        <v>33</v>
      </c>
    </row>
    <row r="31" spans="1:21" ht="15">
      <c r="E31" s="23" t="s">
        <v>34</v>
      </c>
    </row>
    <row r="32" spans="1:21" ht="15">
      <c r="E32" s="23" t="s">
        <v>34</v>
      </c>
    </row>
    <row r="33" spans="1:5" ht="15">
      <c r="E33" s="23" t="s">
        <v>35</v>
      </c>
    </row>
    <row r="34" spans="1:5" ht="15">
      <c r="E34" s="23"/>
    </row>
    <row r="36" spans="1:5" ht="18">
      <c r="A36" s="24" t="s">
        <v>36</v>
      </c>
      <c r="B36" s="24"/>
    </row>
    <row r="37" spans="1:5" ht="15">
      <c r="A37" s="25" t="s">
        <v>160</v>
      </c>
      <c r="B37" s="25"/>
    </row>
    <row r="38" spans="1:5" ht="14.25">
      <c r="A38" s="27"/>
      <c r="B38" s="28" t="s">
        <v>161</v>
      </c>
    </row>
    <row r="39" spans="1:5" ht="15">
      <c r="A39" s="29" t="s">
        <v>39</v>
      </c>
      <c r="B39" s="29" t="s">
        <v>40</v>
      </c>
      <c r="C39" s="29" t="s">
        <v>41</v>
      </c>
      <c r="D39" s="29" t="s">
        <v>42</v>
      </c>
      <c r="E39" s="29" t="s">
        <v>43</v>
      </c>
    </row>
    <row r="40" spans="1:5">
      <c r="A40" s="26" t="s">
        <v>49</v>
      </c>
      <c r="B40" s="4" t="s">
        <v>162</v>
      </c>
      <c r="C40" s="4" t="s">
        <v>45</v>
      </c>
      <c r="D40" s="4" t="s">
        <v>115</v>
      </c>
      <c r="E40" s="30" t="s">
        <v>163</v>
      </c>
    </row>
    <row r="42" spans="1:5" ht="14.25">
      <c r="A42" s="27"/>
      <c r="B42" s="28" t="s">
        <v>164</v>
      </c>
    </row>
    <row r="43" spans="1:5" ht="15">
      <c r="A43" s="29" t="s">
        <v>39</v>
      </c>
      <c r="B43" s="29" t="s">
        <v>40</v>
      </c>
      <c r="C43" s="29" t="s">
        <v>41</v>
      </c>
      <c r="D43" s="29" t="s">
        <v>42</v>
      </c>
      <c r="E43" s="29" t="s">
        <v>43</v>
      </c>
    </row>
    <row r="44" spans="1:5">
      <c r="A44" s="26" t="s">
        <v>61</v>
      </c>
      <c r="B44" s="4" t="s">
        <v>164</v>
      </c>
      <c r="C44" s="4" t="s">
        <v>45</v>
      </c>
      <c r="D44" s="4" t="s">
        <v>124</v>
      </c>
      <c r="E44" s="30" t="s">
        <v>165</v>
      </c>
    </row>
    <row r="46" spans="1:5" ht="14.25">
      <c r="A46" s="27"/>
      <c r="B46" s="28" t="s">
        <v>166</v>
      </c>
    </row>
    <row r="47" spans="1:5" ht="15">
      <c r="A47" s="29" t="s">
        <v>39</v>
      </c>
      <c r="B47" s="29" t="s">
        <v>40</v>
      </c>
      <c r="C47" s="29" t="s">
        <v>41</v>
      </c>
      <c r="D47" s="29" t="s">
        <v>42</v>
      </c>
      <c r="E47" s="29" t="s">
        <v>43</v>
      </c>
    </row>
    <row r="48" spans="1:5">
      <c r="A48" s="26" t="s">
        <v>70</v>
      </c>
      <c r="B48" s="4" t="s">
        <v>167</v>
      </c>
      <c r="C48" s="4" t="s">
        <v>168</v>
      </c>
      <c r="D48" s="4" t="s">
        <v>169</v>
      </c>
      <c r="E48" s="30" t="s">
        <v>170</v>
      </c>
    </row>
    <row r="49" spans="1:5">
      <c r="A49" s="26" t="s">
        <v>82</v>
      </c>
      <c r="B49" s="4" t="s">
        <v>171</v>
      </c>
      <c r="C49" s="4" t="s">
        <v>172</v>
      </c>
      <c r="D49" s="4" t="s">
        <v>173</v>
      </c>
      <c r="E49" s="30" t="s">
        <v>174</v>
      </c>
    </row>
    <row r="52" spans="1:5" ht="15">
      <c r="A52" s="25" t="s">
        <v>37</v>
      </c>
      <c r="B52" s="25"/>
    </row>
    <row r="53" spans="1:5" ht="14.25">
      <c r="A53" s="27"/>
      <c r="B53" s="28" t="s">
        <v>38</v>
      </c>
    </row>
    <row r="54" spans="1:5" ht="15">
      <c r="A54" s="29" t="s">
        <v>39</v>
      </c>
      <c r="B54" s="29" t="s">
        <v>40</v>
      </c>
      <c r="C54" s="29" t="s">
        <v>41</v>
      </c>
      <c r="D54" s="29" t="s">
        <v>42</v>
      </c>
      <c r="E54" s="29" t="s">
        <v>43</v>
      </c>
    </row>
    <row r="55" spans="1:5">
      <c r="A55" s="26" t="s">
        <v>92</v>
      </c>
      <c r="B55" s="4" t="s">
        <v>175</v>
      </c>
      <c r="C55" s="4" t="s">
        <v>176</v>
      </c>
      <c r="D55" s="4" t="s">
        <v>177</v>
      </c>
      <c r="E55" s="30" t="s">
        <v>178</v>
      </c>
    </row>
    <row r="56" spans="1:5">
      <c r="A56" s="26" t="s">
        <v>126</v>
      </c>
      <c r="B56" s="4" t="s">
        <v>162</v>
      </c>
      <c r="C56" s="4" t="s">
        <v>179</v>
      </c>
      <c r="D56" s="4" t="s">
        <v>180</v>
      </c>
      <c r="E56" s="30" t="s">
        <v>181</v>
      </c>
    </row>
    <row r="58" spans="1:5" ht="14.25">
      <c r="A58" s="27"/>
      <c r="B58" s="28" t="s">
        <v>182</v>
      </c>
    </row>
    <row r="59" spans="1:5" ht="15">
      <c r="A59" s="29" t="s">
        <v>39</v>
      </c>
      <c r="B59" s="29" t="s">
        <v>40</v>
      </c>
      <c r="C59" s="29" t="s">
        <v>41</v>
      </c>
      <c r="D59" s="29" t="s">
        <v>42</v>
      </c>
      <c r="E59" s="29" t="s">
        <v>43</v>
      </c>
    </row>
    <row r="60" spans="1:5">
      <c r="A60" s="26" t="s">
        <v>133</v>
      </c>
      <c r="B60" s="4" t="s">
        <v>183</v>
      </c>
      <c r="C60" s="4" t="s">
        <v>179</v>
      </c>
      <c r="D60" s="4" t="s">
        <v>184</v>
      </c>
      <c r="E60" s="30" t="s">
        <v>185</v>
      </c>
    </row>
    <row r="61" spans="1:5">
      <c r="A61" s="26" t="s">
        <v>105</v>
      </c>
      <c r="B61" s="4" t="s">
        <v>183</v>
      </c>
      <c r="C61" s="4" t="s">
        <v>176</v>
      </c>
      <c r="D61" s="4" t="s">
        <v>186</v>
      </c>
      <c r="E61" s="30" t="s">
        <v>187</v>
      </c>
    </row>
    <row r="63" spans="1:5" ht="14.25">
      <c r="A63" s="27"/>
      <c r="B63" s="28" t="s">
        <v>164</v>
      </c>
    </row>
    <row r="64" spans="1:5" ht="15">
      <c r="A64" s="29" t="s">
        <v>39</v>
      </c>
      <c r="B64" s="29" t="s">
        <v>40</v>
      </c>
      <c r="C64" s="29" t="s">
        <v>41</v>
      </c>
      <c r="D64" s="29" t="s">
        <v>42</v>
      </c>
      <c r="E64" s="29" t="s">
        <v>43</v>
      </c>
    </row>
    <row r="65" spans="1:5">
      <c r="A65" s="26" t="s">
        <v>153</v>
      </c>
      <c r="B65" s="4" t="s">
        <v>164</v>
      </c>
      <c r="C65" s="4" t="s">
        <v>188</v>
      </c>
      <c r="D65" s="4" t="s">
        <v>189</v>
      </c>
      <c r="E65" s="30" t="s">
        <v>190</v>
      </c>
    </row>
    <row r="67" spans="1:5" ht="14.25">
      <c r="A67" s="27"/>
      <c r="B67" s="28" t="s">
        <v>166</v>
      </c>
    </row>
    <row r="68" spans="1:5" ht="15">
      <c r="A68" s="29" t="s">
        <v>39</v>
      </c>
      <c r="B68" s="29" t="s">
        <v>40</v>
      </c>
      <c r="C68" s="29" t="s">
        <v>41</v>
      </c>
      <c r="D68" s="29" t="s">
        <v>42</v>
      </c>
      <c r="E68" s="29" t="s">
        <v>43</v>
      </c>
    </row>
    <row r="69" spans="1:5">
      <c r="A69" s="26" t="s">
        <v>117</v>
      </c>
      <c r="B69" s="4" t="s">
        <v>191</v>
      </c>
      <c r="C69" s="4" t="s">
        <v>176</v>
      </c>
      <c r="D69" s="4" t="s">
        <v>192</v>
      </c>
      <c r="E69" s="30" t="s">
        <v>193</v>
      </c>
    </row>
  </sheetData>
  <mergeCells count="19">
    <mergeCell ref="A15:T15"/>
    <mergeCell ref="A20:T20"/>
    <mergeCell ref="A25:T25"/>
    <mergeCell ref="S3:S4"/>
    <mergeCell ref="T3:T4"/>
    <mergeCell ref="U3:U4"/>
    <mergeCell ref="A5:T5"/>
    <mergeCell ref="A9:T9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20"/>
  <sheetViews>
    <sheetView zoomScaleNormal="100"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bestFit="1" customWidth="1"/>
    <col min="10" max="10" width="4.85546875" style="3" bestFit="1" customWidth="1"/>
    <col min="11" max="13" width="4.5703125" style="3" bestFit="1" customWidth="1"/>
    <col min="14" max="14" width="4.85546875" style="3" bestFit="1" customWidth="1"/>
    <col min="15" max="17" width="4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18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11</v>
      </c>
      <c r="H3" s="11"/>
      <c r="I3" s="11"/>
      <c r="J3" s="11"/>
      <c r="K3" s="11" t="s">
        <v>12</v>
      </c>
      <c r="L3" s="11"/>
      <c r="M3" s="11"/>
      <c r="N3" s="11"/>
      <c r="O3" s="11" t="s">
        <v>13</v>
      </c>
      <c r="P3" s="11"/>
      <c r="Q3" s="11"/>
      <c r="R3" s="11"/>
      <c r="S3" s="11" t="s">
        <v>1</v>
      </c>
      <c r="T3" s="11" t="s">
        <v>3</v>
      </c>
      <c r="U3" s="16" t="s">
        <v>2</v>
      </c>
    </row>
    <row r="4" spans="1:21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15"/>
      <c r="T4" s="15"/>
      <c r="U4" s="17"/>
    </row>
    <row r="5" spans="1:21" ht="1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1">
      <c r="A6" s="20" t="s">
        <v>16</v>
      </c>
      <c r="B6" s="20" t="s">
        <v>17</v>
      </c>
      <c r="C6" s="20" t="s">
        <v>18</v>
      </c>
      <c r="D6" s="20" t="str">
        <f>"0,9734"</f>
        <v>0,9734</v>
      </c>
      <c r="E6" s="20" t="s">
        <v>19</v>
      </c>
      <c r="F6" s="20" t="s">
        <v>20</v>
      </c>
      <c r="G6" s="21" t="s">
        <v>21</v>
      </c>
      <c r="H6" s="21" t="s">
        <v>22</v>
      </c>
      <c r="I6" s="21" t="s">
        <v>23</v>
      </c>
      <c r="J6" s="22"/>
      <c r="K6" s="21" t="s">
        <v>24</v>
      </c>
      <c r="L6" s="21" t="s">
        <v>25</v>
      </c>
      <c r="M6" s="21" t="s">
        <v>26</v>
      </c>
      <c r="N6" s="22"/>
      <c r="O6" s="21" t="s">
        <v>27</v>
      </c>
      <c r="P6" s="21" t="s">
        <v>28</v>
      </c>
      <c r="Q6" s="21" t="s">
        <v>29</v>
      </c>
      <c r="R6" s="22"/>
      <c r="S6" s="20" t="str">
        <f>"205,0"</f>
        <v>205,0</v>
      </c>
      <c r="T6" s="21" t="str">
        <f>"245,4428"</f>
        <v>245,4428</v>
      </c>
      <c r="U6" s="20" t="s">
        <v>30</v>
      </c>
    </row>
    <row r="8" spans="1:21" ht="15">
      <c r="E8" s="23" t="s">
        <v>31</v>
      </c>
    </row>
    <row r="9" spans="1:21" ht="15">
      <c r="E9" s="23" t="s">
        <v>32</v>
      </c>
    </row>
    <row r="10" spans="1:21" ht="15">
      <c r="E10" s="23" t="s">
        <v>33</v>
      </c>
    </row>
    <row r="11" spans="1:21" ht="15">
      <c r="E11" s="23" t="s">
        <v>34</v>
      </c>
    </row>
    <row r="12" spans="1:21" ht="15">
      <c r="E12" s="23" t="s">
        <v>34</v>
      </c>
    </row>
    <row r="13" spans="1:21" ht="15">
      <c r="E13" s="23" t="s">
        <v>35</v>
      </c>
    </row>
    <row r="14" spans="1:21" ht="15">
      <c r="E14" s="23"/>
    </row>
    <row r="16" spans="1:21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38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15</v>
      </c>
      <c r="B20" s="4" t="s">
        <v>44</v>
      </c>
      <c r="C20" s="4" t="s">
        <v>45</v>
      </c>
      <c r="D20" s="4" t="s">
        <v>46</v>
      </c>
      <c r="E20" s="30" t="s">
        <v>47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10.7109375" style="4" bestFit="1" customWidth="1"/>
    <col min="5" max="5" width="22.7109375" style="4" bestFit="1" customWidth="1"/>
    <col min="6" max="6" width="33.5703125" style="4" bestFit="1" customWidth="1"/>
    <col min="7" max="7" width="4.5703125" style="3" bestFit="1" customWidth="1"/>
    <col min="8" max="8" width="4.5703125" style="45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18" t="s">
        <v>1080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s="2" customFormat="1" ht="104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s="1" customFormat="1" ht="12.75" customHeight="1">
      <c r="A3" s="12" t="s">
        <v>0</v>
      </c>
      <c r="B3" s="14" t="s">
        <v>6</v>
      </c>
      <c r="C3" s="14" t="s">
        <v>7</v>
      </c>
      <c r="D3" s="11" t="s">
        <v>1081</v>
      </c>
      <c r="E3" s="11" t="s">
        <v>4</v>
      </c>
      <c r="F3" s="11" t="s">
        <v>8</v>
      </c>
      <c r="G3" s="11" t="s">
        <v>1082</v>
      </c>
      <c r="H3" s="11"/>
      <c r="I3" s="11" t="s">
        <v>781</v>
      </c>
      <c r="J3" s="11" t="s">
        <v>3</v>
      </c>
      <c r="K3" s="16" t="s">
        <v>2</v>
      </c>
    </row>
    <row r="4" spans="1:11" s="1" customFormat="1" ht="21" customHeight="1" thickBot="1">
      <c r="A4" s="13"/>
      <c r="B4" s="15"/>
      <c r="C4" s="15"/>
      <c r="D4" s="15"/>
      <c r="E4" s="15"/>
      <c r="F4" s="15"/>
      <c r="G4" s="5" t="s">
        <v>779</v>
      </c>
      <c r="H4" s="41" t="s">
        <v>780</v>
      </c>
      <c r="I4" s="15"/>
      <c r="J4" s="15"/>
      <c r="K4" s="17"/>
    </row>
    <row r="5" spans="1:11" ht="15">
      <c r="A5" s="19" t="s">
        <v>91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31" t="s">
        <v>1083</v>
      </c>
      <c r="B6" s="31" t="s">
        <v>804</v>
      </c>
      <c r="C6" s="31" t="s">
        <v>805</v>
      </c>
      <c r="D6" s="31" t="str">
        <f>"0,7638"</f>
        <v>0,7638</v>
      </c>
      <c r="E6" s="31" t="s">
        <v>109</v>
      </c>
      <c r="F6" s="31" t="s">
        <v>110</v>
      </c>
      <c r="G6" s="33" t="s">
        <v>68</v>
      </c>
      <c r="H6" s="42" t="s">
        <v>1084</v>
      </c>
      <c r="I6" s="31" t="str">
        <f>"1980,0"</f>
        <v>1980,0</v>
      </c>
      <c r="J6" s="33" t="str">
        <f>"1512,3240"</f>
        <v>1512,3240</v>
      </c>
      <c r="K6" s="31" t="s">
        <v>30</v>
      </c>
    </row>
    <row r="7" spans="1:11">
      <c r="A7" s="38" t="s">
        <v>766</v>
      </c>
      <c r="B7" s="38" t="s">
        <v>767</v>
      </c>
      <c r="C7" s="38" t="s">
        <v>768</v>
      </c>
      <c r="D7" s="38" t="str">
        <f>"0,7879"</f>
        <v>0,7879</v>
      </c>
      <c r="E7" s="38" t="s">
        <v>86</v>
      </c>
      <c r="F7" s="38" t="s">
        <v>769</v>
      </c>
      <c r="G7" s="40" t="s">
        <v>28</v>
      </c>
      <c r="H7" s="43" t="s">
        <v>845</v>
      </c>
      <c r="I7" s="38" t="str">
        <f>"1440,0"</f>
        <v>1440,0</v>
      </c>
      <c r="J7" s="40" t="str">
        <f>"1134,5760"</f>
        <v>1134,5760</v>
      </c>
      <c r="K7" s="38" t="s">
        <v>30</v>
      </c>
    </row>
    <row r="8" spans="1:11">
      <c r="A8" s="38" t="s">
        <v>972</v>
      </c>
      <c r="B8" s="38" t="s">
        <v>973</v>
      </c>
      <c r="C8" s="38" t="s">
        <v>443</v>
      </c>
      <c r="D8" s="38" t="str">
        <f>"0,7656"</f>
        <v>0,7656</v>
      </c>
      <c r="E8" s="38" t="s">
        <v>109</v>
      </c>
      <c r="F8" s="38" t="s">
        <v>110</v>
      </c>
      <c r="G8" s="40" t="s">
        <v>68</v>
      </c>
      <c r="H8" s="43" t="s">
        <v>1085</v>
      </c>
      <c r="I8" s="38" t="str">
        <f>"3465,0"</f>
        <v>3465,0</v>
      </c>
      <c r="J8" s="40" t="str">
        <f>"2652,8041"</f>
        <v>2652,8041</v>
      </c>
      <c r="K8" s="38" t="s">
        <v>30</v>
      </c>
    </row>
    <row r="9" spans="1:11">
      <c r="A9" s="34" t="s">
        <v>771</v>
      </c>
      <c r="B9" s="34" t="s">
        <v>772</v>
      </c>
      <c r="C9" s="34" t="s">
        <v>768</v>
      </c>
      <c r="D9" s="34" t="str">
        <f>"0,7879"</f>
        <v>0,7879</v>
      </c>
      <c r="E9" s="34" t="s">
        <v>86</v>
      </c>
      <c r="F9" s="34" t="s">
        <v>769</v>
      </c>
      <c r="G9" s="35" t="s">
        <v>28</v>
      </c>
      <c r="H9" s="44" t="s">
        <v>845</v>
      </c>
      <c r="I9" s="34" t="str">
        <f>"1440,0"</f>
        <v>1440,0</v>
      </c>
      <c r="J9" s="35" t="str">
        <f>"1134,5760"</f>
        <v>1134,5760</v>
      </c>
      <c r="K9" s="34" t="s">
        <v>30</v>
      </c>
    </row>
    <row r="11" spans="1:11" ht="15">
      <c r="E11" s="23" t="s">
        <v>31</v>
      </c>
    </row>
    <row r="12" spans="1:11" ht="15">
      <c r="E12" s="23" t="s">
        <v>32</v>
      </c>
    </row>
    <row r="13" spans="1:11" ht="15">
      <c r="E13" s="23" t="s">
        <v>33</v>
      </c>
    </row>
    <row r="14" spans="1:11" ht="15">
      <c r="E14" s="23" t="s">
        <v>34</v>
      </c>
    </row>
    <row r="15" spans="1:11" ht="15">
      <c r="E15" s="23" t="s">
        <v>34</v>
      </c>
    </row>
    <row r="16" spans="1:11" ht="15">
      <c r="E16" s="23" t="s">
        <v>35</v>
      </c>
    </row>
    <row r="17" spans="1:5" ht="15">
      <c r="E17" s="23"/>
    </row>
    <row r="19" spans="1:5" ht="18">
      <c r="A19" s="24" t="s">
        <v>36</v>
      </c>
      <c r="B19" s="24"/>
    </row>
    <row r="20" spans="1:5" ht="15">
      <c r="A20" s="25" t="s">
        <v>37</v>
      </c>
      <c r="B20" s="25"/>
    </row>
    <row r="21" spans="1:5" ht="14.25">
      <c r="A21" s="27"/>
      <c r="B21" s="28" t="s">
        <v>164</v>
      </c>
    </row>
    <row r="22" spans="1:5" ht="15">
      <c r="A22" s="29" t="s">
        <v>39</v>
      </c>
      <c r="B22" s="29" t="s">
        <v>40</v>
      </c>
      <c r="C22" s="29" t="s">
        <v>41</v>
      </c>
      <c r="D22" s="29" t="s">
        <v>42</v>
      </c>
      <c r="E22" s="29" t="s">
        <v>1086</v>
      </c>
    </row>
    <row r="23" spans="1:5">
      <c r="A23" s="26" t="s">
        <v>802</v>
      </c>
      <c r="B23" s="4" t="s">
        <v>164</v>
      </c>
      <c r="C23" s="4" t="s">
        <v>176</v>
      </c>
      <c r="D23" s="4" t="s">
        <v>1087</v>
      </c>
      <c r="E23" s="30" t="s">
        <v>1088</v>
      </c>
    </row>
    <row r="24" spans="1:5">
      <c r="A24" s="26" t="s">
        <v>765</v>
      </c>
      <c r="B24" s="4" t="s">
        <v>164</v>
      </c>
      <c r="C24" s="4" t="s">
        <v>176</v>
      </c>
      <c r="D24" s="4" t="s">
        <v>1089</v>
      </c>
      <c r="E24" s="30" t="s">
        <v>1090</v>
      </c>
    </row>
    <row r="26" spans="1:5" ht="14.25">
      <c r="A26" s="27"/>
      <c r="B26" s="28" t="s">
        <v>166</v>
      </c>
    </row>
    <row r="27" spans="1:5" ht="15">
      <c r="A27" s="29" t="s">
        <v>39</v>
      </c>
      <c r="B27" s="29" t="s">
        <v>40</v>
      </c>
      <c r="C27" s="29" t="s">
        <v>41</v>
      </c>
      <c r="D27" s="29" t="s">
        <v>42</v>
      </c>
      <c r="E27" s="29" t="s">
        <v>1086</v>
      </c>
    </row>
    <row r="28" spans="1:5">
      <c r="A28" s="26" t="s">
        <v>971</v>
      </c>
      <c r="B28" s="4" t="s">
        <v>191</v>
      </c>
      <c r="C28" s="4" t="s">
        <v>176</v>
      </c>
      <c r="D28" s="4" t="s">
        <v>1091</v>
      </c>
      <c r="E28" s="30" t="s">
        <v>1092</v>
      </c>
    </row>
    <row r="29" spans="1:5">
      <c r="A29" s="26" t="s">
        <v>765</v>
      </c>
      <c r="B29" s="4" t="s">
        <v>371</v>
      </c>
      <c r="C29" s="4" t="s">
        <v>176</v>
      </c>
      <c r="D29" s="4" t="s">
        <v>1089</v>
      </c>
      <c r="E29" s="30" t="s">
        <v>1090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bestFit="1" customWidth="1"/>
    <col min="10" max="10" width="4.85546875" style="3" bestFit="1" customWidth="1"/>
    <col min="11" max="13" width="4.5703125" style="3" bestFit="1" customWidth="1"/>
    <col min="14" max="14" width="4.85546875" style="3" bestFit="1" customWidth="1"/>
    <col min="15" max="15" width="7.85546875" style="4" bestFit="1" customWidth="1"/>
    <col min="16" max="16" width="7.5703125" style="3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18" t="s">
        <v>1070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7" s="2" customFormat="1" ht="10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</row>
    <row r="3" spans="1:17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881</v>
      </c>
      <c r="H3" s="11"/>
      <c r="I3" s="11"/>
      <c r="J3" s="11"/>
      <c r="K3" s="11" t="s">
        <v>910</v>
      </c>
      <c r="L3" s="11"/>
      <c r="M3" s="11"/>
      <c r="N3" s="11"/>
      <c r="O3" s="11" t="s">
        <v>1</v>
      </c>
      <c r="P3" s="11" t="s">
        <v>3</v>
      </c>
      <c r="Q3" s="16" t="s">
        <v>2</v>
      </c>
    </row>
    <row r="4" spans="1:17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15"/>
      <c r="P4" s="15"/>
      <c r="Q4" s="17"/>
    </row>
    <row r="5" spans="1:17" ht="15">
      <c r="A5" s="19" t="s">
        <v>1071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7">
      <c r="A6" s="20" t="s">
        <v>1073</v>
      </c>
      <c r="B6" s="20" t="s">
        <v>1074</v>
      </c>
      <c r="C6" s="20" t="s">
        <v>1075</v>
      </c>
      <c r="D6" s="20" t="str">
        <f>"0,6734"</f>
        <v>0,6734</v>
      </c>
      <c r="E6" s="20" t="s">
        <v>272</v>
      </c>
      <c r="F6" s="20" t="s">
        <v>20</v>
      </c>
      <c r="G6" s="21" t="s">
        <v>66</v>
      </c>
      <c r="H6" s="21" t="s">
        <v>917</v>
      </c>
      <c r="I6" s="21" t="s">
        <v>58</v>
      </c>
      <c r="J6" s="22" t="s">
        <v>1076</v>
      </c>
      <c r="K6" s="21" t="s">
        <v>911</v>
      </c>
      <c r="L6" s="21" t="s">
        <v>66</v>
      </c>
      <c r="M6" s="21" t="s">
        <v>917</v>
      </c>
      <c r="N6" s="22"/>
      <c r="O6" s="20" t="str">
        <f>"77,5"</f>
        <v>77,5</v>
      </c>
      <c r="P6" s="21" t="str">
        <f>"59,7036"</f>
        <v>59,7036</v>
      </c>
      <c r="Q6" s="20" t="s">
        <v>30</v>
      </c>
    </row>
    <row r="8" spans="1:17" ht="15">
      <c r="A8" s="37" t="s">
        <v>125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7">
      <c r="A9" s="20" t="s">
        <v>905</v>
      </c>
      <c r="B9" s="20" t="s">
        <v>906</v>
      </c>
      <c r="C9" s="20" t="s">
        <v>907</v>
      </c>
      <c r="D9" s="20" t="str">
        <f>"0,5914"</f>
        <v>0,5914</v>
      </c>
      <c r="E9" s="20" t="s">
        <v>272</v>
      </c>
      <c r="F9" s="20" t="s">
        <v>20</v>
      </c>
      <c r="G9" s="21" t="s">
        <v>28</v>
      </c>
      <c r="H9" s="21" t="s">
        <v>29</v>
      </c>
      <c r="I9" s="22" t="s">
        <v>420</v>
      </c>
      <c r="J9" s="22"/>
      <c r="K9" s="21" t="s">
        <v>21</v>
      </c>
      <c r="L9" s="21" t="s">
        <v>387</v>
      </c>
      <c r="M9" s="22" t="s">
        <v>22</v>
      </c>
      <c r="N9" s="22"/>
      <c r="O9" s="20" t="str">
        <f>"147,5"</f>
        <v>147,5</v>
      </c>
      <c r="P9" s="21" t="str">
        <f>"91,4186"</f>
        <v>91,4186</v>
      </c>
      <c r="Q9" s="20" t="s">
        <v>30</v>
      </c>
    </row>
    <row r="11" spans="1:17" ht="15">
      <c r="E11" s="23" t="s">
        <v>31</v>
      </c>
    </row>
    <row r="12" spans="1:17" ht="15">
      <c r="E12" s="23" t="s">
        <v>32</v>
      </c>
    </row>
    <row r="13" spans="1:17" ht="15">
      <c r="E13" s="23" t="s">
        <v>33</v>
      </c>
    </row>
    <row r="14" spans="1:17" ht="15">
      <c r="E14" s="23" t="s">
        <v>34</v>
      </c>
    </row>
    <row r="15" spans="1:17" ht="15">
      <c r="E15" s="23" t="s">
        <v>34</v>
      </c>
    </row>
    <row r="16" spans="1:17" ht="15">
      <c r="E16" s="23" t="s">
        <v>35</v>
      </c>
    </row>
    <row r="17" spans="1:5" ht="15">
      <c r="E17" s="23"/>
    </row>
    <row r="19" spans="1:5" ht="18">
      <c r="A19" s="24" t="s">
        <v>36</v>
      </c>
      <c r="B19" s="24"/>
    </row>
    <row r="20" spans="1:5" ht="15">
      <c r="A20" s="25" t="s">
        <v>160</v>
      </c>
      <c r="B20" s="25"/>
    </row>
    <row r="21" spans="1:5" ht="14.25">
      <c r="A21" s="27"/>
      <c r="B21" s="28" t="s">
        <v>166</v>
      </c>
    </row>
    <row r="22" spans="1:5" ht="15">
      <c r="A22" s="29" t="s">
        <v>39</v>
      </c>
      <c r="B22" s="29" t="s">
        <v>40</v>
      </c>
      <c r="C22" s="29" t="s">
        <v>41</v>
      </c>
      <c r="D22" s="29" t="s">
        <v>42</v>
      </c>
      <c r="E22" s="29" t="s">
        <v>43</v>
      </c>
    </row>
    <row r="23" spans="1:5">
      <c r="A23" s="26" t="s">
        <v>1072</v>
      </c>
      <c r="B23" s="4" t="s">
        <v>167</v>
      </c>
      <c r="C23" s="4" t="s">
        <v>1077</v>
      </c>
      <c r="D23" s="4" t="s">
        <v>27</v>
      </c>
      <c r="E23" s="30" t="s">
        <v>1078</v>
      </c>
    </row>
    <row r="26" spans="1:5" ht="15">
      <c r="A26" s="25" t="s">
        <v>37</v>
      </c>
      <c r="B26" s="25"/>
    </row>
    <row r="27" spans="1:5" ht="14.25">
      <c r="A27" s="27"/>
      <c r="B27" s="28" t="s">
        <v>166</v>
      </c>
    </row>
    <row r="28" spans="1:5" ht="15">
      <c r="A28" s="29" t="s">
        <v>39</v>
      </c>
      <c r="B28" s="29" t="s">
        <v>40</v>
      </c>
      <c r="C28" s="29" t="s">
        <v>41</v>
      </c>
      <c r="D28" s="29" t="s">
        <v>42</v>
      </c>
      <c r="E28" s="29" t="s">
        <v>43</v>
      </c>
    </row>
    <row r="29" spans="1:5">
      <c r="A29" s="26" t="s">
        <v>904</v>
      </c>
      <c r="B29" s="4" t="s">
        <v>167</v>
      </c>
      <c r="C29" s="4" t="s">
        <v>179</v>
      </c>
      <c r="D29" s="4" t="s">
        <v>458</v>
      </c>
      <c r="E29" s="30" t="s">
        <v>1079</v>
      </c>
    </row>
  </sheetData>
  <mergeCells count="14">
    <mergeCell ref="O3:O4"/>
    <mergeCell ref="P3:P4"/>
    <mergeCell ref="Q3:Q4"/>
    <mergeCell ref="A5:P5"/>
    <mergeCell ref="A8:P8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9" width="5.5703125" style="3" bestFit="1" customWidth="1"/>
    <col min="10" max="10" width="4.85546875" style="3" bestFit="1" customWidth="1"/>
    <col min="11" max="12" width="4.5703125" style="3" bestFit="1" customWidth="1"/>
    <col min="13" max="13" width="5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18" t="s">
        <v>1049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7" s="2" customFormat="1" ht="62.1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</row>
    <row r="3" spans="1:17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881</v>
      </c>
      <c r="H3" s="11"/>
      <c r="I3" s="11"/>
      <c r="J3" s="11"/>
      <c r="K3" s="11" t="s">
        <v>910</v>
      </c>
      <c r="L3" s="11"/>
      <c r="M3" s="11"/>
      <c r="N3" s="11"/>
      <c r="O3" s="11" t="s">
        <v>1</v>
      </c>
      <c r="P3" s="11" t="s">
        <v>3</v>
      </c>
      <c r="Q3" s="16" t="s">
        <v>2</v>
      </c>
    </row>
    <row r="4" spans="1:17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15"/>
      <c r="P4" s="15"/>
      <c r="Q4" s="17"/>
    </row>
    <row r="5" spans="1:17" ht="15">
      <c r="A5" s="19" t="s">
        <v>69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7">
      <c r="A6" s="31" t="s">
        <v>407</v>
      </c>
      <c r="B6" s="31" t="s">
        <v>408</v>
      </c>
      <c r="C6" s="31" t="s">
        <v>409</v>
      </c>
      <c r="D6" s="31" t="str">
        <f>"0,7278"</f>
        <v>0,7278</v>
      </c>
      <c r="E6" s="31" t="s">
        <v>109</v>
      </c>
      <c r="F6" s="31" t="s">
        <v>110</v>
      </c>
      <c r="G6" s="33" t="s">
        <v>21</v>
      </c>
      <c r="H6" s="33" t="s">
        <v>22</v>
      </c>
      <c r="I6" s="33" t="s">
        <v>399</v>
      </c>
      <c r="J6" s="32"/>
      <c r="K6" s="33" t="s">
        <v>26</v>
      </c>
      <c r="L6" s="33" t="s">
        <v>65</v>
      </c>
      <c r="M6" s="33" t="s">
        <v>380</v>
      </c>
      <c r="N6" s="32"/>
      <c r="O6" s="31" t="str">
        <f>"125,0"</f>
        <v>125,0</v>
      </c>
      <c r="P6" s="33" t="str">
        <f>"91,8848"</f>
        <v>91,8848</v>
      </c>
      <c r="Q6" s="31" t="s">
        <v>30</v>
      </c>
    </row>
    <row r="7" spans="1:17">
      <c r="A7" s="34" t="s">
        <v>411</v>
      </c>
      <c r="B7" s="34" t="s">
        <v>412</v>
      </c>
      <c r="C7" s="34" t="s">
        <v>413</v>
      </c>
      <c r="D7" s="34" t="str">
        <f>"0,7258"</f>
        <v>0,7258</v>
      </c>
      <c r="E7" s="34" t="s">
        <v>53</v>
      </c>
      <c r="F7" s="34" t="s">
        <v>20</v>
      </c>
      <c r="G7" s="35" t="s">
        <v>22</v>
      </c>
      <c r="H7" s="35" t="s">
        <v>23</v>
      </c>
      <c r="I7" s="36" t="s">
        <v>55</v>
      </c>
      <c r="J7" s="36"/>
      <c r="K7" s="35" t="s">
        <v>65</v>
      </c>
      <c r="L7" s="35" t="s">
        <v>21</v>
      </c>
      <c r="M7" s="36" t="s">
        <v>399</v>
      </c>
      <c r="N7" s="36"/>
      <c r="O7" s="34" t="str">
        <f>"130,0"</f>
        <v>130,0</v>
      </c>
      <c r="P7" s="35" t="str">
        <f>"94,3540"</f>
        <v>94,3540</v>
      </c>
      <c r="Q7" s="34" t="s">
        <v>30</v>
      </c>
    </row>
    <row r="9" spans="1:17" ht="15">
      <c r="A9" s="37" t="s">
        <v>81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7">
      <c r="A10" s="31" t="s">
        <v>1051</v>
      </c>
      <c r="B10" s="31" t="s">
        <v>1052</v>
      </c>
      <c r="C10" s="31" t="s">
        <v>947</v>
      </c>
      <c r="D10" s="31" t="str">
        <f>"0,6701"</f>
        <v>0,6701</v>
      </c>
      <c r="E10" s="31" t="s">
        <v>425</v>
      </c>
      <c r="F10" s="31" t="s">
        <v>426</v>
      </c>
      <c r="G10" s="33" t="s">
        <v>387</v>
      </c>
      <c r="H10" s="33" t="s">
        <v>23</v>
      </c>
      <c r="I10" s="32" t="s">
        <v>55</v>
      </c>
      <c r="J10" s="32"/>
      <c r="K10" s="33" t="s">
        <v>380</v>
      </c>
      <c r="L10" s="32" t="s">
        <v>387</v>
      </c>
      <c r="M10" s="32" t="s">
        <v>387</v>
      </c>
      <c r="N10" s="32"/>
      <c r="O10" s="31" t="str">
        <f>"127,5"</f>
        <v>127,5</v>
      </c>
      <c r="P10" s="33" t="str">
        <f>"88,0009"</f>
        <v>88,0009</v>
      </c>
      <c r="Q10" s="31" t="s">
        <v>30</v>
      </c>
    </row>
    <row r="11" spans="1:17">
      <c r="A11" s="34" t="s">
        <v>883</v>
      </c>
      <c r="B11" s="34" t="s">
        <v>884</v>
      </c>
      <c r="C11" s="34" t="s">
        <v>885</v>
      </c>
      <c r="D11" s="34" t="str">
        <f>"0,6730"</f>
        <v>0,6730</v>
      </c>
      <c r="E11" s="34" t="s">
        <v>109</v>
      </c>
      <c r="F11" s="34" t="s">
        <v>110</v>
      </c>
      <c r="G11" s="35" t="s">
        <v>55</v>
      </c>
      <c r="H11" s="35" t="s">
        <v>28</v>
      </c>
      <c r="I11" s="35" t="s">
        <v>29</v>
      </c>
      <c r="J11" s="36"/>
      <c r="K11" s="35" t="s">
        <v>380</v>
      </c>
      <c r="L11" s="35" t="s">
        <v>387</v>
      </c>
      <c r="M11" s="35" t="s">
        <v>22</v>
      </c>
      <c r="N11" s="36"/>
      <c r="O11" s="34" t="str">
        <f>"150,0"</f>
        <v>150,0</v>
      </c>
      <c r="P11" s="35" t="str">
        <f>"100,9500"</f>
        <v>100,9500</v>
      </c>
      <c r="Q11" s="34" t="s">
        <v>30</v>
      </c>
    </row>
    <row r="13" spans="1:17" ht="15">
      <c r="A13" s="37" t="s">
        <v>91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7">
      <c r="A14" s="31" t="s">
        <v>959</v>
      </c>
      <c r="B14" s="31" t="s">
        <v>960</v>
      </c>
      <c r="C14" s="31" t="s">
        <v>961</v>
      </c>
      <c r="D14" s="31" t="str">
        <f>"0,6203"</f>
        <v>0,6203</v>
      </c>
      <c r="E14" s="31" t="s">
        <v>272</v>
      </c>
      <c r="F14" s="31" t="s">
        <v>20</v>
      </c>
      <c r="G14" s="33" t="s">
        <v>28</v>
      </c>
      <c r="H14" s="33" t="s">
        <v>29</v>
      </c>
      <c r="I14" s="32" t="s">
        <v>420</v>
      </c>
      <c r="J14" s="32"/>
      <c r="K14" s="33" t="s">
        <v>23</v>
      </c>
      <c r="L14" s="33" t="s">
        <v>55</v>
      </c>
      <c r="M14" s="32" t="s">
        <v>27</v>
      </c>
      <c r="N14" s="32"/>
      <c r="O14" s="31" t="str">
        <f>"160,0"</f>
        <v>160,0</v>
      </c>
      <c r="P14" s="33" t="str">
        <f>"99,2480"</f>
        <v>99,2480</v>
      </c>
      <c r="Q14" s="31" t="s">
        <v>30</v>
      </c>
    </row>
    <row r="15" spans="1:17">
      <c r="A15" s="38" t="s">
        <v>963</v>
      </c>
      <c r="B15" s="38" t="s">
        <v>964</v>
      </c>
      <c r="C15" s="38" t="s">
        <v>434</v>
      </c>
      <c r="D15" s="38" t="str">
        <f>"0,6418"</f>
        <v>0,6418</v>
      </c>
      <c r="E15" s="38" t="s">
        <v>53</v>
      </c>
      <c r="F15" s="38" t="s">
        <v>398</v>
      </c>
      <c r="G15" s="39" t="s">
        <v>22</v>
      </c>
      <c r="H15" s="40" t="s">
        <v>55</v>
      </c>
      <c r="I15" s="40" t="s">
        <v>28</v>
      </c>
      <c r="J15" s="39"/>
      <c r="K15" s="40" t="s">
        <v>22</v>
      </c>
      <c r="L15" s="40" t="s">
        <v>23</v>
      </c>
      <c r="M15" s="40" t="s">
        <v>965</v>
      </c>
      <c r="N15" s="39"/>
      <c r="O15" s="38" t="str">
        <f>"152,5"</f>
        <v>152,5</v>
      </c>
      <c r="P15" s="40" t="str">
        <f>"97,8745"</f>
        <v>97,8745</v>
      </c>
      <c r="Q15" s="38" t="s">
        <v>30</v>
      </c>
    </row>
    <row r="16" spans="1:17">
      <c r="A16" s="38" t="s">
        <v>1054</v>
      </c>
      <c r="B16" s="38" t="s">
        <v>1055</v>
      </c>
      <c r="C16" s="38" t="s">
        <v>95</v>
      </c>
      <c r="D16" s="38" t="str">
        <f>"0,6273"</f>
        <v>0,6273</v>
      </c>
      <c r="E16" s="38" t="s">
        <v>53</v>
      </c>
      <c r="F16" s="38" t="s">
        <v>20</v>
      </c>
      <c r="G16" s="39" t="s">
        <v>965</v>
      </c>
      <c r="H16" s="40" t="s">
        <v>27</v>
      </c>
      <c r="I16" s="40" t="s">
        <v>28</v>
      </c>
      <c r="J16" s="39"/>
      <c r="K16" s="40" t="s">
        <v>387</v>
      </c>
      <c r="L16" s="40" t="s">
        <v>399</v>
      </c>
      <c r="M16" s="40" t="s">
        <v>54</v>
      </c>
      <c r="N16" s="39"/>
      <c r="O16" s="38" t="str">
        <f>"150,0"</f>
        <v>150,0</v>
      </c>
      <c r="P16" s="40" t="str">
        <f>"94,0950"</f>
        <v>94,0950</v>
      </c>
      <c r="Q16" s="38" t="s">
        <v>30</v>
      </c>
    </row>
    <row r="17" spans="1:17">
      <c r="A17" s="34" t="s">
        <v>1056</v>
      </c>
      <c r="B17" s="34" t="s">
        <v>969</v>
      </c>
      <c r="C17" s="34" t="s">
        <v>277</v>
      </c>
      <c r="D17" s="34" t="str">
        <f>"0,6262"</f>
        <v>0,6262</v>
      </c>
      <c r="E17" s="34" t="s">
        <v>109</v>
      </c>
      <c r="F17" s="34" t="s">
        <v>110</v>
      </c>
      <c r="G17" s="35" t="s">
        <v>23</v>
      </c>
      <c r="H17" s="36" t="s">
        <v>965</v>
      </c>
      <c r="I17" s="35" t="s">
        <v>965</v>
      </c>
      <c r="J17" s="36"/>
      <c r="K17" s="36" t="s">
        <v>23</v>
      </c>
      <c r="L17" s="36" t="s">
        <v>23</v>
      </c>
      <c r="M17" s="36" t="s">
        <v>23</v>
      </c>
      <c r="N17" s="36"/>
      <c r="O17" s="34" t="str">
        <f>"0.00"</f>
        <v>0.00</v>
      </c>
      <c r="P17" s="35" t="str">
        <f>"0,0000"</f>
        <v>0,0000</v>
      </c>
      <c r="Q17" s="34" t="s">
        <v>30</v>
      </c>
    </row>
    <row r="19" spans="1:17" ht="15">
      <c r="A19" s="37" t="s">
        <v>152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7">
      <c r="A20" s="31" t="s">
        <v>1058</v>
      </c>
      <c r="B20" s="31" t="s">
        <v>1059</v>
      </c>
      <c r="C20" s="31" t="s">
        <v>1060</v>
      </c>
      <c r="D20" s="31" t="str">
        <f>"0,5605"</f>
        <v>0,5605</v>
      </c>
      <c r="E20" s="31" t="s">
        <v>53</v>
      </c>
      <c r="F20" s="31" t="s">
        <v>398</v>
      </c>
      <c r="G20" s="33" t="s">
        <v>22</v>
      </c>
      <c r="H20" s="33" t="s">
        <v>23</v>
      </c>
      <c r="I20" s="33" t="s">
        <v>965</v>
      </c>
      <c r="J20" s="32"/>
      <c r="K20" s="33" t="s">
        <v>392</v>
      </c>
      <c r="L20" s="33" t="s">
        <v>380</v>
      </c>
      <c r="M20" s="32" t="s">
        <v>21</v>
      </c>
      <c r="N20" s="32"/>
      <c r="O20" s="31" t="str">
        <f>"130,0"</f>
        <v>130,0</v>
      </c>
      <c r="P20" s="33" t="str">
        <f>"74,3223"</f>
        <v>74,3223</v>
      </c>
      <c r="Q20" s="31" t="s">
        <v>30</v>
      </c>
    </row>
    <row r="21" spans="1:17">
      <c r="A21" s="34" t="s">
        <v>891</v>
      </c>
      <c r="B21" s="34" t="s">
        <v>892</v>
      </c>
      <c r="C21" s="34" t="s">
        <v>893</v>
      </c>
      <c r="D21" s="34" t="str">
        <f>"0,5583"</f>
        <v>0,5583</v>
      </c>
      <c r="E21" s="34" t="s">
        <v>109</v>
      </c>
      <c r="F21" s="34" t="s">
        <v>110</v>
      </c>
      <c r="G21" s="35" t="s">
        <v>131</v>
      </c>
      <c r="H21" s="35" t="s">
        <v>679</v>
      </c>
      <c r="I21" s="36" t="s">
        <v>121</v>
      </c>
      <c r="J21" s="36"/>
      <c r="K21" s="35" t="s">
        <v>28</v>
      </c>
      <c r="L21" s="35" t="s">
        <v>29</v>
      </c>
      <c r="M21" s="35" t="s">
        <v>420</v>
      </c>
      <c r="N21" s="36"/>
      <c r="O21" s="34" t="str">
        <f>"195,0"</f>
        <v>195,0</v>
      </c>
      <c r="P21" s="35" t="str">
        <f>"108,8685"</f>
        <v>108,8685</v>
      </c>
      <c r="Q21" s="34" t="s">
        <v>30</v>
      </c>
    </row>
    <row r="23" spans="1:17" ht="15">
      <c r="E23" s="23" t="s">
        <v>31</v>
      </c>
    </row>
    <row r="24" spans="1:17" ht="15">
      <c r="E24" s="23" t="s">
        <v>32</v>
      </c>
    </row>
    <row r="25" spans="1:17" ht="15">
      <c r="E25" s="23" t="s">
        <v>33</v>
      </c>
    </row>
    <row r="26" spans="1:17" ht="15">
      <c r="E26" s="23" t="s">
        <v>34</v>
      </c>
    </row>
    <row r="27" spans="1:17" ht="15">
      <c r="E27" s="23" t="s">
        <v>34</v>
      </c>
    </row>
    <row r="28" spans="1:17" ht="15">
      <c r="E28" s="23" t="s">
        <v>35</v>
      </c>
    </row>
    <row r="29" spans="1:17" ht="15">
      <c r="E29" s="23"/>
    </row>
    <row r="31" spans="1:17" ht="18">
      <c r="A31" s="24" t="s">
        <v>36</v>
      </c>
      <c r="B31" s="24"/>
    </row>
    <row r="32" spans="1:17" ht="15">
      <c r="A32" s="25" t="s">
        <v>37</v>
      </c>
      <c r="B32" s="25"/>
    </row>
    <row r="33" spans="1:5" ht="14.25">
      <c r="A33" s="27"/>
      <c r="B33" s="28" t="s">
        <v>182</v>
      </c>
    </row>
    <row r="34" spans="1:5" ht="15">
      <c r="A34" s="29" t="s">
        <v>39</v>
      </c>
      <c r="B34" s="29" t="s">
        <v>40</v>
      </c>
      <c r="C34" s="29" t="s">
        <v>41</v>
      </c>
      <c r="D34" s="29" t="s">
        <v>42</v>
      </c>
      <c r="E34" s="29" t="s">
        <v>43</v>
      </c>
    </row>
    <row r="35" spans="1:5">
      <c r="A35" s="26" t="s">
        <v>406</v>
      </c>
      <c r="B35" s="4" t="s">
        <v>183</v>
      </c>
      <c r="C35" s="4" t="s">
        <v>168</v>
      </c>
      <c r="D35" s="4" t="s">
        <v>139</v>
      </c>
      <c r="E35" s="30" t="s">
        <v>1061</v>
      </c>
    </row>
    <row r="36" spans="1:5">
      <c r="A36" s="26" t="s">
        <v>1050</v>
      </c>
      <c r="B36" s="4" t="s">
        <v>183</v>
      </c>
      <c r="C36" s="4" t="s">
        <v>172</v>
      </c>
      <c r="D36" s="4" t="s">
        <v>287</v>
      </c>
      <c r="E36" s="30" t="s">
        <v>1062</v>
      </c>
    </row>
    <row r="37" spans="1:5">
      <c r="A37" s="26" t="s">
        <v>1057</v>
      </c>
      <c r="B37" s="4" t="s">
        <v>183</v>
      </c>
      <c r="C37" s="4" t="s">
        <v>188</v>
      </c>
      <c r="D37" s="4" t="s">
        <v>96</v>
      </c>
      <c r="E37" s="30" t="s">
        <v>1063</v>
      </c>
    </row>
    <row r="39" spans="1:5" ht="14.25">
      <c r="A39" s="27"/>
      <c r="B39" s="28" t="s">
        <v>164</v>
      </c>
    </row>
    <row r="40" spans="1:5" ht="15">
      <c r="A40" s="29" t="s">
        <v>39</v>
      </c>
      <c r="B40" s="29" t="s">
        <v>40</v>
      </c>
      <c r="C40" s="29" t="s">
        <v>41</v>
      </c>
      <c r="D40" s="29" t="s">
        <v>42</v>
      </c>
      <c r="E40" s="29" t="s">
        <v>43</v>
      </c>
    </row>
    <row r="41" spans="1:5">
      <c r="A41" s="26" t="s">
        <v>882</v>
      </c>
      <c r="B41" s="4" t="s">
        <v>164</v>
      </c>
      <c r="C41" s="4" t="s">
        <v>172</v>
      </c>
      <c r="D41" s="4" t="s">
        <v>102</v>
      </c>
      <c r="E41" s="30" t="s">
        <v>1064</v>
      </c>
    </row>
    <row r="42" spans="1:5">
      <c r="A42" s="26" t="s">
        <v>958</v>
      </c>
      <c r="B42" s="4" t="s">
        <v>164</v>
      </c>
      <c r="C42" s="4" t="s">
        <v>176</v>
      </c>
      <c r="D42" s="4" t="s">
        <v>103</v>
      </c>
      <c r="E42" s="30" t="s">
        <v>1065</v>
      </c>
    </row>
    <row r="43" spans="1:5">
      <c r="A43" s="26" t="s">
        <v>962</v>
      </c>
      <c r="B43" s="4" t="s">
        <v>164</v>
      </c>
      <c r="C43" s="4" t="s">
        <v>176</v>
      </c>
      <c r="D43" s="4" t="s">
        <v>297</v>
      </c>
      <c r="E43" s="30" t="s">
        <v>1066</v>
      </c>
    </row>
    <row r="44" spans="1:5">
      <c r="A44" s="26" t="s">
        <v>410</v>
      </c>
      <c r="B44" s="4" t="s">
        <v>164</v>
      </c>
      <c r="C44" s="4" t="s">
        <v>168</v>
      </c>
      <c r="D44" s="4" t="s">
        <v>96</v>
      </c>
      <c r="E44" s="30" t="s">
        <v>1067</v>
      </c>
    </row>
    <row r="45" spans="1:5">
      <c r="A45" s="26" t="s">
        <v>1053</v>
      </c>
      <c r="B45" s="4" t="s">
        <v>164</v>
      </c>
      <c r="C45" s="4" t="s">
        <v>176</v>
      </c>
      <c r="D45" s="4" t="s">
        <v>102</v>
      </c>
      <c r="E45" s="30" t="s">
        <v>1068</v>
      </c>
    </row>
    <row r="47" spans="1:5" ht="14.25">
      <c r="A47" s="27"/>
      <c r="B47" s="28" t="s">
        <v>166</v>
      </c>
    </row>
    <row r="48" spans="1:5" ht="15">
      <c r="A48" s="29" t="s">
        <v>39</v>
      </c>
      <c r="B48" s="29" t="s">
        <v>40</v>
      </c>
      <c r="C48" s="29" t="s">
        <v>41</v>
      </c>
      <c r="D48" s="29" t="s">
        <v>42</v>
      </c>
      <c r="E48" s="29" t="s">
        <v>43</v>
      </c>
    </row>
    <row r="49" spans="1:5">
      <c r="A49" s="26" t="s">
        <v>890</v>
      </c>
      <c r="B49" s="4" t="s">
        <v>191</v>
      </c>
      <c r="C49" s="4" t="s">
        <v>188</v>
      </c>
      <c r="D49" s="4" t="s">
        <v>564</v>
      </c>
      <c r="E49" s="30" t="s">
        <v>1069</v>
      </c>
    </row>
  </sheetData>
  <mergeCells count="16">
    <mergeCell ref="A19:P19"/>
    <mergeCell ref="O3:O4"/>
    <mergeCell ref="P3:P4"/>
    <mergeCell ref="Q3:Q4"/>
    <mergeCell ref="A5:P5"/>
    <mergeCell ref="A9:P9"/>
    <mergeCell ref="A13:P13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1038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98.2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910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1040</v>
      </c>
      <c r="B6" s="20" t="s">
        <v>1041</v>
      </c>
      <c r="C6" s="20" t="s">
        <v>1042</v>
      </c>
      <c r="D6" s="20" t="str">
        <f>"1,3133"</f>
        <v>1,3133</v>
      </c>
      <c r="E6" s="20" t="s">
        <v>272</v>
      </c>
      <c r="F6" s="20" t="s">
        <v>20</v>
      </c>
      <c r="G6" s="21" t="s">
        <v>1043</v>
      </c>
      <c r="H6" s="21" t="s">
        <v>1044</v>
      </c>
      <c r="I6" s="21" t="s">
        <v>876</v>
      </c>
      <c r="J6" s="22"/>
      <c r="K6" s="20" t="str">
        <f>"15,0"</f>
        <v>15,0</v>
      </c>
      <c r="L6" s="21" t="str">
        <f>"24,2304"</f>
        <v>24,2304</v>
      </c>
      <c r="M6" s="20" t="s">
        <v>30</v>
      </c>
    </row>
    <row r="8" spans="1:13" ht="15">
      <c r="A8" s="37" t="s">
        <v>125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905</v>
      </c>
      <c r="B9" s="20" t="s">
        <v>906</v>
      </c>
      <c r="C9" s="20" t="s">
        <v>907</v>
      </c>
      <c r="D9" s="20" t="str">
        <f>"0,5914"</f>
        <v>0,5914</v>
      </c>
      <c r="E9" s="20" t="s">
        <v>272</v>
      </c>
      <c r="F9" s="20" t="s">
        <v>20</v>
      </c>
      <c r="G9" s="21" t="s">
        <v>21</v>
      </c>
      <c r="H9" s="21" t="s">
        <v>387</v>
      </c>
      <c r="I9" s="22" t="s">
        <v>22</v>
      </c>
      <c r="J9" s="22"/>
      <c r="K9" s="20" t="str">
        <f>"62,5"</f>
        <v>62,5</v>
      </c>
      <c r="L9" s="21" t="str">
        <f>"38,7367"</f>
        <v>38,7367</v>
      </c>
      <c r="M9" s="20" t="s">
        <v>30</v>
      </c>
    </row>
    <row r="11" spans="1:13" ht="15">
      <c r="A11" s="37" t="s">
        <v>152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31" t="s">
        <v>576</v>
      </c>
      <c r="B12" s="31" t="s">
        <v>577</v>
      </c>
      <c r="C12" s="31" t="s">
        <v>578</v>
      </c>
      <c r="D12" s="31" t="str">
        <f>"0,5701"</f>
        <v>0,5701</v>
      </c>
      <c r="E12" s="31" t="s">
        <v>199</v>
      </c>
      <c r="F12" s="31" t="s">
        <v>200</v>
      </c>
      <c r="G12" s="33" t="s">
        <v>65</v>
      </c>
      <c r="H12" s="33" t="s">
        <v>387</v>
      </c>
      <c r="I12" s="32" t="s">
        <v>399</v>
      </c>
      <c r="J12" s="32"/>
      <c r="K12" s="31" t="str">
        <f>"62,5"</f>
        <v>62,5</v>
      </c>
      <c r="L12" s="33" t="str">
        <f>"36,3439"</f>
        <v>36,3439</v>
      </c>
      <c r="M12" s="31" t="s">
        <v>30</v>
      </c>
    </row>
    <row r="13" spans="1:13">
      <c r="A13" s="34" t="s">
        <v>891</v>
      </c>
      <c r="B13" s="34" t="s">
        <v>892</v>
      </c>
      <c r="C13" s="34" t="s">
        <v>893</v>
      </c>
      <c r="D13" s="34" t="str">
        <f>"0,5583"</f>
        <v>0,5583</v>
      </c>
      <c r="E13" s="34" t="s">
        <v>109</v>
      </c>
      <c r="F13" s="34" t="s">
        <v>110</v>
      </c>
      <c r="G13" s="35" t="s">
        <v>28</v>
      </c>
      <c r="H13" s="35" t="s">
        <v>29</v>
      </c>
      <c r="I13" s="35" t="s">
        <v>420</v>
      </c>
      <c r="J13" s="36"/>
      <c r="K13" s="34" t="str">
        <f>"87,5"</f>
        <v>87,5</v>
      </c>
      <c r="L13" s="35" t="str">
        <f>"48,8513"</f>
        <v>48,8513</v>
      </c>
      <c r="M13" s="34" t="s">
        <v>30</v>
      </c>
    </row>
    <row r="15" spans="1:13" ht="15">
      <c r="A15" s="37" t="s">
        <v>219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3">
      <c r="A16" s="20" t="s">
        <v>349</v>
      </c>
      <c r="B16" s="20" t="s">
        <v>350</v>
      </c>
      <c r="C16" s="20" t="s">
        <v>351</v>
      </c>
      <c r="D16" s="20" t="str">
        <f>"0,5375"</f>
        <v>0,5375</v>
      </c>
      <c r="E16" s="20" t="s">
        <v>86</v>
      </c>
      <c r="F16" s="20" t="s">
        <v>87</v>
      </c>
      <c r="G16" s="21" t="s">
        <v>21</v>
      </c>
      <c r="H16" s="21" t="s">
        <v>23</v>
      </c>
      <c r="I16" s="21" t="s">
        <v>27</v>
      </c>
      <c r="J16" s="22"/>
      <c r="K16" s="20" t="str">
        <f>"77,5"</f>
        <v>77,5</v>
      </c>
      <c r="L16" s="21" t="str">
        <f>"55,4028"</f>
        <v>55,4028</v>
      </c>
      <c r="M16" s="20" t="s">
        <v>30</v>
      </c>
    </row>
    <row r="18" spans="1:5" ht="15">
      <c r="E18" s="23" t="s">
        <v>31</v>
      </c>
    </row>
    <row r="19" spans="1:5" ht="15">
      <c r="E19" s="23" t="s">
        <v>32</v>
      </c>
    </row>
    <row r="20" spans="1:5" ht="15">
      <c r="E20" s="23" t="s">
        <v>33</v>
      </c>
    </row>
    <row r="21" spans="1:5" ht="15">
      <c r="E21" s="23" t="s">
        <v>34</v>
      </c>
    </row>
    <row r="22" spans="1:5" ht="15">
      <c r="E22" s="23" t="s">
        <v>34</v>
      </c>
    </row>
    <row r="23" spans="1:5" ht="15">
      <c r="E23" s="23" t="s">
        <v>35</v>
      </c>
    </row>
    <row r="24" spans="1:5" ht="15">
      <c r="E24" s="23"/>
    </row>
    <row r="26" spans="1:5" ht="18">
      <c r="A26" s="24" t="s">
        <v>36</v>
      </c>
      <c r="B26" s="24"/>
    </row>
    <row r="27" spans="1:5" ht="15">
      <c r="A27" s="25" t="s">
        <v>37</v>
      </c>
      <c r="B27" s="25"/>
    </row>
    <row r="28" spans="1:5" ht="14.25">
      <c r="A28" s="27"/>
      <c r="B28" s="28" t="s">
        <v>38</v>
      </c>
    </row>
    <row r="29" spans="1:5" ht="15">
      <c r="A29" s="29" t="s">
        <v>39</v>
      </c>
      <c r="B29" s="29" t="s">
        <v>40</v>
      </c>
      <c r="C29" s="29" t="s">
        <v>41</v>
      </c>
      <c r="D29" s="29" t="s">
        <v>42</v>
      </c>
      <c r="E29" s="29" t="s">
        <v>43</v>
      </c>
    </row>
    <row r="30" spans="1:5">
      <c r="A30" s="26" t="s">
        <v>1039</v>
      </c>
      <c r="B30" s="4" t="s">
        <v>44</v>
      </c>
      <c r="C30" s="4" t="s">
        <v>45</v>
      </c>
      <c r="D30" s="4" t="s">
        <v>876</v>
      </c>
      <c r="E30" s="30" t="s">
        <v>1045</v>
      </c>
    </row>
    <row r="32" spans="1:5" ht="14.25">
      <c r="A32" s="27"/>
      <c r="B32" s="28" t="s">
        <v>182</v>
      </c>
    </row>
    <row r="33" spans="1:5" ht="15">
      <c r="A33" s="29" t="s">
        <v>39</v>
      </c>
      <c r="B33" s="29" t="s">
        <v>40</v>
      </c>
      <c r="C33" s="29" t="s">
        <v>41</v>
      </c>
      <c r="D33" s="29" t="s">
        <v>42</v>
      </c>
      <c r="E33" s="29" t="s">
        <v>43</v>
      </c>
    </row>
    <row r="34" spans="1:5">
      <c r="A34" s="26" t="s">
        <v>575</v>
      </c>
      <c r="B34" s="4" t="s">
        <v>183</v>
      </c>
      <c r="C34" s="4" t="s">
        <v>188</v>
      </c>
      <c r="D34" s="4" t="s">
        <v>387</v>
      </c>
      <c r="E34" s="30" t="s">
        <v>1046</v>
      </c>
    </row>
    <row r="36" spans="1:5" ht="14.25">
      <c r="A36" s="27"/>
      <c r="B36" s="28" t="s">
        <v>166</v>
      </c>
    </row>
    <row r="37" spans="1:5" ht="15">
      <c r="A37" s="29" t="s">
        <v>39</v>
      </c>
      <c r="B37" s="29" t="s">
        <v>40</v>
      </c>
      <c r="C37" s="29" t="s">
        <v>41</v>
      </c>
      <c r="D37" s="29" t="s">
        <v>42</v>
      </c>
      <c r="E37" s="29" t="s">
        <v>43</v>
      </c>
    </row>
    <row r="38" spans="1:5">
      <c r="A38" s="26" t="s">
        <v>348</v>
      </c>
      <c r="B38" s="4" t="s">
        <v>249</v>
      </c>
      <c r="C38" s="4" t="s">
        <v>242</v>
      </c>
      <c r="D38" s="4" t="s">
        <v>27</v>
      </c>
      <c r="E38" s="30" t="s">
        <v>1047</v>
      </c>
    </row>
    <row r="39" spans="1:5">
      <c r="A39" s="26" t="s">
        <v>890</v>
      </c>
      <c r="B39" s="4" t="s">
        <v>191</v>
      </c>
      <c r="C39" s="4" t="s">
        <v>188</v>
      </c>
      <c r="D39" s="4" t="s">
        <v>420</v>
      </c>
      <c r="E39" s="30" t="s">
        <v>1017</v>
      </c>
    </row>
    <row r="40" spans="1:5">
      <c r="A40" s="26" t="s">
        <v>904</v>
      </c>
      <c r="B40" s="4" t="s">
        <v>167</v>
      </c>
      <c r="C40" s="4" t="s">
        <v>179</v>
      </c>
      <c r="D40" s="4" t="s">
        <v>387</v>
      </c>
      <c r="E40" s="30" t="s">
        <v>1048</v>
      </c>
    </row>
  </sheetData>
  <mergeCells count="15">
    <mergeCell ref="A15:L15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5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9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909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06.5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910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389</v>
      </c>
      <c r="B6" s="20" t="s">
        <v>390</v>
      </c>
      <c r="C6" s="20" t="s">
        <v>391</v>
      </c>
      <c r="D6" s="20" t="str">
        <f>"0,7434"</f>
        <v>0,7434</v>
      </c>
      <c r="E6" s="20" t="s">
        <v>109</v>
      </c>
      <c r="F6" s="20" t="s">
        <v>110</v>
      </c>
      <c r="G6" s="21" t="s">
        <v>911</v>
      </c>
      <c r="H6" s="21" t="s">
        <v>751</v>
      </c>
      <c r="I6" s="21" t="s">
        <v>66</v>
      </c>
      <c r="J6" s="22"/>
      <c r="K6" s="20" t="str">
        <f>"32,5"</f>
        <v>32,5</v>
      </c>
      <c r="L6" s="21" t="str">
        <f>"25,6119"</f>
        <v>25,6119</v>
      </c>
      <c r="M6" s="20" t="s">
        <v>30</v>
      </c>
    </row>
    <row r="8" spans="1:13" ht="15">
      <c r="A8" s="37" t="s">
        <v>14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>
      <c r="A9" s="20" t="s">
        <v>913</v>
      </c>
      <c r="B9" s="20" t="s">
        <v>914</v>
      </c>
      <c r="C9" s="20" t="s">
        <v>915</v>
      </c>
      <c r="D9" s="20" t="str">
        <f>"1,0136"</f>
        <v>1,0136</v>
      </c>
      <c r="E9" s="20" t="s">
        <v>916</v>
      </c>
      <c r="F9" s="20" t="s">
        <v>398</v>
      </c>
      <c r="G9" s="22" t="s">
        <v>783</v>
      </c>
      <c r="H9" s="22" t="s">
        <v>911</v>
      </c>
      <c r="I9" s="21" t="s">
        <v>911</v>
      </c>
      <c r="J9" s="22"/>
      <c r="K9" s="20" t="str">
        <f>"27,5"</f>
        <v>27,5</v>
      </c>
      <c r="L9" s="21" t="str">
        <f>"32,8913"</f>
        <v>32,8913</v>
      </c>
      <c r="M9" s="20" t="s">
        <v>30</v>
      </c>
    </row>
    <row r="11" spans="1:13" ht="15">
      <c r="A11" s="37" t="s">
        <v>381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>
      <c r="A12" s="31" t="s">
        <v>797</v>
      </c>
      <c r="B12" s="31" t="s">
        <v>798</v>
      </c>
      <c r="C12" s="31" t="s">
        <v>799</v>
      </c>
      <c r="D12" s="31" t="str">
        <f>"0,8301"</f>
        <v>0,8301</v>
      </c>
      <c r="E12" s="31" t="s">
        <v>53</v>
      </c>
      <c r="F12" s="31" t="s">
        <v>398</v>
      </c>
      <c r="G12" s="33" t="s">
        <v>783</v>
      </c>
      <c r="H12" s="33" t="s">
        <v>56</v>
      </c>
      <c r="I12" s="32" t="s">
        <v>66</v>
      </c>
      <c r="J12" s="32"/>
      <c r="K12" s="31" t="str">
        <f>"30,0"</f>
        <v>30,0</v>
      </c>
      <c r="L12" s="33" t="str">
        <f>"30,6307"</f>
        <v>30,6307</v>
      </c>
      <c r="M12" s="31" t="s">
        <v>30</v>
      </c>
    </row>
    <row r="13" spans="1:13">
      <c r="A13" s="38" t="s">
        <v>394</v>
      </c>
      <c r="B13" s="38" t="s">
        <v>395</v>
      </c>
      <c r="C13" s="38" t="s">
        <v>396</v>
      </c>
      <c r="D13" s="38" t="str">
        <f>"0,8271"</f>
        <v>0,8271</v>
      </c>
      <c r="E13" s="38" t="s">
        <v>397</v>
      </c>
      <c r="F13" s="38" t="s">
        <v>398</v>
      </c>
      <c r="G13" s="40" t="s">
        <v>911</v>
      </c>
      <c r="H13" s="40" t="s">
        <v>66</v>
      </c>
      <c r="I13" s="40" t="s">
        <v>917</v>
      </c>
      <c r="J13" s="39"/>
      <c r="K13" s="38" t="str">
        <f>"37,5"</f>
        <v>37,5</v>
      </c>
      <c r="L13" s="40" t="str">
        <f>"36,5992"</f>
        <v>36,5992</v>
      </c>
      <c r="M13" s="38" t="s">
        <v>30</v>
      </c>
    </row>
    <row r="14" spans="1:13">
      <c r="A14" s="34" t="s">
        <v>919</v>
      </c>
      <c r="B14" s="34" t="s">
        <v>920</v>
      </c>
      <c r="C14" s="34" t="s">
        <v>921</v>
      </c>
      <c r="D14" s="34" t="str">
        <f>"0,8630"</f>
        <v>0,8630</v>
      </c>
      <c r="E14" s="34" t="s">
        <v>916</v>
      </c>
      <c r="F14" s="34" t="s">
        <v>426</v>
      </c>
      <c r="G14" s="35" t="s">
        <v>751</v>
      </c>
      <c r="H14" s="36" t="s">
        <v>24</v>
      </c>
      <c r="I14" s="36" t="s">
        <v>24</v>
      </c>
      <c r="J14" s="36"/>
      <c r="K14" s="34" t="str">
        <f>"30,0"</f>
        <v>30,0</v>
      </c>
      <c r="L14" s="35" t="str">
        <f>"30,5502"</f>
        <v>30,5502</v>
      </c>
      <c r="M14" s="34" t="s">
        <v>30</v>
      </c>
    </row>
    <row r="16" spans="1:13" ht="15">
      <c r="A16" s="37" t="s">
        <v>69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3">
      <c r="A17" s="31" t="s">
        <v>923</v>
      </c>
      <c r="B17" s="31" t="s">
        <v>924</v>
      </c>
      <c r="C17" s="31" t="s">
        <v>925</v>
      </c>
      <c r="D17" s="31" t="str">
        <f>"0,7524"</f>
        <v>0,7524</v>
      </c>
      <c r="E17" s="31" t="s">
        <v>916</v>
      </c>
      <c r="F17" s="31" t="s">
        <v>926</v>
      </c>
      <c r="G17" s="33" t="s">
        <v>751</v>
      </c>
      <c r="H17" s="33" t="s">
        <v>25</v>
      </c>
      <c r="I17" s="32" t="s">
        <v>392</v>
      </c>
      <c r="J17" s="32"/>
      <c r="K17" s="31" t="str">
        <f>"47,5"</f>
        <v>47,5</v>
      </c>
      <c r="L17" s="33" t="str">
        <f>"43,9590"</f>
        <v>43,9590</v>
      </c>
      <c r="M17" s="31" t="s">
        <v>30</v>
      </c>
    </row>
    <row r="18" spans="1:13">
      <c r="A18" s="34" t="s">
        <v>928</v>
      </c>
      <c r="B18" s="34" t="s">
        <v>929</v>
      </c>
      <c r="C18" s="34" t="s">
        <v>925</v>
      </c>
      <c r="D18" s="34" t="str">
        <f>"0,7524"</f>
        <v>0,7524</v>
      </c>
      <c r="E18" s="34" t="s">
        <v>199</v>
      </c>
      <c r="F18" s="34" t="s">
        <v>200</v>
      </c>
      <c r="G18" s="36" t="s">
        <v>24</v>
      </c>
      <c r="H18" s="36" t="s">
        <v>24</v>
      </c>
      <c r="I18" s="36" t="s">
        <v>24</v>
      </c>
      <c r="J18" s="36"/>
      <c r="K18" s="34" t="str">
        <f>"0.00"</f>
        <v>0.00</v>
      </c>
      <c r="L18" s="35" t="str">
        <f>"0,0000"</f>
        <v>0,0000</v>
      </c>
      <c r="M18" s="34" t="s">
        <v>30</v>
      </c>
    </row>
    <row r="20" spans="1:13" ht="15">
      <c r="A20" s="37" t="s">
        <v>81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3">
      <c r="A21" s="31" t="s">
        <v>931</v>
      </c>
      <c r="B21" s="31" t="s">
        <v>932</v>
      </c>
      <c r="C21" s="31" t="s">
        <v>933</v>
      </c>
      <c r="D21" s="31" t="str">
        <f>"0,7211"</f>
        <v>0,7211</v>
      </c>
      <c r="E21" s="31" t="s">
        <v>916</v>
      </c>
      <c r="F21" s="31" t="s">
        <v>20</v>
      </c>
      <c r="G21" s="33" t="s">
        <v>58</v>
      </c>
      <c r="H21" s="33" t="s">
        <v>24</v>
      </c>
      <c r="I21" s="32" t="s">
        <v>392</v>
      </c>
      <c r="J21" s="32"/>
      <c r="K21" s="31" t="str">
        <f>"45,0"</f>
        <v>45,0</v>
      </c>
      <c r="L21" s="33" t="str">
        <f>"38,2904"</f>
        <v>38,2904</v>
      </c>
      <c r="M21" s="31" t="s">
        <v>30</v>
      </c>
    </row>
    <row r="22" spans="1:13">
      <c r="A22" s="38" t="s">
        <v>935</v>
      </c>
      <c r="B22" s="38" t="s">
        <v>936</v>
      </c>
      <c r="C22" s="38" t="s">
        <v>198</v>
      </c>
      <c r="D22" s="38" t="str">
        <f>"0,6828"</f>
        <v>0,6828</v>
      </c>
      <c r="E22" s="38" t="s">
        <v>916</v>
      </c>
      <c r="F22" s="38" t="s">
        <v>20</v>
      </c>
      <c r="G22" s="40" t="s">
        <v>24</v>
      </c>
      <c r="H22" s="39" t="s">
        <v>392</v>
      </c>
      <c r="I22" s="39" t="s">
        <v>392</v>
      </c>
      <c r="J22" s="39"/>
      <c r="K22" s="38" t="str">
        <f>"45,0"</f>
        <v>45,0</v>
      </c>
      <c r="L22" s="40" t="str">
        <f>"36,2567"</f>
        <v>36,2567</v>
      </c>
      <c r="M22" s="38" t="s">
        <v>30</v>
      </c>
    </row>
    <row r="23" spans="1:13">
      <c r="A23" s="38" t="s">
        <v>938</v>
      </c>
      <c r="B23" s="38" t="s">
        <v>939</v>
      </c>
      <c r="C23" s="38" t="s">
        <v>85</v>
      </c>
      <c r="D23" s="38" t="str">
        <f>"0,6687"</f>
        <v>0,6687</v>
      </c>
      <c r="E23" s="38" t="s">
        <v>199</v>
      </c>
      <c r="F23" s="38" t="s">
        <v>200</v>
      </c>
      <c r="G23" s="40" t="s">
        <v>65</v>
      </c>
      <c r="H23" s="40" t="s">
        <v>380</v>
      </c>
      <c r="I23" s="40" t="s">
        <v>21</v>
      </c>
      <c r="J23" s="39"/>
      <c r="K23" s="38" t="str">
        <f>"60,0"</f>
        <v>60,0</v>
      </c>
      <c r="L23" s="40" t="str">
        <f>"43,3318"</f>
        <v>43,3318</v>
      </c>
      <c r="M23" s="38" t="s">
        <v>30</v>
      </c>
    </row>
    <row r="24" spans="1:13">
      <c r="A24" s="38" t="s">
        <v>941</v>
      </c>
      <c r="B24" s="38" t="s">
        <v>942</v>
      </c>
      <c r="C24" s="38" t="s">
        <v>885</v>
      </c>
      <c r="D24" s="38" t="str">
        <f>"0,6730"</f>
        <v>0,6730</v>
      </c>
      <c r="E24" s="38" t="s">
        <v>53</v>
      </c>
      <c r="F24" s="38" t="s">
        <v>426</v>
      </c>
      <c r="G24" s="40" t="s">
        <v>943</v>
      </c>
      <c r="H24" s="39" t="s">
        <v>21</v>
      </c>
      <c r="I24" s="39" t="s">
        <v>21</v>
      </c>
      <c r="J24" s="39"/>
      <c r="K24" s="38" t="str">
        <f>"57,5"</f>
        <v>57,5</v>
      </c>
      <c r="L24" s="40" t="str">
        <f>"41,0193"</f>
        <v>41,0193</v>
      </c>
      <c r="M24" s="38" t="s">
        <v>30</v>
      </c>
    </row>
    <row r="25" spans="1:13">
      <c r="A25" s="38" t="s">
        <v>945</v>
      </c>
      <c r="B25" s="38" t="s">
        <v>946</v>
      </c>
      <c r="C25" s="38" t="s">
        <v>947</v>
      </c>
      <c r="D25" s="38" t="str">
        <f>"0,6701"</f>
        <v>0,6701</v>
      </c>
      <c r="E25" s="38" t="s">
        <v>272</v>
      </c>
      <c r="F25" s="38" t="s">
        <v>20</v>
      </c>
      <c r="G25" s="40" t="s">
        <v>65</v>
      </c>
      <c r="H25" s="40" t="s">
        <v>380</v>
      </c>
      <c r="I25" s="39" t="s">
        <v>21</v>
      </c>
      <c r="J25" s="39"/>
      <c r="K25" s="38" t="str">
        <f>"57,5"</f>
        <v>57,5</v>
      </c>
      <c r="L25" s="40" t="str">
        <f>"38,5307"</f>
        <v>38,5307</v>
      </c>
      <c r="M25" s="38" t="s">
        <v>30</v>
      </c>
    </row>
    <row r="26" spans="1:13">
      <c r="A26" s="38" t="s">
        <v>883</v>
      </c>
      <c r="B26" s="38" t="s">
        <v>884</v>
      </c>
      <c r="C26" s="38" t="s">
        <v>885</v>
      </c>
      <c r="D26" s="38" t="str">
        <f>"0,6730"</f>
        <v>0,6730</v>
      </c>
      <c r="E26" s="38" t="s">
        <v>109</v>
      </c>
      <c r="F26" s="38" t="s">
        <v>110</v>
      </c>
      <c r="G26" s="40" t="s">
        <v>380</v>
      </c>
      <c r="H26" s="40" t="s">
        <v>387</v>
      </c>
      <c r="I26" s="40" t="s">
        <v>22</v>
      </c>
      <c r="J26" s="39"/>
      <c r="K26" s="38" t="str">
        <f>"65,0"</f>
        <v>65,0</v>
      </c>
      <c r="L26" s="40" t="str">
        <f>"43,7450"</f>
        <v>43,7450</v>
      </c>
      <c r="M26" s="38" t="s">
        <v>30</v>
      </c>
    </row>
    <row r="27" spans="1:13">
      <c r="A27" s="38" t="s">
        <v>948</v>
      </c>
      <c r="B27" s="38" t="s">
        <v>270</v>
      </c>
      <c r="C27" s="38" t="s">
        <v>271</v>
      </c>
      <c r="D27" s="38" t="str">
        <f>"0,6767"</f>
        <v>0,6767</v>
      </c>
      <c r="E27" s="38" t="s">
        <v>272</v>
      </c>
      <c r="F27" s="38" t="s">
        <v>20</v>
      </c>
      <c r="G27" s="39" t="s">
        <v>380</v>
      </c>
      <c r="H27" s="40" t="s">
        <v>380</v>
      </c>
      <c r="I27" s="40" t="s">
        <v>21</v>
      </c>
      <c r="J27" s="39"/>
      <c r="K27" s="38" t="str">
        <f>"60,0"</f>
        <v>60,0</v>
      </c>
      <c r="L27" s="40" t="str">
        <f>"40,6020"</f>
        <v>40,6020</v>
      </c>
      <c r="M27" s="38" t="s">
        <v>30</v>
      </c>
    </row>
    <row r="28" spans="1:13">
      <c r="A28" s="38" t="s">
        <v>949</v>
      </c>
      <c r="B28" s="38" t="s">
        <v>950</v>
      </c>
      <c r="C28" s="38" t="s">
        <v>947</v>
      </c>
      <c r="D28" s="38" t="str">
        <f>"0,6701"</f>
        <v>0,6701</v>
      </c>
      <c r="E28" s="38" t="s">
        <v>272</v>
      </c>
      <c r="F28" s="38" t="s">
        <v>20</v>
      </c>
      <c r="G28" s="40" t="s">
        <v>65</v>
      </c>
      <c r="H28" s="40" t="s">
        <v>380</v>
      </c>
      <c r="I28" s="39" t="s">
        <v>21</v>
      </c>
      <c r="J28" s="39"/>
      <c r="K28" s="38" t="str">
        <f>"57,5"</f>
        <v>57,5</v>
      </c>
      <c r="L28" s="40" t="str">
        <f>"38,5307"</f>
        <v>38,5307</v>
      </c>
      <c r="M28" s="38" t="s">
        <v>30</v>
      </c>
    </row>
    <row r="29" spans="1:13">
      <c r="A29" s="34" t="s">
        <v>951</v>
      </c>
      <c r="B29" s="34" t="s">
        <v>706</v>
      </c>
      <c r="C29" s="34" t="s">
        <v>85</v>
      </c>
      <c r="D29" s="34" t="str">
        <f>"0,6687"</f>
        <v>0,6687</v>
      </c>
      <c r="E29" s="34" t="s">
        <v>272</v>
      </c>
      <c r="F29" s="34" t="s">
        <v>466</v>
      </c>
      <c r="G29" s="36" t="s">
        <v>65</v>
      </c>
      <c r="H29" s="35" t="s">
        <v>65</v>
      </c>
      <c r="I29" s="35" t="s">
        <v>380</v>
      </c>
      <c r="J29" s="36"/>
      <c r="K29" s="34" t="str">
        <f>"57,5"</f>
        <v>57,5</v>
      </c>
      <c r="L29" s="35" t="str">
        <f>"38,4502"</f>
        <v>38,4502</v>
      </c>
      <c r="M29" s="34" t="s">
        <v>30</v>
      </c>
    </row>
    <row r="31" spans="1:13" ht="15">
      <c r="A31" s="37" t="s">
        <v>91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3">
      <c r="A32" s="31" t="s">
        <v>953</v>
      </c>
      <c r="B32" s="31" t="s">
        <v>954</v>
      </c>
      <c r="C32" s="31" t="s">
        <v>955</v>
      </c>
      <c r="D32" s="31" t="str">
        <f>"0,6358"</f>
        <v>0,6358</v>
      </c>
      <c r="E32" s="31" t="s">
        <v>53</v>
      </c>
      <c r="F32" s="31" t="s">
        <v>20</v>
      </c>
      <c r="G32" s="32" t="s">
        <v>387</v>
      </c>
      <c r="H32" s="33" t="s">
        <v>399</v>
      </c>
      <c r="I32" s="33" t="s">
        <v>956</v>
      </c>
      <c r="J32" s="32"/>
      <c r="K32" s="31" t="str">
        <f>"72,5"</f>
        <v>72,5</v>
      </c>
      <c r="L32" s="33" t="str">
        <f>"49,7831"</f>
        <v>49,7831</v>
      </c>
      <c r="M32" s="31" t="s">
        <v>30</v>
      </c>
    </row>
    <row r="33" spans="1:13">
      <c r="A33" s="38" t="s">
        <v>957</v>
      </c>
      <c r="B33" s="38" t="s">
        <v>429</v>
      </c>
      <c r="C33" s="38" t="s">
        <v>430</v>
      </c>
      <c r="D33" s="38" t="str">
        <f>"0,6347"</f>
        <v>0,6347</v>
      </c>
      <c r="E33" s="38" t="s">
        <v>109</v>
      </c>
      <c r="F33" s="38" t="s">
        <v>110</v>
      </c>
      <c r="G33" s="40" t="s">
        <v>26</v>
      </c>
      <c r="H33" s="40" t="s">
        <v>392</v>
      </c>
      <c r="I33" s="40" t="s">
        <v>65</v>
      </c>
      <c r="J33" s="39"/>
      <c r="K33" s="38" t="str">
        <f>"55,0"</f>
        <v>55,0</v>
      </c>
      <c r="L33" s="40" t="str">
        <f>"37,7012"</f>
        <v>37,7012</v>
      </c>
      <c r="M33" s="38" t="s">
        <v>30</v>
      </c>
    </row>
    <row r="34" spans="1:13">
      <c r="A34" s="38" t="s">
        <v>432</v>
      </c>
      <c r="B34" s="38" t="s">
        <v>433</v>
      </c>
      <c r="C34" s="38" t="s">
        <v>434</v>
      </c>
      <c r="D34" s="38" t="str">
        <f>"0,6418"</f>
        <v>0,6418</v>
      </c>
      <c r="E34" s="38" t="s">
        <v>109</v>
      </c>
      <c r="F34" s="38" t="s">
        <v>110</v>
      </c>
      <c r="G34" s="40" t="s">
        <v>387</v>
      </c>
      <c r="H34" s="40" t="s">
        <v>399</v>
      </c>
      <c r="I34" s="40" t="s">
        <v>23</v>
      </c>
      <c r="J34" s="39"/>
      <c r="K34" s="38" t="str">
        <f>"70,0"</f>
        <v>70,0</v>
      </c>
      <c r="L34" s="40" t="str">
        <f>"46,7230"</f>
        <v>46,7230</v>
      </c>
      <c r="M34" s="38" t="s">
        <v>30</v>
      </c>
    </row>
    <row r="35" spans="1:13">
      <c r="A35" s="38" t="s">
        <v>959</v>
      </c>
      <c r="B35" s="38" t="s">
        <v>960</v>
      </c>
      <c r="C35" s="38" t="s">
        <v>961</v>
      </c>
      <c r="D35" s="38" t="str">
        <f>"0,6203"</f>
        <v>0,6203</v>
      </c>
      <c r="E35" s="38" t="s">
        <v>272</v>
      </c>
      <c r="F35" s="38" t="s">
        <v>20</v>
      </c>
      <c r="G35" s="40" t="s">
        <v>23</v>
      </c>
      <c r="H35" s="40" t="s">
        <v>55</v>
      </c>
      <c r="I35" s="39" t="s">
        <v>27</v>
      </c>
      <c r="J35" s="39"/>
      <c r="K35" s="38" t="str">
        <f>"75,0"</f>
        <v>75,0</v>
      </c>
      <c r="L35" s="40" t="str">
        <f>"46,5225"</f>
        <v>46,5225</v>
      </c>
      <c r="M35" s="38" t="s">
        <v>30</v>
      </c>
    </row>
    <row r="36" spans="1:13">
      <c r="A36" s="38" t="s">
        <v>963</v>
      </c>
      <c r="B36" s="38" t="s">
        <v>964</v>
      </c>
      <c r="C36" s="38" t="s">
        <v>434</v>
      </c>
      <c r="D36" s="38" t="str">
        <f>"0,6418"</f>
        <v>0,6418</v>
      </c>
      <c r="E36" s="38" t="s">
        <v>53</v>
      </c>
      <c r="F36" s="38" t="s">
        <v>398</v>
      </c>
      <c r="G36" s="40" t="s">
        <v>22</v>
      </c>
      <c r="H36" s="40" t="s">
        <v>23</v>
      </c>
      <c r="I36" s="40" t="s">
        <v>965</v>
      </c>
      <c r="J36" s="39"/>
      <c r="K36" s="38" t="str">
        <f>"72,5"</f>
        <v>72,5</v>
      </c>
      <c r="L36" s="40" t="str">
        <f>"46,5305"</f>
        <v>46,5305</v>
      </c>
      <c r="M36" s="38" t="s">
        <v>30</v>
      </c>
    </row>
    <row r="37" spans="1:13">
      <c r="A37" s="38" t="s">
        <v>966</v>
      </c>
      <c r="B37" s="38" t="s">
        <v>848</v>
      </c>
      <c r="C37" s="38" t="s">
        <v>849</v>
      </c>
      <c r="D37" s="38" t="str">
        <f>"0,6284"</f>
        <v>0,6284</v>
      </c>
      <c r="E37" s="38" t="s">
        <v>109</v>
      </c>
      <c r="F37" s="38" t="s">
        <v>110</v>
      </c>
      <c r="G37" s="40" t="s">
        <v>65</v>
      </c>
      <c r="H37" s="40" t="s">
        <v>387</v>
      </c>
      <c r="I37" s="40" t="s">
        <v>399</v>
      </c>
      <c r="J37" s="39"/>
      <c r="K37" s="38" t="str">
        <f>"67,5"</f>
        <v>67,5</v>
      </c>
      <c r="L37" s="40" t="str">
        <f>"42,4170"</f>
        <v>42,4170</v>
      </c>
      <c r="M37" s="38" t="s">
        <v>30</v>
      </c>
    </row>
    <row r="38" spans="1:13">
      <c r="A38" s="38" t="s">
        <v>968</v>
      </c>
      <c r="B38" s="38" t="s">
        <v>969</v>
      </c>
      <c r="C38" s="38" t="s">
        <v>277</v>
      </c>
      <c r="D38" s="38" t="str">
        <f>"0,6262"</f>
        <v>0,6262</v>
      </c>
      <c r="E38" s="38" t="s">
        <v>109</v>
      </c>
      <c r="F38" s="38" t="s">
        <v>110</v>
      </c>
      <c r="G38" s="40" t="s">
        <v>21</v>
      </c>
      <c r="H38" s="40" t="s">
        <v>22</v>
      </c>
      <c r="I38" s="40" t="s">
        <v>399</v>
      </c>
      <c r="J38" s="39"/>
      <c r="K38" s="38" t="str">
        <f>"67,5"</f>
        <v>67,5</v>
      </c>
      <c r="L38" s="40" t="str">
        <f>"42,2685"</f>
        <v>42,2685</v>
      </c>
      <c r="M38" s="38" t="s">
        <v>30</v>
      </c>
    </row>
    <row r="39" spans="1:13">
      <c r="A39" s="38" t="s">
        <v>970</v>
      </c>
      <c r="B39" s="38" t="s">
        <v>709</v>
      </c>
      <c r="C39" s="38" t="s">
        <v>434</v>
      </c>
      <c r="D39" s="38" t="str">
        <f>"0,6418"</f>
        <v>0,6418</v>
      </c>
      <c r="E39" s="38" t="s">
        <v>53</v>
      </c>
      <c r="F39" s="38" t="s">
        <v>110</v>
      </c>
      <c r="G39" s="40" t="s">
        <v>380</v>
      </c>
      <c r="H39" s="40" t="s">
        <v>21</v>
      </c>
      <c r="I39" s="40" t="s">
        <v>387</v>
      </c>
      <c r="J39" s="39"/>
      <c r="K39" s="38" t="str">
        <f>"62,5"</f>
        <v>62,5</v>
      </c>
      <c r="L39" s="40" t="str">
        <f>"40,1125"</f>
        <v>40,1125</v>
      </c>
      <c r="M39" s="38" t="s">
        <v>30</v>
      </c>
    </row>
    <row r="40" spans="1:13">
      <c r="A40" s="38" t="s">
        <v>972</v>
      </c>
      <c r="B40" s="38" t="s">
        <v>973</v>
      </c>
      <c r="C40" s="38" t="s">
        <v>443</v>
      </c>
      <c r="D40" s="38" t="str">
        <f>"0,6246"</f>
        <v>0,6246</v>
      </c>
      <c r="E40" s="38" t="s">
        <v>109</v>
      </c>
      <c r="F40" s="38" t="s">
        <v>110</v>
      </c>
      <c r="G40" s="40" t="s">
        <v>22</v>
      </c>
      <c r="H40" s="39" t="s">
        <v>23</v>
      </c>
      <c r="I40" s="40" t="s">
        <v>23</v>
      </c>
      <c r="J40" s="39"/>
      <c r="K40" s="38" t="str">
        <f>"70,0"</f>
        <v>70,0</v>
      </c>
      <c r="L40" s="40" t="str">
        <f>"43,7220"</f>
        <v>43,7220</v>
      </c>
      <c r="M40" s="38" t="s">
        <v>30</v>
      </c>
    </row>
    <row r="41" spans="1:13">
      <c r="A41" s="34" t="s">
        <v>975</v>
      </c>
      <c r="B41" s="34" t="s">
        <v>976</v>
      </c>
      <c r="C41" s="34" t="s">
        <v>977</v>
      </c>
      <c r="D41" s="34" t="str">
        <f>"0,6307"</f>
        <v>0,6307</v>
      </c>
      <c r="E41" s="34" t="s">
        <v>86</v>
      </c>
      <c r="F41" s="34" t="s">
        <v>978</v>
      </c>
      <c r="G41" s="35" t="s">
        <v>65</v>
      </c>
      <c r="H41" s="36" t="s">
        <v>21</v>
      </c>
      <c r="I41" s="36" t="s">
        <v>21</v>
      </c>
      <c r="J41" s="36"/>
      <c r="K41" s="34" t="str">
        <f>"55,0"</f>
        <v>55,0</v>
      </c>
      <c r="L41" s="35" t="str">
        <f>"34,7926"</f>
        <v>34,7926</v>
      </c>
      <c r="M41" s="34" t="s">
        <v>30</v>
      </c>
    </row>
    <row r="43" spans="1:13" ht="15">
      <c r="A43" s="37" t="s">
        <v>125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3">
      <c r="A44" s="31" t="s">
        <v>980</v>
      </c>
      <c r="B44" s="31" t="s">
        <v>981</v>
      </c>
      <c r="C44" s="31" t="s">
        <v>453</v>
      </c>
      <c r="D44" s="31" t="str">
        <f>"0,6000"</f>
        <v>0,6000</v>
      </c>
      <c r="E44" s="31" t="s">
        <v>272</v>
      </c>
      <c r="F44" s="31" t="s">
        <v>20</v>
      </c>
      <c r="G44" s="33" t="s">
        <v>387</v>
      </c>
      <c r="H44" s="33" t="s">
        <v>22</v>
      </c>
      <c r="I44" s="32" t="s">
        <v>399</v>
      </c>
      <c r="J44" s="32"/>
      <c r="K44" s="31" t="str">
        <f>"65,0"</f>
        <v>65,0</v>
      </c>
      <c r="L44" s="33" t="str">
        <f>"39,0000"</f>
        <v>39,0000</v>
      </c>
      <c r="M44" s="31" t="s">
        <v>30</v>
      </c>
    </row>
    <row r="45" spans="1:13">
      <c r="A45" s="38" t="s">
        <v>284</v>
      </c>
      <c r="B45" s="38" t="s">
        <v>285</v>
      </c>
      <c r="C45" s="38" t="s">
        <v>286</v>
      </c>
      <c r="D45" s="38" t="str">
        <f>"0,5935"</f>
        <v>0,5935</v>
      </c>
      <c r="E45" s="38" t="s">
        <v>86</v>
      </c>
      <c r="F45" s="38" t="s">
        <v>87</v>
      </c>
      <c r="G45" s="40" t="s">
        <v>65</v>
      </c>
      <c r="H45" s="40" t="s">
        <v>21</v>
      </c>
      <c r="I45" s="40" t="s">
        <v>22</v>
      </c>
      <c r="J45" s="39"/>
      <c r="K45" s="38" t="str">
        <f>"65,0"</f>
        <v>65,0</v>
      </c>
      <c r="L45" s="40" t="str">
        <f>"38,5775"</f>
        <v>38,5775</v>
      </c>
      <c r="M45" s="38" t="s">
        <v>30</v>
      </c>
    </row>
    <row r="46" spans="1:13">
      <c r="A46" s="38" t="s">
        <v>982</v>
      </c>
      <c r="B46" s="38" t="s">
        <v>812</v>
      </c>
      <c r="C46" s="38" t="s">
        <v>147</v>
      </c>
      <c r="D46" s="38" t="str">
        <f>"0,5893"</f>
        <v>0,5893</v>
      </c>
      <c r="E46" s="38" t="s">
        <v>278</v>
      </c>
      <c r="F46" s="38" t="s">
        <v>20</v>
      </c>
      <c r="G46" s="40" t="s">
        <v>380</v>
      </c>
      <c r="H46" s="40" t="s">
        <v>387</v>
      </c>
      <c r="I46" s="39" t="s">
        <v>23</v>
      </c>
      <c r="J46" s="39"/>
      <c r="K46" s="38" t="str">
        <f>"62,5"</f>
        <v>62,5</v>
      </c>
      <c r="L46" s="40" t="str">
        <f>"36,8312"</f>
        <v>36,8312</v>
      </c>
      <c r="M46" s="38" t="s">
        <v>30</v>
      </c>
    </row>
    <row r="47" spans="1:13">
      <c r="A47" s="38" t="s">
        <v>984</v>
      </c>
      <c r="B47" s="38" t="s">
        <v>985</v>
      </c>
      <c r="C47" s="38" t="s">
        <v>986</v>
      </c>
      <c r="D47" s="38" t="str">
        <f>"0,5869"</f>
        <v>0,5869</v>
      </c>
      <c r="E47" s="38" t="s">
        <v>278</v>
      </c>
      <c r="F47" s="38" t="s">
        <v>20</v>
      </c>
      <c r="G47" s="40" t="s">
        <v>387</v>
      </c>
      <c r="H47" s="39" t="s">
        <v>23</v>
      </c>
      <c r="I47" s="39" t="s">
        <v>23</v>
      </c>
      <c r="J47" s="39"/>
      <c r="K47" s="38" t="str">
        <f>"62,5"</f>
        <v>62,5</v>
      </c>
      <c r="L47" s="40" t="str">
        <f>"36,6812"</f>
        <v>36,6812</v>
      </c>
      <c r="M47" s="38" t="s">
        <v>30</v>
      </c>
    </row>
    <row r="48" spans="1:13">
      <c r="A48" s="38" t="s">
        <v>980</v>
      </c>
      <c r="B48" s="38" t="s">
        <v>987</v>
      </c>
      <c r="C48" s="38" t="s">
        <v>453</v>
      </c>
      <c r="D48" s="38" t="str">
        <f>"0,6000"</f>
        <v>0,6000</v>
      </c>
      <c r="E48" s="38" t="s">
        <v>272</v>
      </c>
      <c r="F48" s="38" t="s">
        <v>20</v>
      </c>
      <c r="G48" s="40" t="s">
        <v>387</v>
      </c>
      <c r="H48" s="40" t="s">
        <v>22</v>
      </c>
      <c r="I48" s="39" t="s">
        <v>399</v>
      </c>
      <c r="J48" s="39"/>
      <c r="K48" s="38" t="str">
        <f>"65,0"</f>
        <v>65,0</v>
      </c>
      <c r="L48" s="40" t="str">
        <f>"39,3510"</f>
        <v>39,3510</v>
      </c>
      <c r="M48" s="38" t="s">
        <v>30</v>
      </c>
    </row>
    <row r="49" spans="1:13">
      <c r="A49" s="34" t="s">
        <v>989</v>
      </c>
      <c r="B49" s="34" t="s">
        <v>990</v>
      </c>
      <c r="C49" s="34" t="s">
        <v>991</v>
      </c>
      <c r="D49" s="34" t="str">
        <f>"0,6022"</f>
        <v>0,6022</v>
      </c>
      <c r="E49" s="34" t="s">
        <v>278</v>
      </c>
      <c r="F49" s="34" t="s">
        <v>20</v>
      </c>
      <c r="G49" s="35" t="s">
        <v>21</v>
      </c>
      <c r="H49" s="35" t="s">
        <v>387</v>
      </c>
      <c r="I49" s="36" t="s">
        <v>399</v>
      </c>
      <c r="J49" s="36"/>
      <c r="K49" s="34" t="str">
        <f>"62,5"</f>
        <v>62,5</v>
      </c>
      <c r="L49" s="35" t="str">
        <f>"38,8043"</f>
        <v>38,8043</v>
      </c>
      <c r="M49" s="34" t="s">
        <v>30</v>
      </c>
    </row>
    <row r="51" spans="1:13" ht="15">
      <c r="A51" s="37" t="s">
        <v>152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1:13">
      <c r="A52" s="31" t="s">
        <v>472</v>
      </c>
      <c r="B52" s="31" t="s">
        <v>473</v>
      </c>
      <c r="C52" s="31" t="s">
        <v>474</v>
      </c>
      <c r="D52" s="31" t="str">
        <f>"0,5594"</f>
        <v>0,5594</v>
      </c>
      <c r="E52" s="31" t="s">
        <v>109</v>
      </c>
      <c r="F52" s="31" t="s">
        <v>110</v>
      </c>
      <c r="G52" s="33" t="s">
        <v>23</v>
      </c>
      <c r="H52" s="33" t="s">
        <v>27</v>
      </c>
      <c r="I52" s="32" t="s">
        <v>28</v>
      </c>
      <c r="J52" s="32"/>
      <c r="K52" s="31" t="str">
        <f>"77,5"</f>
        <v>77,5</v>
      </c>
      <c r="L52" s="33" t="str">
        <f>"45,0876"</f>
        <v>45,0876</v>
      </c>
      <c r="M52" s="31" t="s">
        <v>30</v>
      </c>
    </row>
    <row r="53" spans="1:13">
      <c r="A53" s="38" t="s">
        <v>891</v>
      </c>
      <c r="B53" s="38" t="s">
        <v>992</v>
      </c>
      <c r="C53" s="38" t="s">
        <v>893</v>
      </c>
      <c r="D53" s="38" t="str">
        <f>"0,5583"</f>
        <v>0,5583</v>
      </c>
      <c r="E53" s="38" t="s">
        <v>109</v>
      </c>
      <c r="F53" s="38" t="s">
        <v>110</v>
      </c>
      <c r="G53" s="40" t="s">
        <v>28</v>
      </c>
      <c r="H53" s="40" t="s">
        <v>29</v>
      </c>
      <c r="I53" s="40" t="s">
        <v>420</v>
      </c>
      <c r="J53" s="39"/>
      <c r="K53" s="38" t="str">
        <f>"87,5"</f>
        <v>87,5</v>
      </c>
      <c r="L53" s="40" t="str">
        <f>"48,8513"</f>
        <v>48,8513</v>
      </c>
      <c r="M53" s="38" t="s">
        <v>30</v>
      </c>
    </row>
    <row r="54" spans="1:13">
      <c r="A54" s="38" t="s">
        <v>891</v>
      </c>
      <c r="B54" s="38" t="s">
        <v>892</v>
      </c>
      <c r="C54" s="38" t="s">
        <v>893</v>
      </c>
      <c r="D54" s="38" t="str">
        <f>"0,5583"</f>
        <v>0,5583</v>
      </c>
      <c r="E54" s="38" t="s">
        <v>109</v>
      </c>
      <c r="F54" s="38" t="s">
        <v>110</v>
      </c>
      <c r="G54" s="40" t="s">
        <v>28</v>
      </c>
      <c r="H54" s="40" t="s">
        <v>29</v>
      </c>
      <c r="I54" s="40" t="s">
        <v>420</v>
      </c>
      <c r="J54" s="39"/>
      <c r="K54" s="38" t="str">
        <f>"87,5"</f>
        <v>87,5</v>
      </c>
      <c r="L54" s="40" t="str">
        <f>"48,8513"</f>
        <v>48,8513</v>
      </c>
      <c r="M54" s="38" t="s">
        <v>30</v>
      </c>
    </row>
    <row r="55" spans="1:13">
      <c r="A55" s="34" t="s">
        <v>994</v>
      </c>
      <c r="B55" s="34" t="s">
        <v>995</v>
      </c>
      <c r="C55" s="34" t="s">
        <v>996</v>
      </c>
      <c r="D55" s="34" t="str">
        <f>"0,5543"</f>
        <v>0,5543</v>
      </c>
      <c r="E55" s="34" t="s">
        <v>997</v>
      </c>
      <c r="F55" s="34" t="s">
        <v>20</v>
      </c>
      <c r="G55" s="35" t="s">
        <v>22</v>
      </c>
      <c r="H55" s="35" t="s">
        <v>23</v>
      </c>
      <c r="I55" s="36" t="s">
        <v>965</v>
      </c>
      <c r="J55" s="36"/>
      <c r="K55" s="34" t="str">
        <f>"70,0"</f>
        <v>70,0</v>
      </c>
      <c r="L55" s="35" t="str">
        <f>"40,6634"</f>
        <v>40,6634</v>
      </c>
      <c r="M55" s="34" t="s">
        <v>30</v>
      </c>
    </row>
    <row r="57" spans="1:13" ht="15">
      <c r="A57" s="37" t="s">
        <v>219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3">
      <c r="A58" s="31" t="s">
        <v>999</v>
      </c>
      <c r="B58" s="31" t="s">
        <v>1000</v>
      </c>
      <c r="C58" s="31" t="s">
        <v>223</v>
      </c>
      <c r="D58" s="31" t="str">
        <f>"0,5377"</f>
        <v>0,5377</v>
      </c>
      <c r="E58" s="31" t="s">
        <v>109</v>
      </c>
      <c r="F58" s="31" t="s">
        <v>110</v>
      </c>
      <c r="G58" s="33" t="s">
        <v>23</v>
      </c>
      <c r="H58" s="33" t="s">
        <v>965</v>
      </c>
      <c r="I58" s="33" t="s">
        <v>27</v>
      </c>
      <c r="J58" s="32"/>
      <c r="K58" s="31" t="str">
        <f>"77,5"</f>
        <v>77,5</v>
      </c>
      <c r="L58" s="33" t="str">
        <f>"41,6717"</f>
        <v>41,6717</v>
      </c>
      <c r="M58" s="31" t="s">
        <v>30</v>
      </c>
    </row>
    <row r="59" spans="1:13">
      <c r="A59" s="38" t="s">
        <v>1001</v>
      </c>
      <c r="B59" s="38" t="s">
        <v>486</v>
      </c>
      <c r="C59" s="38" t="s">
        <v>487</v>
      </c>
      <c r="D59" s="38" t="str">
        <f>"0,5385"</f>
        <v>0,5385</v>
      </c>
      <c r="E59" s="38" t="s">
        <v>199</v>
      </c>
      <c r="F59" s="38" t="s">
        <v>200</v>
      </c>
      <c r="G59" s="40" t="s">
        <v>23</v>
      </c>
      <c r="H59" s="40" t="s">
        <v>965</v>
      </c>
      <c r="I59" s="40" t="s">
        <v>55</v>
      </c>
      <c r="J59" s="39"/>
      <c r="K59" s="38" t="str">
        <f>"75,0"</f>
        <v>75,0</v>
      </c>
      <c r="L59" s="40" t="str">
        <f>"40,3875"</f>
        <v>40,3875</v>
      </c>
      <c r="M59" s="38" t="s">
        <v>30</v>
      </c>
    </row>
    <row r="60" spans="1:13">
      <c r="A60" s="34" t="s">
        <v>494</v>
      </c>
      <c r="B60" s="34" t="s">
        <v>495</v>
      </c>
      <c r="C60" s="34" t="s">
        <v>496</v>
      </c>
      <c r="D60" s="34" t="str">
        <f>"0,5407"</f>
        <v>0,5407</v>
      </c>
      <c r="E60" s="34" t="s">
        <v>278</v>
      </c>
      <c r="F60" s="34" t="s">
        <v>20</v>
      </c>
      <c r="G60" s="35" t="s">
        <v>965</v>
      </c>
      <c r="H60" s="36" t="s">
        <v>28</v>
      </c>
      <c r="I60" s="35" t="s">
        <v>28</v>
      </c>
      <c r="J60" s="36"/>
      <c r="K60" s="34" t="str">
        <f>"80,0"</f>
        <v>80,0</v>
      </c>
      <c r="L60" s="35" t="str">
        <f>"50,7393"</f>
        <v>50,7393</v>
      </c>
      <c r="M60" s="34" t="s">
        <v>30</v>
      </c>
    </row>
    <row r="62" spans="1:13" ht="15">
      <c r="E62" s="23" t="s">
        <v>31</v>
      </c>
    </row>
    <row r="63" spans="1:13" ht="15">
      <c r="E63" s="23" t="s">
        <v>32</v>
      </c>
    </row>
    <row r="64" spans="1:13" ht="15">
      <c r="E64" s="23" t="s">
        <v>33</v>
      </c>
    </row>
    <row r="65" spans="1:5" ht="15">
      <c r="E65" s="23" t="s">
        <v>34</v>
      </c>
    </row>
    <row r="66" spans="1:5" ht="15">
      <c r="E66" s="23" t="s">
        <v>34</v>
      </c>
    </row>
    <row r="67" spans="1:5" ht="15">
      <c r="E67" s="23" t="s">
        <v>35</v>
      </c>
    </row>
    <row r="68" spans="1:5" ht="15">
      <c r="E68" s="23"/>
    </row>
    <row r="70" spans="1:5" ht="18">
      <c r="A70" s="24" t="s">
        <v>36</v>
      </c>
      <c r="B70" s="24"/>
    </row>
    <row r="71" spans="1:5" ht="15">
      <c r="A71" s="25" t="s">
        <v>160</v>
      </c>
      <c r="B71" s="25"/>
    </row>
    <row r="72" spans="1:5" ht="14.25">
      <c r="A72" s="27"/>
      <c r="B72" s="28" t="s">
        <v>161</v>
      </c>
    </row>
    <row r="73" spans="1:5" ht="15">
      <c r="A73" s="29" t="s">
        <v>39</v>
      </c>
      <c r="B73" s="29" t="s">
        <v>40</v>
      </c>
      <c r="C73" s="29" t="s">
        <v>41</v>
      </c>
      <c r="D73" s="29" t="s">
        <v>42</v>
      </c>
      <c r="E73" s="29" t="s">
        <v>43</v>
      </c>
    </row>
    <row r="74" spans="1:5">
      <c r="A74" s="26" t="s">
        <v>388</v>
      </c>
      <c r="B74" s="4" t="s">
        <v>509</v>
      </c>
      <c r="C74" s="4" t="s">
        <v>172</v>
      </c>
      <c r="D74" s="4" t="s">
        <v>66</v>
      </c>
      <c r="E74" s="30" t="s">
        <v>1002</v>
      </c>
    </row>
    <row r="77" spans="1:5" ht="15">
      <c r="A77" s="25" t="s">
        <v>37</v>
      </c>
      <c r="B77" s="25"/>
    </row>
    <row r="78" spans="1:5" ht="14.25">
      <c r="A78" s="27"/>
      <c r="B78" s="28" t="s">
        <v>38</v>
      </c>
    </row>
    <row r="79" spans="1:5" ht="15">
      <c r="A79" s="29" t="s">
        <v>39</v>
      </c>
      <c r="B79" s="29" t="s">
        <v>40</v>
      </c>
      <c r="C79" s="29" t="s">
        <v>41</v>
      </c>
      <c r="D79" s="29" t="s">
        <v>42</v>
      </c>
      <c r="E79" s="29" t="s">
        <v>43</v>
      </c>
    </row>
    <row r="80" spans="1:5">
      <c r="A80" s="26" t="s">
        <v>952</v>
      </c>
      <c r="B80" s="4" t="s">
        <v>162</v>
      </c>
      <c r="C80" s="4" t="s">
        <v>176</v>
      </c>
      <c r="D80" s="4" t="s">
        <v>965</v>
      </c>
      <c r="E80" s="30" t="s">
        <v>1003</v>
      </c>
    </row>
    <row r="81" spans="1:5">
      <c r="A81" s="26" t="s">
        <v>431</v>
      </c>
      <c r="B81" s="4" t="s">
        <v>509</v>
      </c>
      <c r="C81" s="4" t="s">
        <v>176</v>
      </c>
      <c r="D81" s="4" t="s">
        <v>23</v>
      </c>
      <c r="E81" s="30" t="s">
        <v>1004</v>
      </c>
    </row>
    <row r="82" spans="1:5">
      <c r="A82" s="26" t="s">
        <v>471</v>
      </c>
      <c r="B82" s="4" t="s">
        <v>509</v>
      </c>
      <c r="C82" s="4" t="s">
        <v>188</v>
      </c>
      <c r="D82" s="4" t="s">
        <v>27</v>
      </c>
      <c r="E82" s="30" t="s">
        <v>1005</v>
      </c>
    </row>
    <row r="83" spans="1:5">
      <c r="A83" s="26" t="s">
        <v>922</v>
      </c>
      <c r="B83" s="4" t="s">
        <v>175</v>
      </c>
      <c r="C83" s="4" t="s">
        <v>168</v>
      </c>
      <c r="D83" s="4" t="s">
        <v>25</v>
      </c>
      <c r="E83" s="30" t="s">
        <v>1006</v>
      </c>
    </row>
    <row r="84" spans="1:5">
      <c r="A84" s="26" t="s">
        <v>937</v>
      </c>
      <c r="B84" s="4" t="s">
        <v>162</v>
      </c>
      <c r="C84" s="4" t="s">
        <v>172</v>
      </c>
      <c r="D84" s="4" t="s">
        <v>21</v>
      </c>
      <c r="E84" s="30" t="s">
        <v>1007</v>
      </c>
    </row>
    <row r="85" spans="1:5">
      <c r="A85" s="26" t="s">
        <v>940</v>
      </c>
      <c r="B85" s="4" t="s">
        <v>509</v>
      </c>
      <c r="C85" s="4" t="s">
        <v>172</v>
      </c>
      <c r="D85" s="4" t="s">
        <v>380</v>
      </c>
      <c r="E85" s="30" t="s">
        <v>1008</v>
      </c>
    </row>
    <row r="86" spans="1:5">
      <c r="A86" s="26" t="s">
        <v>930</v>
      </c>
      <c r="B86" s="4" t="s">
        <v>175</v>
      </c>
      <c r="C86" s="4" t="s">
        <v>172</v>
      </c>
      <c r="D86" s="4" t="s">
        <v>24</v>
      </c>
      <c r="E86" s="30" t="s">
        <v>1009</v>
      </c>
    </row>
    <row r="87" spans="1:5">
      <c r="A87" s="26" t="s">
        <v>427</v>
      </c>
      <c r="B87" s="4" t="s">
        <v>162</v>
      </c>
      <c r="C87" s="4" t="s">
        <v>176</v>
      </c>
      <c r="D87" s="4" t="s">
        <v>65</v>
      </c>
      <c r="E87" s="30" t="s">
        <v>1010</v>
      </c>
    </row>
    <row r="88" spans="1:5">
      <c r="A88" s="26" t="s">
        <v>393</v>
      </c>
      <c r="B88" s="4" t="s">
        <v>175</v>
      </c>
      <c r="C88" s="4" t="s">
        <v>513</v>
      </c>
      <c r="D88" s="4" t="s">
        <v>917</v>
      </c>
      <c r="E88" s="30" t="s">
        <v>1011</v>
      </c>
    </row>
    <row r="89" spans="1:5">
      <c r="A89" s="26" t="s">
        <v>934</v>
      </c>
      <c r="B89" s="4" t="s">
        <v>175</v>
      </c>
      <c r="C89" s="4" t="s">
        <v>172</v>
      </c>
      <c r="D89" s="4" t="s">
        <v>24</v>
      </c>
      <c r="E89" s="30" t="s">
        <v>1012</v>
      </c>
    </row>
    <row r="90" spans="1:5">
      <c r="A90" s="26" t="s">
        <v>912</v>
      </c>
      <c r="B90" s="4" t="s">
        <v>175</v>
      </c>
      <c r="C90" s="4" t="s">
        <v>45</v>
      </c>
      <c r="D90" s="4" t="s">
        <v>911</v>
      </c>
      <c r="E90" s="30" t="s">
        <v>1013</v>
      </c>
    </row>
    <row r="91" spans="1:5">
      <c r="A91" s="26" t="s">
        <v>796</v>
      </c>
      <c r="B91" s="4" t="s">
        <v>44</v>
      </c>
      <c r="C91" s="4" t="s">
        <v>513</v>
      </c>
      <c r="D91" s="4" t="s">
        <v>751</v>
      </c>
      <c r="E91" s="30" t="s">
        <v>1014</v>
      </c>
    </row>
    <row r="92" spans="1:5">
      <c r="A92" s="26" t="s">
        <v>918</v>
      </c>
      <c r="B92" s="4" t="s">
        <v>175</v>
      </c>
      <c r="C92" s="4" t="s">
        <v>513</v>
      </c>
      <c r="D92" s="4" t="s">
        <v>751</v>
      </c>
      <c r="E92" s="30" t="s">
        <v>1015</v>
      </c>
    </row>
    <row r="94" spans="1:5" ht="14.25">
      <c r="A94" s="27"/>
      <c r="B94" s="28" t="s">
        <v>182</v>
      </c>
    </row>
    <row r="95" spans="1:5" ht="15">
      <c r="A95" s="29" t="s">
        <v>39</v>
      </c>
      <c r="B95" s="29" t="s">
        <v>40</v>
      </c>
      <c r="C95" s="29" t="s">
        <v>41</v>
      </c>
      <c r="D95" s="29" t="s">
        <v>42</v>
      </c>
      <c r="E95" s="29" t="s">
        <v>43</v>
      </c>
    </row>
    <row r="96" spans="1:5">
      <c r="A96" s="26" t="s">
        <v>944</v>
      </c>
      <c r="B96" s="4" t="s">
        <v>183</v>
      </c>
      <c r="C96" s="4" t="s">
        <v>172</v>
      </c>
      <c r="D96" s="4" t="s">
        <v>380</v>
      </c>
      <c r="E96" s="30" t="s">
        <v>1016</v>
      </c>
    </row>
    <row r="98" spans="1:5" ht="14.25">
      <c r="A98" s="27"/>
      <c r="B98" s="28" t="s">
        <v>164</v>
      </c>
    </row>
    <row r="99" spans="1:5" ht="15">
      <c r="A99" s="29" t="s">
        <v>39</v>
      </c>
      <c r="B99" s="29" t="s">
        <v>40</v>
      </c>
      <c r="C99" s="29" t="s">
        <v>41</v>
      </c>
      <c r="D99" s="29" t="s">
        <v>42</v>
      </c>
      <c r="E99" s="29" t="s">
        <v>43</v>
      </c>
    </row>
    <row r="100" spans="1:5">
      <c r="A100" s="26" t="s">
        <v>890</v>
      </c>
      <c r="B100" s="4" t="s">
        <v>164</v>
      </c>
      <c r="C100" s="4" t="s">
        <v>188</v>
      </c>
      <c r="D100" s="4" t="s">
        <v>420</v>
      </c>
      <c r="E100" s="30" t="s">
        <v>1017</v>
      </c>
    </row>
    <row r="101" spans="1:5">
      <c r="A101" s="26" t="s">
        <v>962</v>
      </c>
      <c r="B101" s="4" t="s">
        <v>164</v>
      </c>
      <c r="C101" s="4" t="s">
        <v>176</v>
      </c>
      <c r="D101" s="4" t="s">
        <v>965</v>
      </c>
      <c r="E101" s="30" t="s">
        <v>1018</v>
      </c>
    </row>
    <row r="102" spans="1:5">
      <c r="A102" s="26" t="s">
        <v>958</v>
      </c>
      <c r="B102" s="4" t="s">
        <v>164</v>
      </c>
      <c r="C102" s="4" t="s">
        <v>176</v>
      </c>
      <c r="D102" s="4" t="s">
        <v>55</v>
      </c>
      <c r="E102" s="30" t="s">
        <v>1019</v>
      </c>
    </row>
    <row r="103" spans="1:5">
      <c r="A103" s="26" t="s">
        <v>882</v>
      </c>
      <c r="B103" s="4" t="s">
        <v>164</v>
      </c>
      <c r="C103" s="4" t="s">
        <v>172</v>
      </c>
      <c r="D103" s="4" t="s">
        <v>22</v>
      </c>
      <c r="E103" s="30" t="s">
        <v>1020</v>
      </c>
    </row>
    <row r="104" spans="1:5">
      <c r="A104" s="26" t="s">
        <v>846</v>
      </c>
      <c r="B104" s="4" t="s">
        <v>164</v>
      </c>
      <c r="C104" s="4" t="s">
        <v>176</v>
      </c>
      <c r="D104" s="4" t="s">
        <v>399</v>
      </c>
      <c r="E104" s="30" t="s">
        <v>1021</v>
      </c>
    </row>
    <row r="105" spans="1:5">
      <c r="A105" s="26" t="s">
        <v>967</v>
      </c>
      <c r="B105" s="4" t="s">
        <v>164</v>
      </c>
      <c r="C105" s="4" t="s">
        <v>176</v>
      </c>
      <c r="D105" s="4" t="s">
        <v>399</v>
      </c>
      <c r="E105" s="30" t="s">
        <v>1022</v>
      </c>
    </row>
    <row r="106" spans="1:5">
      <c r="A106" s="26" t="s">
        <v>998</v>
      </c>
      <c r="B106" s="4" t="s">
        <v>164</v>
      </c>
      <c r="C106" s="4" t="s">
        <v>242</v>
      </c>
      <c r="D106" s="4" t="s">
        <v>27</v>
      </c>
      <c r="E106" s="30" t="s">
        <v>1023</v>
      </c>
    </row>
    <row r="107" spans="1:5">
      <c r="A107" s="26" t="s">
        <v>268</v>
      </c>
      <c r="B107" s="4" t="s">
        <v>164</v>
      </c>
      <c r="C107" s="4" t="s">
        <v>172</v>
      </c>
      <c r="D107" s="4" t="s">
        <v>21</v>
      </c>
      <c r="E107" s="30" t="s">
        <v>1024</v>
      </c>
    </row>
    <row r="108" spans="1:5">
      <c r="A108" s="26" t="s">
        <v>484</v>
      </c>
      <c r="B108" s="4" t="s">
        <v>164</v>
      </c>
      <c r="C108" s="4" t="s">
        <v>242</v>
      </c>
      <c r="D108" s="4" t="s">
        <v>55</v>
      </c>
      <c r="E108" s="30" t="s">
        <v>1025</v>
      </c>
    </row>
    <row r="109" spans="1:5">
      <c r="A109" s="26" t="s">
        <v>707</v>
      </c>
      <c r="B109" s="4" t="s">
        <v>164</v>
      </c>
      <c r="C109" s="4" t="s">
        <v>176</v>
      </c>
      <c r="D109" s="4" t="s">
        <v>387</v>
      </c>
      <c r="E109" s="30" t="s">
        <v>1026</v>
      </c>
    </row>
    <row r="110" spans="1:5">
      <c r="A110" s="26" t="s">
        <v>979</v>
      </c>
      <c r="B110" s="4" t="s">
        <v>164</v>
      </c>
      <c r="C110" s="4" t="s">
        <v>179</v>
      </c>
      <c r="D110" s="4" t="s">
        <v>22</v>
      </c>
      <c r="E110" s="30" t="s">
        <v>1027</v>
      </c>
    </row>
    <row r="111" spans="1:5">
      <c r="A111" s="26" t="s">
        <v>283</v>
      </c>
      <c r="B111" s="4" t="s">
        <v>164</v>
      </c>
      <c r="C111" s="4" t="s">
        <v>179</v>
      </c>
      <c r="D111" s="4" t="s">
        <v>22</v>
      </c>
      <c r="E111" s="30" t="s">
        <v>1028</v>
      </c>
    </row>
    <row r="112" spans="1:5">
      <c r="A112" s="26" t="s">
        <v>944</v>
      </c>
      <c r="B112" s="4" t="s">
        <v>164</v>
      </c>
      <c r="C112" s="4" t="s">
        <v>172</v>
      </c>
      <c r="D112" s="4" t="s">
        <v>380</v>
      </c>
      <c r="E112" s="30" t="s">
        <v>1016</v>
      </c>
    </row>
    <row r="113" spans="1:5">
      <c r="A113" s="26" t="s">
        <v>704</v>
      </c>
      <c r="B113" s="4" t="s">
        <v>164</v>
      </c>
      <c r="C113" s="4" t="s">
        <v>172</v>
      </c>
      <c r="D113" s="4" t="s">
        <v>380</v>
      </c>
      <c r="E113" s="30" t="s">
        <v>1029</v>
      </c>
    </row>
    <row r="114" spans="1:5">
      <c r="A114" s="26" t="s">
        <v>810</v>
      </c>
      <c r="B114" s="4" t="s">
        <v>164</v>
      </c>
      <c r="C114" s="4" t="s">
        <v>179</v>
      </c>
      <c r="D114" s="4" t="s">
        <v>387</v>
      </c>
      <c r="E114" s="30" t="s">
        <v>1030</v>
      </c>
    </row>
    <row r="115" spans="1:5">
      <c r="A115" s="26" t="s">
        <v>983</v>
      </c>
      <c r="B115" s="4" t="s">
        <v>164</v>
      </c>
      <c r="C115" s="4" t="s">
        <v>179</v>
      </c>
      <c r="D115" s="4" t="s">
        <v>387</v>
      </c>
      <c r="E115" s="30" t="s">
        <v>1031</v>
      </c>
    </row>
    <row r="117" spans="1:5" ht="14.25">
      <c r="A117" s="27"/>
      <c r="B117" s="28" t="s">
        <v>166</v>
      </c>
    </row>
    <row r="118" spans="1:5" ht="15">
      <c r="A118" s="29" t="s">
        <v>39</v>
      </c>
      <c r="B118" s="29" t="s">
        <v>40</v>
      </c>
      <c r="C118" s="29" t="s">
        <v>41</v>
      </c>
      <c r="D118" s="29" t="s">
        <v>42</v>
      </c>
      <c r="E118" s="29" t="s">
        <v>43</v>
      </c>
    </row>
    <row r="119" spans="1:5">
      <c r="A119" s="26" t="s">
        <v>493</v>
      </c>
      <c r="B119" s="4" t="s">
        <v>249</v>
      </c>
      <c r="C119" s="4" t="s">
        <v>242</v>
      </c>
      <c r="D119" s="4" t="s">
        <v>28</v>
      </c>
      <c r="E119" s="30" t="s">
        <v>1032</v>
      </c>
    </row>
    <row r="120" spans="1:5">
      <c r="A120" s="26" t="s">
        <v>890</v>
      </c>
      <c r="B120" s="4" t="s">
        <v>191</v>
      </c>
      <c r="C120" s="4" t="s">
        <v>188</v>
      </c>
      <c r="D120" s="4" t="s">
        <v>420</v>
      </c>
      <c r="E120" s="30" t="s">
        <v>1017</v>
      </c>
    </row>
    <row r="121" spans="1:5">
      <c r="A121" s="26" t="s">
        <v>971</v>
      </c>
      <c r="B121" s="4" t="s">
        <v>191</v>
      </c>
      <c r="C121" s="4" t="s">
        <v>176</v>
      </c>
      <c r="D121" s="4" t="s">
        <v>23</v>
      </c>
      <c r="E121" s="30" t="s">
        <v>1033</v>
      </c>
    </row>
    <row r="122" spans="1:5">
      <c r="A122" s="26" t="s">
        <v>993</v>
      </c>
      <c r="B122" s="4" t="s">
        <v>167</v>
      </c>
      <c r="C122" s="4" t="s">
        <v>188</v>
      </c>
      <c r="D122" s="4" t="s">
        <v>23</v>
      </c>
      <c r="E122" s="30" t="s">
        <v>1034</v>
      </c>
    </row>
    <row r="123" spans="1:5">
      <c r="A123" s="26" t="s">
        <v>979</v>
      </c>
      <c r="B123" s="4" t="s">
        <v>191</v>
      </c>
      <c r="C123" s="4" t="s">
        <v>179</v>
      </c>
      <c r="D123" s="4" t="s">
        <v>22</v>
      </c>
      <c r="E123" s="30" t="s">
        <v>1035</v>
      </c>
    </row>
    <row r="124" spans="1:5">
      <c r="A124" s="26" t="s">
        <v>988</v>
      </c>
      <c r="B124" s="4" t="s">
        <v>191</v>
      </c>
      <c r="C124" s="4" t="s">
        <v>179</v>
      </c>
      <c r="D124" s="4" t="s">
        <v>387</v>
      </c>
      <c r="E124" s="30" t="s">
        <v>1036</v>
      </c>
    </row>
    <row r="125" spans="1:5">
      <c r="A125" s="26" t="s">
        <v>974</v>
      </c>
      <c r="B125" s="4" t="s">
        <v>191</v>
      </c>
      <c r="C125" s="4" t="s">
        <v>176</v>
      </c>
      <c r="D125" s="4" t="s">
        <v>65</v>
      </c>
      <c r="E125" s="30" t="s">
        <v>1037</v>
      </c>
    </row>
  </sheetData>
  <mergeCells count="20">
    <mergeCell ref="A16:L16"/>
    <mergeCell ref="A20:L20"/>
    <mergeCell ref="A31:L31"/>
    <mergeCell ref="A43:L43"/>
    <mergeCell ref="A51:L51"/>
    <mergeCell ref="A57:L57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0"/>
  <sheetViews>
    <sheetView topLeftCell="A2" workbookViewId="0">
      <selection activeCell="B19" sqref="B18:B19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18" t="s">
        <v>903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2" customFormat="1" ht="102" customHeight="1" thickBo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s="1" customFormat="1" ht="12.75" customHeight="1">
      <c r="A3" s="12" t="s">
        <v>0</v>
      </c>
      <c r="B3" s="14" t="s">
        <v>6</v>
      </c>
      <c r="C3" s="14" t="s">
        <v>7</v>
      </c>
      <c r="D3" s="11" t="s">
        <v>10</v>
      </c>
      <c r="E3" s="11" t="s">
        <v>4</v>
      </c>
      <c r="F3" s="11" t="s">
        <v>8</v>
      </c>
      <c r="G3" s="11" t="s">
        <v>881</v>
      </c>
      <c r="H3" s="11"/>
      <c r="I3" s="11"/>
      <c r="J3" s="11"/>
      <c r="K3" s="11" t="s">
        <v>337</v>
      </c>
      <c r="L3" s="11" t="s">
        <v>3</v>
      </c>
      <c r="M3" s="16" t="s">
        <v>2</v>
      </c>
    </row>
    <row r="4" spans="1:13" s="1" customFormat="1" ht="21" customHeight="1" thickBot="1">
      <c r="A4" s="13"/>
      <c r="B4" s="15"/>
      <c r="C4" s="15"/>
      <c r="D4" s="15"/>
      <c r="E4" s="15"/>
      <c r="F4" s="15"/>
      <c r="G4" s="5">
        <v>1</v>
      </c>
      <c r="H4" s="5">
        <v>2</v>
      </c>
      <c r="I4" s="5">
        <v>3</v>
      </c>
      <c r="J4" s="5" t="s">
        <v>5</v>
      </c>
      <c r="K4" s="15"/>
      <c r="L4" s="15"/>
      <c r="M4" s="17"/>
    </row>
    <row r="5" spans="1:13" ht="15">
      <c r="A5" s="19" t="s">
        <v>125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>
      <c r="A6" s="20" t="s">
        <v>905</v>
      </c>
      <c r="B6" s="20" t="s">
        <v>906</v>
      </c>
      <c r="C6" s="20" t="s">
        <v>907</v>
      </c>
      <c r="D6" s="20" t="str">
        <f>"0,5914"</f>
        <v>0,5914</v>
      </c>
      <c r="E6" s="20" t="s">
        <v>272</v>
      </c>
      <c r="F6" s="20" t="s">
        <v>20</v>
      </c>
      <c r="G6" s="21" t="s">
        <v>28</v>
      </c>
      <c r="H6" s="21" t="s">
        <v>29</v>
      </c>
      <c r="I6" s="22" t="s">
        <v>420</v>
      </c>
      <c r="J6" s="22"/>
      <c r="K6" s="20" t="str">
        <f>"85,0"</f>
        <v>85,0</v>
      </c>
      <c r="L6" s="21" t="str">
        <f>"52,6819"</f>
        <v>52,6819</v>
      </c>
      <c r="M6" s="20" t="s">
        <v>30</v>
      </c>
    </row>
    <row r="8" spans="1:13" ht="15">
      <c r="E8" s="23" t="s">
        <v>31</v>
      </c>
    </row>
    <row r="9" spans="1:13" ht="15">
      <c r="E9" s="23" t="s">
        <v>32</v>
      </c>
    </row>
    <row r="10" spans="1:13" ht="15">
      <c r="E10" s="23" t="s">
        <v>33</v>
      </c>
    </row>
    <row r="11" spans="1:13" ht="15">
      <c r="E11" s="23" t="s">
        <v>34</v>
      </c>
    </row>
    <row r="12" spans="1:13" ht="15">
      <c r="E12" s="23" t="s">
        <v>34</v>
      </c>
    </row>
    <row r="13" spans="1:13" ht="15">
      <c r="E13" s="23" t="s">
        <v>35</v>
      </c>
    </row>
    <row r="14" spans="1:13" ht="15">
      <c r="E14" s="23"/>
    </row>
    <row r="16" spans="1:13" ht="18">
      <c r="A16" s="24" t="s">
        <v>36</v>
      </c>
      <c r="B16" s="24"/>
    </row>
    <row r="17" spans="1:5" ht="15">
      <c r="A17" s="25" t="s">
        <v>37</v>
      </c>
      <c r="B17" s="25"/>
    </row>
    <row r="18" spans="1:5" ht="14.25">
      <c r="A18" s="27"/>
      <c r="B18" s="28" t="s">
        <v>166</v>
      </c>
    </row>
    <row r="19" spans="1:5" ht="15">
      <c r="A19" s="29" t="s">
        <v>39</v>
      </c>
      <c r="B19" s="29" t="s">
        <v>40</v>
      </c>
      <c r="C19" s="29" t="s">
        <v>41</v>
      </c>
      <c r="D19" s="29" t="s">
        <v>42</v>
      </c>
      <c r="E19" s="29" t="s">
        <v>43</v>
      </c>
    </row>
    <row r="20" spans="1:5">
      <c r="A20" s="26" t="s">
        <v>904</v>
      </c>
      <c r="B20" s="4" t="s">
        <v>167</v>
      </c>
      <c r="C20" s="4" t="s">
        <v>179</v>
      </c>
      <c r="D20" s="4" t="s">
        <v>29</v>
      </c>
      <c r="E20" s="30" t="s">
        <v>908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Жимовое двоеборье любители</vt:lpstr>
      <vt:lpstr>Проф. народный жим 1 вес</vt:lpstr>
      <vt:lpstr>Люб. народный жим 1_2 вес</vt:lpstr>
      <vt:lpstr>Люб. народный жим 1 вес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Русская тяга проф. 200 кг.</vt:lpstr>
      <vt:lpstr>Русская тяга люб. 200 кг.</vt:lpstr>
      <vt:lpstr>Русская тяга люб. 150 кг.</vt:lpstr>
      <vt:lpstr>Русская тяга люб. 100 кг.</vt:lpstr>
      <vt:lpstr>Русская тяга люб. 55 кг.</vt:lpstr>
      <vt:lpstr>РЖ любители 75 кг.</vt:lpstr>
      <vt:lpstr>РЖ любители 55 кг.</vt:lpstr>
      <vt:lpstr>РЖ любители 35 кг.</vt:lpstr>
      <vt:lpstr>РЖ Проф 150 кг.</vt:lpstr>
      <vt:lpstr>РЖ Проф 75 кг.</vt:lpstr>
      <vt:lpstr>РЖ Проф 55 кг.</vt:lpstr>
      <vt:lpstr>Двоеборье проф.</vt:lpstr>
      <vt:lpstr>Люб. присед б.э.</vt:lpstr>
      <vt:lpstr>ПРО тяга б.э.</vt:lpstr>
      <vt:lpstr>Люб. тяга б.э.</vt:lpstr>
      <vt:lpstr>СОВ тяга</vt:lpstr>
      <vt:lpstr>ПРО жим софт мн.петельная</vt:lpstr>
      <vt:lpstr>Люб. жим жим софт мн.петельная</vt:lpstr>
      <vt:lpstr>ПРО жим софт 1 петельная</vt:lpstr>
      <vt:lpstr>ПРО жим б.э.</vt:lpstr>
      <vt:lpstr>Люб. жим б.э.</vt:lpstr>
      <vt:lpstr>СОВ жим</vt:lpstr>
      <vt:lpstr>ПРО Военный жим</vt:lpstr>
      <vt:lpstr>Люб. Военный жим</vt:lpstr>
      <vt:lpstr>Люб. ПЛ. мн.петельная софт</vt:lpstr>
      <vt:lpstr>ПРО ПЛ. б.э.</vt:lpstr>
      <vt:lpstr>Люб. ПЛ. б.э.</vt:lpstr>
      <vt:lpstr>Люб. ПЛ. 1.петельная софт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Я</cp:lastModifiedBy>
  <cp:lastPrinted>2015-07-16T19:10:53Z</cp:lastPrinted>
  <dcterms:created xsi:type="dcterms:W3CDTF">2002-06-16T13:36:44Z</dcterms:created>
  <dcterms:modified xsi:type="dcterms:W3CDTF">2019-11-18T18:50:05Z</dcterms:modified>
</cp:coreProperties>
</file>