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8" documentId="11_96D55B596560C74A8A2EA9774BDC37D36A692BF3" xr6:coauthVersionLast="46" xr6:coauthVersionMax="46" xr10:uidLastSave="{252C19B7-C4F7-4BFE-91EE-9B48482878B3}"/>
  <bookViews>
    <workbookView xWindow="2835" yWindow="120" windowWidth="24225" windowHeight="6675" tabRatio="992" xr2:uid="{00000000-000D-0000-FFFF-FFFF00000000}"/>
  </bookViews>
  <sheets>
    <sheet name="AWPA raw PL" sheetId="14" r:id="rId1"/>
    <sheet name="WPA raw PL" sheetId="18" r:id="rId2"/>
    <sheet name="AWPA RAW PP" sheetId="9" r:id="rId3"/>
    <sheet name="AWPA raw BP" sheetId="15" r:id="rId4"/>
    <sheet name="WPA raw BP" sheetId="19" r:id="rId5"/>
    <sheet name="AWPC MP soft eq. BP" sheetId="1" r:id="rId6"/>
    <sheet name="WPA raw SQ" sheetId="10" r:id="rId7"/>
    <sheet name="WPA SC" sheetId="11" r:id="rId8"/>
    <sheet name="AWPA SC" sheetId="12" r:id="rId9"/>
    <sheet name="AWPA mil_bp" sheetId="13" r:id="rId10"/>
    <sheet name="AWPA raw DL" sheetId="17" r:id="rId11"/>
    <sheet name="AWPA DL" sheetId="16" r:id="rId12"/>
    <sheet name="WPA raw DL" sheetId="20" r:id="rId13"/>
  </sheets>
  <definedNames>
    <definedName name="_xlnm._FilterDatabase" localSheetId="12">'WPA raw DL'!$A$1:$I$1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20" l="1"/>
  <c r="I7" i="20"/>
  <c r="J4" i="20"/>
  <c r="I4" i="20"/>
  <c r="J17" i="19"/>
  <c r="I17" i="19"/>
  <c r="J14" i="19"/>
  <c r="I14" i="19"/>
  <c r="J11" i="19"/>
  <c r="I11" i="19"/>
  <c r="J10" i="19"/>
  <c r="I10" i="19"/>
  <c r="J7" i="19"/>
  <c r="I7" i="19"/>
  <c r="J4" i="19"/>
  <c r="I4" i="19"/>
  <c r="R4" i="18"/>
  <c r="Q4" i="18"/>
  <c r="J24" i="17"/>
  <c r="I24" i="17"/>
  <c r="J21" i="17"/>
  <c r="I21" i="17"/>
  <c r="J20" i="17"/>
  <c r="I20" i="17"/>
  <c r="J17" i="17"/>
  <c r="I17" i="17"/>
  <c r="J16" i="17"/>
  <c r="I16" i="17"/>
  <c r="J13" i="17"/>
  <c r="I13" i="17"/>
  <c r="J10" i="17"/>
  <c r="I10" i="17"/>
  <c r="J7" i="17"/>
  <c r="I7" i="17"/>
  <c r="J4" i="17"/>
  <c r="I4" i="17"/>
  <c r="J8" i="16"/>
  <c r="I8" i="16"/>
  <c r="J5" i="16"/>
  <c r="I5" i="16"/>
  <c r="J4" i="16"/>
  <c r="I4" i="16"/>
  <c r="J51" i="15"/>
  <c r="I51" i="15"/>
  <c r="J50" i="15"/>
  <c r="I50" i="15"/>
  <c r="J47" i="15"/>
  <c r="I47" i="15"/>
  <c r="J44" i="15"/>
  <c r="I44" i="15"/>
  <c r="J41" i="15"/>
  <c r="I41" i="15"/>
  <c r="J40" i="15"/>
  <c r="I40" i="15"/>
  <c r="J39" i="15"/>
  <c r="I39" i="15"/>
  <c r="J38" i="15"/>
  <c r="I38" i="15"/>
  <c r="J37" i="15"/>
  <c r="I37" i="15"/>
  <c r="J34" i="15"/>
  <c r="I34" i="15"/>
  <c r="J33" i="15"/>
  <c r="I33" i="15"/>
  <c r="J32" i="15"/>
  <c r="I32" i="15"/>
  <c r="J31" i="15"/>
  <c r="I31" i="15"/>
  <c r="J28" i="15"/>
  <c r="I28" i="15"/>
  <c r="J27" i="15"/>
  <c r="I27" i="15"/>
  <c r="J26" i="15"/>
  <c r="I26" i="15"/>
  <c r="J25" i="15"/>
  <c r="I25" i="15"/>
  <c r="J22" i="15"/>
  <c r="I22" i="15"/>
  <c r="J21" i="15"/>
  <c r="I21" i="15"/>
  <c r="J18" i="15"/>
  <c r="I18" i="15"/>
  <c r="J15" i="15"/>
  <c r="I15" i="15"/>
  <c r="J14" i="15"/>
  <c r="I14" i="15"/>
  <c r="J11" i="15"/>
  <c r="I11" i="15"/>
  <c r="J10" i="15"/>
  <c r="I10" i="15"/>
  <c r="J7" i="15"/>
  <c r="I7" i="15"/>
  <c r="J4" i="15"/>
  <c r="I4" i="15"/>
  <c r="R42" i="14"/>
  <c r="Q42" i="14"/>
  <c r="R41" i="14"/>
  <c r="Q41" i="14"/>
  <c r="R40" i="14"/>
  <c r="Q40" i="14"/>
  <c r="R39" i="14"/>
  <c r="Q39" i="14"/>
  <c r="R38" i="14"/>
  <c r="Q38" i="14"/>
  <c r="R35" i="14"/>
  <c r="Q35" i="14"/>
  <c r="R34" i="14"/>
  <c r="Q34" i="14"/>
  <c r="R33" i="14"/>
  <c r="Q33" i="14"/>
  <c r="R32" i="14"/>
  <c r="Q32" i="14"/>
  <c r="R29" i="14"/>
  <c r="Q29" i="14"/>
  <c r="R28" i="14"/>
  <c r="Q28" i="14"/>
  <c r="R27" i="14"/>
  <c r="Q27" i="14"/>
  <c r="R24" i="14"/>
  <c r="Q24" i="14"/>
  <c r="R23" i="14"/>
  <c r="Q23" i="14"/>
  <c r="R20" i="14"/>
  <c r="Q20" i="14"/>
  <c r="R17" i="14"/>
  <c r="Q17" i="14"/>
  <c r="R14" i="14"/>
  <c r="Q14" i="14"/>
  <c r="R11" i="14"/>
  <c r="Q11" i="14"/>
  <c r="R8" i="14"/>
  <c r="Q8" i="14"/>
  <c r="R5" i="14"/>
  <c r="Q5" i="14"/>
  <c r="R4" i="14"/>
  <c r="Q4" i="14"/>
  <c r="J7" i="13"/>
  <c r="I7" i="13"/>
  <c r="J4" i="13"/>
  <c r="I4" i="13"/>
  <c r="J31" i="12"/>
  <c r="I31" i="12"/>
  <c r="J28" i="12"/>
  <c r="I28" i="12"/>
  <c r="J27" i="12"/>
  <c r="I27" i="12"/>
  <c r="J24" i="12"/>
  <c r="I24" i="12"/>
  <c r="J23" i="12"/>
  <c r="I23" i="12"/>
  <c r="J20" i="12"/>
  <c r="I20" i="12"/>
  <c r="J17" i="12"/>
  <c r="I17" i="12"/>
  <c r="J16" i="12"/>
  <c r="I16" i="12"/>
  <c r="J15" i="12"/>
  <c r="I15" i="12"/>
  <c r="J14" i="12"/>
  <c r="I14" i="12"/>
  <c r="J11" i="12"/>
  <c r="I11" i="12"/>
  <c r="J10" i="12"/>
  <c r="I10" i="12"/>
  <c r="J7" i="12"/>
  <c r="I7" i="12"/>
  <c r="J4" i="12"/>
  <c r="I4" i="12"/>
  <c r="J4" i="11"/>
  <c r="I4" i="11"/>
  <c r="J4" i="10"/>
  <c r="I4" i="10"/>
  <c r="J7" i="1"/>
  <c r="I7" i="1"/>
  <c r="J4" i="1"/>
  <c r="I4" i="1"/>
</calcChain>
</file>

<file path=xl/sharedStrings.xml><?xml version="1.0" encoding="utf-8"?>
<sst xmlns="http://schemas.openxmlformats.org/spreadsheetml/2006/main" count="1404" uniqueCount="447">
  <si>
    <t>Name</t>
  </si>
  <si>
    <t>Age Class
Bith date/Age</t>
  </si>
  <si>
    <t>Benchpress</t>
  </si>
  <si>
    <t>Rec</t>
  </si>
  <si>
    <t>Body Weight Category  75</t>
  </si>
  <si>
    <t>1. Limareva Elena</t>
  </si>
  <si>
    <t>Masters 50-54 (20.04.1966)/54</t>
  </si>
  <si>
    <t>69,80</t>
  </si>
  <si>
    <t>100,0</t>
  </si>
  <si>
    <t>110,0</t>
  </si>
  <si>
    <t>120,0</t>
  </si>
  <si>
    <t>Body Weight Category  110</t>
  </si>
  <si>
    <t>1. Gamaev Aleksandr</t>
  </si>
  <si>
    <t>Open (06.02.1983)/38</t>
  </si>
  <si>
    <t>106,60</t>
  </si>
  <si>
    <t>220,0</t>
  </si>
  <si>
    <t>225,0</t>
  </si>
  <si>
    <t>230,0</t>
  </si>
  <si>
    <t>List absolute winners</t>
  </si>
  <si>
    <t>Women</t>
  </si>
  <si>
    <t>Masters</t>
  </si>
  <si>
    <t>Age class</t>
  </si>
  <si>
    <t>WC</t>
  </si>
  <si>
    <t>Limareva Elena</t>
  </si>
  <si>
    <t>Masters 50-54</t>
  </si>
  <si>
    <t>75</t>
  </si>
  <si>
    <t>Man</t>
  </si>
  <si>
    <t>Open</t>
  </si>
  <si>
    <t>Gamaev Aleksandr</t>
  </si>
  <si>
    <t>110</t>
  </si>
  <si>
    <t>25,0</t>
  </si>
  <si>
    <t>1. Krikunov Yuriy</t>
  </si>
  <si>
    <t>74,10</t>
  </si>
  <si>
    <t>75,0</t>
  </si>
  <si>
    <t>Body Weight Category  90</t>
  </si>
  <si>
    <t>1. Bernyaev Igor</t>
  </si>
  <si>
    <t>87,80</t>
  </si>
  <si>
    <t>90,0</t>
  </si>
  <si>
    <t>1. Bekov Kairat</t>
  </si>
  <si>
    <t>Open (31.03.1971)/50</t>
  </si>
  <si>
    <t>101,90</t>
  </si>
  <si>
    <t>102,5</t>
  </si>
  <si>
    <t>Bekov Kairat</t>
  </si>
  <si>
    <t>Krikunov Yuriy</t>
  </si>
  <si>
    <t>Bernyaev Igor</t>
  </si>
  <si>
    <t>90</t>
  </si>
  <si>
    <t>52,5</t>
  </si>
  <si>
    <t>69,90</t>
  </si>
  <si>
    <t>70,0</t>
  </si>
  <si>
    <t>Open (05.04.1985)/36</t>
  </si>
  <si>
    <t>73,70</t>
  </si>
  <si>
    <t>Cheglakov Aleksandr</t>
  </si>
  <si>
    <t>1. Katkova Sofya</t>
  </si>
  <si>
    <t>65,20</t>
  </si>
  <si>
    <t>55,0</t>
  </si>
  <si>
    <t>60,0</t>
  </si>
  <si>
    <t>65,0</t>
  </si>
  <si>
    <t>80,0</t>
  </si>
  <si>
    <t>95,0</t>
  </si>
  <si>
    <t>1. Umerenkov Daniil</t>
  </si>
  <si>
    <t>75,00</t>
  </si>
  <si>
    <t>85,0</t>
  </si>
  <si>
    <t>74,90</t>
  </si>
  <si>
    <t>1. Gorshkov Anton</t>
  </si>
  <si>
    <t>Open (25.08.1988)/32</t>
  </si>
  <si>
    <t>77,50</t>
  </si>
  <si>
    <t>Open (01.03.2004)/17</t>
  </si>
  <si>
    <t>40,0</t>
  </si>
  <si>
    <t>50,0</t>
  </si>
  <si>
    <t>Body Weight Category  100</t>
  </si>
  <si>
    <t>1. Medvedev Danila</t>
  </si>
  <si>
    <t>93,80</t>
  </si>
  <si>
    <t>105,0</t>
  </si>
  <si>
    <t>Katkova Sofya</t>
  </si>
  <si>
    <t>Medvedev Danila</t>
  </si>
  <si>
    <t>100</t>
  </si>
  <si>
    <t>Umerenkov Daniil</t>
  </si>
  <si>
    <t>Ratkevich Ilya</t>
  </si>
  <si>
    <t>Gorshkov Anton</t>
  </si>
  <si>
    <t>Nikitchenko Sergey</t>
  </si>
  <si>
    <t>115,0</t>
  </si>
  <si>
    <t>125,0</t>
  </si>
  <si>
    <t>1. Battakhov Petr</t>
  </si>
  <si>
    <t>99,10</t>
  </si>
  <si>
    <t>130,0</t>
  </si>
  <si>
    <t>140,0</t>
  </si>
  <si>
    <t>Battakhov Petr</t>
  </si>
  <si>
    <t>60,5</t>
  </si>
  <si>
    <t>Teen 16-17 (01.03.2004)/17</t>
  </si>
  <si>
    <t>77,5</t>
  </si>
  <si>
    <t>82,5</t>
  </si>
  <si>
    <t>135,0</t>
  </si>
  <si>
    <t>145,0</t>
  </si>
  <si>
    <t>155,0</t>
  </si>
  <si>
    <t>1. Usochev Igor</t>
  </si>
  <si>
    <t>Masters 55-59 (06.06.1965)/55</t>
  </si>
  <si>
    <t>94,60</t>
  </si>
  <si>
    <t>210,0</t>
  </si>
  <si>
    <t>225,5</t>
  </si>
  <si>
    <t>232,5</t>
  </si>
  <si>
    <t>142,5</t>
  </si>
  <si>
    <t>150,0</t>
  </si>
  <si>
    <t>160,0</t>
  </si>
  <si>
    <t>Teen</t>
  </si>
  <si>
    <t>Teen 16-17</t>
  </si>
  <si>
    <t>240,0</t>
  </si>
  <si>
    <t>302,5</t>
  </si>
  <si>
    <t>Usochev Igor</t>
  </si>
  <si>
    <t>Masters 55-59</t>
  </si>
  <si>
    <t>Masters 65-69 (21.04.1952)/68</t>
  </si>
  <si>
    <t>Masters 65-69</t>
  </si>
  <si>
    <t>Juniors 20-23 (26.03.2001)/20</t>
  </si>
  <si>
    <t>Juniors</t>
  </si>
  <si>
    <t>Juniors 20-23</t>
  </si>
  <si>
    <t>Body Weight Category  56</t>
  </si>
  <si>
    <t>1. Sokolova Anna</t>
  </si>
  <si>
    <t>Open (01.07.1983)/37</t>
  </si>
  <si>
    <t>53,50</t>
  </si>
  <si>
    <t>27,5</t>
  </si>
  <si>
    <t>32,5</t>
  </si>
  <si>
    <t>Body Weight Category  67.5</t>
  </si>
  <si>
    <t>Juniors 20-23 (12.03.1999)/22</t>
  </si>
  <si>
    <t>30,0</t>
  </si>
  <si>
    <t>1. Umerenkova Yuliya</t>
  </si>
  <si>
    <t>Open (09.12.1980)/40</t>
  </si>
  <si>
    <t>73,30</t>
  </si>
  <si>
    <t>35,0</t>
  </si>
  <si>
    <t>42,5</t>
  </si>
  <si>
    <t>Masters 40-44 (09.12.1980)/40</t>
  </si>
  <si>
    <t>1. Ratkevich Ilya</t>
  </si>
  <si>
    <t>Teen 18-19 (30.07.2001)/19</t>
  </si>
  <si>
    <t>62,5</t>
  </si>
  <si>
    <t>1. Nikitchenko Sergey</t>
  </si>
  <si>
    <t>Masters 40-44 (10.09.1978)/42</t>
  </si>
  <si>
    <t>57,5</t>
  </si>
  <si>
    <t>1. Ilchenko Vasiliy</t>
  </si>
  <si>
    <t>Masters 55-59 (13.05.1963)/57</t>
  </si>
  <si>
    <t>74,40</t>
  </si>
  <si>
    <t>Masters 60-64 (25.05.1957)/63</t>
  </si>
  <si>
    <t>45,0</t>
  </si>
  <si>
    <t>Body Weight Category  82.5</t>
  </si>
  <si>
    <t>1. Mischenko Artem</t>
  </si>
  <si>
    <t>Open (26.06.1984)/36</t>
  </si>
  <si>
    <t>89,90</t>
  </si>
  <si>
    <t>2. Mashoshin Evgeniy</t>
  </si>
  <si>
    <t>Open (03.12.1983)/37</t>
  </si>
  <si>
    <t>90,00</t>
  </si>
  <si>
    <t>67,5</t>
  </si>
  <si>
    <t>1. Rabekhov Temur</t>
  </si>
  <si>
    <t>Open (06.04.1992)/29</t>
  </si>
  <si>
    <t>96,60</t>
  </si>
  <si>
    <t>1. Domanskiy Aleksandr</t>
  </si>
  <si>
    <t>Sub Masters 33-39 (21.11.1985)/35</t>
  </si>
  <si>
    <t>94,40</t>
  </si>
  <si>
    <t>67.5</t>
  </si>
  <si>
    <t>Umerenkova Yuliya</t>
  </si>
  <si>
    <t>Sokolova Anna</t>
  </si>
  <si>
    <t>56</t>
  </si>
  <si>
    <t>Masters 40-44</t>
  </si>
  <si>
    <t>Teen 18-19</t>
  </si>
  <si>
    <t>Mischenko Artem</t>
  </si>
  <si>
    <t>82.5</t>
  </si>
  <si>
    <t>Mashoshin Evgeniy</t>
  </si>
  <si>
    <t>Rabekhov Temur</t>
  </si>
  <si>
    <t>Sub</t>
  </si>
  <si>
    <t>Domanskiy Aleksandr</t>
  </si>
  <si>
    <t>Sub Masters 33-39</t>
  </si>
  <si>
    <t>Ilchenko Vasiliy</t>
  </si>
  <si>
    <t>Masters 60-64</t>
  </si>
  <si>
    <t>80,5</t>
  </si>
  <si>
    <t>Body Weight Category  60</t>
  </si>
  <si>
    <t>1. Grigorieva Nataliya</t>
  </si>
  <si>
    <t>Open (01.02.1983)/38</t>
  </si>
  <si>
    <t>59,40</t>
  </si>
  <si>
    <t>1. Zharikova Victoriya</t>
  </si>
  <si>
    <t>Masters 40-44 (11.10.1977)/43</t>
  </si>
  <si>
    <t>58,80</t>
  </si>
  <si>
    <t>1. Alimova Diana</t>
  </si>
  <si>
    <t>Open (19.05.1990)/30</t>
  </si>
  <si>
    <t>37,5</t>
  </si>
  <si>
    <t>92,5</t>
  </si>
  <si>
    <t>Tulyakov Nikita</t>
  </si>
  <si>
    <t>1. Shuvalova Tatyana</t>
  </si>
  <si>
    <t>Masters 45-49 (05.01.1975)/46</t>
  </si>
  <si>
    <t>75,60</t>
  </si>
  <si>
    <t>1. Smetankina Vera</t>
  </si>
  <si>
    <t>Masters 40-44 (30.06.1978)/42</t>
  </si>
  <si>
    <t>88,80</t>
  </si>
  <si>
    <t>1. Timofeev Aleksandr</t>
  </si>
  <si>
    <t>Open (18.05.1991)/29</t>
  </si>
  <si>
    <t>66,80</t>
  </si>
  <si>
    <t>170,0</t>
  </si>
  <si>
    <t>190,0</t>
  </si>
  <si>
    <t>200,0</t>
  </si>
  <si>
    <t>205,0</t>
  </si>
  <si>
    <t>-. Koleboshin Dmitriy</t>
  </si>
  <si>
    <t>Juniors 20-23 (14.06.1998)/22</t>
  </si>
  <si>
    <t>74,60</t>
  </si>
  <si>
    <t>185,0</t>
  </si>
  <si>
    <t>195,0</t>
  </si>
  <si>
    <t>1. Smetankin Aleksey</t>
  </si>
  <si>
    <t>Children 11-12 (26.09.2008)/12</t>
  </si>
  <si>
    <t>1. Alimov Artem</t>
  </si>
  <si>
    <t>Teen 16-17 (25.09.2004)/16</t>
  </si>
  <si>
    <t>82,20</t>
  </si>
  <si>
    <t>1. Mukhamadov Izzatullo</t>
  </si>
  <si>
    <t>Juniors 20-23 (11.08.1998)/22</t>
  </si>
  <si>
    <t>87,20</t>
  </si>
  <si>
    <t>152,5</t>
  </si>
  <si>
    <t>245,0</t>
  </si>
  <si>
    <t>257,5</t>
  </si>
  <si>
    <t>1. Zmunchile Mikhail</t>
  </si>
  <si>
    <t>Open (25.05.1983)/37</t>
  </si>
  <si>
    <t>89,00</t>
  </si>
  <si>
    <t>180,0</t>
  </si>
  <si>
    <t>197,5</t>
  </si>
  <si>
    <t>202,5</t>
  </si>
  <si>
    <t>2. Lototskiy Dmitriy</t>
  </si>
  <si>
    <t>Open (17.05.1990)/30</t>
  </si>
  <si>
    <t>86,30</t>
  </si>
  <si>
    <t>165,0</t>
  </si>
  <si>
    <t>1. Repkin Artem</t>
  </si>
  <si>
    <t>Open (24.06.1994)/26</t>
  </si>
  <si>
    <t>250,0</t>
  </si>
  <si>
    <t>265,0</t>
  </si>
  <si>
    <t>162,5</t>
  </si>
  <si>
    <t>260,0</t>
  </si>
  <si>
    <t>290,0</t>
  </si>
  <si>
    <t>2. Migulev Aleksey</t>
  </si>
  <si>
    <t>Open (20.10.1987)/33</t>
  </si>
  <si>
    <t>99,40</t>
  </si>
  <si>
    <t>255,0</t>
  </si>
  <si>
    <t>1. Pigrov Sergey</t>
  </si>
  <si>
    <t>Masters 40-44 (03.06.1978)/42</t>
  </si>
  <si>
    <t>97,20</t>
  </si>
  <si>
    <t>157,5</t>
  </si>
  <si>
    <t>1. Ogannisyan Rafik</t>
  </si>
  <si>
    <t>Open (06.12.1980)/40</t>
  </si>
  <si>
    <t>109,00</t>
  </si>
  <si>
    <t>270,0</t>
  </si>
  <si>
    <t>277,5</t>
  </si>
  <si>
    <t>2. Privezentzev Artem</t>
  </si>
  <si>
    <t>Open (14.11.1992)/28</t>
  </si>
  <si>
    <t>105,80</t>
  </si>
  <si>
    <t>215,0</t>
  </si>
  <si>
    <t>3. Kogan Aleksandr</t>
  </si>
  <si>
    <t>Open (19.01.1984)/37</t>
  </si>
  <si>
    <t>101,40</t>
  </si>
  <si>
    <t>Masters 40-44 (06.12.1980)/40</t>
  </si>
  <si>
    <t>Masters 50-54 (31.03.1971)/50</t>
  </si>
  <si>
    <t>Grigorieva Nataliya</t>
  </si>
  <si>
    <t>60</t>
  </si>
  <si>
    <t>Alimova Diana</t>
  </si>
  <si>
    <t>207,5</t>
  </si>
  <si>
    <t>Zharikova Victoriya</t>
  </si>
  <si>
    <t>Shuvalova Tatyana</t>
  </si>
  <si>
    <t>Masters 45-49</t>
  </si>
  <si>
    <t>Smetankina Vera</t>
  </si>
  <si>
    <t>Children</t>
  </si>
  <si>
    <t>Smetankin Aleksey</t>
  </si>
  <si>
    <t>Children 11-12</t>
  </si>
  <si>
    <t>Alimov Artem</t>
  </si>
  <si>
    <t>Mukhamadov Izzatullo</t>
  </si>
  <si>
    <t>Repkin Artem</t>
  </si>
  <si>
    <t>Ogannisyan Rafik</t>
  </si>
  <si>
    <t>Timofeev Aleksandr</t>
  </si>
  <si>
    <t>Zmunchile Mikhail</t>
  </si>
  <si>
    <t>Migulev Aleksey</t>
  </si>
  <si>
    <t>Privezentzev Artem</t>
  </si>
  <si>
    <t>Lototskiy Dmitriy</t>
  </si>
  <si>
    <t>Kogan Aleksandr</t>
  </si>
  <si>
    <t>Pigrov Sergey</t>
  </si>
  <si>
    <t>1. Verenikina Mariya</t>
  </si>
  <si>
    <t>Open (14.10.1985)/35</t>
  </si>
  <si>
    <t>55,90</t>
  </si>
  <si>
    <t>1. Loskutova Galina</t>
  </si>
  <si>
    <t>Open (17.05.1987)/33</t>
  </si>
  <si>
    <t>64,50</t>
  </si>
  <si>
    <t>1. Gadetskaya Mariya</t>
  </si>
  <si>
    <t>Open (19.04.1987)/33</t>
  </si>
  <si>
    <t>70,40</t>
  </si>
  <si>
    <t>1. Kolesnikov Vasiliy</t>
  </si>
  <si>
    <t>Open (17.02.1992)/29</t>
  </si>
  <si>
    <t>65,40</t>
  </si>
  <si>
    <t>107,5</t>
  </si>
  <si>
    <t>-. Shakhverdyan Artush</t>
  </si>
  <si>
    <t>Open (29.04.1988)/32</t>
  </si>
  <si>
    <t>65,50</t>
  </si>
  <si>
    <t>97,5</t>
  </si>
  <si>
    <t>1. Ivantsov Artem</t>
  </si>
  <si>
    <t>Open (17.07.1995)/25</t>
  </si>
  <si>
    <t>117,5</t>
  </si>
  <si>
    <t>1. Andreev Dmitriy</t>
  </si>
  <si>
    <t>Open (16.11.1980)/40</t>
  </si>
  <si>
    <t>81,40</t>
  </si>
  <si>
    <t>147,5</t>
  </si>
  <si>
    <t>Masters 40-44 (16.11.1980)/40</t>
  </si>
  <si>
    <t>-. Nesterov Vladimir</t>
  </si>
  <si>
    <t>Open (21.09.1986)/34</t>
  </si>
  <si>
    <t>132,5</t>
  </si>
  <si>
    <t>Matevosyan David</t>
  </si>
  <si>
    <t>1. Volzhentsev Valeriy</t>
  </si>
  <si>
    <t>Masters 45-49 (13.04.1973)/47</t>
  </si>
  <si>
    <t>89,60</t>
  </si>
  <si>
    <t>172,5</t>
  </si>
  <si>
    <t>Masters 50-54 (30.11.1968)/52</t>
  </si>
  <si>
    <t>87,70</t>
  </si>
  <si>
    <t>1. Kravchenko Vitaliy</t>
  </si>
  <si>
    <t>Open (16.05.1982)/38</t>
  </si>
  <si>
    <t>98,30</t>
  </si>
  <si>
    <t>177,5</t>
  </si>
  <si>
    <t>2. Seferov Rafat</t>
  </si>
  <si>
    <t>Open (10.01.1995)/26</t>
  </si>
  <si>
    <t>95,80</t>
  </si>
  <si>
    <t>1. Sorokin Andrey</t>
  </si>
  <si>
    <t>Masters 45-49 (13.11.1971)/49</t>
  </si>
  <si>
    <t>92,50</t>
  </si>
  <si>
    <t>137,5</t>
  </si>
  <si>
    <t>1. Bulgak Viorel</t>
  </si>
  <si>
    <t>Open (10.10.1985)/35</t>
  </si>
  <si>
    <t>110,00</t>
  </si>
  <si>
    <t>2. Kozlov Vladislav</t>
  </si>
  <si>
    <t>Open (10.02.1997)/24</t>
  </si>
  <si>
    <t>108,00</t>
  </si>
  <si>
    <t>1. Gruntov Victor</t>
  </si>
  <si>
    <t>Masters 45-49 (27.05.1972)/48</t>
  </si>
  <si>
    <t>107,30</t>
  </si>
  <si>
    <t>Kaminskiy Yevgeniy</t>
  </si>
  <si>
    <t>1. Bichkov Igor</t>
  </si>
  <si>
    <t>Masters 50-54 (18.06.1970)/50</t>
  </si>
  <si>
    <t>107,80</t>
  </si>
  <si>
    <t>2. Bekov Kairat</t>
  </si>
  <si>
    <t>Body Weight Category  125</t>
  </si>
  <si>
    <t>1. Yaskin Roman</t>
  </si>
  <si>
    <t>Masters 45-49 (06.04.1976)/45</t>
  </si>
  <si>
    <t>124,60</t>
  </si>
  <si>
    <t>Body Weight Category  140</t>
  </si>
  <si>
    <t>1. Chubarov Vladimir</t>
  </si>
  <si>
    <t>Masters 55-59 (03.04.1964)/57</t>
  </si>
  <si>
    <t>135,70</t>
  </si>
  <si>
    <t>182,5</t>
  </si>
  <si>
    <t>Body Weight Category  155</t>
  </si>
  <si>
    <t>1. Nikiforov Aleksandr</t>
  </si>
  <si>
    <t>Open (18.10.1973)/47</t>
  </si>
  <si>
    <t>145,00</t>
  </si>
  <si>
    <t>Masters 45-49 (18.10.1973)/47</t>
  </si>
  <si>
    <t>Verenikina Mariya</t>
  </si>
  <si>
    <t>Gadetskaya Mariya</t>
  </si>
  <si>
    <t>Loskutova Galina</t>
  </si>
  <si>
    <t>Bulgak Viorel</t>
  </si>
  <si>
    <t>Kravchenko Vitaliy</t>
  </si>
  <si>
    <t>Seferov Rafat</t>
  </si>
  <si>
    <t>Andreev Dmitriy</t>
  </si>
  <si>
    <t>Nikiforov Aleksandr</t>
  </si>
  <si>
    <t>155</t>
  </si>
  <si>
    <t>Kozlov Vladislav</t>
  </si>
  <si>
    <t>Kolesnikov Vasiliy</t>
  </si>
  <si>
    <t>Ivantsov Artem</t>
  </si>
  <si>
    <t>Chubarov Vladimir</t>
  </si>
  <si>
    <t>140</t>
  </si>
  <si>
    <t>Gruntov Victor</t>
  </si>
  <si>
    <t>Bichkov Igor</t>
  </si>
  <si>
    <t>Volzhentsev Valeriy</t>
  </si>
  <si>
    <t>Sorokin Andrey</t>
  </si>
  <si>
    <t>Yaskin Roman</t>
  </si>
  <si>
    <t>125</t>
  </si>
  <si>
    <t>1. Anisimova Kristina</t>
  </si>
  <si>
    <t>Open (19.02.1992)/29</t>
  </si>
  <si>
    <t>54,90</t>
  </si>
  <si>
    <t>1. Andreev Aleksandr</t>
  </si>
  <si>
    <t>Teen 16-17 (24.12.2003)/17</t>
  </si>
  <si>
    <t>55,60</t>
  </si>
  <si>
    <t>1. Skokin Victor</t>
  </si>
  <si>
    <t>Masters 60-64 (20.06.1957)/63</t>
  </si>
  <si>
    <t>76,40</t>
  </si>
  <si>
    <t>222,5</t>
  </si>
  <si>
    <t>1. Yakubov Erik</t>
  </si>
  <si>
    <t>Open (17.08.1992)/28</t>
  </si>
  <si>
    <t>87,60</t>
  </si>
  <si>
    <t>2. Samodelov Igor</t>
  </si>
  <si>
    <t>Open (08.12.1982)/38</t>
  </si>
  <si>
    <t>83,70</t>
  </si>
  <si>
    <t>Open (06.06.1965)/55</t>
  </si>
  <si>
    <t>Anisimova Kristina</t>
  </si>
  <si>
    <t>Andreev Aleksandr</t>
  </si>
  <si>
    <t>Samodelov Igor</t>
  </si>
  <si>
    <t>Yakubov Erik</t>
  </si>
  <si>
    <t>Skokin Victor</t>
  </si>
  <si>
    <t>1. Morozov Aleksandr</t>
  </si>
  <si>
    <t>Open (07.06.1991)/29</t>
  </si>
  <si>
    <t>107,70</t>
  </si>
  <si>
    <t>175,0</t>
  </si>
  <si>
    <t>Morozov Aleksandr</t>
  </si>
  <si>
    <t>1. Cheglakov Aleksandr</t>
  </si>
  <si>
    <t>1. Burtsev Dmitriy</t>
  </si>
  <si>
    <t>Masters 40-44 (21.02.1977)/44</t>
  </si>
  <si>
    <t>79,70</t>
  </si>
  <si>
    <t>1. Salosalov Sergey</t>
  </si>
  <si>
    <t>Teen 16-17 (11.09.2004)/16</t>
  </si>
  <si>
    <t>89,30</t>
  </si>
  <si>
    <t>Open (11.09.2004)/16</t>
  </si>
  <si>
    <t>1. Maskurov Girikhan</t>
  </si>
  <si>
    <t>Open (27.10.1987)/33</t>
  </si>
  <si>
    <t>1. Gevorkyan Anton</t>
  </si>
  <si>
    <t>Open (12.06.1992)/28</t>
  </si>
  <si>
    <t>116,80</t>
  </si>
  <si>
    <t>Salosalov Sergey</t>
  </si>
  <si>
    <t>Gevorkyan Anton</t>
  </si>
  <si>
    <t>Maskurov Girikhan</t>
  </si>
  <si>
    <t>Burtsev Dmitriy</t>
  </si>
  <si>
    <t>1. Gorelikov Dmirtiy</t>
  </si>
  <si>
    <t>Masters 50-54 (23.06.1968)/52</t>
  </si>
  <si>
    <t>81,20</t>
  </si>
  <si>
    <t>Gorelikov Dmirtiy</t>
  </si>
  <si>
    <t>имя</t>
  </si>
  <si>
    <t>вес</t>
  </si>
  <si>
    <t>город</t>
  </si>
  <si>
    <t>тяга</t>
  </si>
  <si>
    <t>4</t>
  </si>
  <si>
    <t>итог</t>
  </si>
  <si>
    <t>очки</t>
  </si>
  <si>
    <t>присед</t>
  </si>
  <si>
    <t>жим</t>
  </si>
  <si>
    <t>тренер</t>
  </si>
  <si>
    <t>Видное</t>
  </si>
  <si>
    <t>Москва</t>
  </si>
  <si>
    <t>Апрелевка</t>
  </si>
  <si>
    <t>Химки</t>
  </si>
  <si>
    <t>Архангельск</t>
  </si>
  <si>
    <t>Благовещенск</t>
  </si>
  <si>
    <t>Казахстан</t>
  </si>
  <si>
    <t>Брянск</t>
  </si>
  <si>
    <t>Курск</t>
  </si>
  <si>
    <t>Клин</t>
  </si>
  <si>
    <t>Краснознаменск</t>
  </si>
  <si>
    <t>Подольск</t>
  </si>
  <si>
    <t>Долгопрудный</t>
  </si>
  <si>
    <t>Обнинск</t>
  </si>
  <si>
    <t>Жуковский</t>
  </si>
  <si>
    <t>Пермь</t>
  </si>
  <si>
    <t>Яранск</t>
  </si>
  <si>
    <t>Щелково</t>
  </si>
  <si>
    <t>Якутск</t>
  </si>
  <si>
    <t>Владивосток</t>
  </si>
  <si>
    <t>Дрезна</t>
  </si>
  <si>
    <t>Воскресенск</t>
  </si>
  <si>
    <t>Сергиев Посад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</si>
</sst>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left"/>
    </xf>
    <xf numFmtId="49" fontId="0" fillId="0" borderId="7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 indent="1"/>
    </xf>
    <xf numFmtId="49" fontId="6" fillId="0" borderId="0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 indent="1"/>
    </xf>
    <xf numFmtId="49" fontId="0" fillId="0" borderId="8" xfId="0" applyNumberFormat="1" applyFont="1" applyBorder="1" applyAlignment="1">
      <alignment horizontal="left"/>
    </xf>
    <xf numFmtId="49" fontId="0" fillId="0" borderId="8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0" fillId="0" borderId="9" xfId="0" applyNumberFormat="1" applyFont="1" applyBorder="1" applyAlignment="1">
      <alignment horizontal="left"/>
    </xf>
    <xf numFmtId="49" fontId="0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H98"/>
  <sheetViews>
    <sheetView tabSelected="1" zoomScaleNormal="100" workbookViewId="0">
      <selection sqref="A1:A2"/>
    </sheetView>
  </sheetViews>
  <sheetFormatPr defaultColWidth="9.140625" defaultRowHeight="12.75" x14ac:dyDescent="0.2"/>
  <cols>
    <col min="1" max="1" width="24.85546875" style="1" customWidth="1"/>
    <col min="2" max="2" width="30.42578125" style="2" customWidth="1"/>
    <col min="3" max="3" width="7.5703125" style="2" customWidth="1"/>
    <col min="4" max="4" width="30.42578125" style="1" customWidth="1"/>
    <col min="5" max="7" width="5.5703125" style="2" customWidth="1"/>
    <col min="8" max="8" width="4.7109375" style="2" customWidth="1"/>
    <col min="9" max="11" width="5.5703125" style="2" customWidth="1"/>
    <col min="12" max="12" width="4.7109375" style="2" customWidth="1"/>
    <col min="13" max="16" width="5.5703125" style="2" customWidth="1"/>
    <col min="17" max="17" width="5.7109375" style="3" customWidth="1"/>
    <col min="18" max="18" width="8.5703125" style="4" customWidth="1"/>
    <col min="19" max="19" width="13.140625" style="1" customWidth="1"/>
    <col min="20" max="1022" width="9.140625" style="5"/>
  </cols>
  <sheetData>
    <row r="1" spans="1:19" s="6" customFormat="1" ht="12.75" customHeight="1" x14ac:dyDescent="0.2">
      <c r="A1" s="38" t="s">
        <v>414</v>
      </c>
      <c r="B1" s="39" t="s">
        <v>1</v>
      </c>
      <c r="C1" s="39" t="s">
        <v>415</v>
      </c>
      <c r="D1" s="40" t="s">
        <v>416</v>
      </c>
      <c r="E1" s="41" t="s">
        <v>421</v>
      </c>
      <c r="F1" s="41"/>
      <c r="G1" s="41"/>
      <c r="H1" s="41"/>
      <c r="I1" s="41" t="s">
        <v>422</v>
      </c>
      <c r="J1" s="41"/>
      <c r="K1" s="41"/>
      <c r="L1" s="41"/>
      <c r="M1" s="41" t="s">
        <v>417</v>
      </c>
      <c r="N1" s="41"/>
      <c r="O1" s="41"/>
      <c r="P1" s="41"/>
      <c r="Q1" s="40" t="s">
        <v>419</v>
      </c>
      <c r="R1" s="40" t="s">
        <v>420</v>
      </c>
      <c r="S1" s="42" t="s">
        <v>423</v>
      </c>
    </row>
    <row r="2" spans="1:19" s="6" customFormat="1" ht="23.25" customHeight="1" x14ac:dyDescent="0.2">
      <c r="A2" s="38"/>
      <c r="B2" s="39"/>
      <c r="C2" s="39"/>
      <c r="D2" s="39"/>
      <c r="E2" s="7">
        <v>1</v>
      </c>
      <c r="F2" s="7">
        <v>2</v>
      </c>
      <c r="G2" s="7">
        <v>3</v>
      </c>
      <c r="H2" s="7" t="s">
        <v>418</v>
      </c>
      <c r="I2" s="7">
        <v>1</v>
      </c>
      <c r="J2" s="7">
        <v>2</v>
      </c>
      <c r="K2" s="7">
        <v>3</v>
      </c>
      <c r="L2" s="7" t="s">
        <v>418</v>
      </c>
      <c r="M2" s="7">
        <v>1</v>
      </c>
      <c r="N2" s="7">
        <v>2</v>
      </c>
      <c r="O2" s="7">
        <v>3</v>
      </c>
      <c r="P2" s="7" t="s">
        <v>418</v>
      </c>
      <c r="Q2" s="40"/>
      <c r="R2" s="40"/>
      <c r="S2" s="42"/>
    </row>
    <row r="3" spans="1:19" s="2" customFormat="1" ht="15" x14ac:dyDescent="0.2">
      <c r="A3" s="36" t="s">
        <v>170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"/>
      <c r="R3" s="4"/>
      <c r="S3" s="1"/>
    </row>
    <row r="4" spans="1:19" s="2" customFormat="1" x14ac:dyDescent="0.2">
      <c r="A4" s="21" t="s">
        <v>171</v>
      </c>
      <c r="B4" s="22" t="s">
        <v>172</v>
      </c>
      <c r="C4" s="22" t="s">
        <v>173</v>
      </c>
      <c r="D4" s="21" t="s">
        <v>424</v>
      </c>
      <c r="E4" s="22" t="s">
        <v>10</v>
      </c>
      <c r="F4" s="29" t="s">
        <v>84</v>
      </c>
      <c r="G4" s="29" t="s">
        <v>84</v>
      </c>
      <c r="H4" s="29"/>
      <c r="I4" s="22" t="s">
        <v>67</v>
      </c>
      <c r="J4" s="29" t="s">
        <v>139</v>
      </c>
      <c r="K4" s="22" t="s">
        <v>68</v>
      </c>
      <c r="L4" s="29"/>
      <c r="M4" s="22" t="s">
        <v>10</v>
      </c>
      <c r="N4" s="22" t="s">
        <v>84</v>
      </c>
      <c r="O4" s="22" t="s">
        <v>85</v>
      </c>
      <c r="P4" s="29"/>
      <c r="Q4" s="23" t="str">
        <f>"310,0"</f>
        <v>310,0</v>
      </c>
      <c r="R4" s="24" t="str">
        <f>"268,9560"</f>
        <v>268,9560</v>
      </c>
      <c r="S4" s="21"/>
    </row>
    <row r="5" spans="1:19" s="2" customFormat="1" x14ac:dyDescent="0.2">
      <c r="A5" s="25" t="s">
        <v>174</v>
      </c>
      <c r="B5" s="26" t="s">
        <v>175</v>
      </c>
      <c r="C5" s="26" t="s">
        <v>176</v>
      </c>
      <c r="D5" s="25" t="s">
        <v>425</v>
      </c>
      <c r="E5" s="26" t="s">
        <v>48</v>
      </c>
      <c r="F5" s="26" t="s">
        <v>57</v>
      </c>
      <c r="G5" s="26" t="s">
        <v>37</v>
      </c>
      <c r="H5" s="35"/>
      <c r="I5" s="26" t="s">
        <v>139</v>
      </c>
      <c r="J5" s="26" t="s">
        <v>68</v>
      </c>
      <c r="K5" s="35" t="s">
        <v>54</v>
      </c>
      <c r="L5" s="35"/>
      <c r="M5" s="26" t="s">
        <v>61</v>
      </c>
      <c r="N5" s="26" t="s">
        <v>58</v>
      </c>
      <c r="O5" s="26" t="s">
        <v>41</v>
      </c>
      <c r="P5" s="35"/>
      <c r="Q5" s="27" t="str">
        <f>"242,5"</f>
        <v>242,5</v>
      </c>
      <c r="R5" s="28" t="str">
        <f>"216,0069"</f>
        <v>216,0069</v>
      </c>
      <c r="S5" s="25"/>
    </row>
    <row r="7" spans="1:19" x14ac:dyDescent="0.2">
      <c r="A7" s="37" t="s">
        <v>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9" x14ac:dyDescent="0.2">
      <c r="A8" s="8" t="s">
        <v>177</v>
      </c>
      <c r="B8" s="9" t="s">
        <v>178</v>
      </c>
      <c r="C8" s="9" t="s">
        <v>47</v>
      </c>
      <c r="D8" s="8" t="s">
        <v>425</v>
      </c>
      <c r="E8" s="9" t="s">
        <v>56</v>
      </c>
      <c r="F8" s="9" t="s">
        <v>48</v>
      </c>
      <c r="G8" s="9" t="s">
        <v>33</v>
      </c>
      <c r="H8" s="10"/>
      <c r="I8" s="10" t="s">
        <v>119</v>
      </c>
      <c r="J8" s="9" t="s">
        <v>179</v>
      </c>
      <c r="K8" s="9" t="s">
        <v>67</v>
      </c>
      <c r="L8" s="10"/>
      <c r="M8" s="9" t="s">
        <v>61</v>
      </c>
      <c r="N8" s="9" t="s">
        <v>180</v>
      </c>
      <c r="O8" s="10"/>
      <c r="P8" s="10"/>
      <c r="Q8" s="11" t="str">
        <f>"207,5"</f>
        <v>207,5</v>
      </c>
      <c r="R8" s="12" t="str">
        <f>"157,4510"</f>
        <v>157,4510</v>
      </c>
      <c r="S8" s="8" t="s">
        <v>181</v>
      </c>
    </row>
    <row r="10" spans="1:19" ht="15" x14ac:dyDescent="0.2">
      <c r="A10" s="37" t="s">
        <v>140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9" x14ac:dyDescent="0.2">
      <c r="A11" s="8" t="s">
        <v>182</v>
      </c>
      <c r="B11" s="9" t="s">
        <v>183</v>
      </c>
      <c r="C11" s="9" t="s">
        <v>184</v>
      </c>
      <c r="D11" s="8" t="s">
        <v>425</v>
      </c>
      <c r="E11" s="9" t="s">
        <v>37</v>
      </c>
      <c r="F11" s="9" t="s">
        <v>58</v>
      </c>
      <c r="G11" s="9" t="s">
        <v>8</v>
      </c>
      <c r="H11" s="10"/>
      <c r="I11" s="9" t="s">
        <v>68</v>
      </c>
      <c r="J11" s="10" t="s">
        <v>54</v>
      </c>
      <c r="K11" s="9" t="s">
        <v>54</v>
      </c>
      <c r="L11" s="10"/>
      <c r="M11" s="9" t="s">
        <v>9</v>
      </c>
      <c r="N11" s="9" t="s">
        <v>80</v>
      </c>
      <c r="O11" s="9" t="s">
        <v>10</v>
      </c>
      <c r="P11" s="9" t="s">
        <v>81</v>
      </c>
      <c r="Q11" s="11" t="str">
        <f>"275,0"</f>
        <v>275,0</v>
      </c>
      <c r="R11" s="12" t="str">
        <f>"210,9271"</f>
        <v>210,9271</v>
      </c>
      <c r="S11" s="8" t="s">
        <v>181</v>
      </c>
    </row>
    <row r="13" spans="1:19" ht="15" x14ac:dyDescent="0.2">
      <c r="A13" s="37" t="s">
        <v>34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1:19" x14ac:dyDescent="0.2">
      <c r="A14" s="8" t="s">
        <v>185</v>
      </c>
      <c r="B14" s="9" t="s">
        <v>186</v>
      </c>
      <c r="C14" s="9" t="s">
        <v>187</v>
      </c>
      <c r="D14" s="8" t="s">
        <v>425</v>
      </c>
      <c r="E14" s="9" t="s">
        <v>54</v>
      </c>
      <c r="F14" s="9" t="s">
        <v>55</v>
      </c>
      <c r="G14" s="9" t="s">
        <v>56</v>
      </c>
      <c r="H14" s="10"/>
      <c r="I14" s="9" t="s">
        <v>139</v>
      </c>
      <c r="J14" s="9" t="s">
        <v>68</v>
      </c>
      <c r="K14" s="9" t="s">
        <v>46</v>
      </c>
      <c r="L14" s="10"/>
      <c r="M14" s="9" t="s">
        <v>33</v>
      </c>
      <c r="N14" s="9" t="s">
        <v>90</v>
      </c>
      <c r="O14" s="9" t="s">
        <v>37</v>
      </c>
      <c r="P14" s="10"/>
      <c r="Q14" s="11" t="str">
        <f>"207,5"</f>
        <v>207,5</v>
      </c>
      <c r="R14" s="12" t="str">
        <f>"133,3880"</f>
        <v>133,3880</v>
      </c>
      <c r="S14" s="8" t="s">
        <v>181</v>
      </c>
    </row>
    <row r="16" spans="1:19" ht="15" x14ac:dyDescent="0.2">
      <c r="A16" s="37" t="s">
        <v>120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9" x14ac:dyDescent="0.2">
      <c r="A17" s="8" t="s">
        <v>188</v>
      </c>
      <c r="B17" s="9" t="s">
        <v>189</v>
      </c>
      <c r="C17" s="9" t="s">
        <v>190</v>
      </c>
      <c r="D17" s="8" t="s">
        <v>426</v>
      </c>
      <c r="E17" s="9" t="s">
        <v>102</v>
      </c>
      <c r="F17" s="10" t="s">
        <v>191</v>
      </c>
      <c r="G17" s="10" t="s">
        <v>191</v>
      </c>
      <c r="H17" s="10"/>
      <c r="I17" s="9" t="s">
        <v>8</v>
      </c>
      <c r="J17" s="9" t="s">
        <v>72</v>
      </c>
      <c r="K17" s="10" t="s">
        <v>9</v>
      </c>
      <c r="L17" s="10"/>
      <c r="M17" s="9" t="s">
        <v>192</v>
      </c>
      <c r="N17" s="9" t="s">
        <v>193</v>
      </c>
      <c r="O17" s="10" t="s">
        <v>194</v>
      </c>
      <c r="P17" s="10"/>
      <c r="Q17" s="11" t="str">
        <f>"465,0"</f>
        <v>465,0</v>
      </c>
      <c r="R17" s="12" t="str">
        <f>"340,7055"</f>
        <v>340,7055</v>
      </c>
      <c r="S17" s="8"/>
    </row>
    <row r="19" spans="1:19" ht="15" x14ac:dyDescent="0.2">
      <c r="A19" s="37" t="s">
        <v>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9" x14ac:dyDescent="0.2">
      <c r="A20" s="8" t="s">
        <v>195</v>
      </c>
      <c r="B20" s="9" t="s">
        <v>196</v>
      </c>
      <c r="C20" s="9" t="s">
        <v>197</v>
      </c>
      <c r="D20" s="8" t="s">
        <v>427</v>
      </c>
      <c r="E20" s="10" t="s">
        <v>198</v>
      </c>
      <c r="F20" s="10" t="s">
        <v>199</v>
      </c>
      <c r="G20" s="10" t="s">
        <v>199</v>
      </c>
      <c r="H20" s="10"/>
      <c r="I20" s="10" t="s">
        <v>8</v>
      </c>
      <c r="J20" s="10"/>
      <c r="K20" s="10"/>
      <c r="L20" s="10"/>
      <c r="M20" s="10" t="s">
        <v>193</v>
      </c>
      <c r="N20" s="10"/>
      <c r="O20" s="10"/>
      <c r="P20" s="10"/>
      <c r="Q20" s="11" t="str">
        <f>"0.00"</f>
        <v>0.00</v>
      </c>
      <c r="R20" s="12" t="str">
        <f>"0,0000"</f>
        <v>0,0000</v>
      </c>
      <c r="S20" s="8"/>
    </row>
    <row r="22" spans="1:19" ht="15" x14ac:dyDescent="0.2">
      <c r="A22" s="37" t="s">
        <v>140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9" x14ac:dyDescent="0.2">
      <c r="A23" s="21" t="s">
        <v>200</v>
      </c>
      <c r="B23" s="22" t="s">
        <v>201</v>
      </c>
      <c r="C23" s="22" t="s">
        <v>65</v>
      </c>
      <c r="D23" s="21" t="s">
        <v>425</v>
      </c>
      <c r="E23" s="22" t="s">
        <v>57</v>
      </c>
      <c r="F23" s="22" t="s">
        <v>61</v>
      </c>
      <c r="G23" s="22" t="s">
        <v>37</v>
      </c>
      <c r="H23" s="29"/>
      <c r="I23" s="22" t="s">
        <v>55</v>
      </c>
      <c r="J23" s="22" t="s">
        <v>56</v>
      </c>
      <c r="K23" s="22" t="s">
        <v>48</v>
      </c>
      <c r="L23" s="29"/>
      <c r="M23" s="22" t="s">
        <v>37</v>
      </c>
      <c r="N23" s="22" t="s">
        <v>58</v>
      </c>
      <c r="O23" s="22" t="s">
        <v>8</v>
      </c>
      <c r="P23" s="29" t="s">
        <v>72</v>
      </c>
      <c r="Q23" s="23" t="str">
        <f>"260,0"</f>
        <v>260,0</v>
      </c>
      <c r="R23" s="24" t="str">
        <f>"168,4540"</f>
        <v>168,4540</v>
      </c>
      <c r="S23" s="21" t="s">
        <v>181</v>
      </c>
    </row>
    <row r="24" spans="1:19" x14ac:dyDescent="0.2">
      <c r="A24" s="25" t="s">
        <v>202</v>
      </c>
      <c r="B24" s="26" t="s">
        <v>203</v>
      </c>
      <c r="C24" s="26" t="s">
        <v>204</v>
      </c>
      <c r="D24" s="25" t="s">
        <v>425</v>
      </c>
      <c r="E24" s="26" t="s">
        <v>8</v>
      </c>
      <c r="F24" s="26" t="s">
        <v>9</v>
      </c>
      <c r="G24" s="26" t="s">
        <v>10</v>
      </c>
      <c r="H24" s="35"/>
      <c r="I24" s="35" t="s">
        <v>58</v>
      </c>
      <c r="J24" s="26" t="s">
        <v>58</v>
      </c>
      <c r="K24" s="26" t="s">
        <v>8</v>
      </c>
      <c r="L24" s="35"/>
      <c r="M24" s="26" t="s">
        <v>81</v>
      </c>
      <c r="N24" s="26" t="s">
        <v>91</v>
      </c>
      <c r="O24" s="26" t="s">
        <v>85</v>
      </c>
      <c r="P24" s="35"/>
      <c r="Q24" s="27" t="str">
        <f>"360,0"</f>
        <v>360,0</v>
      </c>
      <c r="R24" s="28" t="str">
        <f>"223,5240"</f>
        <v>223,5240</v>
      </c>
      <c r="S24" s="25" t="s">
        <v>181</v>
      </c>
    </row>
    <row r="26" spans="1:19" ht="15" x14ac:dyDescent="0.2">
      <c r="A26" s="37" t="s">
        <v>34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9" x14ac:dyDescent="0.2">
      <c r="A27" s="21" t="s">
        <v>205</v>
      </c>
      <c r="B27" s="22" t="s">
        <v>206</v>
      </c>
      <c r="C27" s="22" t="s">
        <v>207</v>
      </c>
      <c r="D27" s="21" t="s">
        <v>427</v>
      </c>
      <c r="E27" s="29" t="s">
        <v>199</v>
      </c>
      <c r="F27" s="29" t="s">
        <v>194</v>
      </c>
      <c r="G27" s="22" t="s">
        <v>194</v>
      </c>
      <c r="H27" s="29"/>
      <c r="I27" s="22" t="s">
        <v>85</v>
      </c>
      <c r="J27" s="22" t="s">
        <v>208</v>
      </c>
      <c r="K27" s="22" t="s">
        <v>93</v>
      </c>
      <c r="L27" s="29"/>
      <c r="M27" s="22" t="s">
        <v>17</v>
      </c>
      <c r="N27" s="22" t="s">
        <v>209</v>
      </c>
      <c r="O27" s="29" t="s">
        <v>210</v>
      </c>
      <c r="P27" s="29"/>
      <c r="Q27" s="23" t="str">
        <f>"605,0"</f>
        <v>605,0</v>
      </c>
      <c r="R27" s="24" t="str">
        <f>"361,1245"</f>
        <v>361,1245</v>
      </c>
      <c r="S27" s="21"/>
    </row>
    <row r="28" spans="1:19" x14ac:dyDescent="0.2">
      <c r="A28" s="30" t="s">
        <v>211</v>
      </c>
      <c r="B28" s="31" t="s">
        <v>212</v>
      </c>
      <c r="C28" s="31" t="s">
        <v>213</v>
      </c>
      <c r="D28" s="30" t="s">
        <v>425</v>
      </c>
      <c r="E28" s="31" t="s">
        <v>214</v>
      </c>
      <c r="F28" s="31" t="s">
        <v>215</v>
      </c>
      <c r="G28" s="31" t="s">
        <v>216</v>
      </c>
      <c r="H28" s="32"/>
      <c r="I28" s="31" t="s">
        <v>84</v>
      </c>
      <c r="J28" s="32" t="s">
        <v>85</v>
      </c>
      <c r="K28" s="32" t="s">
        <v>85</v>
      </c>
      <c r="L28" s="32"/>
      <c r="M28" s="31" t="s">
        <v>17</v>
      </c>
      <c r="N28" s="32" t="s">
        <v>209</v>
      </c>
      <c r="O28" s="32" t="s">
        <v>209</v>
      </c>
      <c r="P28" s="32"/>
      <c r="Q28" s="33" t="str">
        <f>"562,5"</f>
        <v>562,5</v>
      </c>
      <c r="R28" s="34" t="str">
        <f>"336,5437"</f>
        <v>336,5437</v>
      </c>
      <c r="S28" s="30"/>
    </row>
    <row r="29" spans="1:19" x14ac:dyDescent="0.2">
      <c r="A29" s="25" t="s">
        <v>217</v>
      </c>
      <c r="B29" s="26" t="s">
        <v>218</v>
      </c>
      <c r="C29" s="26" t="s">
        <v>219</v>
      </c>
      <c r="D29" s="25" t="s">
        <v>424</v>
      </c>
      <c r="E29" s="26" t="s">
        <v>101</v>
      </c>
      <c r="F29" s="26" t="s">
        <v>220</v>
      </c>
      <c r="G29" s="26" t="s">
        <v>198</v>
      </c>
      <c r="H29" s="35"/>
      <c r="I29" s="26" t="s">
        <v>10</v>
      </c>
      <c r="J29" s="35" t="s">
        <v>84</v>
      </c>
      <c r="K29" s="26" t="s">
        <v>84</v>
      </c>
      <c r="L29" s="35"/>
      <c r="M29" s="26" t="s">
        <v>85</v>
      </c>
      <c r="N29" s="26" t="s">
        <v>93</v>
      </c>
      <c r="O29" s="35" t="s">
        <v>191</v>
      </c>
      <c r="P29" s="35"/>
      <c r="Q29" s="27" t="str">
        <f>"470,0"</f>
        <v>470,0</v>
      </c>
      <c r="R29" s="28" t="str">
        <f>"282,4230"</f>
        <v>282,4230</v>
      </c>
      <c r="S29" s="25"/>
    </row>
    <row r="31" spans="1:19" ht="15" x14ac:dyDescent="0.2">
      <c r="A31" s="37" t="s">
        <v>69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9" x14ac:dyDescent="0.2">
      <c r="A32" s="21" t="s">
        <v>221</v>
      </c>
      <c r="B32" s="22" t="s">
        <v>222</v>
      </c>
      <c r="C32" s="22" t="s">
        <v>153</v>
      </c>
      <c r="D32" s="21" t="s">
        <v>424</v>
      </c>
      <c r="E32" s="22" t="s">
        <v>223</v>
      </c>
      <c r="F32" s="29" t="s">
        <v>224</v>
      </c>
      <c r="G32" s="29"/>
      <c r="H32" s="29"/>
      <c r="I32" s="22" t="s">
        <v>101</v>
      </c>
      <c r="J32" s="22" t="s">
        <v>225</v>
      </c>
      <c r="K32" s="29" t="s">
        <v>191</v>
      </c>
      <c r="L32" s="29"/>
      <c r="M32" s="22" t="s">
        <v>105</v>
      </c>
      <c r="N32" s="22" t="s">
        <v>226</v>
      </c>
      <c r="O32" s="22" t="s">
        <v>227</v>
      </c>
      <c r="P32" s="22" t="s">
        <v>106</v>
      </c>
      <c r="Q32" s="23" t="str">
        <f>"702,5"</f>
        <v>702,5</v>
      </c>
      <c r="R32" s="24" t="str">
        <f>"400,2143"</f>
        <v>400,2143</v>
      </c>
      <c r="S32" s="21"/>
    </row>
    <row r="33" spans="1:19" x14ac:dyDescent="0.2">
      <c r="A33" s="30" t="s">
        <v>228</v>
      </c>
      <c r="B33" s="31" t="s">
        <v>229</v>
      </c>
      <c r="C33" s="31" t="s">
        <v>230</v>
      </c>
      <c r="D33" s="30" t="s">
        <v>425</v>
      </c>
      <c r="E33" s="31" t="s">
        <v>192</v>
      </c>
      <c r="F33" s="31" t="s">
        <v>97</v>
      </c>
      <c r="G33" s="32" t="s">
        <v>16</v>
      </c>
      <c r="H33" s="32"/>
      <c r="I33" s="31" t="s">
        <v>85</v>
      </c>
      <c r="J33" s="32" t="s">
        <v>208</v>
      </c>
      <c r="K33" s="32" t="s">
        <v>208</v>
      </c>
      <c r="L33" s="32"/>
      <c r="M33" s="31" t="s">
        <v>15</v>
      </c>
      <c r="N33" s="31" t="s">
        <v>105</v>
      </c>
      <c r="O33" s="31" t="s">
        <v>231</v>
      </c>
      <c r="P33" s="32"/>
      <c r="Q33" s="33" t="str">
        <f>"605,0"</f>
        <v>605,0</v>
      </c>
      <c r="R33" s="34" t="str">
        <f>"336,0775"</f>
        <v>336,0775</v>
      </c>
      <c r="S33" s="30"/>
    </row>
    <row r="34" spans="1:19" x14ac:dyDescent="0.2">
      <c r="A34" s="30" t="s">
        <v>151</v>
      </c>
      <c r="B34" s="31" t="s">
        <v>152</v>
      </c>
      <c r="C34" s="31" t="s">
        <v>153</v>
      </c>
      <c r="D34" s="30" t="s">
        <v>428</v>
      </c>
      <c r="E34" s="31" t="s">
        <v>101</v>
      </c>
      <c r="F34" s="31" t="s">
        <v>191</v>
      </c>
      <c r="G34" s="32" t="s">
        <v>214</v>
      </c>
      <c r="H34" s="32"/>
      <c r="I34" s="31" t="s">
        <v>8</v>
      </c>
      <c r="J34" s="31" t="s">
        <v>9</v>
      </c>
      <c r="K34" s="32" t="s">
        <v>80</v>
      </c>
      <c r="L34" s="32"/>
      <c r="M34" s="31" t="s">
        <v>194</v>
      </c>
      <c r="N34" s="31" t="s">
        <v>16</v>
      </c>
      <c r="O34" s="31" t="s">
        <v>17</v>
      </c>
      <c r="P34" s="32"/>
      <c r="Q34" s="33" t="str">
        <f>"510,0"</f>
        <v>510,0</v>
      </c>
      <c r="R34" s="34" t="str">
        <f>"290,5470"</f>
        <v>290,5470</v>
      </c>
      <c r="S34" s="30"/>
    </row>
    <row r="35" spans="1:19" x14ac:dyDescent="0.2">
      <c r="A35" s="25" t="s">
        <v>232</v>
      </c>
      <c r="B35" s="26" t="s">
        <v>233</v>
      </c>
      <c r="C35" s="26" t="s">
        <v>234</v>
      </c>
      <c r="D35" s="25" t="s">
        <v>425</v>
      </c>
      <c r="E35" s="26" t="s">
        <v>191</v>
      </c>
      <c r="F35" s="26" t="s">
        <v>214</v>
      </c>
      <c r="G35" s="35" t="s">
        <v>193</v>
      </c>
      <c r="H35" s="35"/>
      <c r="I35" s="26" t="s">
        <v>208</v>
      </c>
      <c r="J35" s="26" t="s">
        <v>235</v>
      </c>
      <c r="K35" s="26" t="s">
        <v>102</v>
      </c>
      <c r="L35" s="35"/>
      <c r="M35" s="26" t="s">
        <v>192</v>
      </c>
      <c r="N35" s="26" t="s">
        <v>193</v>
      </c>
      <c r="O35" s="26" t="s">
        <v>97</v>
      </c>
      <c r="P35" s="35"/>
      <c r="Q35" s="27" t="str">
        <f>"550,0"</f>
        <v>550,0</v>
      </c>
      <c r="R35" s="28" t="str">
        <f>"311,4934"</f>
        <v>311,4934</v>
      </c>
      <c r="S35" s="25"/>
    </row>
    <row r="37" spans="1:19" ht="15" x14ac:dyDescent="0.2">
      <c r="A37" s="37" t="s">
        <v>11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9" x14ac:dyDescent="0.2">
      <c r="A38" s="21" t="s">
        <v>236</v>
      </c>
      <c r="B38" s="22" t="s">
        <v>237</v>
      </c>
      <c r="C38" s="22" t="s">
        <v>238</v>
      </c>
      <c r="D38" s="21" t="s">
        <v>429</v>
      </c>
      <c r="E38" s="22" t="s">
        <v>105</v>
      </c>
      <c r="F38" s="22" t="s">
        <v>231</v>
      </c>
      <c r="G38" s="22" t="s">
        <v>239</v>
      </c>
      <c r="H38" s="29"/>
      <c r="I38" s="22" t="s">
        <v>192</v>
      </c>
      <c r="J38" s="22" t="s">
        <v>193</v>
      </c>
      <c r="K38" s="29" t="s">
        <v>194</v>
      </c>
      <c r="L38" s="29"/>
      <c r="M38" s="22" t="s">
        <v>223</v>
      </c>
      <c r="N38" s="29" t="s">
        <v>240</v>
      </c>
      <c r="O38" s="29"/>
      <c r="P38" s="29"/>
      <c r="Q38" s="23" t="str">
        <f>"720,0"</f>
        <v>720,0</v>
      </c>
      <c r="R38" s="24" t="str">
        <f>"387,1440"</f>
        <v>387,1440</v>
      </c>
      <c r="S38" s="21"/>
    </row>
    <row r="39" spans="1:19" x14ac:dyDescent="0.2">
      <c r="A39" s="30" t="s">
        <v>241</v>
      </c>
      <c r="B39" s="31" t="s">
        <v>242</v>
      </c>
      <c r="C39" s="31" t="s">
        <v>243</v>
      </c>
      <c r="D39" s="30" t="s">
        <v>424</v>
      </c>
      <c r="E39" s="31" t="s">
        <v>193</v>
      </c>
      <c r="F39" s="31" t="s">
        <v>244</v>
      </c>
      <c r="G39" s="31" t="s">
        <v>17</v>
      </c>
      <c r="H39" s="32"/>
      <c r="I39" s="31" t="s">
        <v>8</v>
      </c>
      <c r="J39" s="31" t="s">
        <v>9</v>
      </c>
      <c r="K39" s="32" t="s">
        <v>10</v>
      </c>
      <c r="L39" s="32"/>
      <c r="M39" s="31" t="s">
        <v>192</v>
      </c>
      <c r="N39" s="31" t="s">
        <v>97</v>
      </c>
      <c r="O39" s="32" t="s">
        <v>16</v>
      </c>
      <c r="P39" s="32"/>
      <c r="Q39" s="33" t="str">
        <f>"550,0"</f>
        <v>550,0</v>
      </c>
      <c r="R39" s="34" t="str">
        <f>"298,3200"</f>
        <v>298,3200</v>
      </c>
      <c r="S39" s="30"/>
    </row>
    <row r="40" spans="1:19" x14ac:dyDescent="0.2">
      <c r="A40" s="30" t="s">
        <v>245</v>
      </c>
      <c r="B40" s="31" t="s">
        <v>246</v>
      </c>
      <c r="C40" s="31" t="s">
        <v>247</v>
      </c>
      <c r="D40" s="30" t="s">
        <v>425</v>
      </c>
      <c r="E40" s="31" t="s">
        <v>92</v>
      </c>
      <c r="F40" s="31" t="s">
        <v>93</v>
      </c>
      <c r="G40" s="31" t="s">
        <v>102</v>
      </c>
      <c r="H40" s="32"/>
      <c r="I40" s="31" t="s">
        <v>58</v>
      </c>
      <c r="J40" s="31" t="s">
        <v>72</v>
      </c>
      <c r="K40" s="32" t="s">
        <v>9</v>
      </c>
      <c r="L40" s="32"/>
      <c r="M40" s="31" t="s">
        <v>192</v>
      </c>
      <c r="N40" s="31" t="s">
        <v>193</v>
      </c>
      <c r="O40" s="31" t="s">
        <v>194</v>
      </c>
      <c r="P40" s="32"/>
      <c r="Q40" s="33" t="str">
        <f>"470,0"</f>
        <v>470,0</v>
      </c>
      <c r="R40" s="34" t="str">
        <f>"258,8760"</f>
        <v>258,8760</v>
      </c>
      <c r="S40" s="30"/>
    </row>
    <row r="41" spans="1:19" x14ac:dyDescent="0.2">
      <c r="A41" s="30" t="s">
        <v>236</v>
      </c>
      <c r="B41" s="31" t="s">
        <v>248</v>
      </c>
      <c r="C41" s="31" t="s">
        <v>238</v>
      </c>
      <c r="D41" s="30" t="s">
        <v>429</v>
      </c>
      <c r="E41" s="31" t="s">
        <v>105</v>
      </c>
      <c r="F41" s="31" t="s">
        <v>231</v>
      </c>
      <c r="G41" s="31" t="s">
        <v>239</v>
      </c>
      <c r="H41" s="32"/>
      <c r="I41" s="31" t="s">
        <v>192</v>
      </c>
      <c r="J41" s="31" t="s">
        <v>193</v>
      </c>
      <c r="K41" s="32" t="s">
        <v>194</v>
      </c>
      <c r="L41" s="32"/>
      <c r="M41" s="31" t="s">
        <v>223</v>
      </c>
      <c r="N41" s="32" t="s">
        <v>240</v>
      </c>
      <c r="O41" s="32"/>
      <c r="P41" s="32"/>
      <c r="Q41" s="33" t="str">
        <f>"720,0"</f>
        <v>720,0</v>
      </c>
      <c r="R41" s="34" t="str">
        <f>"387,1440"</f>
        <v>387,1440</v>
      </c>
      <c r="S41" s="30"/>
    </row>
    <row r="42" spans="1:19" x14ac:dyDescent="0.2">
      <c r="A42" s="25" t="s">
        <v>38</v>
      </c>
      <c r="B42" s="26" t="s">
        <v>249</v>
      </c>
      <c r="C42" s="26" t="s">
        <v>40</v>
      </c>
      <c r="D42" s="25" t="s">
        <v>430</v>
      </c>
      <c r="E42" s="26" t="s">
        <v>9</v>
      </c>
      <c r="F42" s="26" t="s">
        <v>80</v>
      </c>
      <c r="G42" s="26" t="s">
        <v>10</v>
      </c>
      <c r="H42" s="35"/>
      <c r="I42" s="26" t="s">
        <v>91</v>
      </c>
      <c r="J42" s="35" t="s">
        <v>100</v>
      </c>
      <c r="K42" s="26" t="s">
        <v>100</v>
      </c>
      <c r="L42" s="35"/>
      <c r="M42" s="26" t="s">
        <v>85</v>
      </c>
      <c r="N42" s="26" t="s">
        <v>101</v>
      </c>
      <c r="O42" s="26" t="s">
        <v>102</v>
      </c>
      <c r="P42" s="35"/>
      <c r="Q42" s="27" t="str">
        <f>"422,5"</f>
        <v>422,5</v>
      </c>
      <c r="R42" s="28" t="str">
        <f>"272,4272"</f>
        <v>272,4272</v>
      </c>
      <c r="S42" s="25"/>
    </row>
    <row r="52" spans="1:3" ht="18" x14ac:dyDescent="0.25">
      <c r="A52" s="14" t="s">
        <v>18</v>
      </c>
      <c r="B52" s="15"/>
    </row>
    <row r="53" spans="1:3" ht="15" x14ac:dyDescent="0.2">
      <c r="A53" s="16" t="s">
        <v>19</v>
      </c>
      <c r="B53" s="13"/>
    </row>
    <row r="54" spans="1:3" ht="14.25" x14ac:dyDescent="0.2">
      <c r="A54" s="17"/>
      <c r="B54" s="18" t="s">
        <v>27</v>
      </c>
    </row>
    <row r="55" spans="1:3" ht="15" x14ac:dyDescent="0.2">
      <c r="A55" s="19" t="s">
        <v>0</v>
      </c>
      <c r="B55" s="19" t="s">
        <v>21</v>
      </c>
      <c r="C55" s="19" t="s">
        <v>22</v>
      </c>
    </row>
    <row r="56" spans="1:3" x14ac:dyDescent="0.2">
      <c r="A56" s="20" t="s">
        <v>250</v>
      </c>
      <c r="B56" s="2" t="s">
        <v>27</v>
      </c>
      <c r="C56" s="2" t="s">
        <v>251</v>
      </c>
    </row>
    <row r="57" spans="1:3" x14ac:dyDescent="0.2">
      <c r="A57" s="20" t="s">
        <v>252</v>
      </c>
      <c r="B57" s="2" t="s">
        <v>27</v>
      </c>
      <c r="C57" s="2" t="s">
        <v>25</v>
      </c>
    </row>
    <row r="59" spans="1:3" ht="14.25" x14ac:dyDescent="0.2">
      <c r="A59" s="17"/>
      <c r="B59" s="18" t="s">
        <v>20</v>
      </c>
    </row>
    <row r="60" spans="1:3" ht="15" x14ac:dyDescent="0.2">
      <c r="A60" s="19" t="s">
        <v>0</v>
      </c>
      <c r="B60" s="19" t="s">
        <v>21</v>
      </c>
      <c r="C60" s="19" t="s">
        <v>22</v>
      </c>
    </row>
    <row r="61" spans="1:3" x14ac:dyDescent="0.2">
      <c r="A61" s="20" t="s">
        <v>254</v>
      </c>
      <c r="B61" s="2" t="s">
        <v>158</v>
      </c>
      <c r="C61" s="2" t="s">
        <v>251</v>
      </c>
    </row>
    <row r="62" spans="1:3" x14ac:dyDescent="0.2">
      <c r="A62" s="20" t="s">
        <v>255</v>
      </c>
      <c r="B62" s="2" t="s">
        <v>256</v>
      </c>
      <c r="C62" s="2" t="s">
        <v>161</v>
      </c>
    </row>
    <row r="63" spans="1:3" x14ac:dyDescent="0.2">
      <c r="A63" s="20" t="s">
        <v>257</v>
      </c>
      <c r="B63" s="2" t="s">
        <v>158</v>
      </c>
      <c r="C63" s="2" t="s">
        <v>45</v>
      </c>
    </row>
    <row r="66" spans="1:3" ht="15" x14ac:dyDescent="0.2">
      <c r="A66" s="16" t="s">
        <v>26</v>
      </c>
      <c r="B66" s="13"/>
    </row>
    <row r="67" spans="1:3" ht="14.25" x14ac:dyDescent="0.2">
      <c r="A67" s="17"/>
      <c r="B67" s="18" t="s">
        <v>258</v>
      </c>
    </row>
    <row r="68" spans="1:3" ht="15" x14ac:dyDescent="0.2">
      <c r="A68" s="19" t="s">
        <v>0</v>
      </c>
      <c r="B68" s="19" t="s">
        <v>21</v>
      </c>
      <c r="C68" s="19" t="s">
        <v>22</v>
      </c>
    </row>
    <row r="69" spans="1:3" x14ac:dyDescent="0.2">
      <c r="A69" s="20" t="s">
        <v>259</v>
      </c>
      <c r="B69" s="2" t="s">
        <v>260</v>
      </c>
      <c r="C69" s="2" t="s">
        <v>161</v>
      </c>
    </row>
    <row r="71" spans="1:3" ht="14.25" x14ac:dyDescent="0.2">
      <c r="A71" s="17"/>
      <c r="B71" s="18" t="s">
        <v>103</v>
      </c>
    </row>
    <row r="72" spans="1:3" ht="15" x14ac:dyDescent="0.2">
      <c r="A72" s="19" t="s">
        <v>0</v>
      </c>
      <c r="B72" s="19" t="s">
        <v>21</v>
      </c>
      <c r="C72" s="19" t="s">
        <v>22</v>
      </c>
    </row>
    <row r="73" spans="1:3" x14ac:dyDescent="0.2">
      <c r="A73" s="20" t="s">
        <v>261</v>
      </c>
      <c r="B73" s="2" t="s">
        <v>104</v>
      </c>
      <c r="C73" s="2" t="s">
        <v>161</v>
      </c>
    </row>
    <row r="75" spans="1:3" ht="14.25" x14ac:dyDescent="0.2">
      <c r="A75" s="17"/>
      <c r="B75" s="18" t="s">
        <v>112</v>
      </c>
    </row>
    <row r="76" spans="1:3" ht="15" x14ac:dyDescent="0.2">
      <c r="A76" s="19" t="s">
        <v>0</v>
      </c>
      <c r="B76" s="19" t="s">
        <v>21</v>
      </c>
      <c r="C76" s="19" t="s">
        <v>22</v>
      </c>
    </row>
    <row r="77" spans="1:3" x14ac:dyDescent="0.2">
      <c r="A77" s="20" t="s">
        <v>262</v>
      </c>
      <c r="B77" s="2" t="s">
        <v>113</v>
      </c>
      <c r="C77" s="2" t="s">
        <v>45</v>
      </c>
    </row>
    <row r="79" spans="1:3" ht="14.25" x14ac:dyDescent="0.2">
      <c r="A79" s="17"/>
      <c r="B79" s="18" t="s">
        <v>27</v>
      </c>
    </row>
    <row r="80" spans="1:3" ht="15" x14ac:dyDescent="0.2">
      <c r="A80" s="19" t="s">
        <v>0</v>
      </c>
      <c r="B80" s="19" t="s">
        <v>21</v>
      </c>
      <c r="C80" s="19" t="s">
        <v>22</v>
      </c>
    </row>
    <row r="81" spans="1:3" x14ac:dyDescent="0.2">
      <c r="A81" s="20" t="s">
        <v>263</v>
      </c>
      <c r="B81" s="2" t="s">
        <v>27</v>
      </c>
      <c r="C81" s="2" t="s">
        <v>75</v>
      </c>
    </row>
    <row r="82" spans="1:3" x14ac:dyDescent="0.2">
      <c r="A82" s="20" t="s">
        <v>264</v>
      </c>
      <c r="B82" s="2" t="s">
        <v>27</v>
      </c>
      <c r="C82" s="2" t="s">
        <v>29</v>
      </c>
    </row>
    <row r="83" spans="1:3" x14ac:dyDescent="0.2">
      <c r="A83" s="20" t="s">
        <v>265</v>
      </c>
      <c r="B83" s="2" t="s">
        <v>27</v>
      </c>
      <c r="C83" s="2" t="s">
        <v>154</v>
      </c>
    </row>
    <row r="84" spans="1:3" x14ac:dyDescent="0.2">
      <c r="A84" s="20" t="s">
        <v>266</v>
      </c>
      <c r="B84" s="2" t="s">
        <v>27</v>
      </c>
      <c r="C84" s="2" t="s">
        <v>45</v>
      </c>
    </row>
    <row r="85" spans="1:3" x14ac:dyDescent="0.2">
      <c r="A85" s="20" t="s">
        <v>267</v>
      </c>
      <c r="B85" s="2" t="s">
        <v>27</v>
      </c>
      <c r="C85" s="2" t="s">
        <v>75</v>
      </c>
    </row>
    <row r="86" spans="1:3" x14ac:dyDescent="0.2">
      <c r="A86" s="20" t="s">
        <v>268</v>
      </c>
      <c r="B86" s="2" t="s">
        <v>27</v>
      </c>
      <c r="C86" s="2" t="s">
        <v>29</v>
      </c>
    </row>
    <row r="87" spans="1:3" x14ac:dyDescent="0.2">
      <c r="A87" s="20" t="s">
        <v>269</v>
      </c>
      <c r="B87" s="2" t="s">
        <v>27</v>
      </c>
      <c r="C87" s="2" t="s">
        <v>45</v>
      </c>
    </row>
    <row r="88" spans="1:3" x14ac:dyDescent="0.2">
      <c r="A88" s="20" t="s">
        <v>270</v>
      </c>
      <c r="B88" s="2" t="s">
        <v>27</v>
      </c>
      <c r="C88" s="2" t="s">
        <v>29</v>
      </c>
    </row>
    <row r="90" spans="1:3" ht="14.25" x14ac:dyDescent="0.2">
      <c r="A90" s="17"/>
      <c r="B90" s="18" t="s">
        <v>164</v>
      </c>
    </row>
    <row r="91" spans="1:3" ht="15" x14ac:dyDescent="0.2">
      <c r="A91" s="19" t="s">
        <v>0</v>
      </c>
      <c r="B91" s="19" t="s">
        <v>21</v>
      </c>
      <c r="C91" s="19" t="s">
        <v>22</v>
      </c>
    </row>
    <row r="92" spans="1:3" x14ac:dyDescent="0.2">
      <c r="A92" s="20" t="s">
        <v>165</v>
      </c>
      <c r="B92" s="2" t="s">
        <v>166</v>
      </c>
      <c r="C92" s="2" t="s">
        <v>75</v>
      </c>
    </row>
    <row r="94" spans="1:3" ht="14.25" x14ac:dyDescent="0.2">
      <c r="A94" s="17"/>
      <c r="B94" s="18" t="s">
        <v>20</v>
      </c>
    </row>
    <row r="95" spans="1:3" ht="15" x14ac:dyDescent="0.2">
      <c r="A95" s="19" t="s">
        <v>0</v>
      </c>
      <c r="B95" s="19" t="s">
        <v>21</v>
      </c>
      <c r="C95" s="19" t="s">
        <v>22</v>
      </c>
    </row>
    <row r="96" spans="1:3" x14ac:dyDescent="0.2">
      <c r="A96" s="20" t="s">
        <v>264</v>
      </c>
      <c r="B96" s="2" t="s">
        <v>158</v>
      </c>
      <c r="C96" s="2" t="s">
        <v>29</v>
      </c>
    </row>
    <row r="97" spans="1:3" x14ac:dyDescent="0.2">
      <c r="A97" s="20" t="s">
        <v>271</v>
      </c>
      <c r="B97" s="2" t="s">
        <v>158</v>
      </c>
      <c r="C97" s="2" t="s">
        <v>75</v>
      </c>
    </row>
    <row r="98" spans="1:3" x14ac:dyDescent="0.2">
      <c r="A98" s="20" t="s">
        <v>42</v>
      </c>
      <c r="B98" s="2" t="s">
        <v>24</v>
      </c>
      <c r="C98" s="2" t="s">
        <v>29</v>
      </c>
    </row>
  </sheetData>
  <mergeCells count="20">
    <mergeCell ref="A1:A2"/>
    <mergeCell ref="B1:B2"/>
    <mergeCell ref="C1:C2"/>
    <mergeCell ref="D1:D2"/>
    <mergeCell ref="E1:H1"/>
    <mergeCell ref="I1:L1"/>
    <mergeCell ref="M1:P1"/>
    <mergeCell ref="Q1:Q2"/>
    <mergeCell ref="R1:R2"/>
    <mergeCell ref="S1:S2"/>
    <mergeCell ref="A3:P3"/>
    <mergeCell ref="A7:P7"/>
    <mergeCell ref="A10:P10"/>
    <mergeCell ref="A13:P13"/>
    <mergeCell ref="A16:P16"/>
    <mergeCell ref="A19:P19"/>
    <mergeCell ref="A22:P22"/>
    <mergeCell ref="A26:P26"/>
    <mergeCell ref="A31:P31"/>
    <mergeCell ref="A37:P3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H18"/>
  <sheetViews>
    <sheetView zoomScaleNormal="100" workbookViewId="0">
      <selection activeCell="D11" sqref="D11"/>
    </sheetView>
  </sheetViews>
  <sheetFormatPr defaultColWidth="9.140625" defaultRowHeight="12.75" x14ac:dyDescent="0.2"/>
  <cols>
    <col min="1" max="1" width="24.85546875" style="1" customWidth="1"/>
    <col min="2" max="2" width="19.140625" style="2" customWidth="1"/>
    <col min="3" max="3" width="7.5703125" style="2" customWidth="1"/>
    <col min="4" max="4" width="23.42578125" style="1" customWidth="1"/>
    <col min="5" max="7" width="5.5703125" style="2" customWidth="1"/>
    <col min="8" max="8" width="4.7109375" style="2" customWidth="1"/>
    <col min="9" max="11" width="5.5703125" style="2" customWidth="1"/>
    <col min="12" max="12" width="4.7109375" style="2" customWidth="1"/>
    <col min="13" max="15" width="5.5703125" style="2" customWidth="1"/>
    <col min="16" max="16" width="4.7109375" style="2" customWidth="1"/>
    <col min="17" max="17" width="5.7109375" style="3" customWidth="1"/>
    <col min="18" max="18" width="8.5703125" style="4" customWidth="1"/>
    <col min="19" max="19" width="8.28515625" style="1" bestFit="1" customWidth="1"/>
    <col min="20" max="1022" width="9.140625" style="5"/>
  </cols>
  <sheetData>
    <row r="1" spans="1:19" s="6" customFormat="1" ht="12.75" customHeight="1" x14ac:dyDescent="0.2">
      <c r="A1" s="38" t="s">
        <v>414</v>
      </c>
      <c r="B1" s="39" t="s">
        <v>1</v>
      </c>
      <c r="C1" s="39" t="s">
        <v>415</v>
      </c>
      <c r="D1" s="40" t="s">
        <v>416</v>
      </c>
      <c r="E1" s="41" t="s">
        <v>421</v>
      </c>
      <c r="F1" s="41"/>
      <c r="G1" s="41"/>
      <c r="H1" s="41"/>
      <c r="I1" s="41" t="s">
        <v>422</v>
      </c>
      <c r="J1" s="41"/>
      <c r="K1" s="41"/>
      <c r="L1" s="41"/>
      <c r="M1" s="41" t="s">
        <v>417</v>
      </c>
      <c r="N1" s="41"/>
      <c r="O1" s="41"/>
      <c r="P1" s="41"/>
      <c r="Q1" s="40" t="s">
        <v>419</v>
      </c>
      <c r="R1" s="40" t="s">
        <v>420</v>
      </c>
      <c r="S1" s="42"/>
    </row>
    <row r="2" spans="1:19" s="6" customFormat="1" ht="23.25" customHeight="1" x14ac:dyDescent="0.2">
      <c r="A2" s="38"/>
      <c r="B2" s="39"/>
      <c r="C2" s="39"/>
      <c r="D2" s="39"/>
      <c r="E2" s="7">
        <v>1</v>
      </c>
      <c r="F2" s="7">
        <v>2</v>
      </c>
      <c r="G2" s="7">
        <v>3</v>
      </c>
      <c r="H2" s="7"/>
      <c r="I2" s="7">
        <v>1</v>
      </c>
      <c r="J2" s="7">
        <v>2</v>
      </c>
      <c r="K2" s="7">
        <v>3</v>
      </c>
      <c r="L2" s="7"/>
      <c r="M2" s="7">
        <v>1</v>
      </c>
      <c r="N2" s="7">
        <v>2</v>
      </c>
      <c r="O2" s="7">
        <v>3</v>
      </c>
      <c r="P2" s="7"/>
      <c r="Q2" s="40"/>
      <c r="R2" s="40"/>
      <c r="S2" s="42"/>
    </row>
    <row r="3" spans="1:19" s="2" customFormat="1" ht="15" x14ac:dyDescent="0.2">
      <c r="A3" s="36" t="s">
        <v>11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"/>
      <c r="R3" s="4"/>
      <c r="S3" s="1"/>
    </row>
    <row r="4" spans="1:19" s="2" customFormat="1" x14ac:dyDescent="0.2">
      <c r="A4" s="8" t="s">
        <v>388</v>
      </c>
      <c r="B4" s="9" t="s">
        <v>389</v>
      </c>
      <c r="C4" s="9" t="s">
        <v>390</v>
      </c>
      <c r="D4" s="8" t="s">
        <v>431</v>
      </c>
      <c r="E4" s="9" t="s">
        <v>102</v>
      </c>
      <c r="F4" s="9" t="s">
        <v>391</v>
      </c>
      <c r="G4" s="9" t="s">
        <v>198</v>
      </c>
      <c r="H4" s="10"/>
      <c r="I4" s="9" t="s">
        <v>102</v>
      </c>
      <c r="J4" s="9" t="s">
        <v>191</v>
      </c>
      <c r="K4" s="9" t="s">
        <v>214</v>
      </c>
      <c r="L4" s="10"/>
      <c r="M4" s="9" t="s">
        <v>198</v>
      </c>
      <c r="N4" s="9" t="s">
        <v>193</v>
      </c>
      <c r="O4" s="9" t="s">
        <v>15</v>
      </c>
      <c r="P4" s="10"/>
      <c r="Q4" s="11" t="str">
        <f>"585,0"</f>
        <v>585,0</v>
      </c>
      <c r="R4" s="12" t="str">
        <f>"315,6075"</f>
        <v>315,6075</v>
      </c>
      <c r="S4" s="8"/>
    </row>
    <row r="5" spans="1:19" s="2" customFormat="1" x14ac:dyDescent="0.2">
      <c r="A5" s="1"/>
      <c r="D5" s="1"/>
      <c r="Q5" s="3"/>
      <c r="R5" s="4"/>
      <c r="S5" s="1"/>
    </row>
    <row r="14" spans="1:19" ht="18" x14ac:dyDescent="0.25">
      <c r="A14" s="14" t="s">
        <v>18</v>
      </c>
      <c r="B14" s="15"/>
    </row>
    <row r="15" spans="1:19" ht="15" x14ac:dyDescent="0.2">
      <c r="A15" s="16" t="s">
        <v>26</v>
      </c>
      <c r="B15" s="13"/>
    </row>
    <row r="16" spans="1:19" ht="14.25" x14ac:dyDescent="0.2">
      <c r="A16" s="17"/>
      <c r="B16" s="18" t="s">
        <v>27</v>
      </c>
    </row>
    <row r="17" spans="1:3" ht="15" x14ac:dyDescent="0.2">
      <c r="A17" s="19" t="s">
        <v>0</v>
      </c>
      <c r="B17" s="19" t="s">
        <v>21</v>
      </c>
      <c r="C17" s="19" t="s">
        <v>22</v>
      </c>
    </row>
    <row r="18" spans="1:3" x14ac:dyDescent="0.2">
      <c r="A18" s="20" t="s">
        <v>392</v>
      </c>
      <c r="B18" s="2" t="s">
        <v>27</v>
      </c>
      <c r="C18" s="2" t="s">
        <v>29</v>
      </c>
    </row>
  </sheetData>
  <mergeCells count="11">
    <mergeCell ref="A3:P3"/>
    <mergeCell ref="A1:A2"/>
    <mergeCell ref="B1:B2"/>
    <mergeCell ref="C1:C2"/>
    <mergeCell ref="D1:D2"/>
    <mergeCell ref="E1:H1"/>
    <mergeCell ref="I1:L1"/>
    <mergeCell ref="M1:P1"/>
    <mergeCell ref="Q1:Q2"/>
    <mergeCell ref="R1:R2"/>
    <mergeCell ref="S1:S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H34"/>
  <sheetViews>
    <sheetView zoomScaleNormal="100" workbookViewId="0">
      <selection activeCell="D13" sqref="D13"/>
    </sheetView>
  </sheetViews>
  <sheetFormatPr defaultColWidth="9.140625" defaultRowHeight="12.75" x14ac:dyDescent="0.2"/>
  <cols>
    <col min="1" max="1" width="24.85546875" style="1" customWidth="1"/>
    <col min="2" max="2" width="26.5703125" style="2" customWidth="1"/>
    <col min="3" max="3" width="7.5703125" style="2" customWidth="1"/>
    <col min="4" max="4" width="23.42578125" style="1" customWidth="1"/>
    <col min="5" max="7" width="5.5703125" style="2" customWidth="1"/>
    <col min="8" max="8" width="4.7109375" style="2" customWidth="1"/>
    <col min="9" max="11" width="5.5703125" style="2" customWidth="1"/>
    <col min="12" max="12" width="4.7109375" style="2" customWidth="1"/>
    <col min="13" max="13" width="5.7109375" style="3" customWidth="1"/>
    <col min="14" max="14" width="8.5703125" style="4" customWidth="1"/>
    <col min="15" max="15" width="7.140625" style="1" customWidth="1"/>
    <col min="16" max="1022" width="9.140625" style="5"/>
  </cols>
  <sheetData>
    <row r="1" spans="1:15" s="6" customFormat="1" ht="12.75" customHeight="1" x14ac:dyDescent="0.2">
      <c r="A1" s="38" t="s">
        <v>414</v>
      </c>
      <c r="B1" s="39" t="s">
        <v>1</v>
      </c>
      <c r="C1" s="39" t="s">
        <v>415</v>
      </c>
      <c r="D1" s="40" t="s">
        <v>416</v>
      </c>
      <c r="E1" s="41" t="s">
        <v>422</v>
      </c>
      <c r="F1" s="41"/>
      <c r="G1" s="41"/>
      <c r="H1" s="41"/>
      <c r="I1" s="41" t="s">
        <v>417</v>
      </c>
      <c r="J1" s="41"/>
      <c r="K1" s="41"/>
      <c r="L1" s="41"/>
      <c r="M1" s="40"/>
      <c r="N1" s="40"/>
      <c r="O1" s="42"/>
    </row>
    <row r="2" spans="1:15" s="6" customFormat="1" ht="23.25" customHeight="1" x14ac:dyDescent="0.2">
      <c r="A2" s="38"/>
      <c r="B2" s="39"/>
      <c r="C2" s="39"/>
      <c r="D2" s="39"/>
      <c r="E2" s="7">
        <v>1</v>
      </c>
      <c r="F2" s="7">
        <v>2</v>
      </c>
      <c r="G2" s="7">
        <v>3</v>
      </c>
      <c r="H2" s="7"/>
      <c r="I2" s="7">
        <v>1</v>
      </c>
      <c r="J2" s="7">
        <v>2</v>
      </c>
      <c r="K2" s="7">
        <v>3</v>
      </c>
      <c r="L2" s="7"/>
      <c r="M2" s="40"/>
      <c r="N2" s="40"/>
      <c r="O2" s="42"/>
    </row>
    <row r="3" spans="1:15" s="2" customFormat="1" ht="15" x14ac:dyDescent="0.2">
      <c r="A3" s="36" t="s">
        <v>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"/>
      <c r="N3" s="4"/>
      <c r="O3" s="1"/>
    </row>
    <row r="4" spans="1:15" s="2" customFormat="1" x14ac:dyDescent="0.2">
      <c r="A4" s="21" t="s">
        <v>59</v>
      </c>
      <c r="B4" s="22" t="s">
        <v>88</v>
      </c>
      <c r="C4" s="22" t="s">
        <v>60</v>
      </c>
      <c r="D4" s="21" t="s">
        <v>432</v>
      </c>
      <c r="E4" s="22" t="s">
        <v>89</v>
      </c>
      <c r="F4" s="22" t="s">
        <v>90</v>
      </c>
      <c r="G4" s="22" t="s">
        <v>61</v>
      </c>
      <c r="H4" s="29"/>
      <c r="I4" s="22" t="s">
        <v>91</v>
      </c>
      <c r="J4" s="22" t="s">
        <v>92</v>
      </c>
      <c r="K4" s="22" t="s">
        <v>93</v>
      </c>
      <c r="L4" s="29"/>
      <c r="M4" s="23"/>
      <c r="N4" s="24"/>
      <c r="O4" s="21"/>
    </row>
    <row r="5" spans="1:15" s="2" customFormat="1" x14ac:dyDescent="0.2">
      <c r="A5" s="25" t="s">
        <v>59</v>
      </c>
      <c r="B5" s="26" t="s">
        <v>66</v>
      </c>
      <c r="C5" s="26" t="s">
        <v>60</v>
      </c>
      <c r="D5" s="25" t="s">
        <v>432</v>
      </c>
      <c r="E5" s="26" t="s">
        <v>89</v>
      </c>
      <c r="F5" s="26" t="s">
        <v>90</v>
      </c>
      <c r="G5" s="26" t="s">
        <v>61</v>
      </c>
      <c r="H5" s="35"/>
      <c r="I5" s="26" t="s">
        <v>91</v>
      </c>
      <c r="J5" s="26" t="s">
        <v>92</v>
      </c>
      <c r="K5" s="26" t="s">
        <v>93</v>
      </c>
      <c r="L5" s="35"/>
      <c r="M5" s="27"/>
      <c r="N5" s="28"/>
      <c r="O5" s="25"/>
    </row>
    <row r="7" spans="1:15" ht="15" x14ac:dyDescent="0.2">
      <c r="A7" s="37" t="s">
        <v>69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5" x14ac:dyDescent="0.2">
      <c r="A8" s="8" t="s">
        <v>94</v>
      </c>
      <c r="B8" s="9" t="s">
        <v>95</v>
      </c>
      <c r="C8" s="9" t="s">
        <v>96</v>
      </c>
      <c r="D8" s="8" t="s">
        <v>431</v>
      </c>
      <c r="E8" s="9" t="s">
        <v>84</v>
      </c>
      <c r="F8" s="9" t="s">
        <v>85</v>
      </c>
      <c r="G8" s="10" t="s">
        <v>92</v>
      </c>
      <c r="H8" s="10"/>
      <c r="I8" s="9" t="s">
        <v>97</v>
      </c>
      <c r="J8" s="9" t="s">
        <v>98</v>
      </c>
      <c r="K8" s="9" t="s">
        <v>99</v>
      </c>
      <c r="L8" s="10"/>
      <c r="M8" s="11"/>
      <c r="N8" s="12"/>
      <c r="O8" s="8"/>
    </row>
    <row r="10" spans="1:15" ht="15" x14ac:dyDescent="0.2">
      <c r="A10" s="37" t="s">
        <v>11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5" x14ac:dyDescent="0.2">
      <c r="A11" s="8" t="s">
        <v>38</v>
      </c>
      <c r="B11" s="9" t="s">
        <v>39</v>
      </c>
      <c r="C11" s="9" t="s">
        <v>40</v>
      </c>
      <c r="D11" s="8" t="s">
        <v>430</v>
      </c>
      <c r="E11" s="9" t="s">
        <v>91</v>
      </c>
      <c r="F11" s="10" t="s">
        <v>100</v>
      </c>
      <c r="G11" s="9" t="s">
        <v>100</v>
      </c>
      <c r="H11" s="10"/>
      <c r="I11" s="9" t="s">
        <v>85</v>
      </c>
      <c r="J11" s="9" t="s">
        <v>101</v>
      </c>
      <c r="K11" s="9" t="s">
        <v>102</v>
      </c>
      <c r="L11" s="10"/>
      <c r="M11" s="11"/>
      <c r="N11" s="12"/>
      <c r="O11" s="8"/>
    </row>
    <row r="21" spans="1:3" ht="18" x14ac:dyDescent="0.25">
      <c r="A21" s="14" t="s">
        <v>18</v>
      </c>
      <c r="B21" s="15"/>
    </row>
    <row r="22" spans="1:3" ht="15" x14ac:dyDescent="0.2">
      <c r="A22" s="16" t="s">
        <v>26</v>
      </c>
      <c r="B22" s="13"/>
    </row>
    <row r="23" spans="1:3" ht="14.25" x14ac:dyDescent="0.2">
      <c r="A23" s="17"/>
      <c r="B23" s="18" t="s">
        <v>103</v>
      </c>
    </row>
    <row r="24" spans="1:3" ht="15" x14ac:dyDescent="0.2">
      <c r="A24" s="19" t="s">
        <v>0</v>
      </c>
      <c r="B24" s="19" t="s">
        <v>21</v>
      </c>
      <c r="C24" s="19" t="s">
        <v>22</v>
      </c>
    </row>
    <row r="25" spans="1:3" x14ac:dyDescent="0.2">
      <c r="A25" s="20" t="s">
        <v>76</v>
      </c>
      <c r="B25" s="2" t="s">
        <v>104</v>
      </c>
      <c r="C25" s="2" t="s">
        <v>25</v>
      </c>
    </row>
    <row r="27" spans="1:3" ht="14.25" x14ac:dyDescent="0.2">
      <c r="A27" s="17"/>
      <c r="B27" s="18" t="s">
        <v>27</v>
      </c>
    </row>
    <row r="28" spans="1:3" ht="15" x14ac:dyDescent="0.2">
      <c r="A28" s="19" t="s">
        <v>0</v>
      </c>
      <c r="B28" s="19" t="s">
        <v>21</v>
      </c>
      <c r="C28" s="19" t="s">
        <v>22</v>
      </c>
    </row>
    <row r="29" spans="1:3" x14ac:dyDescent="0.2">
      <c r="A29" s="20" t="s">
        <v>42</v>
      </c>
      <c r="B29" s="2" t="s">
        <v>27</v>
      </c>
      <c r="C29" s="2" t="s">
        <v>29</v>
      </c>
    </row>
    <row r="30" spans="1:3" x14ac:dyDescent="0.2">
      <c r="A30" s="20" t="s">
        <v>76</v>
      </c>
      <c r="B30" s="2" t="s">
        <v>27</v>
      </c>
      <c r="C30" s="2" t="s">
        <v>25</v>
      </c>
    </row>
    <row r="32" spans="1:3" ht="14.25" x14ac:dyDescent="0.2">
      <c r="A32" s="17"/>
      <c r="B32" s="18" t="s">
        <v>20</v>
      </c>
    </row>
    <row r="33" spans="1:3" ht="15" x14ac:dyDescent="0.2">
      <c r="A33" s="19" t="s">
        <v>0</v>
      </c>
      <c r="B33" s="19" t="s">
        <v>21</v>
      </c>
      <c r="C33" s="19" t="s">
        <v>22</v>
      </c>
    </row>
    <row r="34" spans="1:3" x14ac:dyDescent="0.2">
      <c r="A34" s="20" t="s">
        <v>107</v>
      </c>
      <c r="B34" s="2" t="s">
        <v>108</v>
      </c>
      <c r="C34" s="2" t="s">
        <v>75</v>
      </c>
    </row>
  </sheetData>
  <mergeCells count="12">
    <mergeCell ref="A3:L3"/>
    <mergeCell ref="A7:L7"/>
    <mergeCell ref="A10:L10"/>
    <mergeCell ref="A1:A2"/>
    <mergeCell ref="B1:B2"/>
    <mergeCell ref="C1:C2"/>
    <mergeCell ref="D1:D2"/>
    <mergeCell ref="E1:H1"/>
    <mergeCell ref="I1:L1"/>
    <mergeCell ref="M1:M2"/>
    <mergeCell ref="N1:N2"/>
    <mergeCell ref="O1:O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H99"/>
  <sheetViews>
    <sheetView topLeftCell="A13" zoomScaleNormal="100" workbookViewId="0">
      <selection activeCell="D50" sqref="D50"/>
    </sheetView>
  </sheetViews>
  <sheetFormatPr defaultColWidth="9.140625" defaultRowHeight="12.75" x14ac:dyDescent="0.2"/>
  <cols>
    <col min="1" max="1" width="24.85546875" style="1" customWidth="1"/>
    <col min="2" max="2" width="26.5703125" style="2" customWidth="1"/>
    <col min="3" max="3" width="7.5703125" style="2" customWidth="1"/>
    <col min="4" max="4" width="32" style="1" customWidth="1"/>
    <col min="5" max="7" width="5.5703125" style="2" customWidth="1"/>
    <col min="8" max="8" width="4.7109375" style="2" customWidth="1"/>
    <col min="9" max="9" width="5.7109375" style="3" customWidth="1"/>
    <col min="10" max="10" width="8.5703125" style="4" customWidth="1"/>
    <col min="11" max="11" width="17.5703125" style="1" customWidth="1"/>
    <col min="12" max="1022" width="9.140625" style="5"/>
  </cols>
  <sheetData>
    <row r="1" spans="1:11" s="6" customFormat="1" ht="12.75" customHeight="1" x14ac:dyDescent="0.2">
      <c r="A1" s="38" t="s">
        <v>414</v>
      </c>
      <c r="B1" s="39" t="s">
        <v>1</v>
      </c>
      <c r="C1" s="39" t="s">
        <v>415</v>
      </c>
      <c r="D1" s="40" t="s">
        <v>416</v>
      </c>
      <c r="E1" s="41" t="s">
        <v>2</v>
      </c>
      <c r="F1" s="41"/>
      <c r="G1" s="41"/>
      <c r="H1" s="41"/>
      <c r="I1" s="40" t="s">
        <v>419</v>
      </c>
      <c r="J1" s="40" t="s">
        <v>420</v>
      </c>
      <c r="K1" s="42" t="s">
        <v>423</v>
      </c>
    </row>
    <row r="2" spans="1:11" s="6" customFormat="1" ht="23.25" customHeight="1" x14ac:dyDescent="0.2">
      <c r="A2" s="38"/>
      <c r="B2" s="39"/>
      <c r="C2" s="39"/>
      <c r="D2" s="39"/>
      <c r="E2" s="7">
        <v>1</v>
      </c>
      <c r="F2" s="7">
        <v>2</v>
      </c>
      <c r="G2" s="7">
        <v>3</v>
      </c>
      <c r="H2" s="7"/>
      <c r="I2" s="40"/>
      <c r="J2" s="40"/>
      <c r="K2" s="42"/>
    </row>
    <row r="3" spans="1:11" s="2" customFormat="1" ht="15" x14ac:dyDescent="0.2">
      <c r="A3" s="36" t="s">
        <v>114</v>
      </c>
      <c r="B3" s="36"/>
      <c r="C3" s="36"/>
      <c r="D3" s="36"/>
      <c r="E3" s="36"/>
      <c r="F3" s="36"/>
      <c r="G3" s="36"/>
      <c r="H3" s="36"/>
      <c r="I3" s="3"/>
      <c r="J3" s="4"/>
      <c r="K3" s="1"/>
    </row>
    <row r="4" spans="1:11" s="2" customFormat="1" x14ac:dyDescent="0.2">
      <c r="A4" s="8" t="s">
        <v>272</v>
      </c>
      <c r="B4" s="9" t="s">
        <v>273</v>
      </c>
      <c r="C4" s="9" t="s">
        <v>274</v>
      </c>
      <c r="D4" s="8" t="s">
        <v>425</v>
      </c>
      <c r="E4" s="9" t="s">
        <v>89</v>
      </c>
      <c r="F4" s="10" t="s">
        <v>90</v>
      </c>
      <c r="G4" s="10" t="s">
        <v>90</v>
      </c>
      <c r="H4" s="10"/>
      <c r="I4" s="11" t="str">
        <f>"77,5"</f>
        <v>77,5</v>
      </c>
      <c r="J4" s="12" t="str">
        <f>"70,7265"</f>
        <v>70,7265</v>
      </c>
      <c r="K4" s="8"/>
    </row>
    <row r="5" spans="1:11" s="2" customFormat="1" x14ac:dyDescent="0.2">
      <c r="A5" s="1"/>
      <c r="D5" s="1"/>
      <c r="I5" s="3"/>
      <c r="J5" s="4"/>
      <c r="K5" s="1"/>
    </row>
    <row r="6" spans="1:11" ht="15" x14ac:dyDescent="0.2">
      <c r="A6" s="37" t="s">
        <v>120</v>
      </c>
      <c r="B6" s="37"/>
      <c r="C6" s="37"/>
      <c r="D6" s="37"/>
      <c r="E6" s="37"/>
      <c r="F6" s="37"/>
      <c r="G6" s="37"/>
      <c r="H6" s="37"/>
    </row>
    <row r="7" spans="1:11" x14ac:dyDescent="0.2">
      <c r="A7" s="8" t="s">
        <v>275</v>
      </c>
      <c r="B7" s="9" t="s">
        <v>276</v>
      </c>
      <c r="C7" s="9" t="s">
        <v>277</v>
      </c>
      <c r="D7" s="8" t="s">
        <v>425</v>
      </c>
      <c r="E7" s="9" t="s">
        <v>54</v>
      </c>
      <c r="F7" s="9" t="s">
        <v>134</v>
      </c>
      <c r="G7" s="9" t="s">
        <v>55</v>
      </c>
      <c r="H7" s="10"/>
      <c r="I7" s="11" t="str">
        <f>"60,0"</f>
        <v>60,0</v>
      </c>
      <c r="J7" s="12" t="str">
        <f>"48,5700"</f>
        <v>48,5700</v>
      </c>
      <c r="K7" s="8"/>
    </row>
    <row r="9" spans="1:11" ht="15" x14ac:dyDescent="0.2">
      <c r="A9" s="37" t="s">
        <v>4</v>
      </c>
      <c r="B9" s="37"/>
      <c r="C9" s="37"/>
      <c r="D9" s="37"/>
      <c r="E9" s="37"/>
      <c r="F9" s="37"/>
      <c r="G9" s="37"/>
      <c r="H9" s="37"/>
    </row>
    <row r="10" spans="1:11" x14ac:dyDescent="0.2">
      <c r="A10" s="21" t="s">
        <v>278</v>
      </c>
      <c r="B10" s="22" t="s">
        <v>279</v>
      </c>
      <c r="C10" s="22" t="s">
        <v>280</v>
      </c>
      <c r="D10" s="21" t="s">
        <v>433</v>
      </c>
      <c r="E10" s="22" t="s">
        <v>57</v>
      </c>
      <c r="F10" s="22" t="s">
        <v>90</v>
      </c>
      <c r="G10" s="29" t="s">
        <v>61</v>
      </c>
      <c r="H10" s="29"/>
      <c r="I10" s="23" t="str">
        <f>"82,5"</f>
        <v>82,5</v>
      </c>
      <c r="J10" s="24" t="str">
        <f>"62,2875"</f>
        <v>62,2875</v>
      </c>
      <c r="K10" s="21"/>
    </row>
    <row r="11" spans="1:11" x14ac:dyDescent="0.2">
      <c r="A11" s="25" t="s">
        <v>5</v>
      </c>
      <c r="B11" s="26" t="s">
        <v>6</v>
      </c>
      <c r="C11" s="26" t="s">
        <v>7</v>
      </c>
      <c r="D11" s="25" t="s">
        <v>425</v>
      </c>
      <c r="E11" s="26" t="s">
        <v>61</v>
      </c>
      <c r="F11" s="26" t="s">
        <v>37</v>
      </c>
      <c r="G11" s="35" t="s">
        <v>58</v>
      </c>
      <c r="H11" s="35"/>
      <c r="I11" s="27" t="str">
        <f>"90,0"</f>
        <v>90,0</v>
      </c>
      <c r="J11" s="28" t="str">
        <f>"90,9241"</f>
        <v>90,9241</v>
      </c>
      <c r="K11" s="25"/>
    </row>
    <row r="13" spans="1:11" ht="15" x14ac:dyDescent="0.2">
      <c r="A13" s="37" t="s">
        <v>120</v>
      </c>
      <c r="B13" s="37"/>
      <c r="C13" s="37"/>
      <c r="D13" s="37"/>
      <c r="E13" s="37"/>
      <c r="F13" s="37"/>
      <c r="G13" s="37"/>
      <c r="H13" s="37"/>
    </row>
    <row r="14" spans="1:11" x14ac:dyDescent="0.2">
      <c r="A14" s="21" t="s">
        <v>281</v>
      </c>
      <c r="B14" s="22" t="s">
        <v>282</v>
      </c>
      <c r="C14" s="22" t="s">
        <v>283</v>
      </c>
      <c r="D14" s="21" t="s">
        <v>425</v>
      </c>
      <c r="E14" s="22" t="s">
        <v>8</v>
      </c>
      <c r="F14" s="22" t="s">
        <v>284</v>
      </c>
      <c r="G14" s="29" t="s">
        <v>9</v>
      </c>
      <c r="H14" s="29"/>
      <c r="I14" s="23" t="str">
        <f>"107,5"</f>
        <v>107,5</v>
      </c>
      <c r="J14" s="24" t="str">
        <f>"80,3132"</f>
        <v>80,3132</v>
      </c>
      <c r="K14" s="21"/>
    </row>
    <row r="15" spans="1:11" x14ac:dyDescent="0.2">
      <c r="A15" s="25" t="s">
        <v>285</v>
      </c>
      <c r="B15" s="26" t="s">
        <v>286</v>
      </c>
      <c r="C15" s="26" t="s">
        <v>287</v>
      </c>
      <c r="D15" s="25" t="s">
        <v>424</v>
      </c>
      <c r="E15" s="35" t="s">
        <v>288</v>
      </c>
      <c r="F15" s="35" t="s">
        <v>288</v>
      </c>
      <c r="G15" s="35" t="s">
        <v>288</v>
      </c>
      <c r="H15" s="35"/>
      <c r="I15" s="27" t="str">
        <f>"0.00"</f>
        <v>0.00</v>
      </c>
      <c r="J15" s="28" t="str">
        <f>"0,0000"</f>
        <v>0,0000</v>
      </c>
      <c r="K15" s="25"/>
    </row>
    <row r="17" spans="1:11" ht="15" x14ac:dyDescent="0.2">
      <c r="A17" s="37" t="s">
        <v>4</v>
      </c>
      <c r="B17" s="37"/>
      <c r="C17" s="37"/>
      <c r="D17" s="37"/>
      <c r="E17" s="37"/>
      <c r="F17" s="37"/>
      <c r="G17" s="37"/>
      <c r="H17" s="37"/>
    </row>
    <row r="18" spans="1:11" x14ac:dyDescent="0.2">
      <c r="A18" s="8" t="s">
        <v>289</v>
      </c>
      <c r="B18" s="9" t="s">
        <v>290</v>
      </c>
      <c r="C18" s="9" t="s">
        <v>62</v>
      </c>
      <c r="D18" s="8" t="s">
        <v>434</v>
      </c>
      <c r="E18" s="10" t="s">
        <v>291</v>
      </c>
      <c r="F18" s="9" t="s">
        <v>291</v>
      </c>
      <c r="G18" s="10" t="s">
        <v>91</v>
      </c>
      <c r="H18" s="10"/>
      <c r="I18" s="11" t="str">
        <f>"117,5"</f>
        <v>117,5</v>
      </c>
      <c r="J18" s="12" t="str">
        <f>"78,1610"</f>
        <v>78,1610</v>
      </c>
      <c r="K18" s="8"/>
    </row>
    <row r="20" spans="1:11" ht="15" x14ac:dyDescent="0.2">
      <c r="A20" s="37" t="s">
        <v>140</v>
      </c>
      <c r="B20" s="37"/>
      <c r="C20" s="37"/>
      <c r="D20" s="37"/>
      <c r="E20" s="37"/>
      <c r="F20" s="37"/>
      <c r="G20" s="37"/>
      <c r="H20" s="37"/>
    </row>
    <row r="21" spans="1:11" x14ac:dyDescent="0.2">
      <c r="A21" s="21" t="s">
        <v>292</v>
      </c>
      <c r="B21" s="22" t="s">
        <v>293</v>
      </c>
      <c r="C21" s="22" t="s">
        <v>294</v>
      </c>
      <c r="D21" s="21" t="s">
        <v>435</v>
      </c>
      <c r="E21" s="22" t="s">
        <v>85</v>
      </c>
      <c r="F21" s="22" t="s">
        <v>92</v>
      </c>
      <c r="G21" s="22" t="s">
        <v>295</v>
      </c>
      <c r="H21" s="29"/>
      <c r="I21" s="23" t="str">
        <f>"147,5"</f>
        <v>147,5</v>
      </c>
      <c r="J21" s="24" t="str">
        <f>"92,2023"</f>
        <v>92,2023</v>
      </c>
      <c r="K21" s="21"/>
    </row>
    <row r="22" spans="1:11" x14ac:dyDescent="0.2">
      <c r="A22" s="25" t="s">
        <v>292</v>
      </c>
      <c r="B22" s="26" t="s">
        <v>296</v>
      </c>
      <c r="C22" s="26" t="s">
        <v>294</v>
      </c>
      <c r="D22" s="25" t="s">
        <v>435</v>
      </c>
      <c r="E22" s="26" t="s">
        <v>85</v>
      </c>
      <c r="F22" s="26" t="s">
        <v>92</v>
      </c>
      <c r="G22" s="26" t="s">
        <v>295</v>
      </c>
      <c r="H22" s="35"/>
      <c r="I22" s="27" t="str">
        <f>"147,5"</f>
        <v>147,5</v>
      </c>
      <c r="J22" s="28" t="str">
        <f>"92,2023"</f>
        <v>92,2023</v>
      </c>
      <c r="K22" s="25"/>
    </row>
    <row r="24" spans="1:11" ht="15" x14ac:dyDescent="0.2">
      <c r="A24" s="37" t="s">
        <v>34</v>
      </c>
      <c r="B24" s="37"/>
      <c r="C24" s="37"/>
      <c r="D24" s="37"/>
      <c r="E24" s="37"/>
      <c r="F24" s="37"/>
      <c r="G24" s="37"/>
      <c r="H24" s="37"/>
    </row>
    <row r="25" spans="1:11" x14ac:dyDescent="0.2">
      <c r="A25" s="21" t="s">
        <v>141</v>
      </c>
      <c r="B25" s="22" t="s">
        <v>142</v>
      </c>
      <c r="C25" s="22" t="s">
        <v>143</v>
      </c>
      <c r="D25" s="21" t="s">
        <v>425</v>
      </c>
      <c r="E25" s="22" t="s">
        <v>214</v>
      </c>
      <c r="F25" s="22" t="s">
        <v>198</v>
      </c>
      <c r="G25" s="22" t="s">
        <v>192</v>
      </c>
      <c r="H25" s="29"/>
      <c r="I25" s="23" t="str">
        <f>"190,0"</f>
        <v>190,0</v>
      </c>
      <c r="J25" s="24" t="str">
        <f>"111,2830"</f>
        <v>111,2830</v>
      </c>
      <c r="K25" s="21"/>
    </row>
    <row r="26" spans="1:11" x14ac:dyDescent="0.2">
      <c r="A26" s="30" t="s">
        <v>297</v>
      </c>
      <c r="B26" s="31" t="s">
        <v>298</v>
      </c>
      <c r="C26" s="31" t="s">
        <v>36</v>
      </c>
      <c r="D26" s="30" t="s">
        <v>425</v>
      </c>
      <c r="E26" s="32" t="s">
        <v>9</v>
      </c>
      <c r="F26" s="32" t="s">
        <v>10</v>
      </c>
      <c r="G26" s="32" t="s">
        <v>299</v>
      </c>
      <c r="H26" s="32"/>
      <c r="I26" s="33" t="str">
        <f>"0.00"</f>
        <v>0.00</v>
      </c>
      <c r="J26" s="34" t="str">
        <f>"0,0000"</f>
        <v>0,0000</v>
      </c>
      <c r="K26" s="30" t="s">
        <v>300</v>
      </c>
    </row>
    <row r="27" spans="1:11" x14ac:dyDescent="0.2">
      <c r="A27" s="30" t="s">
        <v>301</v>
      </c>
      <c r="B27" s="31" t="s">
        <v>302</v>
      </c>
      <c r="C27" s="31" t="s">
        <v>303</v>
      </c>
      <c r="D27" s="30" t="s">
        <v>436</v>
      </c>
      <c r="E27" s="31" t="s">
        <v>101</v>
      </c>
      <c r="F27" s="31" t="s">
        <v>220</v>
      </c>
      <c r="G27" s="32" t="s">
        <v>304</v>
      </c>
      <c r="H27" s="32"/>
      <c r="I27" s="33" t="str">
        <f>"165,0"</f>
        <v>165,0</v>
      </c>
      <c r="J27" s="34" t="str">
        <f>"105,7476"</f>
        <v>105,7476</v>
      </c>
      <c r="K27" s="30"/>
    </row>
    <row r="28" spans="1:11" x14ac:dyDescent="0.2">
      <c r="A28" s="25" t="s">
        <v>35</v>
      </c>
      <c r="B28" s="26" t="s">
        <v>305</v>
      </c>
      <c r="C28" s="26" t="s">
        <v>306</v>
      </c>
      <c r="D28" s="25" t="s">
        <v>425</v>
      </c>
      <c r="E28" s="26" t="s">
        <v>72</v>
      </c>
      <c r="F28" s="35" t="s">
        <v>9</v>
      </c>
      <c r="G28" s="35" t="s">
        <v>9</v>
      </c>
      <c r="H28" s="35"/>
      <c r="I28" s="27" t="str">
        <f>"105,0"</f>
        <v>105,0</v>
      </c>
      <c r="J28" s="28" t="str">
        <f>"77,3675"</f>
        <v>77,3675</v>
      </c>
      <c r="K28" s="25"/>
    </row>
    <row r="30" spans="1:11" ht="15" x14ac:dyDescent="0.2">
      <c r="A30" s="37" t="s">
        <v>69</v>
      </c>
      <c r="B30" s="37"/>
      <c r="C30" s="37"/>
      <c r="D30" s="37"/>
      <c r="E30" s="37"/>
      <c r="F30" s="37"/>
      <c r="G30" s="37"/>
      <c r="H30" s="37"/>
    </row>
    <row r="31" spans="1:11" x14ac:dyDescent="0.2">
      <c r="A31" s="21" t="s">
        <v>307</v>
      </c>
      <c r="B31" s="22" t="s">
        <v>308</v>
      </c>
      <c r="C31" s="22" t="s">
        <v>309</v>
      </c>
      <c r="D31" s="21" t="s">
        <v>429</v>
      </c>
      <c r="E31" s="22" t="s">
        <v>101</v>
      </c>
      <c r="F31" s="22" t="s">
        <v>102</v>
      </c>
      <c r="G31" s="22" t="s">
        <v>310</v>
      </c>
      <c r="H31" s="29"/>
      <c r="I31" s="23" t="str">
        <f>"177,5"</f>
        <v>177,5</v>
      </c>
      <c r="J31" s="24" t="str">
        <f>"99,0983"</f>
        <v>99,0983</v>
      </c>
      <c r="K31" s="21"/>
    </row>
    <row r="32" spans="1:11" x14ac:dyDescent="0.2">
      <c r="A32" s="30" t="s">
        <v>311</v>
      </c>
      <c r="B32" s="31" t="s">
        <v>312</v>
      </c>
      <c r="C32" s="31" t="s">
        <v>313</v>
      </c>
      <c r="D32" s="30" t="s">
        <v>425</v>
      </c>
      <c r="E32" s="31" t="s">
        <v>93</v>
      </c>
      <c r="F32" s="31" t="s">
        <v>220</v>
      </c>
      <c r="G32" s="32" t="s">
        <v>310</v>
      </c>
      <c r="H32" s="32"/>
      <c r="I32" s="33" t="str">
        <f>"165,0"</f>
        <v>165,0</v>
      </c>
      <c r="J32" s="34" t="str">
        <f>"93,2910"</f>
        <v>93,2910</v>
      </c>
      <c r="K32" s="30"/>
    </row>
    <row r="33" spans="1:11" x14ac:dyDescent="0.2">
      <c r="A33" s="30" t="s">
        <v>314</v>
      </c>
      <c r="B33" s="31" t="s">
        <v>315</v>
      </c>
      <c r="C33" s="31" t="s">
        <v>316</v>
      </c>
      <c r="D33" s="30" t="s">
        <v>437</v>
      </c>
      <c r="E33" s="31" t="s">
        <v>299</v>
      </c>
      <c r="F33" s="31" t="s">
        <v>317</v>
      </c>
      <c r="G33" s="32" t="s">
        <v>100</v>
      </c>
      <c r="H33" s="32"/>
      <c r="I33" s="33" t="str">
        <f>"137,5"</f>
        <v>137,5</v>
      </c>
      <c r="J33" s="34" t="str">
        <f>"90,6205"</f>
        <v>90,6205</v>
      </c>
      <c r="K33" s="30"/>
    </row>
    <row r="34" spans="1:11" x14ac:dyDescent="0.2">
      <c r="A34" s="25" t="s">
        <v>94</v>
      </c>
      <c r="B34" s="26" t="s">
        <v>95</v>
      </c>
      <c r="C34" s="26" t="s">
        <v>96</v>
      </c>
      <c r="D34" s="25" t="s">
        <v>431</v>
      </c>
      <c r="E34" s="26" t="s">
        <v>84</v>
      </c>
      <c r="F34" s="26" t="s">
        <v>85</v>
      </c>
      <c r="G34" s="35" t="s">
        <v>92</v>
      </c>
      <c r="H34" s="35"/>
      <c r="I34" s="27" t="str">
        <f>"140,0"</f>
        <v>140,0</v>
      </c>
      <c r="J34" s="28" t="str">
        <f>"109,9501"</f>
        <v>109,9501</v>
      </c>
      <c r="K34" s="25"/>
    </row>
    <row r="36" spans="1:11" ht="15" x14ac:dyDescent="0.2">
      <c r="A36" s="37" t="s">
        <v>11</v>
      </c>
      <c r="B36" s="37"/>
      <c r="C36" s="37"/>
      <c r="D36" s="37"/>
      <c r="E36" s="37"/>
      <c r="F36" s="37"/>
      <c r="G36" s="37"/>
      <c r="H36" s="37"/>
    </row>
    <row r="37" spans="1:11" x14ac:dyDescent="0.2">
      <c r="A37" s="21" t="s">
        <v>318</v>
      </c>
      <c r="B37" s="22" t="s">
        <v>319</v>
      </c>
      <c r="C37" s="22" t="s">
        <v>320</v>
      </c>
      <c r="D37" s="21" t="s">
        <v>438</v>
      </c>
      <c r="E37" s="22" t="s">
        <v>198</v>
      </c>
      <c r="F37" s="22" t="s">
        <v>199</v>
      </c>
      <c r="G37" s="29" t="s">
        <v>193</v>
      </c>
      <c r="H37" s="29"/>
      <c r="I37" s="23" t="str">
        <f>"195,0"</f>
        <v>195,0</v>
      </c>
      <c r="J37" s="24" t="str">
        <f>"104,6175"</f>
        <v>104,6175</v>
      </c>
      <c r="K37" s="21"/>
    </row>
    <row r="38" spans="1:11" x14ac:dyDescent="0.2">
      <c r="A38" s="30" t="s">
        <v>321</v>
      </c>
      <c r="B38" s="31" t="s">
        <v>322</v>
      </c>
      <c r="C38" s="31" t="s">
        <v>323</v>
      </c>
      <c r="D38" s="30" t="s">
        <v>425</v>
      </c>
      <c r="E38" s="31" t="s">
        <v>85</v>
      </c>
      <c r="F38" s="31" t="s">
        <v>295</v>
      </c>
      <c r="G38" s="31" t="s">
        <v>101</v>
      </c>
      <c r="H38" s="32"/>
      <c r="I38" s="33" t="str">
        <f>"150,0"</f>
        <v>150,0</v>
      </c>
      <c r="J38" s="34" t="str">
        <f>"80,8650"</f>
        <v>80,8650</v>
      </c>
      <c r="K38" s="30"/>
    </row>
    <row r="39" spans="1:11" x14ac:dyDescent="0.2">
      <c r="A39" s="30" t="s">
        <v>324</v>
      </c>
      <c r="B39" s="31" t="s">
        <v>325</v>
      </c>
      <c r="C39" s="31" t="s">
        <v>326</v>
      </c>
      <c r="D39" s="30" t="s">
        <v>427</v>
      </c>
      <c r="E39" s="31" t="s">
        <v>214</v>
      </c>
      <c r="F39" s="31" t="s">
        <v>199</v>
      </c>
      <c r="G39" s="32" t="s">
        <v>193</v>
      </c>
      <c r="H39" s="32"/>
      <c r="I39" s="33" t="str">
        <f>"195,0"</f>
        <v>195,0</v>
      </c>
      <c r="J39" s="34" t="str">
        <f>"117,6419"</f>
        <v>117,6419</v>
      </c>
      <c r="K39" s="30" t="s">
        <v>327</v>
      </c>
    </row>
    <row r="40" spans="1:11" x14ac:dyDescent="0.2">
      <c r="A40" s="30" t="s">
        <v>328</v>
      </c>
      <c r="B40" s="31" t="s">
        <v>329</v>
      </c>
      <c r="C40" s="31" t="s">
        <v>330</v>
      </c>
      <c r="D40" s="30" t="s">
        <v>425</v>
      </c>
      <c r="E40" s="31" t="s">
        <v>191</v>
      </c>
      <c r="F40" s="32" t="s">
        <v>304</v>
      </c>
      <c r="G40" s="32"/>
      <c r="H40" s="32"/>
      <c r="I40" s="33" t="str">
        <f>"170,0"</f>
        <v>170,0</v>
      </c>
      <c r="J40" s="34" t="str">
        <f>"107,5418"</f>
        <v>107,5418</v>
      </c>
      <c r="K40" s="30"/>
    </row>
    <row r="41" spans="1:11" x14ac:dyDescent="0.2">
      <c r="A41" s="25" t="s">
        <v>331</v>
      </c>
      <c r="B41" s="26" t="s">
        <v>249</v>
      </c>
      <c r="C41" s="26" t="s">
        <v>40</v>
      </c>
      <c r="D41" s="25" t="s">
        <v>430</v>
      </c>
      <c r="E41" s="26" t="s">
        <v>91</v>
      </c>
      <c r="F41" s="35" t="s">
        <v>100</v>
      </c>
      <c r="G41" s="26" t="s">
        <v>100</v>
      </c>
      <c r="H41" s="35"/>
      <c r="I41" s="27" t="str">
        <f>"142,5"</f>
        <v>142,5</v>
      </c>
      <c r="J41" s="28" t="str">
        <f>"91,8837"</f>
        <v>91,8837</v>
      </c>
      <c r="K41" s="25"/>
    </row>
    <row r="43" spans="1:11" x14ac:dyDescent="0.2">
      <c r="A43" s="37" t="s">
        <v>332</v>
      </c>
      <c r="B43" s="37"/>
      <c r="C43" s="37"/>
      <c r="D43" s="37"/>
      <c r="E43" s="37"/>
      <c r="F43" s="37"/>
      <c r="G43" s="37"/>
      <c r="H43" s="37"/>
    </row>
    <row r="44" spans="1:11" x14ac:dyDescent="0.2">
      <c r="A44" s="8" t="s">
        <v>333</v>
      </c>
      <c r="B44" s="9" t="s">
        <v>334</v>
      </c>
      <c r="C44" s="9" t="s">
        <v>335</v>
      </c>
      <c r="D44" s="8" t="s">
        <v>425</v>
      </c>
      <c r="E44" s="10" t="s">
        <v>101</v>
      </c>
      <c r="F44" s="9" t="s">
        <v>208</v>
      </c>
      <c r="G44" s="9" t="s">
        <v>93</v>
      </c>
      <c r="H44" s="10"/>
      <c r="I44" s="11" t="str">
        <f>"155,0"</f>
        <v>155,0</v>
      </c>
      <c r="J44" s="12" t="str">
        <f>"84,7287"</f>
        <v>84,7287</v>
      </c>
      <c r="K44" s="8"/>
    </row>
    <row r="46" spans="1:11" ht="15" x14ac:dyDescent="0.2">
      <c r="A46" s="37" t="s">
        <v>336</v>
      </c>
      <c r="B46" s="37"/>
      <c r="C46" s="37"/>
      <c r="D46" s="37"/>
      <c r="E46" s="37"/>
      <c r="F46" s="37"/>
      <c r="G46" s="37"/>
      <c r="H46" s="37"/>
    </row>
    <row r="47" spans="1:11" x14ac:dyDescent="0.2">
      <c r="A47" s="8" t="s">
        <v>337</v>
      </c>
      <c r="B47" s="9" t="s">
        <v>338</v>
      </c>
      <c r="C47" s="9" t="s">
        <v>339</v>
      </c>
      <c r="D47" s="8" t="s">
        <v>425</v>
      </c>
      <c r="E47" s="9" t="s">
        <v>304</v>
      </c>
      <c r="F47" s="9" t="s">
        <v>310</v>
      </c>
      <c r="G47" s="10" t="s">
        <v>340</v>
      </c>
      <c r="H47" s="10"/>
      <c r="I47" s="11" t="str">
        <f>"177,5"</f>
        <v>177,5</v>
      </c>
      <c r="J47" s="12" t="str">
        <f>"133,5041"</f>
        <v>133,5041</v>
      </c>
      <c r="K47" s="8"/>
    </row>
    <row r="49" spans="1:11" ht="15" x14ac:dyDescent="0.2">
      <c r="A49" s="37" t="s">
        <v>341</v>
      </c>
      <c r="B49" s="37"/>
      <c r="C49" s="37"/>
      <c r="D49" s="37"/>
      <c r="E49" s="37"/>
      <c r="F49" s="37"/>
      <c r="G49" s="37"/>
      <c r="H49" s="37"/>
    </row>
    <row r="50" spans="1:11" x14ac:dyDescent="0.2">
      <c r="A50" s="21" t="s">
        <v>342</v>
      </c>
      <c r="B50" s="22" t="s">
        <v>343</v>
      </c>
      <c r="C50" s="22" t="s">
        <v>344</v>
      </c>
      <c r="D50" s="21" t="s">
        <v>439</v>
      </c>
      <c r="E50" s="22" t="s">
        <v>191</v>
      </c>
      <c r="F50" s="22" t="s">
        <v>214</v>
      </c>
      <c r="G50" s="22" t="s">
        <v>198</v>
      </c>
      <c r="H50" s="29"/>
      <c r="I50" s="23" t="str">
        <f>"185,0"</f>
        <v>185,0</v>
      </c>
      <c r="J50" s="24" t="str">
        <f>"92,1115"</f>
        <v>92,1115</v>
      </c>
      <c r="K50" s="21"/>
    </row>
    <row r="51" spans="1:11" x14ac:dyDescent="0.2">
      <c r="A51" s="25" t="s">
        <v>342</v>
      </c>
      <c r="B51" s="26" t="s">
        <v>345</v>
      </c>
      <c r="C51" s="26" t="s">
        <v>344</v>
      </c>
      <c r="D51" s="25" t="s">
        <v>439</v>
      </c>
      <c r="E51" s="26" t="s">
        <v>191</v>
      </c>
      <c r="F51" s="26" t="s">
        <v>214</v>
      </c>
      <c r="G51" s="26" t="s">
        <v>198</v>
      </c>
      <c r="H51" s="35"/>
      <c r="I51" s="27" t="str">
        <f>"185,0"</f>
        <v>185,0</v>
      </c>
      <c r="J51" s="28" t="str">
        <f>"100,5858"</f>
        <v>100,5858</v>
      </c>
      <c r="K51" s="25"/>
    </row>
    <row r="61" spans="1:11" ht="18" x14ac:dyDescent="0.25">
      <c r="A61" s="14" t="s">
        <v>18</v>
      </c>
      <c r="B61" s="15"/>
    </row>
    <row r="62" spans="1:11" ht="15" x14ac:dyDescent="0.2">
      <c r="A62" s="16" t="s">
        <v>19</v>
      </c>
      <c r="B62" s="13"/>
    </row>
    <row r="63" spans="1:11" ht="14.25" x14ac:dyDescent="0.2">
      <c r="A63" s="17"/>
      <c r="B63" s="18" t="s">
        <v>27</v>
      </c>
    </row>
    <row r="64" spans="1:11" ht="15" x14ac:dyDescent="0.2">
      <c r="A64" s="19" t="s">
        <v>0</v>
      </c>
      <c r="B64" s="19" t="s">
        <v>21</v>
      </c>
      <c r="C64" s="19" t="s">
        <v>22</v>
      </c>
    </row>
    <row r="65" spans="1:3" x14ac:dyDescent="0.2">
      <c r="A65" s="20" t="s">
        <v>346</v>
      </c>
      <c r="B65" s="2" t="s">
        <v>27</v>
      </c>
      <c r="C65" s="2" t="s">
        <v>157</v>
      </c>
    </row>
    <row r="66" spans="1:3" x14ac:dyDescent="0.2">
      <c r="A66" s="20" t="s">
        <v>347</v>
      </c>
      <c r="B66" s="2" t="s">
        <v>27</v>
      </c>
      <c r="C66" s="2" t="s">
        <v>25</v>
      </c>
    </row>
    <row r="67" spans="1:3" x14ac:dyDescent="0.2">
      <c r="A67" s="20" t="s">
        <v>348</v>
      </c>
      <c r="B67" s="2" t="s">
        <v>27</v>
      </c>
      <c r="C67" s="2" t="s">
        <v>154</v>
      </c>
    </row>
    <row r="69" spans="1:3" ht="14.25" x14ac:dyDescent="0.2">
      <c r="A69" s="17"/>
      <c r="B69" s="18" t="s">
        <v>20</v>
      </c>
    </row>
    <row r="70" spans="1:3" ht="15" x14ac:dyDescent="0.2">
      <c r="A70" s="19" t="s">
        <v>0</v>
      </c>
      <c r="B70" s="19" t="s">
        <v>21</v>
      </c>
      <c r="C70" s="19" t="s">
        <v>22</v>
      </c>
    </row>
    <row r="71" spans="1:3" x14ac:dyDescent="0.2">
      <c r="A71" s="20" t="s">
        <v>23</v>
      </c>
      <c r="B71" s="2" t="s">
        <v>24</v>
      </c>
      <c r="C71" s="2" t="s">
        <v>25</v>
      </c>
    </row>
    <row r="74" spans="1:3" ht="15" x14ac:dyDescent="0.2">
      <c r="A74" s="16" t="s">
        <v>26</v>
      </c>
      <c r="B74" s="13"/>
    </row>
    <row r="75" spans="1:3" ht="14.25" x14ac:dyDescent="0.2">
      <c r="A75" s="17"/>
      <c r="B75" s="18" t="s">
        <v>27</v>
      </c>
    </row>
    <row r="76" spans="1:3" ht="15" x14ac:dyDescent="0.2">
      <c r="A76" s="19" t="s">
        <v>0</v>
      </c>
      <c r="B76" s="19" t="s">
        <v>21</v>
      </c>
      <c r="C76" s="19" t="s">
        <v>22</v>
      </c>
    </row>
    <row r="77" spans="1:3" x14ac:dyDescent="0.2">
      <c r="A77" s="20" t="s">
        <v>160</v>
      </c>
      <c r="B77" s="2" t="s">
        <v>27</v>
      </c>
      <c r="C77" s="2" t="s">
        <v>45</v>
      </c>
    </row>
    <row r="78" spans="1:3" x14ac:dyDescent="0.2">
      <c r="A78" s="20" t="s">
        <v>349</v>
      </c>
      <c r="B78" s="2" t="s">
        <v>27</v>
      </c>
      <c r="C78" s="2" t="s">
        <v>29</v>
      </c>
    </row>
    <row r="79" spans="1:3" x14ac:dyDescent="0.2">
      <c r="A79" s="20" t="s">
        <v>350</v>
      </c>
      <c r="B79" s="2" t="s">
        <v>27</v>
      </c>
      <c r="C79" s="2" t="s">
        <v>75</v>
      </c>
    </row>
    <row r="80" spans="1:3" x14ac:dyDescent="0.2">
      <c r="A80" s="20" t="s">
        <v>351</v>
      </c>
      <c r="B80" s="2" t="s">
        <v>27</v>
      </c>
      <c r="C80" s="2" t="s">
        <v>75</v>
      </c>
    </row>
    <row r="81" spans="1:3" x14ac:dyDescent="0.2">
      <c r="A81" s="20" t="s">
        <v>352</v>
      </c>
      <c r="B81" s="2" t="s">
        <v>27</v>
      </c>
      <c r="C81" s="2" t="s">
        <v>161</v>
      </c>
    </row>
    <row r="82" spans="1:3" x14ac:dyDescent="0.2">
      <c r="A82" s="20" t="s">
        <v>353</v>
      </c>
      <c r="B82" s="2" t="s">
        <v>27</v>
      </c>
      <c r="C82" s="2" t="s">
        <v>354</v>
      </c>
    </row>
    <row r="83" spans="1:3" x14ac:dyDescent="0.2">
      <c r="A83" s="20" t="s">
        <v>355</v>
      </c>
      <c r="B83" s="2" t="s">
        <v>27</v>
      </c>
      <c r="C83" s="2" t="s">
        <v>29</v>
      </c>
    </row>
    <row r="84" spans="1:3" x14ac:dyDescent="0.2">
      <c r="A84" s="20" t="s">
        <v>356</v>
      </c>
      <c r="B84" s="2" t="s">
        <v>27</v>
      </c>
      <c r="C84" s="2" t="s">
        <v>154</v>
      </c>
    </row>
    <row r="85" spans="1:3" x14ac:dyDescent="0.2">
      <c r="A85" s="20" t="s">
        <v>357</v>
      </c>
      <c r="B85" s="2" t="s">
        <v>27</v>
      </c>
      <c r="C85" s="2" t="s">
        <v>25</v>
      </c>
    </row>
    <row r="87" spans="1:3" ht="14.25" x14ac:dyDescent="0.2">
      <c r="A87" s="17"/>
      <c r="B87" s="18" t="s">
        <v>20</v>
      </c>
    </row>
    <row r="88" spans="1:3" ht="15" x14ac:dyDescent="0.2">
      <c r="A88" s="19" t="s">
        <v>0</v>
      </c>
      <c r="B88" s="19" t="s">
        <v>21</v>
      </c>
      <c r="C88" s="19" t="s">
        <v>22</v>
      </c>
    </row>
    <row r="89" spans="1:3" x14ac:dyDescent="0.2">
      <c r="A89" s="20" t="s">
        <v>358</v>
      </c>
      <c r="B89" s="2" t="s">
        <v>108</v>
      </c>
      <c r="C89" s="2" t="s">
        <v>359</v>
      </c>
    </row>
    <row r="90" spans="1:3" x14ac:dyDescent="0.2">
      <c r="A90" s="20" t="s">
        <v>360</v>
      </c>
      <c r="B90" s="2" t="s">
        <v>256</v>
      </c>
      <c r="C90" s="2" t="s">
        <v>29</v>
      </c>
    </row>
    <row r="91" spans="1:3" x14ac:dyDescent="0.2">
      <c r="A91" s="20" t="s">
        <v>107</v>
      </c>
      <c r="B91" s="2" t="s">
        <v>108</v>
      </c>
      <c r="C91" s="2" t="s">
        <v>75</v>
      </c>
    </row>
    <row r="92" spans="1:3" x14ac:dyDescent="0.2">
      <c r="A92" s="20" t="s">
        <v>361</v>
      </c>
      <c r="B92" s="2" t="s">
        <v>24</v>
      </c>
      <c r="C92" s="2" t="s">
        <v>29</v>
      </c>
    </row>
    <row r="93" spans="1:3" x14ac:dyDescent="0.2">
      <c r="A93" s="20" t="s">
        <v>362</v>
      </c>
      <c r="B93" s="2" t="s">
        <v>256</v>
      </c>
      <c r="C93" s="2" t="s">
        <v>45</v>
      </c>
    </row>
    <row r="94" spans="1:3" x14ac:dyDescent="0.2">
      <c r="A94" s="20" t="s">
        <v>353</v>
      </c>
      <c r="B94" s="2" t="s">
        <v>256</v>
      </c>
      <c r="C94" s="2" t="s">
        <v>354</v>
      </c>
    </row>
    <row r="95" spans="1:3" x14ac:dyDescent="0.2">
      <c r="A95" s="20" t="s">
        <v>352</v>
      </c>
      <c r="B95" s="2" t="s">
        <v>158</v>
      </c>
      <c r="C95" s="2" t="s">
        <v>161</v>
      </c>
    </row>
    <row r="96" spans="1:3" x14ac:dyDescent="0.2">
      <c r="A96" s="20" t="s">
        <v>42</v>
      </c>
      <c r="B96" s="2" t="s">
        <v>24</v>
      </c>
      <c r="C96" s="2" t="s">
        <v>29</v>
      </c>
    </row>
    <row r="97" spans="1:3" x14ac:dyDescent="0.2">
      <c r="A97" s="20" t="s">
        <v>363</v>
      </c>
      <c r="B97" s="2" t="s">
        <v>256</v>
      </c>
      <c r="C97" s="2" t="s">
        <v>75</v>
      </c>
    </row>
    <row r="98" spans="1:3" x14ac:dyDescent="0.2">
      <c r="A98" s="20" t="s">
        <v>364</v>
      </c>
      <c r="B98" s="2" t="s">
        <v>256</v>
      </c>
      <c r="C98" s="2" t="s">
        <v>365</v>
      </c>
    </row>
    <row r="99" spans="1:3" x14ac:dyDescent="0.2">
      <c r="A99" s="20" t="s">
        <v>44</v>
      </c>
      <c r="B99" s="2" t="s">
        <v>24</v>
      </c>
      <c r="C99" s="2" t="s">
        <v>45</v>
      </c>
    </row>
  </sheetData>
  <mergeCells count="20">
    <mergeCell ref="A1:A2"/>
    <mergeCell ref="B1:B2"/>
    <mergeCell ref="C1:C2"/>
    <mergeCell ref="D1:D2"/>
    <mergeCell ref="E1:H1"/>
    <mergeCell ref="I1:I2"/>
    <mergeCell ref="J1:J2"/>
    <mergeCell ref="K1:K2"/>
    <mergeCell ref="A3:H3"/>
    <mergeCell ref="A6:H6"/>
    <mergeCell ref="A9:H9"/>
    <mergeCell ref="A13:H13"/>
    <mergeCell ref="A17:H17"/>
    <mergeCell ref="A46:H46"/>
    <mergeCell ref="A49:H49"/>
    <mergeCell ref="A20:H20"/>
    <mergeCell ref="A24:H24"/>
    <mergeCell ref="A30:H30"/>
    <mergeCell ref="A36:H36"/>
    <mergeCell ref="A43:H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H42"/>
  <sheetViews>
    <sheetView zoomScaleNormal="100" workbookViewId="0">
      <selection activeCell="D10" sqref="D10"/>
    </sheetView>
  </sheetViews>
  <sheetFormatPr defaultColWidth="9.140625" defaultRowHeight="12.75" x14ac:dyDescent="0.2"/>
  <cols>
    <col min="1" max="1" width="24.85546875" style="1" customWidth="1"/>
    <col min="2" max="2" width="26.5703125" style="2" customWidth="1"/>
    <col min="3" max="3" width="7.5703125" style="2" customWidth="1"/>
    <col min="4" max="4" width="27.28515625" style="1" customWidth="1"/>
    <col min="5" max="7" width="5.5703125" style="2" customWidth="1"/>
    <col min="8" max="8" width="4.7109375" style="2" customWidth="1"/>
    <col min="9" max="9" width="5.7109375" style="3" customWidth="1"/>
    <col min="10" max="10" width="8.5703125" style="4" customWidth="1"/>
    <col min="11" max="11" width="8.28515625" style="1" bestFit="1" customWidth="1"/>
    <col min="12" max="1022" width="9.140625" style="5"/>
  </cols>
  <sheetData>
    <row r="1" spans="1:11" s="6" customFormat="1" ht="12.75" customHeight="1" x14ac:dyDescent="0.2">
      <c r="A1" s="38" t="s">
        <v>414</v>
      </c>
      <c r="B1" s="39" t="s">
        <v>1</v>
      </c>
      <c r="C1" s="39" t="s">
        <v>415</v>
      </c>
      <c r="D1" s="40" t="s">
        <v>416</v>
      </c>
      <c r="E1" s="41" t="s">
        <v>422</v>
      </c>
      <c r="F1" s="41"/>
      <c r="G1" s="41"/>
      <c r="H1" s="41"/>
      <c r="I1" s="40" t="s">
        <v>419</v>
      </c>
      <c r="J1" s="40" t="s">
        <v>420</v>
      </c>
      <c r="K1" s="42"/>
    </row>
    <row r="2" spans="1:11" s="6" customFormat="1" ht="23.25" customHeight="1" x14ac:dyDescent="0.2">
      <c r="A2" s="38"/>
      <c r="B2" s="39"/>
      <c r="C2" s="39"/>
      <c r="D2" s="39"/>
      <c r="E2" s="7">
        <v>1</v>
      </c>
      <c r="F2" s="7">
        <v>2</v>
      </c>
      <c r="G2" s="7">
        <v>3</v>
      </c>
      <c r="H2" s="7"/>
      <c r="I2" s="40"/>
      <c r="J2" s="40"/>
      <c r="K2" s="42"/>
    </row>
    <row r="3" spans="1:11" s="2" customFormat="1" ht="15" x14ac:dyDescent="0.2">
      <c r="A3" s="36" t="s">
        <v>4</v>
      </c>
      <c r="B3" s="36"/>
      <c r="C3" s="36"/>
      <c r="D3" s="36"/>
      <c r="E3" s="36"/>
      <c r="F3" s="36"/>
      <c r="G3" s="36"/>
      <c r="H3" s="36"/>
      <c r="I3" s="3"/>
      <c r="J3" s="4"/>
      <c r="K3" s="1"/>
    </row>
    <row r="4" spans="1:11" s="2" customFormat="1" x14ac:dyDescent="0.2">
      <c r="A4" s="8" t="s">
        <v>393</v>
      </c>
      <c r="B4" s="9" t="s">
        <v>49</v>
      </c>
      <c r="C4" s="9" t="s">
        <v>50</v>
      </c>
      <c r="D4" s="8" t="s">
        <v>440</v>
      </c>
      <c r="E4" s="10" t="s">
        <v>84</v>
      </c>
      <c r="F4" s="9" t="s">
        <v>84</v>
      </c>
      <c r="G4" s="10" t="s">
        <v>85</v>
      </c>
      <c r="H4" s="10"/>
      <c r="I4" s="11" t="str">
        <f>"130,0"</f>
        <v>130,0</v>
      </c>
      <c r="J4" s="12" t="str">
        <f>"87,5810"</f>
        <v>87,5810</v>
      </c>
      <c r="K4" s="8"/>
    </row>
    <row r="5" spans="1:11" s="2" customFormat="1" x14ac:dyDescent="0.2">
      <c r="A5" s="1"/>
      <c r="D5" s="1"/>
      <c r="I5" s="3"/>
      <c r="J5" s="4"/>
      <c r="K5" s="1"/>
    </row>
    <row r="6" spans="1:11" ht="15" x14ac:dyDescent="0.2">
      <c r="A6" s="37" t="s">
        <v>140</v>
      </c>
      <c r="B6" s="37"/>
      <c r="C6" s="37"/>
      <c r="D6" s="37"/>
      <c r="E6" s="37"/>
      <c r="F6" s="37"/>
      <c r="G6" s="37"/>
      <c r="H6" s="37"/>
    </row>
    <row r="7" spans="1:11" x14ac:dyDescent="0.2">
      <c r="A7" s="8" t="s">
        <v>394</v>
      </c>
      <c r="B7" s="9" t="s">
        <v>395</v>
      </c>
      <c r="C7" s="9" t="s">
        <v>396</v>
      </c>
      <c r="D7" s="8" t="s">
        <v>425</v>
      </c>
      <c r="E7" s="9" t="s">
        <v>84</v>
      </c>
      <c r="F7" s="9" t="s">
        <v>91</v>
      </c>
      <c r="G7" s="10" t="s">
        <v>85</v>
      </c>
      <c r="H7" s="10"/>
      <c r="I7" s="11" t="str">
        <f>"135,0"</f>
        <v>135,0</v>
      </c>
      <c r="J7" s="12" t="str">
        <f>"88,3407"</f>
        <v>88,3407</v>
      </c>
      <c r="K7" s="8"/>
    </row>
    <row r="9" spans="1:11" ht="15" x14ac:dyDescent="0.2">
      <c r="A9" s="37" t="s">
        <v>34</v>
      </c>
      <c r="B9" s="37"/>
      <c r="C9" s="37"/>
      <c r="D9" s="37"/>
      <c r="E9" s="37"/>
      <c r="F9" s="37"/>
      <c r="G9" s="37"/>
      <c r="H9" s="37"/>
    </row>
    <row r="10" spans="1:11" x14ac:dyDescent="0.2">
      <c r="A10" s="21" t="s">
        <v>397</v>
      </c>
      <c r="B10" s="22" t="s">
        <v>398</v>
      </c>
      <c r="C10" s="22" t="s">
        <v>399</v>
      </c>
      <c r="D10" s="21" t="s">
        <v>441</v>
      </c>
      <c r="E10" s="22" t="s">
        <v>391</v>
      </c>
      <c r="F10" s="29" t="s">
        <v>214</v>
      </c>
      <c r="G10" s="29" t="s">
        <v>214</v>
      </c>
      <c r="H10" s="29"/>
      <c r="I10" s="23" t="str">
        <f>"175,0"</f>
        <v>175,0</v>
      </c>
      <c r="J10" s="24" t="str">
        <f>"102,9175"</f>
        <v>102,9175</v>
      </c>
      <c r="K10" s="21"/>
    </row>
    <row r="11" spans="1:11" x14ac:dyDescent="0.2">
      <c r="A11" s="25" t="s">
        <v>397</v>
      </c>
      <c r="B11" s="26" t="s">
        <v>400</v>
      </c>
      <c r="C11" s="26" t="s">
        <v>399</v>
      </c>
      <c r="D11" s="25" t="s">
        <v>441</v>
      </c>
      <c r="E11" s="26" t="s">
        <v>391</v>
      </c>
      <c r="F11" s="35" t="s">
        <v>214</v>
      </c>
      <c r="G11" s="35" t="s">
        <v>214</v>
      </c>
      <c r="H11" s="35"/>
      <c r="I11" s="27" t="str">
        <f>"175,0"</f>
        <v>175,0</v>
      </c>
      <c r="J11" s="28" t="str">
        <f>"102,9175"</f>
        <v>102,9175</v>
      </c>
      <c r="K11" s="25"/>
    </row>
    <row r="13" spans="1:11" ht="15" x14ac:dyDescent="0.2">
      <c r="A13" s="37" t="s">
        <v>11</v>
      </c>
      <c r="B13" s="37"/>
      <c r="C13" s="37"/>
      <c r="D13" s="37"/>
      <c r="E13" s="37"/>
      <c r="F13" s="37"/>
      <c r="G13" s="37"/>
      <c r="H13" s="37"/>
    </row>
    <row r="14" spans="1:11" x14ac:dyDescent="0.2">
      <c r="A14" s="8" t="s">
        <v>401</v>
      </c>
      <c r="B14" s="9" t="s">
        <v>402</v>
      </c>
      <c r="C14" s="9" t="s">
        <v>14</v>
      </c>
      <c r="D14" s="8" t="s">
        <v>425</v>
      </c>
      <c r="E14" s="9" t="s">
        <v>304</v>
      </c>
      <c r="F14" s="10" t="s">
        <v>214</v>
      </c>
      <c r="G14" s="10" t="s">
        <v>214</v>
      </c>
      <c r="H14" s="10"/>
      <c r="I14" s="11" t="str">
        <f>"172,5"</f>
        <v>172,5</v>
      </c>
      <c r="J14" s="12" t="str">
        <f>"93,3398"</f>
        <v>93,3398</v>
      </c>
      <c r="K14" s="8"/>
    </row>
    <row r="16" spans="1:11" ht="15" x14ac:dyDescent="0.2">
      <c r="A16" s="37" t="s">
        <v>332</v>
      </c>
      <c r="B16" s="37"/>
      <c r="C16" s="37"/>
      <c r="D16" s="37"/>
      <c r="E16" s="37"/>
      <c r="F16" s="37"/>
      <c r="G16" s="37"/>
      <c r="H16" s="37"/>
    </row>
    <row r="17" spans="1:11" x14ac:dyDescent="0.2">
      <c r="A17" s="8" t="s">
        <v>403</v>
      </c>
      <c r="B17" s="9" t="s">
        <v>404</v>
      </c>
      <c r="C17" s="9" t="s">
        <v>405</v>
      </c>
      <c r="D17" s="8" t="s">
        <v>425</v>
      </c>
      <c r="E17" s="9" t="s">
        <v>199</v>
      </c>
      <c r="F17" s="9" t="s">
        <v>193</v>
      </c>
      <c r="G17" s="10" t="s">
        <v>253</v>
      </c>
      <c r="H17" s="10"/>
      <c r="I17" s="11" t="str">
        <f>"200,0"</f>
        <v>200,0</v>
      </c>
      <c r="J17" s="12" t="str">
        <f>"105,9600"</f>
        <v>105,9600</v>
      </c>
      <c r="K17" s="8"/>
    </row>
    <row r="27" spans="1:11" ht="18" x14ac:dyDescent="0.25">
      <c r="A27" s="14" t="s">
        <v>18</v>
      </c>
      <c r="B27" s="15"/>
    </row>
    <row r="28" spans="1:11" ht="15" x14ac:dyDescent="0.2">
      <c r="A28" s="16" t="s">
        <v>26</v>
      </c>
      <c r="B28" s="13"/>
    </row>
    <row r="29" spans="1:11" ht="14.25" x14ac:dyDescent="0.2">
      <c r="A29" s="17"/>
      <c r="B29" s="18" t="s">
        <v>103</v>
      </c>
    </row>
    <row r="30" spans="1:11" ht="15" x14ac:dyDescent="0.2">
      <c r="A30" s="19" t="s">
        <v>0</v>
      </c>
      <c r="B30" s="19" t="s">
        <v>21</v>
      </c>
      <c r="C30" s="19" t="s">
        <v>22</v>
      </c>
    </row>
    <row r="31" spans="1:11" x14ac:dyDescent="0.2">
      <c r="A31" s="20" t="s">
        <v>406</v>
      </c>
      <c r="B31" s="2" t="s">
        <v>104</v>
      </c>
      <c r="C31" s="2" t="s">
        <v>45</v>
      </c>
    </row>
    <row r="33" spans="1:3" ht="14.25" x14ac:dyDescent="0.2">
      <c r="A33" s="17"/>
      <c r="B33" s="18" t="s">
        <v>27</v>
      </c>
    </row>
    <row r="34" spans="1:3" ht="15" x14ac:dyDescent="0.2">
      <c r="A34" s="19" t="s">
        <v>0</v>
      </c>
      <c r="B34" s="19" t="s">
        <v>21</v>
      </c>
      <c r="C34" s="19" t="s">
        <v>22</v>
      </c>
    </row>
    <row r="35" spans="1:3" x14ac:dyDescent="0.2">
      <c r="A35" s="20" t="s">
        <v>407</v>
      </c>
      <c r="B35" s="2" t="s">
        <v>27</v>
      </c>
      <c r="C35" s="2" t="s">
        <v>365</v>
      </c>
    </row>
    <row r="36" spans="1:3" x14ac:dyDescent="0.2">
      <c r="A36" s="20" t="s">
        <v>406</v>
      </c>
      <c r="B36" s="2" t="s">
        <v>27</v>
      </c>
      <c r="C36" s="2" t="s">
        <v>45</v>
      </c>
    </row>
    <row r="37" spans="1:3" x14ac:dyDescent="0.2">
      <c r="A37" s="20" t="s">
        <v>408</v>
      </c>
      <c r="B37" s="2" t="s">
        <v>27</v>
      </c>
      <c r="C37" s="2" t="s">
        <v>29</v>
      </c>
    </row>
    <row r="38" spans="1:3" x14ac:dyDescent="0.2">
      <c r="A38" s="20" t="s">
        <v>51</v>
      </c>
      <c r="B38" s="2" t="s">
        <v>27</v>
      </c>
      <c r="C38" s="2" t="s">
        <v>25</v>
      </c>
    </row>
    <row r="40" spans="1:3" ht="14.25" x14ac:dyDescent="0.2">
      <c r="A40" s="17"/>
      <c r="B40" s="18" t="s">
        <v>20</v>
      </c>
    </row>
    <row r="41" spans="1:3" ht="15" x14ac:dyDescent="0.2">
      <c r="A41" s="19" t="s">
        <v>0</v>
      </c>
      <c r="B41" s="19" t="s">
        <v>21</v>
      </c>
      <c r="C41" s="19" t="s">
        <v>22</v>
      </c>
    </row>
    <row r="42" spans="1:3" x14ac:dyDescent="0.2">
      <c r="A42" s="20" t="s">
        <v>409</v>
      </c>
      <c r="B42" s="2" t="s">
        <v>158</v>
      </c>
      <c r="C42" s="2" t="s">
        <v>161</v>
      </c>
    </row>
  </sheetData>
  <mergeCells count="13">
    <mergeCell ref="A1:A2"/>
    <mergeCell ref="B1:B2"/>
    <mergeCell ref="C1:C2"/>
    <mergeCell ref="D1:D2"/>
    <mergeCell ref="E1:H1"/>
    <mergeCell ref="I1:I2"/>
    <mergeCell ref="J1:J2"/>
    <mergeCell ref="K1:K2"/>
    <mergeCell ref="A3:H3"/>
    <mergeCell ref="A6:H6"/>
    <mergeCell ref="A9:H9"/>
    <mergeCell ref="A13:H13"/>
    <mergeCell ref="A16:H1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27"/>
  <sheetViews>
    <sheetView zoomScaleNormal="100" workbookViewId="0">
      <selection sqref="A1:A2"/>
    </sheetView>
  </sheetViews>
  <sheetFormatPr defaultColWidth="9.140625" defaultRowHeight="12.75" x14ac:dyDescent="0.2"/>
  <cols>
    <col min="1" max="1" width="24.85546875" style="1" customWidth="1"/>
    <col min="2" max="2" width="26.5703125" style="2" customWidth="1"/>
    <col min="3" max="3" width="7.5703125" style="2" customWidth="1"/>
    <col min="4" max="4" width="13.85546875" style="1" customWidth="1"/>
    <col min="5" max="7" width="5.5703125" style="2" customWidth="1"/>
    <col min="8" max="8" width="4.7109375" style="2" customWidth="1"/>
    <col min="9" max="9" width="5.7109375" style="3" customWidth="1"/>
    <col min="10" max="10" width="8.5703125" style="4" customWidth="1"/>
    <col min="11" max="11" width="7.140625" style="1" customWidth="1"/>
    <col min="12" max="1022" width="9.140625" style="5"/>
  </cols>
  <sheetData>
    <row r="1" spans="1:11" s="6" customFormat="1" ht="12.75" customHeight="1" x14ac:dyDescent="0.2">
      <c r="A1" s="38" t="s">
        <v>414</v>
      </c>
      <c r="B1" s="39" t="s">
        <v>1</v>
      </c>
      <c r="C1" s="39" t="s">
        <v>415</v>
      </c>
      <c r="D1" s="40" t="s">
        <v>416</v>
      </c>
      <c r="E1" s="41" t="s">
        <v>422</v>
      </c>
      <c r="F1" s="41"/>
      <c r="G1" s="41"/>
      <c r="H1" s="41"/>
      <c r="I1" s="40" t="s">
        <v>419</v>
      </c>
      <c r="J1" s="40" t="s">
        <v>420</v>
      </c>
      <c r="K1" s="42"/>
    </row>
    <row r="2" spans="1:11" s="6" customFormat="1" ht="23.25" customHeight="1" x14ac:dyDescent="0.2">
      <c r="A2" s="38"/>
      <c r="B2" s="39"/>
      <c r="C2" s="39"/>
      <c r="D2" s="39"/>
      <c r="E2" s="7">
        <v>1</v>
      </c>
      <c r="F2" s="7">
        <v>2</v>
      </c>
      <c r="G2" s="7">
        <v>3</v>
      </c>
      <c r="H2" s="7"/>
      <c r="I2" s="40"/>
      <c r="J2" s="40"/>
      <c r="K2" s="42"/>
    </row>
    <row r="3" spans="1:11" s="2" customFormat="1" ht="15" x14ac:dyDescent="0.2">
      <c r="A3" s="36" t="s">
        <v>4</v>
      </c>
      <c r="B3" s="36"/>
      <c r="C3" s="36"/>
      <c r="D3" s="36"/>
      <c r="E3" s="36"/>
      <c r="F3" s="36"/>
      <c r="G3" s="36"/>
      <c r="H3" s="36"/>
      <c r="I3" s="3"/>
      <c r="J3" s="4"/>
      <c r="K3" s="1"/>
    </row>
    <row r="4" spans="1:11" s="2" customFormat="1" x14ac:dyDescent="0.2">
      <c r="A4" s="8" t="s">
        <v>5</v>
      </c>
      <c r="B4" s="9" t="s">
        <v>6</v>
      </c>
      <c r="C4" s="9" t="s">
        <v>7</v>
      </c>
      <c r="D4" s="8" t="s">
        <v>425</v>
      </c>
      <c r="E4" s="9" t="s">
        <v>8</v>
      </c>
      <c r="F4" s="9" t="s">
        <v>9</v>
      </c>
      <c r="G4" s="9" t="s">
        <v>10</v>
      </c>
      <c r="H4" s="10"/>
      <c r="I4" s="11" t="str">
        <f>"120,0"</f>
        <v>120,0</v>
      </c>
      <c r="J4" s="12" t="str">
        <f>"126,8823"</f>
        <v>126,8823</v>
      </c>
      <c r="K4" s="8"/>
    </row>
    <row r="5" spans="1:11" s="2" customFormat="1" x14ac:dyDescent="0.2">
      <c r="A5" s="1"/>
      <c r="D5" s="1"/>
      <c r="I5" s="3"/>
      <c r="J5" s="4"/>
      <c r="K5" s="1"/>
    </row>
    <row r="6" spans="1:11" ht="15" x14ac:dyDescent="0.2">
      <c r="A6" s="37" t="s">
        <v>11</v>
      </c>
      <c r="B6" s="37"/>
      <c r="C6" s="37"/>
      <c r="D6" s="37"/>
      <c r="E6" s="37"/>
      <c r="F6" s="37"/>
      <c r="G6" s="37"/>
      <c r="H6" s="37"/>
    </row>
    <row r="7" spans="1:11" x14ac:dyDescent="0.2">
      <c r="A7" s="8" t="s">
        <v>12</v>
      </c>
      <c r="B7" s="9" t="s">
        <v>13</v>
      </c>
      <c r="C7" s="9" t="s">
        <v>14</v>
      </c>
      <c r="D7" s="8" t="s">
        <v>425</v>
      </c>
      <c r="E7" s="9" t="s">
        <v>15</v>
      </c>
      <c r="F7" s="9" t="s">
        <v>16</v>
      </c>
      <c r="G7" s="9" t="s">
        <v>17</v>
      </c>
      <c r="H7" s="10"/>
      <c r="I7" s="11" t="str">
        <f>"230,0"</f>
        <v>230,0</v>
      </c>
      <c r="J7" s="12" t="str">
        <f>"130,5940"</f>
        <v>130,5940</v>
      </c>
      <c r="K7" s="8"/>
    </row>
    <row r="17" spans="1:3" ht="18" x14ac:dyDescent="0.25">
      <c r="A17" s="14" t="s">
        <v>18</v>
      </c>
      <c r="B17" s="15"/>
    </row>
    <row r="18" spans="1:3" ht="15" x14ac:dyDescent="0.2">
      <c r="A18" s="16" t="s">
        <v>19</v>
      </c>
      <c r="B18" s="13"/>
    </row>
    <row r="19" spans="1:3" ht="14.25" x14ac:dyDescent="0.2">
      <c r="A19" s="17"/>
      <c r="B19" s="18" t="s">
        <v>20</v>
      </c>
    </row>
    <row r="20" spans="1:3" ht="15" x14ac:dyDescent="0.2">
      <c r="A20" s="19" t="s">
        <v>0</v>
      </c>
      <c r="B20" s="19" t="s">
        <v>21</v>
      </c>
      <c r="C20" s="19" t="s">
        <v>22</v>
      </c>
    </row>
    <row r="21" spans="1:3" x14ac:dyDescent="0.2">
      <c r="A21" s="20" t="s">
        <v>23</v>
      </c>
      <c r="B21" s="2" t="s">
        <v>24</v>
      </c>
      <c r="C21" s="2" t="s">
        <v>25</v>
      </c>
    </row>
    <row r="24" spans="1:3" ht="15" x14ac:dyDescent="0.2">
      <c r="A24" s="16" t="s">
        <v>26</v>
      </c>
      <c r="B24" s="13"/>
    </row>
    <row r="25" spans="1:3" ht="14.25" x14ac:dyDescent="0.2">
      <c r="A25" s="17"/>
      <c r="B25" s="18" t="s">
        <v>27</v>
      </c>
    </row>
    <row r="26" spans="1:3" ht="15" x14ac:dyDescent="0.2">
      <c r="A26" s="19" t="s">
        <v>0</v>
      </c>
      <c r="B26" s="19" t="s">
        <v>21</v>
      </c>
      <c r="C26" s="19" t="s">
        <v>22</v>
      </c>
    </row>
    <row r="27" spans="1:3" x14ac:dyDescent="0.2">
      <c r="A27" s="20" t="s">
        <v>28</v>
      </c>
      <c r="B27" s="2" t="s">
        <v>27</v>
      </c>
      <c r="C27" s="2" t="s">
        <v>29</v>
      </c>
    </row>
  </sheetData>
  <mergeCells count="10">
    <mergeCell ref="A3:H3"/>
    <mergeCell ref="A6:H6"/>
    <mergeCell ref="A1:A2"/>
    <mergeCell ref="B1:B2"/>
    <mergeCell ref="C1:C2"/>
    <mergeCell ref="D1:D2"/>
    <mergeCell ref="E1:H1"/>
    <mergeCell ref="I1:I2"/>
    <mergeCell ref="J1:J2"/>
    <mergeCell ref="K1:K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H18"/>
  <sheetViews>
    <sheetView zoomScaleNormal="100" workbookViewId="0">
      <selection activeCell="B5" sqref="B5"/>
    </sheetView>
  </sheetViews>
  <sheetFormatPr defaultColWidth="9.140625" defaultRowHeight="12.75" x14ac:dyDescent="0.2"/>
  <cols>
    <col min="1" max="1" width="24.85546875" style="1" customWidth="1"/>
    <col min="2" max="2" width="26.5703125" style="2" customWidth="1"/>
    <col min="3" max="3" width="7.5703125" style="2" customWidth="1"/>
    <col min="4" max="4" width="15" style="1" customWidth="1"/>
    <col min="5" max="6" width="5.5703125" style="2" customWidth="1"/>
    <col min="7" max="7" width="2.140625" style="2" customWidth="1"/>
    <col min="8" max="8" width="4.7109375" style="2" customWidth="1"/>
    <col min="9" max="9" width="5.7109375" style="3" customWidth="1"/>
    <col min="10" max="10" width="8.5703125" style="4" customWidth="1"/>
    <col min="11" max="11" width="7.140625" style="1" customWidth="1"/>
    <col min="12" max="1022" width="9.140625" style="5"/>
  </cols>
  <sheetData>
    <row r="1" spans="1:11" s="6" customFormat="1" ht="12.75" customHeight="1" x14ac:dyDescent="0.2">
      <c r="A1" s="38" t="s">
        <v>0</v>
      </c>
      <c r="B1" s="39" t="s">
        <v>1</v>
      </c>
      <c r="C1" s="39" t="s">
        <v>415</v>
      </c>
      <c r="D1" s="40" t="s">
        <v>416</v>
      </c>
      <c r="E1" s="41" t="s">
        <v>421</v>
      </c>
      <c r="F1" s="41"/>
      <c r="G1" s="41"/>
      <c r="H1" s="41"/>
      <c r="I1" s="40" t="s">
        <v>419</v>
      </c>
      <c r="J1" s="40" t="s">
        <v>420</v>
      </c>
      <c r="K1" s="42"/>
    </row>
    <row r="2" spans="1:11" s="6" customFormat="1" ht="23.25" customHeight="1" x14ac:dyDescent="0.2">
      <c r="A2" s="38"/>
      <c r="B2" s="39"/>
      <c r="C2" s="39"/>
      <c r="D2" s="39"/>
      <c r="E2" s="7">
        <v>1</v>
      </c>
      <c r="F2" s="7">
        <v>2</v>
      </c>
      <c r="G2" s="7">
        <v>3</v>
      </c>
      <c r="H2" s="7"/>
      <c r="I2" s="40"/>
      <c r="J2" s="40"/>
      <c r="K2" s="42"/>
    </row>
    <row r="3" spans="1:11" s="2" customFormat="1" ht="15" x14ac:dyDescent="0.2">
      <c r="A3" s="36" t="s">
        <v>69</v>
      </c>
      <c r="B3" s="36"/>
      <c r="C3" s="36"/>
      <c r="D3" s="36"/>
      <c r="E3" s="36"/>
      <c r="F3" s="36"/>
      <c r="G3" s="36"/>
      <c r="H3" s="36"/>
      <c r="I3" s="3"/>
      <c r="J3" s="4"/>
      <c r="K3" s="1"/>
    </row>
    <row r="4" spans="1:11" s="2" customFormat="1" x14ac:dyDescent="0.2">
      <c r="A4" s="8" t="s">
        <v>82</v>
      </c>
      <c r="B4" s="9" t="s">
        <v>109</v>
      </c>
      <c r="C4" s="9" t="s">
        <v>83</v>
      </c>
      <c r="D4" s="8" t="s">
        <v>442</v>
      </c>
      <c r="E4" s="9" t="s">
        <v>84</v>
      </c>
      <c r="F4" s="9" t="s">
        <v>101</v>
      </c>
      <c r="G4" s="10"/>
      <c r="H4" s="10"/>
      <c r="I4" s="11" t="str">
        <f>"150,0"</f>
        <v>150,0</v>
      </c>
      <c r="J4" s="12" t="str">
        <f>"169,3933"</f>
        <v>169,3933</v>
      </c>
      <c r="K4" s="8"/>
    </row>
    <row r="5" spans="1:11" s="2" customFormat="1" x14ac:dyDescent="0.2">
      <c r="A5" s="1"/>
      <c r="D5" s="1"/>
      <c r="I5" s="3"/>
      <c r="J5" s="4"/>
      <c r="K5" s="1"/>
    </row>
    <row r="14" spans="1:11" ht="18" x14ac:dyDescent="0.25">
      <c r="A14" s="14" t="s">
        <v>18</v>
      </c>
      <c r="B14" s="15"/>
    </row>
    <row r="15" spans="1:11" ht="15" x14ac:dyDescent="0.2">
      <c r="A15" s="16" t="s">
        <v>26</v>
      </c>
      <c r="B15" s="13"/>
    </row>
    <row r="16" spans="1:11" ht="14.25" x14ac:dyDescent="0.2">
      <c r="A16" s="17"/>
      <c r="B16" s="18" t="s">
        <v>20</v>
      </c>
    </row>
    <row r="17" spans="1:3" ht="15" x14ac:dyDescent="0.2">
      <c r="A17" s="19" t="s">
        <v>0</v>
      </c>
      <c r="B17" s="19" t="s">
        <v>21</v>
      </c>
      <c r="C17" s="19" t="s">
        <v>22</v>
      </c>
    </row>
    <row r="18" spans="1:3" x14ac:dyDescent="0.2">
      <c r="A18" s="20" t="s">
        <v>86</v>
      </c>
      <c r="B18" s="2" t="s">
        <v>110</v>
      </c>
      <c r="C18" s="2" t="s">
        <v>75</v>
      </c>
    </row>
  </sheetData>
  <mergeCells count="9">
    <mergeCell ref="A3:H3"/>
    <mergeCell ref="A1:A2"/>
    <mergeCell ref="B1:B2"/>
    <mergeCell ref="C1:C2"/>
    <mergeCell ref="D1:D2"/>
    <mergeCell ref="E1:H1"/>
    <mergeCell ref="I1:I2"/>
    <mergeCell ref="J1:J2"/>
    <mergeCell ref="K1:K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H18"/>
  <sheetViews>
    <sheetView zoomScaleNormal="100" workbookViewId="0">
      <selection activeCell="K1" sqref="K1:K2"/>
    </sheetView>
  </sheetViews>
  <sheetFormatPr defaultColWidth="9.140625" defaultRowHeight="12.75" x14ac:dyDescent="0.2"/>
  <cols>
    <col min="1" max="1" width="24.85546875" style="1" customWidth="1"/>
    <col min="2" max="2" width="26.140625" style="2" customWidth="1"/>
    <col min="3" max="3" width="7.5703125" style="2" customWidth="1"/>
    <col min="4" max="4" width="13.85546875" style="1" customWidth="1"/>
    <col min="5" max="7" width="4.5703125" style="2" customWidth="1"/>
    <col min="8" max="8" width="4.7109375" style="2" customWidth="1"/>
    <col min="9" max="9" width="5.7109375" style="3" customWidth="1"/>
    <col min="10" max="10" width="7.5703125" style="4" customWidth="1"/>
    <col min="11" max="11" width="7.140625" style="1" customWidth="1"/>
    <col min="12" max="1022" width="9.140625" style="5"/>
  </cols>
  <sheetData>
    <row r="1" spans="1:11" s="6" customFormat="1" ht="12.75" customHeight="1" x14ac:dyDescent="0.2">
      <c r="A1" s="38" t="s">
        <v>414</v>
      </c>
      <c r="B1" s="39" t="s">
        <v>1</v>
      </c>
      <c r="C1" s="39" t="s">
        <v>415</v>
      </c>
      <c r="D1" s="40" t="s">
        <v>416</v>
      </c>
      <c r="E1" s="41" t="s">
        <v>422</v>
      </c>
      <c r="F1" s="41"/>
      <c r="G1" s="41"/>
      <c r="H1" s="41"/>
      <c r="I1" s="40" t="s">
        <v>419</v>
      </c>
      <c r="J1" s="40" t="s">
        <v>420</v>
      </c>
      <c r="K1" s="42"/>
    </row>
    <row r="2" spans="1:11" s="6" customFormat="1" ht="23.25" customHeight="1" x14ac:dyDescent="0.2">
      <c r="A2" s="38"/>
      <c r="B2" s="39"/>
      <c r="C2" s="39"/>
      <c r="D2" s="39"/>
      <c r="E2" s="7">
        <v>1</v>
      </c>
      <c r="F2" s="7">
        <v>2</v>
      </c>
      <c r="G2" s="7">
        <v>3</v>
      </c>
      <c r="H2" s="7"/>
      <c r="I2" s="40"/>
      <c r="J2" s="40"/>
      <c r="K2" s="42"/>
    </row>
    <row r="3" spans="1:11" s="2" customFormat="1" ht="15" x14ac:dyDescent="0.2">
      <c r="A3" s="36" t="s">
        <v>69</v>
      </c>
      <c r="B3" s="36"/>
      <c r="C3" s="36"/>
      <c r="D3" s="36"/>
      <c r="E3" s="36"/>
      <c r="F3" s="36"/>
      <c r="G3" s="36"/>
      <c r="H3" s="36"/>
      <c r="I3" s="3"/>
      <c r="J3" s="4"/>
      <c r="K3" s="1"/>
    </row>
    <row r="4" spans="1:11" s="2" customFormat="1" x14ac:dyDescent="0.2">
      <c r="A4" s="8" t="s">
        <v>70</v>
      </c>
      <c r="B4" s="9" t="s">
        <v>111</v>
      </c>
      <c r="C4" s="9" t="s">
        <v>71</v>
      </c>
      <c r="D4" s="8" t="s">
        <v>425</v>
      </c>
      <c r="E4" s="9" t="s">
        <v>48</v>
      </c>
      <c r="F4" s="9" t="s">
        <v>33</v>
      </c>
      <c r="G4" s="10" t="s">
        <v>57</v>
      </c>
      <c r="H4" s="10"/>
      <c r="I4" s="11" t="str">
        <f>"75,0"</f>
        <v>75,0</v>
      </c>
      <c r="J4" s="12" t="str">
        <f>"42,8775"</f>
        <v>42,8775</v>
      </c>
      <c r="K4" s="8"/>
    </row>
    <row r="5" spans="1:11" s="2" customFormat="1" x14ac:dyDescent="0.2">
      <c r="A5" s="1"/>
      <c r="D5" s="1"/>
      <c r="I5" s="3"/>
      <c r="J5" s="4"/>
      <c r="K5" s="1"/>
    </row>
    <row r="14" spans="1:11" ht="18" x14ac:dyDescent="0.25">
      <c r="A14" s="14" t="s">
        <v>18</v>
      </c>
      <c r="B14" s="15"/>
    </row>
    <row r="15" spans="1:11" ht="15" x14ac:dyDescent="0.2">
      <c r="A15" s="16" t="s">
        <v>26</v>
      </c>
      <c r="B15" s="13"/>
    </row>
    <row r="16" spans="1:11" ht="14.25" x14ac:dyDescent="0.2">
      <c r="A16" s="17"/>
      <c r="B16" s="18" t="s">
        <v>112</v>
      </c>
    </row>
    <row r="17" spans="1:3" ht="15" x14ac:dyDescent="0.2">
      <c r="A17" s="19" t="s">
        <v>0</v>
      </c>
      <c r="B17" s="19" t="s">
        <v>21</v>
      </c>
      <c r="C17" s="19" t="s">
        <v>22</v>
      </c>
    </row>
    <row r="18" spans="1:3" x14ac:dyDescent="0.2">
      <c r="A18" s="20" t="s">
        <v>74</v>
      </c>
      <c r="B18" s="2" t="s">
        <v>113</v>
      </c>
      <c r="C18" s="2" t="s">
        <v>75</v>
      </c>
    </row>
  </sheetData>
  <mergeCells count="9">
    <mergeCell ref="A3:H3"/>
    <mergeCell ref="A1:A2"/>
    <mergeCell ref="B1:B2"/>
    <mergeCell ref="C1:C2"/>
    <mergeCell ref="D1:D2"/>
    <mergeCell ref="E1:H1"/>
    <mergeCell ref="I1:I2"/>
    <mergeCell ref="J1:J2"/>
    <mergeCell ref="K1:K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H78"/>
  <sheetViews>
    <sheetView zoomScaleNormal="100" workbookViewId="0">
      <selection activeCell="F15" sqref="F15"/>
    </sheetView>
  </sheetViews>
  <sheetFormatPr defaultColWidth="9.140625" defaultRowHeight="12.75" x14ac:dyDescent="0.2"/>
  <cols>
    <col min="1" max="1" width="24.85546875" style="1" customWidth="1"/>
    <col min="2" max="2" width="30.42578125" style="2" customWidth="1"/>
    <col min="3" max="3" width="7.5703125" style="2" customWidth="1"/>
    <col min="4" max="4" width="30.140625" style="1" customWidth="1"/>
    <col min="5" max="7" width="4.5703125" style="2" customWidth="1"/>
    <col min="8" max="8" width="4.7109375" style="2" customWidth="1"/>
    <col min="9" max="9" width="5.7109375" style="3" customWidth="1"/>
    <col min="10" max="10" width="7.5703125" style="4" customWidth="1"/>
    <col min="11" max="11" width="7.140625" style="1" customWidth="1"/>
    <col min="12" max="1022" width="9.140625" style="5"/>
  </cols>
  <sheetData>
    <row r="1" spans="1:11" s="6" customFormat="1" ht="12.75" customHeight="1" x14ac:dyDescent="0.2">
      <c r="A1" s="38" t="s">
        <v>414</v>
      </c>
      <c r="B1" s="39" t="s">
        <v>1</v>
      </c>
      <c r="C1" s="39" t="s">
        <v>415</v>
      </c>
      <c r="D1" s="40" t="s">
        <v>416</v>
      </c>
      <c r="E1" s="41" t="s">
        <v>422</v>
      </c>
      <c r="F1" s="41"/>
      <c r="G1" s="41"/>
      <c r="H1" s="41"/>
      <c r="I1" s="40" t="s">
        <v>419</v>
      </c>
      <c r="J1" s="40" t="s">
        <v>420</v>
      </c>
      <c r="K1" s="42"/>
    </row>
    <row r="2" spans="1:11" s="6" customFormat="1" ht="23.25" customHeight="1" x14ac:dyDescent="0.2">
      <c r="A2" s="38"/>
      <c r="B2" s="39"/>
      <c r="C2" s="39"/>
      <c r="D2" s="39"/>
      <c r="E2" s="7">
        <v>1</v>
      </c>
      <c r="F2" s="7">
        <v>2</v>
      </c>
      <c r="G2" s="7">
        <v>3</v>
      </c>
      <c r="H2" s="7"/>
      <c r="I2" s="40"/>
      <c r="J2" s="40"/>
      <c r="K2" s="42"/>
    </row>
    <row r="3" spans="1:11" s="2" customFormat="1" ht="15" x14ac:dyDescent="0.2">
      <c r="A3" s="36" t="s">
        <v>114</v>
      </c>
      <c r="B3" s="36"/>
      <c r="C3" s="36"/>
      <c r="D3" s="36"/>
      <c r="E3" s="36"/>
      <c r="F3" s="36"/>
      <c r="G3" s="36"/>
      <c r="H3" s="36"/>
      <c r="I3" s="3"/>
      <c r="J3" s="4"/>
      <c r="K3" s="1"/>
    </row>
    <row r="4" spans="1:11" s="2" customFormat="1" x14ac:dyDescent="0.2">
      <c r="A4" s="8" t="s">
        <v>115</v>
      </c>
      <c r="B4" s="9" t="s">
        <v>116</v>
      </c>
      <c r="C4" s="9" t="s">
        <v>117</v>
      </c>
      <c r="D4" s="8" t="s">
        <v>435</v>
      </c>
      <c r="E4" s="9" t="s">
        <v>118</v>
      </c>
      <c r="F4" s="10" t="s">
        <v>119</v>
      </c>
      <c r="G4" s="10" t="s">
        <v>119</v>
      </c>
      <c r="H4" s="10"/>
      <c r="I4" s="11" t="str">
        <f>"27,5"</f>
        <v>27,5</v>
      </c>
      <c r="J4" s="12" t="str">
        <f>"26,0205"</f>
        <v>26,0205</v>
      </c>
      <c r="K4" s="8"/>
    </row>
    <row r="5" spans="1:11" s="2" customFormat="1" x14ac:dyDescent="0.2">
      <c r="A5" s="1"/>
      <c r="D5" s="1"/>
      <c r="I5" s="3"/>
      <c r="J5" s="4"/>
      <c r="K5" s="1"/>
    </row>
    <row r="6" spans="1:11" ht="15" x14ac:dyDescent="0.2">
      <c r="A6" s="37" t="s">
        <v>120</v>
      </c>
      <c r="B6" s="37"/>
      <c r="C6" s="37"/>
      <c r="D6" s="37"/>
      <c r="E6" s="37"/>
      <c r="F6" s="37"/>
      <c r="G6" s="37"/>
      <c r="H6" s="37"/>
    </row>
    <row r="7" spans="1:11" x14ac:dyDescent="0.2">
      <c r="A7" s="8" t="s">
        <v>52</v>
      </c>
      <c r="B7" s="9" t="s">
        <v>121</v>
      </c>
      <c r="C7" s="9" t="s">
        <v>53</v>
      </c>
      <c r="D7" s="8" t="s">
        <v>425</v>
      </c>
      <c r="E7" s="9" t="s">
        <v>30</v>
      </c>
      <c r="F7" s="9" t="s">
        <v>118</v>
      </c>
      <c r="G7" s="9" t="s">
        <v>122</v>
      </c>
      <c r="H7" s="10"/>
      <c r="I7" s="11" t="str">
        <f>"30,0"</f>
        <v>30,0</v>
      </c>
      <c r="J7" s="12" t="str">
        <f>"24,0630"</f>
        <v>24,0630</v>
      </c>
      <c r="K7" s="8"/>
    </row>
    <row r="9" spans="1:11" ht="15" x14ac:dyDescent="0.2">
      <c r="A9" s="37" t="s">
        <v>4</v>
      </c>
      <c r="B9" s="37"/>
      <c r="C9" s="37"/>
      <c r="D9" s="37"/>
      <c r="E9" s="37"/>
      <c r="F9" s="37"/>
      <c r="G9" s="37"/>
      <c r="H9" s="37"/>
    </row>
    <row r="10" spans="1:11" x14ac:dyDescent="0.2">
      <c r="A10" s="21" t="s">
        <v>123</v>
      </c>
      <c r="B10" s="22" t="s">
        <v>124</v>
      </c>
      <c r="C10" s="22" t="s">
        <v>125</v>
      </c>
      <c r="D10" s="21" t="s">
        <v>432</v>
      </c>
      <c r="E10" s="22" t="s">
        <v>126</v>
      </c>
      <c r="F10" s="22" t="s">
        <v>67</v>
      </c>
      <c r="G10" s="29" t="s">
        <v>127</v>
      </c>
      <c r="H10" s="29"/>
      <c r="I10" s="23" t="str">
        <f>"40,0"</f>
        <v>40,0</v>
      </c>
      <c r="J10" s="24" t="str">
        <f>"29,3440"</f>
        <v>29,3440</v>
      </c>
      <c r="K10" s="21"/>
    </row>
    <row r="11" spans="1:11" x14ac:dyDescent="0.2">
      <c r="A11" s="25" t="s">
        <v>123</v>
      </c>
      <c r="B11" s="26" t="s">
        <v>128</v>
      </c>
      <c r="C11" s="26" t="s">
        <v>125</v>
      </c>
      <c r="D11" s="25" t="s">
        <v>432</v>
      </c>
      <c r="E11" s="26" t="s">
        <v>126</v>
      </c>
      <c r="F11" s="26" t="s">
        <v>67</v>
      </c>
      <c r="G11" s="35" t="s">
        <v>127</v>
      </c>
      <c r="H11" s="35"/>
      <c r="I11" s="27" t="str">
        <f>"40,0"</f>
        <v>40,0</v>
      </c>
      <c r="J11" s="28" t="str">
        <f>"29,3440"</f>
        <v>29,3440</v>
      </c>
      <c r="K11" s="25"/>
    </row>
    <row r="13" spans="1:11" ht="15" x14ac:dyDescent="0.2">
      <c r="A13" s="37" t="s">
        <v>4</v>
      </c>
      <c r="B13" s="37"/>
      <c r="C13" s="37"/>
      <c r="D13" s="37"/>
      <c r="E13" s="37"/>
      <c r="F13" s="37"/>
      <c r="G13" s="37"/>
      <c r="H13" s="37"/>
    </row>
    <row r="14" spans="1:11" x14ac:dyDescent="0.2">
      <c r="A14" s="21" t="s">
        <v>129</v>
      </c>
      <c r="B14" s="22" t="s">
        <v>130</v>
      </c>
      <c r="C14" s="22" t="s">
        <v>62</v>
      </c>
      <c r="D14" s="21" t="s">
        <v>425</v>
      </c>
      <c r="E14" s="22" t="s">
        <v>55</v>
      </c>
      <c r="F14" s="29" t="s">
        <v>131</v>
      </c>
      <c r="G14" s="22" t="s">
        <v>131</v>
      </c>
      <c r="H14" s="29"/>
      <c r="I14" s="23" t="str">
        <f>"62,5"</f>
        <v>62,5</v>
      </c>
      <c r="J14" s="24" t="str">
        <f>"41,5750"</f>
        <v>41,5750</v>
      </c>
      <c r="K14" s="21"/>
    </row>
    <row r="15" spans="1:11" x14ac:dyDescent="0.2">
      <c r="A15" s="30" t="s">
        <v>132</v>
      </c>
      <c r="B15" s="31" t="s">
        <v>133</v>
      </c>
      <c r="C15" s="31" t="s">
        <v>47</v>
      </c>
      <c r="D15" s="30" t="s">
        <v>425</v>
      </c>
      <c r="E15" s="31" t="s">
        <v>134</v>
      </c>
      <c r="F15" s="31" t="s">
        <v>55</v>
      </c>
      <c r="G15" s="32" t="s">
        <v>131</v>
      </c>
      <c r="H15" s="32"/>
      <c r="I15" s="33" t="str">
        <f>"60,0"</f>
        <v>60,0</v>
      </c>
      <c r="J15" s="34" t="str">
        <f>"42,6202"</f>
        <v>42,6202</v>
      </c>
      <c r="K15" s="30"/>
    </row>
    <row r="16" spans="1:11" x14ac:dyDescent="0.2">
      <c r="A16" s="30" t="s">
        <v>135</v>
      </c>
      <c r="B16" s="31" t="s">
        <v>136</v>
      </c>
      <c r="C16" s="31" t="s">
        <v>137</v>
      </c>
      <c r="D16" s="30" t="s">
        <v>425</v>
      </c>
      <c r="E16" s="31" t="s">
        <v>54</v>
      </c>
      <c r="F16" s="32" t="s">
        <v>134</v>
      </c>
      <c r="G16" s="32" t="s">
        <v>134</v>
      </c>
      <c r="H16" s="32"/>
      <c r="I16" s="33" t="str">
        <f>"55,0"</f>
        <v>55,0</v>
      </c>
      <c r="J16" s="34" t="str">
        <f>"54,4322"</f>
        <v>54,4322</v>
      </c>
      <c r="K16" s="30"/>
    </row>
    <row r="17" spans="1:11" x14ac:dyDescent="0.2">
      <c r="A17" s="25" t="s">
        <v>31</v>
      </c>
      <c r="B17" s="26" t="s">
        <v>138</v>
      </c>
      <c r="C17" s="26" t="s">
        <v>32</v>
      </c>
      <c r="D17" s="25" t="s">
        <v>443</v>
      </c>
      <c r="E17" s="26" t="s">
        <v>126</v>
      </c>
      <c r="F17" s="26" t="s">
        <v>67</v>
      </c>
      <c r="G17" s="35" t="s">
        <v>139</v>
      </c>
      <c r="H17" s="35"/>
      <c r="I17" s="27" t="str">
        <f>"40,0"</f>
        <v>40,0</v>
      </c>
      <c r="J17" s="28" t="str">
        <f>"48,5659"</f>
        <v>48,5659</v>
      </c>
      <c r="K17" s="25"/>
    </row>
    <row r="19" spans="1:11" ht="15" x14ac:dyDescent="0.2">
      <c r="A19" s="37" t="s">
        <v>140</v>
      </c>
      <c r="B19" s="37"/>
      <c r="C19" s="37"/>
      <c r="D19" s="37"/>
      <c r="E19" s="37"/>
      <c r="F19" s="37"/>
      <c r="G19" s="37"/>
      <c r="H19" s="37"/>
    </row>
    <row r="20" spans="1:11" x14ac:dyDescent="0.2">
      <c r="A20" s="8" t="s">
        <v>63</v>
      </c>
      <c r="B20" s="9" t="s">
        <v>64</v>
      </c>
      <c r="C20" s="9" t="s">
        <v>65</v>
      </c>
      <c r="D20" s="8" t="s">
        <v>425</v>
      </c>
      <c r="E20" s="9" t="s">
        <v>55</v>
      </c>
      <c r="F20" s="9" t="s">
        <v>131</v>
      </c>
      <c r="G20" s="10" t="s">
        <v>56</v>
      </c>
      <c r="H20" s="10"/>
      <c r="I20" s="11" t="str">
        <f>"62,5"</f>
        <v>62,5</v>
      </c>
      <c r="J20" s="12" t="str">
        <f>"40,4937"</f>
        <v>40,4937</v>
      </c>
      <c r="K20" s="8"/>
    </row>
    <row r="22" spans="1:11" ht="15" x14ac:dyDescent="0.2">
      <c r="A22" s="37" t="s">
        <v>34</v>
      </c>
      <c r="B22" s="37"/>
      <c r="C22" s="37"/>
      <c r="D22" s="37"/>
      <c r="E22" s="37"/>
      <c r="F22" s="37"/>
      <c r="G22" s="37"/>
      <c r="H22" s="37"/>
    </row>
    <row r="23" spans="1:11" x14ac:dyDescent="0.2">
      <c r="A23" s="21" t="s">
        <v>141</v>
      </c>
      <c r="B23" s="22" t="s">
        <v>142</v>
      </c>
      <c r="C23" s="22" t="s">
        <v>143</v>
      </c>
      <c r="D23" s="21" t="s">
        <v>425</v>
      </c>
      <c r="E23" s="22" t="s">
        <v>33</v>
      </c>
      <c r="F23" s="29" t="s">
        <v>57</v>
      </c>
      <c r="G23" s="29" t="s">
        <v>57</v>
      </c>
      <c r="H23" s="29"/>
      <c r="I23" s="23" t="str">
        <f>"75,0"</f>
        <v>75,0</v>
      </c>
      <c r="J23" s="24" t="str">
        <f>"43,9275"</f>
        <v>43,9275</v>
      </c>
      <c r="K23" s="21"/>
    </row>
    <row r="24" spans="1:11" x14ac:dyDescent="0.2">
      <c r="A24" s="25" t="s">
        <v>144</v>
      </c>
      <c r="B24" s="26" t="s">
        <v>145</v>
      </c>
      <c r="C24" s="26" t="s">
        <v>146</v>
      </c>
      <c r="D24" s="25" t="s">
        <v>425</v>
      </c>
      <c r="E24" s="26" t="s">
        <v>55</v>
      </c>
      <c r="F24" s="26" t="s">
        <v>56</v>
      </c>
      <c r="G24" s="35" t="s">
        <v>147</v>
      </c>
      <c r="H24" s="35"/>
      <c r="I24" s="27" t="str">
        <f>"65,0"</f>
        <v>65,0</v>
      </c>
      <c r="J24" s="28" t="str">
        <f>"38,0445"</f>
        <v>38,0445</v>
      </c>
      <c r="K24" s="25"/>
    </row>
    <row r="26" spans="1:11" ht="15" x14ac:dyDescent="0.2">
      <c r="A26" s="37" t="s">
        <v>69</v>
      </c>
      <c r="B26" s="37"/>
      <c r="C26" s="37"/>
      <c r="D26" s="37"/>
      <c r="E26" s="37"/>
      <c r="F26" s="37"/>
      <c r="G26" s="37"/>
      <c r="H26" s="37"/>
    </row>
    <row r="27" spans="1:11" x14ac:dyDescent="0.2">
      <c r="A27" s="21" t="s">
        <v>148</v>
      </c>
      <c r="B27" s="22" t="s">
        <v>149</v>
      </c>
      <c r="C27" s="22" t="s">
        <v>150</v>
      </c>
      <c r="D27" s="21" t="s">
        <v>425</v>
      </c>
      <c r="E27" s="22" t="s">
        <v>55</v>
      </c>
      <c r="F27" s="22" t="s">
        <v>131</v>
      </c>
      <c r="G27" s="22" t="s">
        <v>56</v>
      </c>
      <c r="H27" s="29"/>
      <c r="I27" s="23" t="str">
        <f>"65,0"</f>
        <v>65,0</v>
      </c>
      <c r="J27" s="24" t="str">
        <f>"36,5950"</f>
        <v>36,5950</v>
      </c>
      <c r="K27" s="21"/>
    </row>
    <row r="28" spans="1:11" x14ac:dyDescent="0.2">
      <c r="A28" s="25" t="s">
        <v>151</v>
      </c>
      <c r="B28" s="26" t="s">
        <v>152</v>
      </c>
      <c r="C28" s="26" t="s">
        <v>153</v>
      </c>
      <c r="D28" s="25" t="s">
        <v>428</v>
      </c>
      <c r="E28" s="26" t="s">
        <v>68</v>
      </c>
      <c r="F28" s="26" t="s">
        <v>87</v>
      </c>
      <c r="G28" s="35" t="s">
        <v>56</v>
      </c>
      <c r="H28" s="35"/>
      <c r="I28" s="27" t="str">
        <f>"60,0"</f>
        <v>60,0</v>
      </c>
      <c r="J28" s="28" t="str">
        <f>"34,1820"</f>
        <v>34,1820</v>
      </c>
      <c r="K28" s="25"/>
    </row>
    <row r="30" spans="1:11" ht="15" x14ac:dyDescent="0.2">
      <c r="A30" s="37" t="s">
        <v>11</v>
      </c>
      <c r="B30" s="37"/>
      <c r="C30" s="37"/>
      <c r="D30" s="37"/>
      <c r="E30" s="37"/>
      <c r="F30" s="37"/>
      <c r="G30" s="37"/>
      <c r="H30" s="37"/>
    </row>
    <row r="31" spans="1:11" x14ac:dyDescent="0.2">
      <c r="A31" s="8" t="s">
        <v>38</v>
      </c>
      <c r="B31" s="9" t="s">
        <v>39</v>
      </c>
      <c r="C31" s="9" t="s">
        <v>40</v>
      </c>
      <c r="D31" s="8" t="s">
        <v>430</v>
      </c>
      <c r="E31" s="9" t="s">
        <v>67</v>
      </c>
      <c r="F31" s="9" t="s">
        <v>139</v>
      </c>
      <c r="G31" s="10" t="s">
        <v>55</v>
      </c>
      <c r="H31" s="10"/>
      <c r="I31" s="11" t="str">
        <f>"45,0"</f>
        <v>45,0</v>
      </c>
      <c r="J31" s="12" t="str">
        <f>"24,7365"</f>
        <v>24,7365</v>
      </c>
      <c r="K31" s="8"/>
    </row>
    <row r="41" spans="1:3" ht="18" x14ac:dyDescent="0.25">
      <c r="A41" s="14" t="s">
        <v>18</v>
      </c>
      <c r="B41" s="15"/>
    </row>
    <row r="42" spans="1:3" ht="15" x14ac:dyDescent="0.2">
      <c r="A42" s="16" t="s">
        <v>19</v>
      </c>
      <c r="B42" s="13"/>
    </row>
    <row r="43" spans="1:3" ht="14.25" x14ac:dyDescent="0.2">
      <c r="A43" s="17"/>
      <c r="B43" s="18" t="s">
        <v>112</v>
      </c>
    </row>
    <row r="44" spans="1:3" ht="15" x14ac:dyDescent="0.2">
      <c r="A44" s="19" t="s">
        <v>0</v>
      </c>
      <c r="B44" s="19" t="s">
        <v>21</v>
      </c>
      <c r="C44" s="19" t="s">
        <v>22</v>
      </c>
    </row>
    <row r="45" spans="1:3" x14ac:dyDescent="0.2">
      <c r="A45" s="20" t="s">
        <v>73</v>
      </c>
      <c r="B45" s="2" t="s">
        <v>113</v>
      </c>
      <c r="C45" s="2" t="s">
        <v>154</v>
      </c>
    </row>
    <row r="47" spans="1:3" x14ac:dyDescent="0.2">
      <c r="A47" s="17"/>
      <c r="B47" s="18" t="s">
        <v>27</v>
      </c>
    </row>
    <row r="48" spans="1:3" ht="15" x14ac:dyDescent="0.2">
      <c r="A48" s="19" t="s">
        <v>0</v>
      </c>
      <c r="B48" s="19" t="s">
        <v>21</v>
      </c>
      <c r="C48" s="19" t="s">
        <v>22</v>
      </c>
    </row>
    <row r="49" spans="1:3" x14ac:dyDescent="0.2">
      <c r="A49" s="20" t="s">
        <v>155</v>
      </c>
      <c r="B49" s="2" t="s">
        <v>27</v>
      </c>
      <c r="C49" s="2" t="s">
        <v>25</v>
      </c>
    </row>
    <row r="50" spans="1:3" x14ac:dyDescent="0.2">
      <c r="A50" s="20" t="s">
        <v>156</v>
      </c>
      <c r="B50" s="2" t="s">
        <v>27</v>
      </c>
      <c r="C50" s="2" t="s">
        <v>157</v>
      </c>
    </row>
    <row r="52" spans="1:3" ht="14.25" x14ac:dyDescent="0.2">
      <c r="A52" s="17"/>
      <c r="B52" s="18" t="s">
        <v>20</v>
      </c>
    </row>
    <row r="53" spans="1:3" ht="15" x14ac:dyDescent="0.2">
      <c r="A53" s="19" t="s">
        <v>0</v>
      </c>
      <c r="B53" s="19" t="s">
        <v>21</v>
      </c>
      <c r="C53" s="19" t="s">
        <v>22</v>
      </c>
    </row>
    <row r="54" spans="1:3" x14ac:dyDescent="0.2">
      <c r="A54" s="20" t="s">
        <v>155</v>
      </c>
      <c r="B54" s="2" t="s">
        <v>158</v>
      </c>
      <c r="C54" s="2" t="s">
        <v>25</v>
      </c>
    </row>
    <row r="57" spans="1:3" ht="15" x14ac:dyDescent="0.2">
      <c r="A57" s="16" t="s">
        <v>26</v>
      </c>
      <c r="B57" s="13"/>
    </row>
    <row r="58" spans="1:3" ht="14.25" x14ac:dyDescent="0.2">
      <c r="A58" s="17"/>
      <c r="B58" s="18" t="s">
        <v>103</v>
      </c>
    </row>
    <row r="59" spans="1:3" ht="15" x14ac:dyDescent="0.2">
      <c r="A59" s="19" t="s">
        <v>0</v>
      </c>
      <c r="B59" s="19" t="s">
        <v>21</v>
      </c>
      <c r="C59" s="19" t="s">
        <v>22</v>
      </c>
    </row>
    <row r="60" spans="1:3" x14ac:dyDescent="0.2">
      <c r="A60" s="20" t="s">
        <v>77</v>
      </c>
      <c r="B60" s="2" t="s">
        <v>159</v>
      </c>
      <c r="C60" s="2" t="s">
        <v>25</v>
      </c>
    </row>
    <row r="62" spans="1:3" ht="14.25" x14ac:dyDescent="0.2">
      <c r="A62" s="17"/>
      <c r="B62" s="18" t="s">
        <v>27</v>
      </c>
    </row>
    <row r="63" spans="1:3" ht="15" x14ac:dyDescent="0.2">
      <c r="A63" s="19" t="s">
        <v>0</v>
      </c>
      <c r="B63" s="19" t="s">
        <v>21</v>
      </c>
      <c r="C63" s="19" t="s">
        <v>22</v>
      </c>
    </row>
    <row r="64" spans="1:3" x14ac:dyDescent="0.2">
      <c r="A64" s="20" t="s">
        <v>160</v>
      </c>
      <c r="B64" s="2" t="s">
        <v>27</v>
      </c>
      <c r="C64" s="2" t="s">
        <v>45</v>
      </c>
    </row>
    <row r="65" spans="1:3" x14ac:dyDescent="0.2">
      <c r="A65" s="20" t="s">
        <v>78</v>
      </c>
      <c r="B65" s="2" t="s">
        <v>27</v>
      </c>
      <c r="C65" s="2" t="s">
        <v>161</v>
      </c>
    </row>
    <row r="66" spans="1:3" x14ac:dyDescent="0.2">
      <c r="A66" s="20" t="s">
        <v>162</v>
      </c>
      <c r="B66" s="2" t="s">
        <v>27</v>
      </c>
      <c r="C66" s="2" t="s">
        <v>45</v>
      </c>
    </row>
    <row r="67" spans="1:3" x14ac:dyDescent="0.2">
      <c r="A67" s="20" t="s">
        <v>163</v>
      </c>
      <c r="B67" s="2" t="s">
        <v>27</v>
      </c>
      <c r="C67" s="2" t="s">
        <v>75</v>
      </c>
    </row>
    <row r="68" spans="1:3" x14ac:dyDescent="0.2">
      <c r="A68" s="20" t="s">
        <v>42</v>
      </c>
      <c r="B68" s="2" t="s">
        <v>27</v>
      </c>
      <c r="C68" s="2" t="s">
        <v>29</v>
      </c>
    </row>
    <row r="70" spans="1:3" ht="14.25" x14ac:dyDescent="0.2">
      <c r="A70" s="17"/>
      <c r="B70" s="18" t="s">
        <v>164</v>
      </c>
    </row>
    <row r="71" spans="1:3" ht="15" x14ac:dyDescent="0.2">
      <c r="A71" s="19" t="s">
        <v>0</v>
      </c>
      <c r="B71" s="19" t="s">
        <v>21</v>
      </c>
      <c r="C71" s="19" t="s">
        <v>22</v>
      </c>
    </row>
    <row r="72" spans="1:3" x14ac:dyDescent="0.2">
      <c r="A72" s="20" t="s">
        <v>165</v>
      </c>
      <c r="B72" s="2" t="s">
        <v>166</v>
      </c>
      <c r="C72" s="2" t="s">
        <v>75</v>
      </c>
    </row>
    <row r="74" spans="1:3" ht="14.25" x14ac:dyDescent="0.2">
      <c r="A74" s="17"/>
      <c r="B74" s="18" t="s">
        <v>20</v>
      </c>
    </row>
    <row r="75" spans="1:3" ht="15" x14ac:dyDescent="0.2">
      <c r="A75" s="19" t="s">
        <v>0</v>
      </c>
      <c r="B75" s="19" t="s">
        <v>21</v>
      </c>
      <c r="C75" s="19" t="s">
        <v>22</v>
      </c>
    </row>
    <row r="76" spans="1:3" x14ac:dyDescent="0.2">
      <c r="A76" s="20" t="s">
        <v>167</v>
      </c>
      <c r="B76" s="2" t="s">
        <v>108</v>
      </c>
      <c r="C76" s="2" t="s">
        <v>25</v>
      </c>
    </row>
    <row r="77" spans="1:3" x14ac:dyDescent="0.2">
      <c r="A77" s="20" t="s">
        <v>43</v>
      </c>
      <c r="B77" s="2" t="s">
        <v>168</v>
      </c>
      <c r="C77" s="2" t="s">
        <v>25</v>
      </c>
    </row>
    <row r="78" spans="1:3" x14ac:dyDescent="0.2">
      <c r="A78" s="20" t="s">
        <v>79</v>
      </c>
      <c r="B78" s="2" t="s">
        <v>158</v>
      </c>
      <c r="C78" s="2" t="s">
        <v>25</v>
      </c>
    </row>
  </sheetData>
  <mergeCells count="16">
    <mergeCell ref="A1:A2"/>
    <mergeCell ref="B1:B2"/>
    <mergeCell ref="C1:C2"/>
    <mergeCell ref="D1:D2"/>
    <mergeCell ref="E1:H1"/>
    <mergeCell ref="I1:I2"/>
    <mergeCell ref="J1:J2"/>
    <mergeCell ref="K1:K2"/>
    <mergeCell ref="A22:H22"/>
    <mergeCell ref="A26:H26"/>
    <mergeCell ref="A30:H30"/>
    <mergeCell ref="A3:H3"/>
    <mergeCell ref="A6:H6"/>
    <mergeCell ref="A9:H9"/>
    <mergeCell ref="A13:H13"/>
    <mergeCell ref="A19:H1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H25"/>
  <sheetViews>
    <sheetView zoomScaleNormal="100" workbookViewId="0">
      <selection activeCell="D13" sqref="D13"/>
    </sheetView>
  </sheetViews>
  <sheetFormatPr defaultColWidth="9.140625" defaultRowHeight="12.75" x14ac:dyDescent="0.2"/>
  <cols>
    <col min="1" max="1" width="24.85546875" style="1" customWidth="1"/>
    <col min="2" max="2" width="30.42578125" style="2" customWidth="1"/>
    <col min="3" max="3" width="7.5703125" style="2" customWidth="1"/>
    <col min="4" max="4" width="30.140625" style="1" customWidth="1"/>
    <col min="5" max="7" width="4.5703125" style="2" customWidth="1"/>
    <col min="8" max="8" width="4.7109375" style="2" customWidth="1"/>
    <col min="9" max="9" width="5.7109375" style="3" customWidth="1"/>
    <col min="10" max="10" width="7.5703125" style="4" customWidth="1"/>
    <col min="11" max="11" width="7.140625" style="1" customWidth="1"/>
    <col min="12" max="1022" width="9.140625" style="5"/>
  </cols>
  <sheetData>
    <row r="1" spans="1:11" s="6" customFormat="1" ht="12.75" customHeight="1" x14ac:dyDescent="0.2">
      <c r="A1" s="38" t="s">
        <v>414</v>
      </c>
      <c r="B1" s="39" t="s">
        <v>1</v>
      </c>
      <c r="C1" s="39" t="s">
        <v>415</v>
      </c>
      <c r="D1" s="40" t="s">
        <v>416</v>
      </c>
      <c r="E1" s="41" t="s">
        <v>422</v>
      </c>
      <c r="F1" s="41"/>
      <c r="G1" s="41"/>
      <c r="H1" s="41"/>
      <c r="I1" s="40" t="s">
        <v>419</v>
      </c>
      <c r="J1" s="40" t="s">
        <v>420</v>
      </c>
      <c r="K1" s="42"/>
    </row>
    <row r="2" spans="1:11" s="6" customFormat="1" ht="23.25" customHeight="1" x14ac:dyDescent="0.2">
      <c r="A2" s="38"/>
      <c r="B2" s="39"/>
      <c r="C2" s="39"/>
      <c r="D2" s="39"/>
      <c r="E2" s="7">
        <v>1</v>
      </c>
      <c r="F2" s="7">
        <v>2</v>
      </c>
      <c r="G2" s="7">
        <v>3</v>
      </c>
      <c r="H2" s="7"/>
      <c r="I2" s="40"/>
      <c r="J2" s="40"/>
      <c r="K2" s="42"/>
    </row>
    <row r="3" spans="1:11" s="2" customFormat="1" ht="15" x14ac:dyDescent="0.2">
      <c r="A3" s="36" t="s">
        <v>69</v>
      </c>
      <c r="B3" s="36"/>
      <c r="C3" s="36"/>
      <c r="D3" s="36"/>
      <c r="E3" s="36"/>
      <c r="F3" s="36"/>
      <c r="G3" s="36"/>
      <c r="H3" s="36"/>
      <c r="I3" s="3"/>
      <c r="J3" s="4"/>
      <c r="K3" s="1"/>
    </row>
    <row r="4" spans="1:11" s="2" customFormat="1" x14ac:dyDescent="0.2">
      <c r="A4" s="8" t="s">
        <v>151</v>
      </c>
      <c r="B4" s="9" t="s">
        <v>152</v>
      </c>
      <c r="C4" s="9" t="s">
        <v>153</v>
      </c>
      <c r="D4" s="8" t="s">
        <v>428</v>
      </c>
      <c r="E4" s="9" t="s">
        <v>48</v>
      </c>
      <c r="F4" s="9" t="s">
        <v>169</v>
      </c>
      <c r="G4" s="9" t="s">
        <v>61</v>
      </c>
      <c r="H4" s="10"/>
      <c r="I4" s="11" t="str">
        <f>"85,0"</f>
        <v>85,0</v>
      </c>
      <c r="J4" s="12" t="str">
        <f>"48,4245"</f>
        <v>48,4245</v>
      </c>
      <c r="K4" s="8"/>
    </row>
    <row r="5" spans="1:11" s="2" customFormat="1" x14ac:dyDescent="0.2">
      <c r="A5" s="1"/>
      <c r="D5" s="1"/>
      <c r="I5" s="3"/>
      <c r="J5" s="4"/>
      <c r="K5" s="1"/>
    </row>
    <row r="6" spans="1:11" ht="15" x14ac:dyDescent="0.2">
      <c r="A6" s="37" t="s">
        <v>11</v>
      </c>
      <c r="B6" s="37"/>
      <c r="C6" s="37"/>
      <c r="D6" s="37"/>
      <c r="E6" s="37"/>
      <c r="F6" s="37"/>
      <c r="G6" s="37"/>
      <c r="H6" s="37"/>
    </row>
    <row r="7" spans="1:11" x14ac:dyDescent="0.2">
      <c r="A7" s="8" t="s">
        <v>38</v>
      </c>
      <c r="B7" s="9" t="s">
        <v>39</v>
      </c>
      <c r="C7" s="9" t="s">
        <v>40</v>
      </c>
      <c r="D7" s="8" t="s">
        <v>430</v>
      </c>
      <c r="E7" s="9" t="s">
        <v>67</v>
      </c>
      <c r="F7" s="9" t="s">
        <v>139</v>
      </c>
      <c r="G7" s="9" t="s">
        <v>54</v>
      </c>
      <c r="H7" s="10"/>
      <c r="I7" s="11" t="str">
        <f>"55,0"</f>
        <v>55,0</v>
      </c>
      <c r="J7" s="12" t="str">
        <f>"30,2335"</f>
        <v>30,2335</v>
      </c>
      <c r="K7" s="8"/>
    </row>
    <row r="17" spans="1:3" ht="18" x14ac:dyDescent="0.25">
      <c r="A17" s="14" t="s">
        <v>18</v>
      </c>
      <c r="B17" s="15"/>
    </row>
    <row r="18" spans="1:3" ht="15" x14ac:dyDescent="0.2">
      <c r="A18" s="16" t="s">
        <v>26</v>
      </c>
      <c r="B18" s="13"/>
    </row>
    <row r="19" spans="1:3" ht="14.25" x14ac:dyDescent="0.2">
      <c r="A19" s="17"/>
      <c r="B19" s="18" t="s">
        <v>27</v>
      </c>
    </row>
    <row r="20" spans="1:3" ht="15" x14ac:dyDescent="0.2">
      <c r="A20" s="19" t="s">
        <v>0</v>
      </c>
      <c r="B20" s="19" t="s">
        <v>21</v>
      </c>
      <c r="C20" s="19" t="s">
        <v>22</v>
      </c>
    </row>
    <row r="21" spans="1:3" x14ac:dyDescent="0.2">
      <c r="A21" s="20" t="s">
        <v>42</v>
      </c>
      <c r="B21" s="2" t="s">
        <v>27</v>
      </c>
      <c r="C21" s="2" t="s">
        <v>29</v>
      </c>
    </row>
    <row r="23" spans="1:3" ht="14.25" x14ac:dyDescent="0.2">
      <c r="A23" s="17"/>
      <c r="B23" s="18" t="s">
        <v>164</v>
      </c>
    </row>
    <row r="24" spans="1:3" ht="15" x14ac:dyDescent="0.2">
      <c r="A24" s="19" t="s">
        <v>0</v>
      </c>
      <c r="B24" s="19" t="s">
        <v>21</v>
      </c>
      <c r="C24" s="19" t="s">
        <v>22</v>
      </c>
    </row>
    <row r="25" spans="1:3" x14ac:dyDescent="0.2">
      <c r="A25" s="20" t="s">
        <v>165</v>
      </c>
      <c r="B25" s="2" t="s">
        <v>166</v>
      </c>
      <c r="C25" s="2" t="s">
        <v>75</v>
      </c>
    </row>
  </sheetData>
  <mergeCells count="10">
    <mergeCell ref="A3:H3"/>
    <mergeCell ref="A6:H6"/>
    <mergeCell ref="A1:A2"/>
    <mergeCell ref="B1:B2"/>
    <mergeCell ref="C1:C2"/>
    <mergeCell ref="D1:D2"/>
    <mergeCell ref="E1:H1"/>
    <mergeCell ref="I1:I2"/>
    <mergeCell ref="J1:J2"/>
    <mergeCell ref="K1:K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H57"/>
  <sheetViews>
    <sheetView zoomScaleNormal="100" workbookViewId="0">
      <selection activeCell="A12" sqref="A12:H12"/>
    </sheetView>
  </sheetViews>
  <sheetFormatPr defaultColWidth="9.140625" defaultRowHeight="12.75" x14ac:dyDescent="0.2"/>
  <cols>
    <col min="1" max="1" width="24.85546875" style="1" customWidth="1"/>
    <col min="2" max="2" width="26.5703125" style="2" customWidth="1"/>
    <col min="3" max="3" width="7.5703125" style="2" customWidth="1"/>
    <col min="4" max="4" width="28.28515625" style="1" customWidth="1"/>
    <col min="5" max="7" width="5.5703125" style="2" customWidth="1"/>
    <col min="8" max="8" width="4.7109375" style="2" customWidth="1"/>
    <col min="9" max="9" width="5.7109375" style="3" customWidth="1"/>
    <col min="10" max="10" width="8.5703125" style="4" customWidth="1"/>
    <col min="11" max="11" width="7.140625" style="1" customWidth="1"/>
    <col min="12" max="1022" width="9.140625" style="5"/>
  </cols>
  <sheetData>
    <row r="1" spans="1:11" s="6" customFormat="1" ht="12.75" customHeight="1" x14ac:dyDescent="0.2">
      <c r="A1" s="38" t="s">
        <v>414</v>
      </c>
      <c r="B1" s="39" t="s">
        <v>1</v>
      </c>
      <c r="C1" s="39" t="s">
        <v>415</v>
      </c>
      <c r="D1" s="40" t="s">
        <v>416</v>
      </c>
      <c r="E1" s="41" t="s">
        <v>417</v>
      </c>
      <c r="F1" s="41"/>
      <c r="G1" s="41"/>
      <c r="H1" s="41"/>
      <c r="I1" s="40" t="s">
        <v>419</v>
      </c>
      <c r="J1" s="40" t="s">
        <v>420</v>
      </c>
      <c r="K1" s="42"/>
    </row>
    <row r="2" spans="1:11" s="6" customFormat="1" ht="23.25" customHeight="1" x14ac:dyDescent="0.2">
      <c r="A2" s="38"/>
      <c r="B2" s="39"/>
      <c r="C2" s="39"/>
      <c r="D2" s="39"/>
      <c r="E2" s="7">
        <v>1</v>
      </c>
      <c r="F2" s="7">
        <v>2</v>
      </c>
      <c r="G2" s="7">
        <v>3</v>
      </c>
      <c r="H2" s="7"/>
      <c r="I2" s="40"/>
      <c r="J2" s="40"/>
      <c r="K2" s="42"/>
    </row>
    <row r="3" spans="1:11" s="2" customFormat="1" ht="15" x14ac:dyDescent="0.2">
      <c r="A3" s="36" t="s">
        <v>114</v>
      </c>
      <c r="B3" s="36"/>
      <c r="C3" s="36"/>
      <c r="D3" s="36"/>
      <c r="E3" s="36"/>
      <c r="F3" s="36"/>
      <c r="G3" s="36"/>
      <c r="H3" s="36"/>
      <c r="I3" s="3"/>
      <c r="J3" s="4"/>
      <c r="K3" s="1"/>
    </row>
    <row r="4" spans="1:11" s="2" customFormat="1" x14ac:dyDescent="0.2">
      <c r="A4" s="8" t="s">
        <v>366</v>
      </c>
      <c r="B4" s="9" t="s">
        <v>367</v>
      </c>
      <c r="C4" s="9" t="s">
        <v>368</v>
      </c>
      <c r="D4" s="8" t="s">
        <v>425</v>
      </c>
      <c r="E4" s="9" t="s">
        <v>8</v>
      </c>
      <c r="F4" s="9" t="s">
        <v>9</v>
      </c>
      <c r="G4" s="9" t="s">
        <v>80</v>
      </c>
      <c r="H4" s="10"/>
      <c r="I4" s="11" t="str">
        <f>"115,0"</f>
        <v>115,0</v>
      </c>
      <c r="J4" s="12" t="str">
        <f>"106,5245"</f>
        <v>106,5245</v>
      </c>
      <c r="K4" s="8"/>
    </row>
    <row r="5" spans="1:11" s="2" customFormat="1" x14ac:dyDescent="0.2">
      <c r="A5" s="1"/>
      <c r="D5" s="1"/>
      <c r="I5" s="3"/>
      <c r="J5" s="4"/>
      <c r="K5" s="1"/>
    </row>
    <row r="6" spans="1:11" ht="15" x14ac:dyDescent="0.2">
      <c r="A6" s="37" t="s">
        <v>114</v>
      </c>
      <c r="B6" s="37"/>
      <c r="C6" s="37"/>
      <c r="D6" s="37"/>
      <c r="E6" s="37"/>
      <c r="F6" s="37"/>
      <c r="G6" s="37"/>
      <c r="H6" s="37"/>
    </row>
    <row r="7" spans="1:11" x14ac:dyDescent="0.2">
      <c r="A7" s="8" t="s">
        <v>369</v>
      </c>
      <c r="B7" s="9" t="s">
        <v>370</v>
      </c>
      <c r="C7" s="9" t="s">
        <v>371</v>
      </c>
      <c r="D7" s="8" t="s">
        <v>425</v>
      </c>
      <c r="E7" s="10" t="s">
        <v>80</v>
      </c>
      <c r="F7" s="9" t="s">
        <v>81</v>
      </c>
      <c r="G7" s="9" t="s">
        <v>84</v>
      </c>
      <c r="H7" s="10"/>
      <c r="I7" s="11" t="str">
        <f>"130,0"</f>
        <v>130,0</v>
      </c>
      <c r="J7" s="12" t="str">
        <f>"114,6210"</f>
        <v>114,6210</v>
      </c>
      <c r="K7" s="8"/>
    </row>
    <row r="9" spans="1:11" ht="15" x14ac:dyDescent="0.2">
      <c r="A9" s="37" t="s">
        <v>4</v>
      </c>
      <c r="B9" s="37"/>
      <c r="C9" s="37"/>
      <c r="D9" s="37"/>
      <c r="E9" s="37"/>
      <c r="F9" s="37"/>
      <c r="G9" s="37"/>
      <c r="H9" s="37"/>
    </row>
    <row r="10" spans="1:11" x14ac:dyDescent="0.2">
      <c r="A10" s="8" t="s">
        <v>31</v>
      </c>
      <c r="B10" s="9" t="s">
        <v>138</v>
      </c>
      <c r="C10" s="9" t="s">
        <v>32</v>
      </c>
      <c r="D10" s="8" t="s">
        <v>443</v>
      </c>
      <c r="E10" s="9" t="s">
        <v>10</v>
      </c>
      <c r="F10" s="9" t="s">
        <v>85</v>
      </c>
      <c r="G10" s="10"/>
      <c r="H10" s="10"/>
      <c r="I10" s="11" t="str">
        <f>"140,0"</f>
        <v>140,0</v>
      </c>
      <c r="J10" s="12" t="str">
        <f>"169,9807"</f>
        <v>169,9807</v>
      </c>
      <c r="K10" s="8"/>
    </row>
    <row r="12" spans="1:11" ht="15" x14ac:dyDescent="0.2">
      <c r="A12" s="37" t="s">
        <v>140</v>
      </c>
      <c r="B12" s="37"/>
      <c r="C12" s="37"/>
      <c r="D12" s="37"/>
      <c r="E12" s="37"/>
      <c r="F12" s="37"/>
      <c r="G12" s="37"/>
      <c r="H12" s="37"/>
    </row>
    <row r="13" spans="1:11" x14ac:dyDescent="0.2">
      <c r="A13" s="8" t="s">
        <v>372</v>
      </c>
      <c r="B13" s="9" t="s">
        <v>373</v>
      </c>
      <c r="C13" s="9" t="s">
        <v>374</v>
      </c>
      <c r="D13" s="8" t="s">
        <v>445</v>
      </c>
      <c r="E13" s="9" t="s">
        <v>194</v>
      </c>
      <c r="F13" s="9" t="s">
        <v>244</v>
      </c>
      <c r="G13" s="9" t="s">
        <v>375</v>
      </c>
      <c r="H13" s="10"/>
      <c r="I13" s="11" t="str">
        <f>"222,5"</f>
        <v>222,5</v>
      </c>
      <c r="J13" s="12" t="str">
        <f>"263,7849"</f>
        <v>263,7849</v>
      </c>
      <c r="K13" s="8"/>
    </row>
    <row r="15" spans="1:11" ht="15" x14ac:dyDescent="0.2">
      <c r="A15" s="37" t="s">
        <v>34</v>
      </c>
      <c r="B15" s="37"/>
      <c r="C15" s="37"/>
      <c r="D15" s="37"/>
      <c r="E15" s="37"/>
      <c r="F15" s="37"/>
      <c r="G15" s="37"/>
      <c r="H15" s="37"/>
    </row>
    <row r="16" spans="1:11" x14ac:dyDescent="0.2">
      <c r="A16" s="21" t="s">
        <v>376</v>
      </c>
      <c r="B16" s="22" t="s">
        <v>377</v>
      </c>
      <c r="C16" s="22" t="s">
        <v>378</v>
      </c>
      <c r="D16" s="21" t="s">
        <v>425</v>
      </c>
      <c r="E16" s="22" t="s">
        <v>214</v>
      </c>
      <c r="F16" s="22" t="s">
        <v>193</v>
      </c>
      <c r="G16" s="22" t="s">
        <v>244</v>
      </c>
      <c r="H16" s="29"/>
      <c r="I16" s="23" t="str">
        <f>"215,0"</f>
        <v>215,0</v>
      </c>
      <c r="J16" s="24" t="str">
        <f>"127,9680"</f>
        <v>127,9680</v>
      </c>
      <c r="K16" s="21"/>
    </row>
    <row r="17" spans="1:11" x14ac:dyDescent="0.2">
      <c r="A17" s="25" t="s">
        <v>379</v>
      </c>
      <c r="B17" s="26" t="s">
        <v>380</v>
      </c>
      <c r="C17" s="26" t="s">
        <v>381</v>
      </c>
      <c r="D17" s="25" t="s">
        <v>444</v>
      </c>
      <c r="E17" s="26" t="s">
        <v>199</v>
      </c>
      <c r="F17" s="26" t="s">
        <v>97</v>
      </c>
      <c r="G17" s="35" t="s">
        <v>375</v>
      </c>
      <c r="H17" s="35"/>
      <c r="I17" s="27" t="str">
        <f>"210,0"</f>
        <v>210,0</v>
      </c>
      <c r="J17" s="28" t="str">
        <f>"128,7720"</f>
        <v>128,7720</v>
      </c>
      <c r="K17" s="25"/>
    </row>
    <row r="19" spans="1:11" ht="15" x14ac:dyDescent="0.2">
      <c r="A19" s="37" t="s">
        <v>69</v>
      </c>
      <c r="B19" s="37"/>
      <c r="C19" s="37"/>
      <c r="D19" s="37"/>
      <c r="E19" s="37"/>
      <c r="F19" s="37"/>
      <c r="G19" s="37"/>
      <c r="H19" s="37"/>
    </row>
    <row r="20" spans="1:11" x14ac:dyDescent="0.2">
      <c r="A20" s="21" t="s">
        <v>94</v>
      </c>
      <c r="B20" s="22" t="s">
        <v>382</v>
      </c>
      <c r="C20" s="22" t="s">
        <v>96</v>
      </c>
      <c r="D20" s="21" t="s">
        <v>431</v>
      </c>
      <c r="E20" s="22" t="s">
        <v>97</v>
      </c>
      <c r="F20" s="22" t="s">
        <v>98</v>
      </c>
      <c r="G20" s="22" t="s">
        <v>99</v>
      </c>
      <c r="H20" s="29"/>
      <c r="I20" s="23" t="str">
        <f>"232,5"</f>
        <v>232,5</v>
      </c>
      <c r="J20" s="24" t="str">
        <f>"132,3158"</f>
        <v>132,3158</v>
      </c>
      <c r="K20" s="21"/>
    </row>
    <row r="21" spans="1:11" x14ac:dyDescent="0.2">
      <c r="A21" s="25" t="s">
        <v>94</v>
      </c>
      <c r="B21" s="26" t="s">
        <v>95</v>
      </c>
      <c r="C21" s="26" t="s">
        <v>96</v>
      </c>
      <c r="D21" s="25" t="s">
        <v>431</v>
      </c>
      <c r="E21" s="26" t="s">
        <v>97</v>
      </c>
      <c r="F21" s="26" t="s">
        <v>98</v>
      </c>
      <c r="G21" s="26" t="s">
        <v>99</v>
      </c>
      <c r="H21" s="35"/>
      <c r="I21" s="27" t="str">
        <f>"232,5"</f>
        <v>232,5</v>
      </c>
      <c r="J21" s="28" t="str">
        <f>"182,5957"</f>
        <v>182,5957</v>
      </c>
      <c r="K21" s="25"/>
    </row>
    <row r="23" spans="1:11" ht="15" x14ac:dyDescent="0.2">
      <c r="A23" s="37" t="s">
        <v>11</v>
      </c>
      <c r="B23" s="37"/>
      <c r="C23" s="37"/>
      <c r="D23" s="37"/>
      <c r="E23" s="37"/>
      <c r="F23" s="37"/>
      <c r="G23" s="37"/>
      <c r="H23" s="37"/>
    </row>
    <row r="24" spans="1:11" x14ac:dyDescent="0.2">
      <c r="A24" s="8" t="s">
        <v>38</v>
      </c>
      <c r="B24" s="9" t="s">
        <v>249</v>
      </c>
      <c r="C24" s="9" t="s">
        <v>40</v>
      </c>
      <c r="D24" s="8" t="s">
        <v>430</v>
      </c>
      <c r="E24" s="9" t="s">
        <v>85</v>
      </c>
      <c r="F24" s="9" t="s">
        <v>101</v>
      </c>
      <c r="G24" s="9" t="s">
        <v>102</v>
      </c>
      <c r="H24" s="10"/>
      <c r="I24" s="11" t="str">
        <f>"160,0"</f>
        <v>160,0</v>
      </c>
      <c r="J24" s="12" t="str">
        <f>"103,1677"</f>
        <v>103,1677</v>
      </c>
      <c r="K24" s="8"/>
    </row>
    <row r="34" spans="1:3" ht="18" x14ac:dyDescent="0.25">
      <c r="A34" s="14" t="s">
        <v>18</v>
      </c>
      <c r="B34" s="15"/>
    </row>
    <row r="35" spans="1:3" ht="15" x14ac:dyDescent="0.2">
      <c r="A35" s="16" t="s">
        <v>19</v>
      </c>
      <c r="B35" s="13"/>
    </row>
    <row r="36" spans="1:3" ht="14.25" x14ac:dyDescent="0.2">
      <c r="A36" s="17"/>
      <c r="B36" s="18" t="s">
        <v>27</v>
      </c>
    </row>
    <row r="37" spans="1:3" ht="15" x14ac:dyDescent="0.2">
      <c r="A37" s="19" t="s">
        <v>0</v>
      </c>
      <c r="B37" s="19" t="s">
        <v>21</v>
      </c>
      <c r="C37" s="19" t="s">
        <v>22</v>
      </c>
    </row>
    <row r="38" spans="1:3" x14ac:dyDescent="0.2">
      <c r="A38" s="20" t="s">
        <v>383</v>
      </c>
      <c r="B38" s="2" t="s">
        <v>27</v>
      </c>
      <c r="C38" s="2" t="s">
        <v>157</v>
      </c>
    </row>
    <row r="41" spans="1:3" ht="15" x14ac:dyDescent="0.2">
      <c r="A41" s="16" t="s">
        <v>26</v>
      </c>
      <c r="B41" s="13"/>
    </row>
    <row r="42" spans="1:3" ht="14.25" x14ac:dyDescent="0.2">
      <c r="A42" s="17"/>
      <c r="B42" s="18" t="s">
        <v>103</v>
      </c>
    </row>
    <row r="43" spans="1:3" ht="15" x14ac:dyDescent="0.2">
      <c r="A43" s="19" t="s">
        <v>0</v>
      </c>
      <c r="B43" s="19" t="s">
        <v>21</v>
      </c>
      <c r="C43" s="19" t="s">
        <v>22</v>
      </c>
    </row>
    <row r="44" spans="1:3" x14ac:dyDescent="0.2">
      <c r="A44" s="20" t="s">
        <v>384</v>
      </c>
      <c r="B44" s="2" t="s">
        <v>104</v>
      </c>
      <c r="C44" s="2" t="s">
        <v>157</v>
      </c>
    </row>
    <row r="46" spans="1:3" ht="14.25" x14ac:dyDescent="0.2">
      <c r="A46" s="17"/>
      <c r="B46" s="18" t="s">
        <v>27</v>
      </c>
    </row>
    <row r="47" spans="1:3" ht="15" x14ac:dyDescent="0.2">
      <c r="A47" s="19" t="s">
        <v>0</v>
      </c>
      <c r="B47" s="19" t="s">
        <v>21</v>
      </c>
      <c r="C47" s="19" t="s">
        <v>22</v>
      </c>
    </row>
    <row r="48" spans="1:3" x14ac:dyDescent="0.2">
      <c r="A48" s="20" t="s">
        <v>107</v>
      </c>
      <c r="B48" s="2" t="s">
        <v>27</v>
      </c>
      <c r="C48" s="2" t="s">
        <v>75</v>
      </c>
    </row>
    <row r="49" spans="1:3" x14ac:dyDescent="0.2">
      <c r="A49" s="20" t="s">
        <v>385</v>
      </c>
      <c r="B49" s="2" t="s">
        <v>27</v>
      </c>
      <c r="C49" s="2" t="s">
        <v>45</v>
      </c>
    </row>
    <row r="50" spans="1:3" x14ac:dyDescent="0.2">
      <c r="A50" s="20" t="s">
        <v>386</v>
      </c>
      <c r="B50" s="2" t="s">
        <v>27</v>
      </c>
      <c r="C50" s="2" t="s">
        <v>45</v>
      </c>
    </row>
    <row r="52" spans="1:3" ht="14.25" x14ac:dyDescent="0.2">
      <c r="A52" s="17"/>
      <c r="B52" s="18" t="s">
        <v>20</v>
      </c>
    </row>
    <row r="53" spans="1:3" ht="15" x14ac:dyDescent="0.2">
      <c r="A53" s="19" t="s">
        <v>0</v>
      </c>
      <c r="B53" s="19" t="s">
        <v>21</v>
      </c>
      <c r="C53" s="19" t="s">
        <v>22</v>
      </c>
    </row>
    <row r="54" spans="1:3" x14ac:dyDescent="0.2">
      <c r="A54" s="20" t="s">
        <v>387</v>
      </c>
      <c r="B54" s="2" t="s">
        <v>168</v>
      </c>
      <c r="C54" s="2" t="s">
        <v>161</v>
      </c>
    </row>
    <row r="55" spans="1:3" x14ac:dyDescent="0.2">
      <c r="A55" s="20" t="s">
        <v>107</v>
      </c>
      <c r="B55" s="2" t="s">
        <v>108</v>
      </c>
      <c r="C55" s="2" t="s">
        <v>75</v>
      </c>
    </row>
    <row r="56" spans="1:3" x14ac:dyDescent="0.2">
      <c r="A56" s="20" t="s">
        <v>43</v>
      </c>
      <c r="B56" s="2" t="s">
        <v>168</v>
      </c>
      <c r="C56" s="2" t="s">
        <v>25</v>
      </c>
    </row>
    <row r="57" spans="1:3" x14ac:dyDescent="0.2">
      <c r="A57" s="20" t="s">
        <v>42</v>
      </c>
      <c r="B57" s="2" t="s">
        <v>24</v>
      </c>
      <c r="C57" s="2" t="s">
        <v>29</v>
      </c>
    </row>
  </sheetData>
  <mergeCells count="15">
    <mergeCell ref="A1:A2"/>
    <mergeCell ref="B1:B2"/>
    <mergeCell ref="C1:C2"/>
    <mergeCell ref="D1:D2"/>
    <mergeCell ref="E1:H1"/>
    <mergeCell ref="I1:I2"/>
    <mergeCell ref="J1:J2"/>
    <mergeCell ref="K1:K2"/>
    <mergeCell ref="A19:H19"/>
    <mergeCell ref="A23:H23"/>
    <mergeCell ref="A3:H3"/>
    <mergeCell ref="A6:H6"/>
    <mergeCell ref="A9:H9"/>
    <mergeCell ref="A12:H12"/>
    <mergeCell ref="A15:H1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H32"/>
  <sheetViews>
    <sheetView zoomScaleNormal="100" workbookViewId="0">
      <selection activeCell="G6" sqref="G6"/>
    </sheetView>
  </sheetViews>
  <sheetFormatPr defaultColWidth="9.140625" defaultRowHeight="12.75" x14ac:dyDescent="0.2"/>
  <cols>
    <col min="1" max="1" width="24.85546875" style="1" customWidth="1"/>
    <col min="2" max="2" width="30.42578125" style="2" customWidth="1"/>
    <col min="3" max="3" width="7.5703125" style="2" customWidth="1"/>
    <col min="4" max="4" width="30.140625" style="1" customWidth="1"/>
    <col min="5" max="7" width="5.5703125" style="2" customWidth="1"/>
    <col min="8" max="8" width="4.7109375" style="2" customWidth="1"/>
    <col min="9" max="9" width="5.7109375" style="3" customWidth="1"/>
    <col min="10" max="10" width="8.5703125" style="4" customWidth="1"/>
    <col min="11" max="11" width="7.140625" style="1" customWidth="1"/>
    <col min="12" max="1022" width="9.140625" style="5"/>
  </cols>
  <sheetData>
    <row r="1" spans="1:11" s="6" customFormat="1" ht="12.75" customHeight="1" x14ac:dyDescent="0.2">
      <c r="A1" s="38" t="s">
        <v>414</v>
      </c>
      <c r="B1" s="39" t="s">
        <v>1</v>
      </c>
      <c r="C1" s="39" t="s">
        <v>415</v>
      </c>
      <c r="D1" s="40" t="s">
        <v>416</v>
      </c>
      <c r="E1" s="41" t="s">
        <v>417</v>
      </c>
      <c r="F1" s="41"/>
      <c r="G1" s="41"/>
      <c r="H1" s="41"/>
      <c r="I1" s="40" t="s">
        <v>419</v>
      </c>
      <c r="J1" s="40" t="s">
        <v>420</v>
      </c>
      <c r="K1" s="42"/>
    </row>
    <row r="2" spans="1:11" s="6" customFormat="1" ht="23.25" customHeight="1" x14ac:dyDescent="0.2">
      <c r="A2" s="38"/>
      <c r="B2" s="39"/>
      <c r="C2" s="39"/>
      <c r="D2" s="39"/>
      <c r="E2" s="7">
        <v>1</v>
      </c>
      <c r="F2" s="7">
        <v>2</v>
      </c>
      <c r="G2" s="7">
        <v>3</v>
      </c>
      <c r="H2" s="7" t="s">
        <v>3</v>
      </c>
      <c r="I2" s="40"/>
      <c r="J2" s="40"/>
      <c r="K2" s="42"/>
    </row>
    <row r="3" spans="1:11" s="2" customFormat="1" ht="15" x14ac:dyDescent="0.2">
      <c r="A3" s="36" t="s">
        <v>4</v>
      </c>
      <c r="B3" s="36"/>
      <c r="C3" s="36"/>
      <c r="D3" s="36"/>
      <c r="E3" s="36"/>
      <c r="F3" s="36"/>
      <c r="G3" s="36"/>
      <c r="H3" s="36"/>
      <c r="I3" s="3"/>
      <c r="J3" s="4"/>
      <c r="K3" s="1"/>
    </row>
    <row r="4" spans="1:11" s="2" customFormat="1" x14ac:dyDescent="0.2">
      <c r="A4" s="21" t="s">
        <v>123</v>
      </c>
      <c r="B4" s="22" t="s">
        <v>124</v>
      </c>
      <c r="C4" s="22" t="s">
        <v>125</v>
      </c>
      <c r="D4" s="21" t="s">
        <v>432</v>
      </c>
      <c r="E4" s="22" t="s">
        <v>193</v>
      </c>
      <c r="F4" s="22" t="s">
        <v>97</v>
      </c>
      <c r="G4" s="29" t="s">
        <v>244</v>
      </c>
      <c r="H4" s="29"/>
      <c r="I4" s="23" t="str">
        <f>"210,0"</f>
        <v>210,0</v>
      </c>
      <c r="J4" s="24" t="str">
        <f>"154,0560"</f>
        <v>154,0560</v>
      </c>
      <c r="K4" s="21"/>
    </row>
    <row r="5" spans="1:11" s="2" customFormat="1" x14ac:dyDescent="0.2">
      <c r="A5" s="25" t="s">
        <v>123</v>
      </c>
      <c r="B5" s="26" t="s">
        <v>128</v>
      </c>
      <c r="C5" s="26" t="s">
        <v>125</v>
      </c>
      <c r="D5" s="25" t="s">
        <v>432</v>
      </c>
      <c r="E5" s="26" t="s">
        <v>193</v>
      </c>
      <c r="F5" s="26" t="s">
        <v>97</v>
      </c>
      <c r="G5" s="35" t="s">
        <v>244</v>
      </c>
      <c r="H5" s="35"/>
      <c r="I5" s="27" t="str">
        <f>"210,0"</f>
        <v>210,0</v>
      </c>
      <c r="J5" s="28" t="str">
        <f>"154,0560"</f>
        <v>154,0560</v>
      </c>
      <c r="K5" s="25"/>
    </row>
    <row r="7" spans="1:11" ht="15" x14ac:dyDescent="0.2">
      <c r="A7" s="37" t="s">
        <v>69</v>
      </c>
      <c r="B7" s="37"/>
      <c r="C7" s="37"/>
      <c r="D7" s="37"/>
      <c r="E7" s="37"/>
      <c r="F7" s="37"/>
      <c r="G7" s="37"/>
      <c r="H7" s="37"/>
    </row>
    <row r="8" spans="1:11" x14ac:dyDescent="0.2">
      <c r="A8" s="8" t="s">
        <v>151</v>
      </c>
      <c r="B8" s="9" t="s">
        <v>152</v>
      </c>
      <c r="C8" s="9" t="s">
        <v>153</v>
      </c>
      <c r="D8" s="8" t="s">
        <v>428</v>
      </c>
      <c r="E8" s="9" t="s">
        <v>194</v>
      </c>
      <c r="F8" s="9" t="s">
        <v>244</v>
      </c>
      <c r="G8" s="9" t="s">
        <v>16</v>
      </c>
      <c r="H8" s="10"/>
      <c r="I8" s="11" t="str">
        <f>"225,0"</f>
        <v>225,0</v>
      </c>
      <c r="J8" s="12" t="str">
        <f>"128,1825"</f>
        <v>128,1825</v>
      </c>
      <c r="K8" s="8"/>
    </row>
    <row r="18" spans="1:3" ht="18" x14ac:dyDescent="0.25">
      <c r="A18" s="14" t="s">
        <v>18</v>
      </c>
      <c r="B18" s="15"/>
    </row>
    <row r="19" spans="1:3" ht="15" x14ac:dyDescent="0.2">
      <c r="A19" s="16" t="s">
        <v>19</v>
      </c>
      <c r="B19" s="13"/>
    </row>
    <row r="20" spans="1:3" ht="14.25" x14ac:dyDescent="0.2">
      <c r="A20" s="17"/>
      <c r="B20" s="18" t="s">
        <v>27</v>
      </c>
    </row>
    <row r="21" spans="1:3" ht="15" x14ac:dyDescent="0.2">
      <c r="A21" s="19" t="s">
        <v>0</v>
      </c>
      <c r="B21" s="19" t="s">
        <v>21</v>
      </c>
      <c r="C21" s="19" t="s">
        <v>22</v>
      </c>
    </row>
    <row r="22" spans="1:3" x14ac:dyDescent="0.2">
      <c r="A22" s="20" t="s">
        <v>155</v>
      </c>
      <c r="B22" s="2" t="s">
        <v>27</v>
      </c>
      <c r="C22" s="2" t="s">
        <v>25</v>
      </c>
    </row>
    <row r="24" spans="1:3" ht="14.25" x14ac:dyDescent="0.2">
      <c r="A24" s="17"/>
      <c r="B24" s="18" t="s">
        <v>20</v>
      </c>
    </row>
    <row r="25" spans="1:3" ht="15" x14ac:dyDescent="0.2">
      <c r="A25" s="19" t="s">
        <v>0</v>
      </c>
      <c r="B25" s="19" t="s">
        <v>21</v>
      </c>
      <c r="C25" s="19" t="s">
        <v>22</v>
      </c>
    </row>
    <row r="26" spans="1:3" x14ac:dyDescent="0.2">
      <c r="A26" s="20" t="s">
        <v>155</v>
      </c>
      <c r="B26" s="2" t="s">
        <v>158</v>
      </c>
      <c r="C26" s="2" t="s">
        <v>25</v>
      </c>
    </row>
    <row r="29" spans="1:3" ht="15" x14ac:dyDescent="0.2">
      <c r="A29" s="16" t="s">
        <v>26</v>
      </c>
      <c r="B29" s="13"/>
    </row>
    <row r="30" spans="1:3" ht="14.25" x14ac:dyDescent="0.2">
      <c r="A30" s="17"/>
      <c r="B30" s="18" t="s">
        <v>164</v>
      </c>
    </row>
    <row r="31" spans="1:3" ht="15" x14ac:dyDescent="0.2">
      <c r="A31" s="19" t="s">
        <v>0</v>
      </c>
      <c r="B31" s="19" t="s">
        <v>21</v>
      </c>
      <c r="C31" s="19" t="s">
        <v>22</v>
      </c>
    </row>
    <row r="32" spans="1:3" x14ac:dyDescent="0.2">
      <c r="A32" s="20" t="s">
        <v>165</v>
      </c>
      <c r="B32" s="2" t="s">
        <v>166</v>
      </c>
      <c r="C32" s="2" t="s">
        <v>75</v>
      </c>
    </row>
  </sheetData>
  <mergeCells count="10">
    <mergeCell ref="A3:H3"/>
    <mergeCell ref="A7:H7"/>
    <mergeCell ref="A1:A2"/>
    <mergeCell ref="B1:B2"/>
    <mergeCell ref="C1:C2"/>
    <mergeCell ref="D1:D2"/>
    <mergeCell ref="E1:H1"/>
    <mergeCell ref="I1:I2"/>
    <mergeCell ref="J1:J2"/>
    <mergeCell ref="K1:K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H22"/>
  <sheetViews>
    <sheetView zoomScaleNormal="100" workbookViewId="0">
      <selection activeCell="D10" sqref="D10"/>
    </sheetView>
  </sheetViews>
  <sheetFormatPr defaultColWidth="9.140625" defaultRowHeight="12.75" x14ac:dyDescent="0.2"/>
  <cols>
    <col min="1" max="1" width="24.85546875" style="1" customWidth="1"/>
    <col min="2" max="2" width="26.5703125" style="2" customWidth="1"/>
    <col min="3" max="3" width="7.5703125" style="2" customWidth="1"/>
    <col min="4" max="4" width="30.85546875" style="1" customWidth="1"/>
    <col min="5" max="8" width="5.5703125" style="2" customWidth="1"/>
    <col min="9" max="9" width="5.7109375" style="3" customWidth="1"/>
    <col min="10" max="10" width="8.5703125" style="4" customWidth="1"/>
    <col min="11" max="11" width="7.140625" style="1" customWidth="1"/>
    <col min="12" max="1022" width="9.140625" style="5"/>
  </cols>
  <sheetData>
    <row r="1" spans="1:11" s="6" customFormat="1" ht="12.75" customHeight="1" x14ac:dyDescent="0.2">
      <c r="A1" s="38" t="s">
        <v>414</v>
      </c>
      <c r="B1" s="39" t="s">
        <v>1</v>
      </c>
      <c r="C1" s="39" t="s">
        <v>415</v>
      </c>
      <c r="D1" s="40" t="s">
        <v>416</v>
      </c>
      <c r="E1" s="41" t="s">
        <v>417</v>
      </c>
      <c r="F1" s="41"/>
      <c r="G1" s="41"/>
      <c r="H1" s="41"/>
      <c r="I1" s="40" t="s">
        <v>419</v>
      </c>
      <c r="J1" s="40" t="s">
        <v>420</v>
      </c>
      <c r="K1" s="42"/>
    </row>
    <row r="2" spans="1:11" s="6" customFormat="1" ht="23.25" customHeight="1" x14ac:dyDescent="0.2">
      <c r="A2" s="38"/>
      <c r="B2" s="39"/>
      <c r="C2" s="39"/>
      <c r="D2" s="39"/>
      <c r="E2" s="7">
        <v>1</v>
      </c>
      <c r="F2" s="7">
        <v>2</v>
      </c>
      <c r="G2" s="7">
        <v>3</v>
      </c>
      <c r="H2" s="7" t="s">
        <v>418</v>
      </c>
      <c r="I2" s="40"/>
      <c r="J2" s="40"/>
      <c r="K2" s="42"/>
    </row>
    <row r="3" spans="1:11" s="2" customFormat="1" ht="15" x14ac:dyDescent="0.2">
      <c r="A3" s="36" t="s">
        <v>140</v>
      </c>
      <c r="B3" s="36"/>
      <c r="C3" s="36"/>
      <c r="D3" s="36"/>
      <c r="E3" s="36"/>
      <c r="F3" s="36"/>
      <c r="G3" s="36"/>
      <c r="H3" s="36"/>
      <c r="I3" s="3"/>
      <c r="J3" s="4"/>
      <c r="K3" s="1"/>
    </row>
    <row r="4" spans="1:11" s="2" customFormat="1" x14ac:dyDescent="0.2">
      <c r="A4" s="8" t="s">
        <v>410</v>
      </c>
      <c r="B4" s="9" t="s">
        <v>411</v>
      </c>
      <c r="C4" s="9" t="s">
        <v>412</v>
      </c>
      <c r="D4" s="8" t="s">
        <v>446</v>
      </c>
      <c r="E4" s="10" t="s">
        <v>97</v>
      </c>
      <c r="F4" s="9" t="s">
        <v>244</v>
      </c>
      <c r="G4" s="9" t="s">
        <v>16</v>
      </c>
      <c r="H4" s="9" t="s">
        <v>99</v>
      </c>
      <c r="I4" s="11" t="str">
        <f>"225,0"</f>
        <v>225,0</v>
      </c>
      <c r="J4" s="12" t="str">
        <f>"174,5689"</f>
        <v>174,5689</v>
      </c>
      <c r="K4" s="8"/>
    </row>
    <row r="5" spans="1:11" s="2" customFormat="1" x14ac:dyDescent="0.2">
      <c r="A5" s="1"/>
      <c r="D5" s="1"/>
      <c r="I5" s="3"/>
      <c r="J5" s="4"/>
      <c r="K5" s="1"/>
    </row>
    <row r="6" spans="1:11" ht="15" x14ac:dyDescent="0.2">
      <c r="A6" s="37" t="s">
        <v>69</v>
      </c>
      <c r="B6" s="37"/>
      <c r="C6" s="37"/>
      <c r="D6" s="37"/>
      <c r="E6" s="37"/>
      <c r="F6" s="37"/>
      <c r="G6" s="37"/>
      <c r="H6" s="37"/>
    </row>
    <row r="7" spans="1:11" x14ac:dyDescent="0.2">
      <c r="A7" s="8" t="s">
        <v>82</v>
      </c>
      <c r="B7" s="9" t="s">
        <v>109</v>
      </c>
      <c r="C7" s="9" t="s">
        <v>83</v>
      </c>
      <c r="D7" s="8" t="s">
        <v>442</v>
      </c>
      <c r="E7" s="9" t="s">
        <v>191</v>
      </c>
      <c r="F7" s="9" t="s">
        <v>192</v>
      </c>
      <c r="G7" s="10" t="s">
        <v>194</v>
      </c>
      <c r="H7" s="10"/>
      <c r="I7" s="11" t="str">
        <f>"190,0"</f>
        <v>190,0</v>
      </c>
      <c r="J7" s="12" t="str">
        <f>"214,5649"</f>
        <v>214,5649</v>
      </c>
      <c r="K7" s="8"/>
    </row>
    <row r="17" spans="1:3" ht="18" x14ac:dyDescent="0.25">
      <c r="A17" s="14" t="s">
        <v>18</v>
      </c>
      <c r="B17" s="15"/>
    </row>
    <row r="18" spans="1:3" ht="15" x14ac:dyDescent="0.2">
      <c r="A18" s="16" t="s">
        <v>26</v>
      </c>
      <c r="B18" s="13"/>
    </row>
    <row r="19" spans="1:3" ht="14.25" x14ac:dyDescent="0.2">
      <c r="A19" s="17"/>
      <c r="B19" s="18" t="s">
        <v>20</v>
      </c>
    </row>
    <row r="20" spans="1:3" ht="15" x14ac:dyDescent="0.2">
      <c r="A20" s="19" t="s">
        <v>0</v>
      </c>
      <c r="B20" s="19" t="s">
        <v>21</v>
      </c>
      <c r="C20" s="19" t="s">
        <v>22</v>
      </c>
    </row>
    <row r="21" spans="1:3" x14ac:dyDescent="0.2">
      <c r="A21" s="20" t="s">
        <v>86</v>
      </c>
      <c r="B21" s="2" t="s">
        <v>110</v>
      </c>
      <c r="C21" s="2" t="s">
        <v>75</v>
      </c>
    </row>
    <row r="22" spans="1:3" x14ac:dyDescent="0.2">
      <c r="A22" s="20" t="s">
        <v>413</v>
      </c>
      <c r="B22" s="2" t="s">
        <v>24</v>
      </c>
      <c r="C22" s="2" t="s">
        <v>161</v>
      </c>
    </row>
  </sheetData>
  <mergeCells count="10">
    <mergeCell ref="A3:H3"/>
    <mergeCell ref="A6:H6"/>
    <mergeCell ref="A1:A2"/>
    <mergeCell ref="B1:B2"/>
    <mergeCell ref="C1:C2"/>
    <mergeCell ref="D1:D2"/>
    <mergeCell ref="E1:H1"/>
    <mergeCell ref="I1:I2"/>
    <mergeCell ref="J1:J2"/>
    <mergeCell ref="K1:K2"/>
  </mergeCells>
  <pageMargins left="0.196527777777778" right="0.47222222222222199" top="0.43333333333333302" bottom="0.47291666666666698" header="0.51180555555555496" footer="0.51180555555555496"/>
  <pageSetup firstPageNumber="0" fitToHeight="100" orientation="landscape" horizontalDpi="300" verticalDpi="300"/>
  <headerFooter>
    <oddFooter>&amp;R&amp;D&amp;T&amp;P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AWPA raw PL</vt:lpstr>
      <vt:lpstr>WPA raw PL</vt:lpstr>
      <vt:lpstr>AWPA RAW PP</vt:lpstr>
      <vt:lpstr>AWPA raw BP</vt:lpstr>
      <vt:lpstr>WPA raw BP</vt:lpstr>
      <vt:lpstr>AWPC MP soft eq. BP</vt:lpstr>
      <vt:lpstr>WPA raw SQ</vt:lpstr>
      <vt:lpstr>WPA SC</vt:lpstr>
      <vt:lpstr>AWPA SC</vt:lpstr>
      <vt:lpstr>AWPA mil_bp</vt:lpstr>
      <vt:lpstr>AWPA raw DL</vt:lpstr>
      <vt:lpstr>AWPA DL</vt:lpstr>
      <vt:lpstr>WPA raw DL</vt:lpstr>
      <vt:lpstr>'WPA raw DL'!_FilterDatabase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dc:description/>
  <cp:lastModifiedBy>Pete Kravtsov</cp:lastModifiedBy>
  <cp:revision>2</cp:revision>
  <cp:lastPrinted>2008-02-22T21:19:54Z</cp:lastPrinted>
  <dcterms:created xsi:type="dcterms:W3CDTF">2002-06-16T13:36:44Z</dcterms:created>
  <dcterms:modified xsi:type="dcterms:W3CDTF">2021-04-18T14:44:26Z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