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8" documentId="11_96D55B596560C74A8A2EA9774BDC37D36A692BF3" xr6:coauthVersionLast="46" xr6:coauthVersionMax="46" xr10:uidLastSave="{B2657B0A-7C74-4C23-A8A0-25150CF578F7}"/>
  <bookViews>
    <workbookView xWindow="-120" yWindow="-120" windowWidth="38640" windowHeight="16440" tabRatio="992" xr2:uid="{00000000-000D-0000-FFFF-FFFF00000000}"/>
  </bookViews>
  <sheets>
    <sheet name="AWPA raw PL" sheetId="14" r:id="rId1"/>
    <sheet name="WPA raw PL" sheetId="18" r:id="rId2"/>
    <sheet name="AWPA RAW PP" sheetId="9" r:id="rId3"/>
    <sheet name="AWPA raw BP" sheetId="15" r:id="rId4"/>
    <sheet name="WPA raw BP" sheetId="19" r:id="rId5"/>
    <sheet name="AWPC MP soft eq. BP" sheetId="1" r:id="rId6"/>
    <sheet name="WPA raw SQ" sheetId="10" r:id="rId7"/>
    <sheet name="WPA SC" sheetId="11" r:id="rId8"/>
    <sheet name="AWPA SC" sheetId="12" r:id="rId9"/>
    <sheet name="AWPA mil_bp" sheetId="13" r:id="rId10"/>
    <sheet name="AWPA raw DL" sheetId="17" r:id="rId11"/>
    <sheet name="AWPA DL" sheetId="16" r:id="rId12"/>
    <sheet name="WPA raw DL" sheetId="20" r:id="rId13"/>
  </sheets>
  <definedNames>
    <definedName name="_xlnm._FilterDatabase" localSheetId="12">'WPA raw DL'!$A$1:$M$1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" i="20" l="1"/>
  <c r="M4" i="20"/>
  <c r="N3" i="20"/>
  <c r="M3" i="20"/>
  <c r="N8" i="19"/>
  <c r="M8" i="19"/>
  <c r="N7" i="19"/>
  <c r="M7" i="19"/>
  <c r="N6" i="19"/>
  <c r="M6" i="19"/>
  <c r="N5" i="19"/>
  <c r="M5" i="19"/>
  <c r="N4" i="19"/>
  <c r="M4" i="19"/>
  <c r="N3" i="19"/>
  <c r="M3" i="19"/>
  <c r="V3" i="18"/>
  <c r="U3" i="18"/>
  <c r="M11" i="17"/>
  <c r="M10" i="17"/>
  <c r="M9" i="17"/>
  <c r="M8" i="17"/>
  <c r="M7" i="17"/>
  <c r="M6" i="17"/>
  <c r="M5" i="17"/>
  <c r="M4" i="17"/>
  <c r="M3" i="17"/>
  <c r="N5" i="16"/>
  <c r="M5" i="16"/>
  <c r="N4" i="16"/>
  <c r="M4" i="16"/>
  <c r="N3" i="16"/>
  <c r="M3" i="16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M13" i="15"/>
  <c r="N12" i="15"/>
  <c r="M12" i="15"/>
  <c r="N11" i="15"/>
  <c r="M11" i="15"/>
  <c r="N10" i="15"/>
  <c r="M10" i="15"/>
  <c r="N9" i="15"/>
  <c r="M9" i="15"/>
  <c r="N8" i="15"/>
  <c r="M8" i="15"/>
  <c r="N7" i="15"/>
  <c r="M7" i="15"/>
  <c r="N6" i="15"/>
  <c r="M6" i="15"/>
  <c r="N5" i="15"/>
  <c r="M5" i="15"/>
  <c r="N4" i="15"/>
  <c r="M4" i="15"/>
  <c r="N3" i="15"/>
  <c r="M3" i="15"/>
  <c r="V23" i="14"/>
  <c r="U23" i="14"/>
  <c r="V22" i="14"/>
  <c r="U22" i="14"/>
  <c r="V21" i="14"/>
  <c r="U21" i="14"/>
  <c r="V20" i="14"/>
  <c r="U20" i="14"/>
  <c r="V19" i="14"/>
  <c r="U19" i="14"/>
  <c r="V18" i="14"/>
  <c r="U18" i="14"/>
  <c r="V17" i="14"/>
  <c r="U17" i="14"/>
  <c r="V16" i="14"/>
  <c r="U16" i="14"/>
  <c r="V15" i="14"/>
  <c r="U15" i="14"/>
  <c r="V14" i="14"/>
  <c r="U14" i="14"/>
  <c r="V13" i="14"/>
  <c r="U13" i="14"/>
  <c r="V12" i="14"/>
  <c r="U12" i="14"/>
  <c r="V11" i="14"/>
  <c r="U11" i="14"/>
  <c r="V10" i="14"/>
  <c r="U10" i="14"/>
  <c r="U9" i="14"/>
  <c r="V8" i="14"/>
  <c r="U8" i="14"/>
  <c r="V7" i="14"/>
  <c r="U7" i="14"/>
  <c r="V6" i="14"/>
  <c r="U6" i="14"/>
  <c r="V5" i="14"/>
  <c r="U5" i="14"/>
  <c r="V4" i="14"/>
  <c r="U4" i="14"/>
  <c r="V3" i="14"/>
  <c r="U3" i="14"/>
  <c r="N4" i="13"/>
  <c r="M4" i="13"/>
  <c r="N3" i="13"/>
  <c r="M3" i="13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5" i="12"/>
  <c r="M5" i="12"/>
  <c r="N4" i="12"/>
  <c r="M4" i="12"/>
  <c r="N3" i="12"/>
  <c r="M3" i="12"/>
  <c r="N3" i="11"/>
  <c r="M3" i="11"/>
  <c r="N3" i="10"/>
  <c r="M3" i="10"/>
  <c r="N4" i="1"/>
  <c r="M4" i="1"/>
  <c r="N3" i="1"/>
  <c r="M3" i="1"/>
</calcChain>
</file>

<file path=xl/sharedStrings.xml><?xml version="1.0" encoding="utf-8"?>
<sst xmlns="http://schemas.openxmlformats.org/spreadsheetml/2006/main" count="1120" uniqueCount="350">
  <si>
    <t>Name</t>
  </si>
  <si>
    <t>69,80</t>
  </si>
  <si>
    <t>100,0</t>
  </si>
  <si>
    <t>110,0</t>
  </si>
  <si>
    <t>120,0</t>
  </si>
  <si>
    <t>106,60</t>
  </si>
  <si>
    <t>220,0</t>
  </si>
  <si>
    <t>225,0</t>
  </si>
  <si>
    <t>230,0</t>
  </si>
  <si>
    <t>25,0</t>
  </si>
  <si>
    <t>74,10</t>
  </si>
  <si>
    <t>75,0</t>
  </si>
  <si>
    <t>87,80</t>
  </si>
  <si>
    <t>90,0</t>
  </si>
  <si>
    <t>101,90</t>
  </si>
  <si>
    <t>102,5</t>
  </si>
  <si>
    <t>Bekov Kairat</t>
  </si>
  <si>
    <t>52,5</t>
  </si>
  <si>
    <t>69,90</t>
  </si>
  <si>
    <t>70,0</t>
  </si>
  <si>
    <t>73,70</t>
  </si>
  <si>
    <t>65,20</t>
  </si>
  <si>
    <t>55,0</t>
  </si>
  <si>
    <t>60,0</t>
  </si>
  <si>
    <t>65,0</t>
  </si>
  <si>
    <t>80,0</t>
  </si>
  <si>
    <t>95,0</t>
  </si>
  <si>
    <t>75,00</t>
  </si>
  <si>
    <t>85,0</t>
  </si>
  <si>
    <t>74,90</t>
  </si>
  <si>
    <t>77,50</t>
  </si>
  <si>
    <t>40,0</t>
  </si>
  <si>
    <t>50,0</t>
  </si>
  <si>
    <t>93,80</t>
  </si>
  <si>
    <t>105,0</t>
  </si>
  <si>
    <t>115,0</t>
  </si>
  <si>
    <t>125,0</t>
  </si>
  <si>
    <t>99,10</t>
  </si>
  <si>
    <t>130,0</t>
  </si>
  <si>
    <t>140,0</t>
  </si>
  <si>
    <t>Battakhov Petr</t>
  </si>
  <si>
    <t>60,5</t>
  </si>
  <si>
    <t>77,5</t>
  </si>
  <si>
    <t>82,5</t>
  </si>
  <si>
    <t>135,0</t>
  </si>
  <si>
    <t>145,0</t>
  </si>
  <si>
    <t>155,0</t>
  </si>
  <si>
    <t>94,60</t>
  </si>
  <si>
    <t>210,0</t>
  </si>
  <si>
    <t>225,5</t>
  </si>
  <si>
    <t>232,5</t>
  </si>
  <si>
    <t>142,5</t>
  </si>
  <si>
    <t>150,0</t>
  </si>
  <si>
    <t>160,0</t>
  </si>
  <si>
    <t>240,0</t>
  </si>
  <si>
    <t>302,5</t>
  </si>
  <si>
    <t>53,50</t>
  </si>
  <si>
    <t>27,5</t>
  </si>
  <si>
    <t>32,5</t>
  </si>
  <si>
    <t>30,0</t>
  </si>
  <si>
    <t>73,30</t>
  </si>
  <si>
    <t>35,0</t>
  </si>
  <si>
    <t>42,5</t>
  </si>
  <si>
    <t>62,5</t>
  </si>
  <si>
    <t>57,5</t>
  </si>
  <si>
    <t>74,40</t>
  </si>
  <si>
    <t>45,0</t>
  </si>
  <si>
    <t>89,90</t>
  </si>
  <si>
    <t>90,00</t>
  </si>
  <si>
    <t>67,5</t>
  </si>
  <si>
    <t>96,60</t>
  </si>
  <si>
    <t>94,40</t>
  </si>
  <si>
    <t>80,5</t>
  </si>
  <si>
    <t>59,40</t>
  </si>
  <si>
    <t>58,80</t>
  </si>
  <si>
    <t>37,5</t>
  </si>
  <si>
    <t>92,5</t>
  </si>
  <si>
    <t>Tulyakov Nikita</t>
  </si>
  <si>
    <t>75,60</t>
  </si>
  <si>
    <t>88,80</t>
  </si>
  <si>
    <t>66,80</t>
  </si>
  <si>
    <t>170,0</t>
  </si>
  <si>
    <t>190,0</t>
  </si>
  <si>
    <t>200,0</t>
  </si>
  <si>
    <t>205,0</t>
  </si>
  <si>
    <t>74,60</t>
  </si>
  <si>
    <t>185,0</t>
  </si>
  <si>
    <t>195,0</t>
  </si>
  <si>
    <t>82,20</t>
  </si>
  <si>
    <t>87,20</t>
  </si>
  <si>
    <t>152,5</t>
  </si>
  <si>
    <t>245,0</t>
  </si>
  <si>
    <t>257,5</t>
  </si>
  <si>
    <t>89,00</t>
  </si>
  <si>
    <t>180,0</t>
  </si>
  <si>
    <t>197,5</t>
  </si>
  <si>
    <t>202,5</t>
  </si>
  <si>
    <t>86,30</t>
  </si>
  <si>
    <t>165,0</t>
  </si>
  <si>
    <t>250,0</t>
  </si>
  <si>
    <t>265,0</t>
  </si>
  <si>
    <t>162,5</t>
  </si>
  <si>
    <t>260,0</t>
  </si>
  <si>
    <t>290,0</t>
  </si>
  <si>
    <t>99,40</t>
  </si>
  <si>
    <t>255,0</t>
  </si>
  <si>
    <t>97,20</t>
  </si>
  <si>
    <t>157,5</t>
  </si>
  <si>
    <t>109,00</t>
  </si>
  <si>
    <t>270,0</t>
  </si>
  <si>
    <t>277,5</t>
  </si>
  <si>
    <t>105,80</t>
  </si>
  <si>
    <t>215,0</t>
  </si>
  <si>
    <t>101,40</t>
  </si>
  <si>
    <t>207,5</t>
  </si>
  <si>
    <t>Migulev Aleksey</t>
  </si>
  <si>
    <t>Privezentzev Artem</t>
  </si>
  <si>
    <t>Lototskiy Dmitriy</t>
  </si>
  <si>
    <t>Kogan Aleksandr</t>
  </si>
  <si>
    <t>55,90</t>
  </si>
  <si>
    <t>64,50</t>
  </si>
  <si>
    <t>70,40</t>
  </si>
  <si>
    <t>65,40</t>
  </si>
  <si>
    <t>107,5</t>
  </si>
  <si>
    <t>65,50</t>
  </si>
  <si>
    <t>97,5</t>
  </si>
  <si>
    <t>117,5</t>
  </si>
  <si>
    <t>81,40</t>
  </si>
  <si>
    <t>147,5</t>
  </si>
  <si>
    <t>132,5</t>
  </si>
  <si>
    <t>Matevosyan David</t>
  </si>
  <si>
    <t>89,60</t>
  </si>
  <si>
    <t>172,5</t>
  </si>
  <si>
    <t>87,70</t>
  </si>
  <si>
    <t>98,30</t>
  </si>
  <si>
    <t>177,5</t>
  </si>
  <si>
    <t>95,80</t>
  </si>
  <si>
    <t>92,50</t>
  </si>
  <si>
    <t>137,5</t>
  </si>
  <si>
    <t>110,00</t>
  </si>
  <si>
    <t>108,00</t>
  </si>
  <si>
    <t>107,30</t>
  </si>
  <si>
    <t>Kaminskiy Yevgeniy</t>
  </si>
  <si>
    <t>107,80</t>
  </si>
  <si>
    <t>124,60</t>
  </si>
  <si>
    <t>135,70</t>
  </si>
  <si>
    <t>182,5</t>
  </si>
  <si>
    <t>145,00</t>
  </si>
  <si>
    <t>Seferov Rafat</t>
  </si>
  <si>
    <t>Kozlov Vladislav</t>
  </si>
  <si>
    <t>54,90</t>
  </si>
  <si>
    <t>55,60</t>
  </si>
  <si>
    <t>76,40</t>
  </si>
  <si>
    <t>222,5</t>
  </si>
  <si>
    <t>87,60</t>
  </si>
  <si>
    <t>83,70</t>
  </si>
  <si>
    <t>Samodelov Igor</t>
  </si>
  <si>
    <t>107,70</t>
  </si>
  <si>
    <t>175,0</t>
  </si>
  <si>
    <t>79,70</t>
  </si>
  <si>
    <t>89,30</t>
  </si>
  <si>
    <t>116,80</t>
  </si>
  <si>
    <t>81,20</t>
  </si>
  <si>
    <t>имя</t>
  </si>
  <si>
    <t>вес</t>
  </si>
  <si>
    <t>город</t>
  </si>
  <si>
    <t>тяга</t>
  </si>
  <si>
    <t>4</t>
  </si>
  <si>
    <t>итог</t>
  </si>
  <si>
    <t>очки</t>
  </si>
  <si>
    <t>присед</t>
  </si>
  <si>
    <t>жим</t>
  </si>
  <si>
    <t>тренер</t>
  </si>
  <si>
    <t>Видное</t>
  </si>
  <si>
    <t>Москва</t>
  </si>
  <si>
    <t>Апрелевка</t>
  </si>
  <si>
    <t>Химки</t>
  </si>
  <si>
    <t>Архангельск</t>
  </si>
  <si>
    <t>Благовещенск</t>
  </si>
  <si>
    <t>Казахстан</t>
  </si>
  <si>
    <t>Брянск</t>
  </si>
  <si>
    <t>Курск</t>
  </si>
  <si>
    <t>Клин</t>
  </si>
  <si>
    <t>Краснознаменск</t>
  </si>
  <si>
    <t>Подольск</t>
  </si>
  <si>
    <t>Долгопрудный</t>
  </si>
  <si>
    <t>Обнинск</t>
  </si>
  <si>
    <t>Жуковский</t>
  </si>
  <si>
    <t>Пермь</t>
  </si>
  <si>
    <t>Яранск</t>
  </si>
  <si>
    <t>Щелково</t>
  </si>
  <si>
    <t>Якутск</t>
  </si>
  <si>
    <t>Владивосток</t>
  </si>
  <si>
    <t>Дрезна</t>
  </si>
  <si>
    <t>Воскресенск</t>
  </si>
  <si>
    <t>Сергиев Посад</t>
  </si>
  <si>
    <t>пол</t>
  </si>
  <si>
    <t>f</t>
  </si>
  <si>
    <t>m</t>
  </si>
  <si>
    <t>№</t>
  </si>
  <si>
    <t xml:space="preserve"> Grigorieva Nataliya</t>
  </si>
  <si>
    <t xml:space="preserve"> Zharikova Victoriya</t>
  </si>
  <si>
    <t xml:space="preserve"> Alimova Diana</t>
  </si>
  <si>
    <t xml:space="preserve"> Shuvalova Tatyana</t>
  </si>
  <si>
    <t xml:space="preserve"> Smetankina Vera</t>
  </si>
  <si>
    <t xml:space="preserve"> Timofeev Aleksandr</t>
  </si>
  <si>
    <t xml:space="preserve"> Smetankin Aleksey</t>
  </si>
  <si>
    <t xml:space="preserve"> Alimov Artem</t>
  </si>
  <si>
    <t xml:space="preserve"> Mukhamadov Izzatullo</t>
  </si>
  <si>
    <t xml:space="preserve"> Zmunchile Mikhail</t>
  </si>
  <si>
    <t xml:space="preserve"> Repkin Artem</t>
  </si>
  <si>
    <t xml:space="preserve"> Domanskiy Aleksandr</t>
  </si>
  <si>
    <t xml:space="preserve"> Pigrov Sergey</t>
  </si>
  <si>
    <t xml:space="preserve"> Ogannisyan Rafik</t>
  </si>
  <si>
    <t xml:space="preserve"> Bekov Kairat</t>
  </si>
  <si>
    <t>Koleboshin Dmitriy</t>
  </si>
  <si>
    <t xml:space="preserve"> Morozov Aleksandr</t>
  </si>
  <si>
    <t xml:space="preserve"> Umerenkov Daniil</t>
  </si>
  <si>
    <t xml:space="preserve"> Usochev Igor</t>
  </si>
  <si>
    <t xml:space="preserve"> Shakhverdyan Artush</t>
  </si>
  <si>
    <t>Nesterov Vladimir</t>
  </si>
  <si>
    <t xml:space="preserve"> Verenikina Mariya</t>
  </si>
  <si>
    <t xml:space="preserve"> Loskutova Galina</t>
  </si>
  <si>
    <t xml:space="preserve"> Gadetskaya Mariya</t>
  </si>
  <si>
    <t xml:space="preserve"> Limareva Elena</t>
  </si>
  <si>
    <t xml:space="preserve"> Kolesnikov Vasiliy</t>
  </si>
  <si>
    <t xml:space="preserve"> Ivantsov Artem</t>
  </si>
  <si>
    <t xml:space="preserve"> Andreev Dmitriy</t>
  </si>
  <si>
    <t xml:space="preserve"> Mischenko Artem</t>
  </si>
  <si>
    <t xml:space="preserve"> Volzhentsev Valeriy</t>
  </si>
  <si>
    <t xml:space="preserve"> Bernyaev Igor</t>
  </si>
  <si>
    <t xml:space="preserve"> Kravchenko Vitaliy</t>
  </si>
  <si>
    <t xml:space="preserve"> Sorokin Andrey</t>
  </si>
  <si>
    <t xml:space="preserve"> Bulgak Viorel</t>
  </si>
  <si>
    <t xml:space="preserve"> Gruntov Victor</t>
  </si>
  <si>
    <t xml:space="preserve"> Bichkov Igor</t>
  </si>
  <si>
    <t xml:space="preserve"> Yaskin Roman</t>
  </si>
  <si>
    <t xml:space="preserve"> Chubarov Vladimir</t>
  </si>
  <si>
    <t xml:space="preserve"> Nikiforov Aleksandr</t>
  </si>
  <si>
    <t xml:space="preserve"> Cheglakov Aleksandr</t>
  </si>
  <si>
    <t xml:space="preserve"> Burtsev Dmitriy</t>
  </si>
  <si>
    <t xml:space="preserve"> Salosalov Sergey</t>
  </si>
  <si>
    <t xml:space="preserve"> Maskurov Girikhan</t>
  </si>
  <si>
    <t xml:space="preserve"> Gevorkyan Anton</t>
  </si>
  <si>
    <t xml:space="preserve"> Gamaev Aleksandr</t>
  </si>
  <si>
    <t xml:space="preserve"> Medvedev Danila</t>
  </si>
  <si>
    <t xml:space="preserve"> Sokolova Anna</t>
  </si>
  <si>
    <t xml:space="preserve"> Katkova Sofya</t>
  </si>
  <si>
    <t xml:space="preserve"> Umerenkova Yuliya</t>
  </si>
  <si>
    <t xml:space="preserve"> Ratkevich Ilya</t>
  </si>
  <si>
    <t xml:space="preserve"> Nikitchenko Sergey</t>
  </si>
  <si>
    <t xml:space="preserve"> Ilchenko Vasiliy</t>
  </si>
  <si>
    <t xml:space="preserve"> Krikunov Yuriy</t>
  </si>
  <si>
    <t xml:space="preserve"> Gorshkov Anton</t>
  </si>
  <si>
    <t xml:space="preserve"> Rabekhov Temur</t>
  </si>
  <si>
    <t xml:space="preserve"> Mashoshin Evgeniy</t>
  </si>
  <si>
    <t xml:space="preserve"> Anisimova Kristina</t>
  </si>
  <si>
    <t xml:space="preserve"> Andreev Aleksandr</t>
  </si>
  <si>
    <t xml:space="preserve"> Skokin Victor</t>
  </si>
  <si>
    <t xml:space="preserve"> Yakubov Erik</t>
  </si>
  <si>
    <t>Усачев Игорь</t>
  </si>
  <si>
    <t xml:space="preserve"> Gorelikov Dmirtiy</t>
  </si>
  <si>
    <t xml:space="preserve"> Battakhov Petr</t>
  </si>
  <si>
    <t>0</t>
  </si>
  <si>
    <t>в/к</t>
  </si>
  <si>
    <t>возрастная группа</t>
  </si>
  <si>
    <t>O</t>
  </si>
  <si>
    <t>J</t>
  </si>
  <si>
    <t>M1</t>
  </si>
  <si>
    <t>M2</t>
  </si>
  <si>
    <t>C2</t>
  </si>
  <si>
    <t>T2</t>
  </si>
  <si>
    <t>M3</t>
  </si>
  <si>
    <t>01.02.1983</t>
  </si>
  <si>
    <t>11.10.1977</t>
  </si>
  <si>
    <t>19.05.1990</t>
  </si>
  <si>
    <t>05.01.1975</t>
  </si>
  <si>
    <t>30.06.1978</t>
  </si>
  <si>
    <t>18.05.1991</t>
  </si>
  <si>
    <t>14.06.1998</t>
  </si>
  <si>
    <t>26.09.2008</t>
  </si>
  <si>
    <t>25.09.2004</t>
  </si>
  <si>
    <t>11.08.1998</t>
  </si>
  <si>
    <t>25.05.1983</t>
  </si>
  <si>
    <t>17.05.1990</t>
  </si>
  <si>
    <t>24.06.1994</t>
  </si>
  <si>
    <t>20.10.1987</t>
  </si>
  <si>
    <t>21.11.1985</t>
  </si>
  <si>
    <t>03.06.1978</t>
  </si>
  <si>
    <t>06.12.1980</t>
  </si>
  <si>
    <t>14.11.1992</t>
  </si>
  <si>
    <t>19.01.1984</t>
  </si>
  <si>
    <t>31.03.1971</t>
  </si>
  <si>
    <t>рожд</t>
  </si>
  <si>
    <t>07.06.1991</t>
  </si>
  <si>
    <t>M4</t>
  </si>
  <si>
    <t>06.06.1965</t>
  </si>
  <si>
    <t>14.10.1985</t>
  </si>
  <si>
    <t>17.05.1987</t>
  </si>
  <si>
    <t>19.04.1987</t>
  </si>
  <si>
    <t>20.04.1966</t>
  </si>
  <si>
    <t>17.02.1992</t>
  </si>
  <si>
    <t>29.04.1988</t>
  </si>
  <si>
    <t>17.07.1995</t>
  </si>
  <si>
    <t>16.11.1980</t>
  </si>
  <si>
    <t>26.06.1984</t>
  </si>
  <si>
    <t>21.09.1986</t>
  </si>
  <si>
    <t>13.04.1973</t>
  </si>
  <si>
    <t>30.11.1968</t>
  </si>
  <si>
    <t>16.05.1982</t>
  </si>
  <si>
    <t>10.01.1995</t>
  </si>
  <si>
    <t>13.11.1971</t>
  </si>
  <si>
    <t>10.10.1985</t>
  </si>
  <si>
    <t>10.02.1997</t>
  </si>
  <si>
    <t>27.05.1972</t>
  </si>
  <si>
    <t>18.06.1970</t>
  </si>
  <si>
    <t>06.04.1976</t>
  </si>
  <si>
    <t>03.04.1964</t>
  </si>
  <si>
    <t>18.10.1973</t>
  </si>
  <si>
    <t>возр</t>
  </si>
  <si>
    <t>05.04.1985</t>
  </si>
  <si>
    <t>21.02.1977</t>
  </si>
  <si>
    <t>11.09.2004</t>
  </si>
  <si>
    <t>27.10.1987</t>
  </si>
  <si>
    <t>12.06.1992</t>
  </si>
  <si>
    <t>06.02.1983</t>
  </si>
  <si>
    <t>M6</t>
  </si>
  <si>
    <t>21.04.1952</t>
  </si>
  <si>
    <t>26.03.2001</t>
  </si>
  <si>
    <t>возраст</t>
  </si>
  <si>
    <t>T3</t>
  </si>
  <si>
    <t>M5</t>
  </si>
  <si>
    <t>01.07.1983</t>
  </si>
  <si>
    <t>12.03.1999</t>
  </si>
  <si>
    <t>09.12.1980</t>
  </si>
  <si>
    <t>30.07.2001</t>
  </si>
  <si>
    <t>10.09.1978</t>
  </si>
  <si>
    <t>13.05.1963</t>
  </si>
  <si>
    <t>25.05.1957</t>
  </si>
  <si>
    <t>25.08.1988</t>
  </si>
  <si>
    <t>03.12.1983</t>
  </si>
  <si>
    <t>06.04.1992</t>
  </si>
  <si>
    <t>M35-39</t>
  </si>
  <si>
    <t>19.02.1992</t>
  </si>
  <si>
    <t>24.12.2003</t>
  </si>
  <si>
    <t>20.06.1957</t>
  </si>
  <si>
    <t>17.08.1992</t>
  </si>
  <si>
    <t>08.12.1982</t>
  </si>
  <si>
    <t>23.06.1968</t>
  </si>
  <si>
    <t xml:space="preserve">M3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</si>
</sst>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"/>
    </font>
    <font>
      <sz val="10"/>
      <name val="Arial "/>
    </font>
    <font>
      <strike/>
      <sz val="10"/>
      <name val="Arial "/>
    </font>
    <font>
      <i/>
      <sz val="10"/>
      <name val="Arial 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/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indent="1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indent="1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/>
    <xf numFmtId="49" fontId="1" fillId="0" borderId="7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L23"/>
  <sheetViews>
    <sheetView tabSelected="1" zoomScaleNormal="100" workbookViewId="0">
      <selection activeCell="H26" sqref="H26"/>
    </sheetView>
  </sheetViews>
  <sheetFormatPr defaultColWidth="9.140625" defaultRowHeight="12.75" customHeight="1"/>
  <cols>
    <col min="1" max="1" width="20.140625" style="3" bestFit="1" customWidth="1"/>
    <col min="2" max="2" width="6.140625" style="3" customWidth="1"/>
    <col min="3" max="3" width="10.140625" style="3" bestFit="1" customWidth="1"/>
    <col min="4" max="4" width="13.7109375" style="3" bestFit="1" customWidth="1"/>
    <col min="5" max="7" width="7.5703125" style="4" customWidth="1"/>
    <col min="8" max="8" width="19" style="4" bestFit="1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20" width="5.5703125" style="4" customWidth="1"/>
    <col min="21" max="21" width="5.7109375" style="1" customWidth="1"/>
    <col min="22" max="22" width="8.5703125" style="2" customWidth="1"/>
    <col min="23" max="23" width="13.140625" style="3" customWidth="1"/>
    <col min="24" max="1026" width="9.140625" style="7"/>
    <col min="1027" max="16384" width="9.140625" style="8"/>
  </cols>
  <sheetData>
    <row r="1" spans="1:23" s="17" customFormat="1" ht="12.75" customHeight="1">
      <c r="A1" s="22" t="s">
        <v>163</v>
      </c>
      <c r="B1" s="29" t="s">
        <v>196</v>
      </c>
      <c r="C1" s="39" t="s">
        <v>293</v>
      </c>
      <c r="D1" s="24" t="s">
        <v>165</v>
      </c>
      <c r="E1" s="23" t="s">
        <v>164</v>
      </c>
      <c r="F1" s="23" t="s">
        <v>264</v>
      </c>
      <c r="G1" s="23" t="s">
        <v>199</v>
      </c>
      <c r="H1" s="23" t="s">
        <v>265</v>
      </c>
      <c r="I1" s="36" t="s">
        <v>170</v>
      </c>
      <c r="J1" s="37"/>
      <c r="K1" s="38"/>
      <c r="L1" s="24"/>
      <c r="M1" s="36" t="s">
        <v>171</v>
      </c>
      <c r="N1" s="37"/>
      <c r="O1" s="38"/>
      <c r="P1" s="24"/>
      <c r="Q1" s="36" t="s">
        <v>166</v>
      </c>
      <c r="R1" s="37"/>
      <c r="S1" s="38"/>
      <c r="T1" s="24"/>
      <c r="U1" s="24" t="s">
        <v>168</v>
      </c>
      <c r="V1" s="24" t="s">
        <v>169</v>
      </c>
      <c r="W1" s="25" t="s">
        <v>172</v>
      </c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 t="s">
        <v>167</v>
      </c>
      <c r="M2" s="21">
        <v>1</v>
      </c>
      <c r="N2" s="21">
        <v>2</v>
      </c>
      <c r="O2" s="21">
        <v>3</v>
      </c>
      <c r="P2" s="21" t="s">
        <v>167</v>
      </c>
      <c r="Q2" s="21">
        <v>1</v>
      </c>
      <c r="R2" s="21">
        <v>2</v>
      </c>
      <c r="S2" s="26">
        <v>3</v>
      </c>
      <c r="T2" s="26" t="s">
        <v>167</v>
      </c>
      <c r="U2" s="26"/>
      <c r="V2" s="26"/>
      <c r="W2" s="26"/>
    </row>
    <row r="3" spans="1:23" s="4" customFormat="1" ht="12.75" customHeight="1">
      <c r="A3" s="9" t="s">
        <v>200</v>
      </c>
      <c r="B3" s="9" t="s">
        <v>197</v>
      </c>
      <c r="C3" s="9" t="s">
        <v>273</v>
      </c>
      <c r="D3" s="9" t="s">
        <v>173</v>
      </c>
      <c r="E3" s="10" t="s">
        <v>73</v>
      </c>
      <c r="F3" s="33">
        <v>60</v>
      </c>
      <c r="G3" s="33">
        <v>1</v>
      </c>
      <c r="H3" s="33" t="s">
        <v>266</v>
      </c>
      <c r="I3" s="10" t="s">
        <v>4</v>
      </c>
      <c r="J3" s="11" t="s">
        <v>38</v>
      </c>
      <c r="K3" s="11" t="s">
        <v>38</v>
      </c>
      <c r="L3" s="11"/>
      <c r="M3" s="10" t="s">
        <v>31</v>
      </c>
      <c r="N3" s="11" t="s">
        <v>66</v>
      </c>
      <c r="O3" s="10" t="s">
        <v>32</v>
      </c>
      <c r="P3" s="11"/>
      <c r="Q3" s="10" t="s">
        <v>4</v>
      </c>
      <c r="R3" s="10" t="s">
        <v>38</v>
      </c>
      <c r="S3" s="10" t="s">
        <v>39</v>
      </c>
      <c r="T3" s="11"/>
      <c r="U3" s="12" t="str">
        <f>"310,0"</f>
        <v>310,0</v>
      </c>
      <c r="V3" s="13" t="str">
        <f>"268,9560"</f>
        <v>268,9560</v>
      </c>
      <c r="W3" s="9"/>
    </row>
    <row r="4" spans="1:23" s="4" customFormat="1" ht="12.75" customHeight="1">
      <c r="A4" s="9" t="s">
        <v>201</v>
      </c>
      <c r="B4" s="9" t="s">
        <v>197</v>
      </c>
      <c r="C4" s="9" t="s">
        <v>274</v>
      </c>
      <c r="D4" s="9" t="s">
        <v>174</v>
      </c>
      <c r="E4" s="10" t="s">
        <v>74</v>
      </c>
      <c r="F4" s="33">
        <v>60</v>
      </c>
      <c r="G4" s="33">
        <v>1</v>
      </c>
      <c r="H4" s="33" t="s">
        <v>268</v>
      </c>
      <c r="I4" s="10" t="s">
        <v>19</v>
      </c>
      <c r="J4" s="10" t="s">
        <v>25</v>
      </c>
      <c r="K4" s="10" t="s">
        <v>13</v>
      </c>
      <c r="L4" s="11"/>
      <c r="M4" s="10" t="s">
        <v>66</v>
      </c>
      <c r="N4" s="10" t="s">
        <v>32</v>
      </c>
      <c r="O4" s="11" t="s">
        <v>22</v>
      </c>
      <c r="P4" s="11"/>
      <c r="Q4" s="10" t="s">
        <v>28</v>
      </c>
      <c r="R4" s="10" t="s">
        <v>26</v>
      </c>
      <c r="S4" s="10" t="s">
        <v>15</v>
      </c>
      <c r="T4" s="11"/>
      <c r="U4" s="12" t="str">
        <f>"242,5"</f>
        <v>242,5</v>
      </c>
      <c r="V4" s="13" t="str">
        <f>"216,0069"</f>
        <v>216,0069</v>
      </c>
      <c r="W4" s="9"/>
    </row>
    <row r="5" spans="1:23" ht="12.75" customHeight="1">
      <c r="A5" s="9" t="s">
        <v>202</v>
      </c>
      <c r="B5" s="9" t="s">
        <v>197</v>
      </c>
      <c r="C5" s="9" t="s">
        <v>275</v>
      </c>
      <c r="D5" s="9" t="s">
        <v>174</v>
      </c>
      <c r="E5" s="10" t="s">
        <v>18</v>
      </c>
      <c r="F5" s="33">
        <v>75</v>
      </c>
      <c r="G5" s="33">
        <v>1</v>
      </c>
      <c r="H5" s="33" t="s">
        <v>266</v>
      </c>
      <c r="I5" s="10" t="s">
        <v>24</v>
      </c>
      <c r="J5" s="10" t="s">
        <v>19</v>
      </c>
      <c r="K5" s="10" t="s">
        <v>11</v>
      </c>
      <c r="L5" s="11"/>
      <c r="M5" s="11" t="s">
        <v>58</v>
      </c>
      <c r="N5" s="10" t="s">
        <v>75</v>
      </c>
      <c r="O5" s="10" t="s">
        <v>31</v>
      </c>
      <c r="P5" s="11"/>
      <c r="Q5" s="10" t="s">
        <v>28</v>
      </c>
      <c r="R5" s="10" t="s">
        <v>76</v>
      </c>
      <c r="S5" s="33">
        <v>0</v>
      </c>
      <c r="T5" s="11"/>
      <c r="U5" s="12" t="str">
        <f>"207,5"</f>
        <v>207,5</v>
      </c>
      <c r="V5" s="13" t="str">
        <f>"157,4510"</f>
        <v>157,4510</v>
      </c>
      <c r="W5" s="9" t="s">
        <v>77</v>
      </c>
    </row>
    <row r="6" spans="1:23" ht="12.75" customHeight="1">
      <c r="A6" s="9" t="s">
        <v>203</v>
      </c>
      <c r="B6" s="9" t="s">
        <v>197</v>
      </c>
      <c r="C6" s="9" t="s">
        <v>276</v>
      </c>
      <c r="D6" s="9" t="s">
        <v>174</v>
      </c>
      <c r="E6" s="10" t="s">
        <v>78</v>
      </c>
      <c r="F6" s="33">
        <v>82.5</v>
      </c>
      <c r="G6" s="33">
        <v>1</v>
      </c>
      <c r="H6" s="33" t="s">
        <v>269</v>
      </c>
      <c r="I6" s="10" t="s">
        <v>13</v>
      </c>
      <c r="J6" s="10" t="s">
        <v>26</v>
      </c>
      <c r="K6" s="10" t="s">
        <v>2</v>
      </c>
      <c r="L6" s="11"/>
      <c r="M6" s="10" t="s">
        <v>32</v>
      </c>
      <c r="N6" s="11" t="s">
        <v>22</v>
      </c>
      <c r="O6" s="10" t="s">
        <v>22</v>
      </c>
      <c r="P6" s="11"/>
      <c r="Q6" s="10" t="s">
        <v>3</v>
      </c>
      <c r="R6" s="10" t="s">
        <v>35</v>
      </c>
      <c r="S6" s="10" t="s">
        <v>4</v>
      </c>
      <c r="T6" s="10" t="s">
        <v>36</v>
      </c>
      <c r="U6" s="12" t="str">
        <f>"275,0"</f>
        <v>275,0</v>
      </c>
      <c r="V6" s="13" t="str">
        <f>"210,9271"</f>
        <v>210,9271</v>
      </c>
      <c r="W6" s="9" t="s">
        <v>77</v>
      </c>
    </row>
    <row r="7" spans="1:23" ht="12.75" customHeight="1">
      <c r="A7" s="9" t="s">
        <v>204</v>
      </c>
      <c r="B7" s="9" t="s">
        <v>197</v>
      </c>
      <c r="C7" s="9" t="s">
        <v>277</v>
      </c>
      <c r="D7" s="9" t="s">
        <v>174</v>
      </c>
      <c r="E7" s="10" t="s">
        <v>79</v>
      </c>
      <c r="F7" s="33">
        <v>90</v>
      </c>
      <c r="G7" s="33">
        <v>1</v>
      </c>
      <c r="H7" s="33" t="s">
        <v>268</v>
      </c>
      <c r="I7" s="10" t="s">
        <v>22</v>
      </c>
      <c r="J7" s="10" t="s">
        <v>23</v>
      </c>
      <c r="K7" s="10" t="s">
        <v>24</v>
      </c>
      <c r="L7" s="11"/>
      <c r="M7" s="10" t="s">
        <v>66</v>
      </c>
      <c r="N7" s="10" t="s">
        <v>32</v>
      </c>
      <c r="O7" s="10" t="s">
        <v>17</v>
      </c>
      <c r="P7" s="11"/>
      <c r="Q7" s="10" t="s">
        <v>11</v>
      </c>
      <c r="R7" s="10" t="s">
        <v>43</v>
      </c>
      <c r="S7" s="10" t="s">
        <v>13</v>
      </c>
      <c r="T7" s="11"/>
      <c r="U7" s="12" t="str">
        <f>"207,5"</f>
        <v>207,5</v>
      </c>
      <c r="V7" s="13" t="str">
        <f>"133,3880"</f>
        <v>133,3880</v>
      </c>
      <c r="W7" s="9" t="s">
        <v>77</v>
      </c>
    </row>
    <row r="8" spans="1:23" ht="12.75" customHeight="1">
      <c r="A8" s="9" t="s">
        <v>205</v>
      </c>
      <c r="B8" s="28" t="s">
        <v>198</v>
      </c>
      <c r="C8" s="9" t="s">
        <v>278</v>
      </c>
      <c r="D8" s="9" t="s">
        <v>175</v>
      </c>
      <c r="E8" s="10" t="s">
        <v>80</v>
      </c>
      <c r="F8" s="33">
        <v>67.5</v>
      </c>
      <c r="G8" s="33">
        <v>1</v>
      </c>
      <c r="H8" s="33" t="s">
        <v>266</v>
      </c>
      <c r="I8" s="10" t="s">
        <v>53</v>
      </c>
      <c r="J8" s="11" t="s">
        <v>81</v>
      </c>
      <c r="K8" s="11" t="s">
        <v>81</v>
      </c>
      <c r="L8" s="11"/>
      <c r="M8" s="10" t="s">
        <v>2</v>
      </c>
      <c r="N8" s="10" t="s">
        <v>34</v>
      </c>
      <c r="O8" s="11" t="s">
        <v>3</v>
      </c>
      <c r="P8" s="11"/>
      <c r="Q8" s="10" t="s">
        <v>82</v>
      </c>
      <c r="R8" s="10" t="s">
        <v>83</v>
      </c>
      <c r="S8" s="11" t="s">
        <v>84</v>
      </c>
      <c r="T8" s="11"/>
      <c r="U8" s="12" t="str">
        <f>"465,0"</f>
        <v>465,0</v>
      </c>
      <c r="V8" s="13" t="str">
        <f>"340,7055"</f>
        <v>340,7055</v>
      </c>
      <c r="W8" s="9"/>
    </row>
    <row r="9" spans="1:23" ht="12.75" customHeight="1">
      <c r="A9" s="9" t="s">
        <v>215</v>
      </c>
      <c r="B9" s="28" t="s">
        <v>198</v>
      </c>
      <c r="C9" s="9" t="s">
        <v>279</v>
      </c>
      <c r="D9" s="9" t="s">
        <v>176</v>
      </c>
      <c r="E9" s="10" t="s">
        <v>85</v>
      </c>
      <c r="F9" s="33">
        <v>75</v>
      </c>
      <c r="G9" s="10"/>
      <c r="H9" s="10" t="s">
        <v>267</v>
      </c>
      <c r="I9" s="11" t="s">
        <v>86</v>
      </c>
      <c r="J9" s="11" t="s">
        <v>87</v>
      </c>
      <c r="K9" s="11" t="s">
        <v>87</v>
      </c>
      <c r="L9" s="11"/>
      <c r="M9" s="33">
        <v>0</v>
      </c>
      <c r="N9" s="33">
        <v>0</v>
      </c>
      <c r="O9" s="33">
        <v>0</v>
      </c>
      <c r="P9" s="10"/>
      <c r="Q9" s="33">
        <v>0</v>
      </c>
      <c r="R9" s="33">
        <v>0</v>
      </c>
      <c r="S9" s="33">
        <v>0</v>
      </c>
      <c r="T9" s="11"/>
      <c r="U9" s="12" t="str">
        <f>"0.00"</f>
        <v>0.00</v>
      </c>
      <c r="V9" s="13"/>
      <c r="W9" s="9"/>
    </row>
    <row r="10" spans="1:23" ht="12.75" customHeight="1">
      <c r="A10" s="9" t="s">
        <v>206</v>
      </c>
      <c r="B10" s="28" t="s">
        <v>198</v>
      </c>
      <c r="C10" s="9" t="s">
        <v>280</v>
      </c>
      <c r="D10" s="9" t="s">
        <v>174</v>
      </c>
      <c r="E10" s="10" t="s">
        <v>30</v>
      </c>
      <c r="F10" s="33">
        <v>82.5</v>
      </c>
      <c r="G10" s="33">
        <v>1</v>
      </c>
      <c r="H10" s="33" t="s">
        <v>270</v>
      </c>
      <c r="I10" s="10" t="s">
        <v>25</v>
      </c>
      <c r="J10" s="10" t="s">
        <v>28</v>
      </c>
      <c r="K10" s="10" t="s">
        <v>13</v>
      </c>
      <c r="L10" s="11"/>
      <c r="M10" s="10" t="s">
        <v>23</v>
      </c>
      <c r="N10" s="10" t="s">
        <v>24</v>
      </c>
      <c r="O10" s="10" t="s">
        <v>19</v>
      </c>
      <c r="P10" s="11"/>
      <c r="Q10" s="10" t="s">
        <v>13</v>
      </c>
      <c r="R10" s="10" t="s">
        <v>26</v>
      </c>
      <c r="S10" s="10" t="s">
        <v>2</v>
      </c>
      <c r="T10" s="11" t="s">
        <v>34</v>
      </c>
      <c r="U10" s="12" t="str">
        <f>"260,0"</f>
        <v>260,0</v>
      </c>
      <c r="V10" s="13" t="str">
        <f>"168,4540"</f>
        <v>168,4540</v>
      </c>
      <c r="W10" s="9" t="s">
        <v>77</v>
      </c>
    </row>
    <row r="11" spans="1:23" ht="12.75" customHeight="1">
      <c r="A11" s="9" t="s">
        <v>207</v>
      </c>
      <c r="B11" s="28" t="s">
        <v>198</v>
      </c>
      <c r="C11" s="9" t="s">
        <v>281</v>
      </c>
      <c r="D11" s="9" t="s">
        <v>174</v>
      </c>
      <c r="E11" s="10" t="s">
        <v>88</v>
      </c>
      <c r="F11" s="33">
        <v>82.5</v>
      </c>
      <c r="G11" s="33">
        <v>1</v>
      </c>
      <c r="H11" s="33" t="s">
        <v>271</v>
      </c>
      <c r="I11" s="10" t="s">
        <v>2</v>
      </c>
      <c r="J11" s="10" t="s">
        <v>3</v>
      </c>
      <c r="K11" s="10" t="s">
        <v>4</v>
      </c>
      <c r="L11" s="11"/>
      <c r="M11" s="11" t="s">
        <v>26</v>
      </c>
      <c r="N11" s="10" t="s">
        <v>26</v>
      </c>
      <c r="O11" s="10" t="s">
        <v>2</v>
      </c>
      <c r="P11" s="11"/>
      <c r="Q11" s="10" t="s">
        <v>36</v>
      </c>
      <c r="R11" s="10" t="s">
        <v>44</v>
      </c>
      <c r="S11" s="10" t="s">
        <v>39</v>
      </c>
      <c r="T11" s="11"/>
      <c r="U11" s="12" t="str">
        <f>"360,0"</f>
        <v>360,0</v>
      </c>
      <c r="V11" s="13" t="str">
        <f>"223,5240"</f>
        <v>223,5240</v>
      </c>
      <c r="W11" s="9" t="s">
        <v>77</v>
      </c>
    </row>
    <row r="12" spans="1:23" ht="12.75" customHeight="1">
      <c r="A12" s="9" t="s">
        <v>208</v>
      </c>
      <c r="B12" s="28" t="s">
        <v>198</v>
      </c>
      <c r="C12" s="9" t="s">
        <v>282</v>
      </c>
      <c r="D12" s="9" t="s">
        <v>176</v>
      </c>
      <c r="E12" s="10" t="s">
        <v>89</v>
      </c>
      <c r="F12" s="33">
        <v>90</v>
      </c>
      <c r="G12" s="33">
        <v>1</v>
      </c>
      <c r="H12" s="33" t="s">
        <v>267</v>
      </c>
      <c r="I12" s="11" t="s">
        <v>87</v>
      </c>
      <c r="J12" s="11" t="s">
        <v>84</v>
      </c>
      <c r="K12" s="10" t="s">
        <v>84</v>
      </c>
      <c r="L12" s="11"/>
      <c r="M12" s="10" t="s">
        <v>39</v>
      </c>
      <c r="N12" s="10" t="s">
        <v>90</v>
      </c>
      <c r="O12" s="10" t="s">
        <v>46</v>
      </c>
      <c r="P12" s="11"/>
      <c r="Q12" s="10" t="s">
        <v>8</v>
      </c>
      <c r="R12" s="10" t="s">
        <v>91</v>
      </c>
      <c r="S12" s="11" t="s">
        <v>92</v>
      </c>
      <c r="T12" s="11"/>
      <c r="U12" s="12" t="str">
        <f>"605,0"</f>
        <v>605,0</v>
      </c>
      <c r="V12" s="13" t="str">
        <f>"361,1245"</f>
        <v>361,1245</v>
      </c>
      <c r="W12" s="9"/>
    </row>
    <row r="13" spans="1:23" ht="12.75" customHeight="1">
      <c r="A13" s="9" t="s">
        <v>209</v>
      </c>
      <c r="B13" s="28" t="s">
        <v>198</v>
      </c>
      <c r="C13" s="9" t="s">
        <v>283</v>
      </c>
      <c r="D13" s="9" t="s">
        <v>174</v>
      </c>
      <c r="E13" s="10" t="s">
        <v>93</v>
      </c>
      <c r="F13" s="33">
        <v>90</v>
      </c>
      <c r="G13" s="33">
        <v>1</v>
      </c>
      <c r="H13" s="33" t="s">
        <v>266</v>
      </c>
      <c r="I13" s="10" t="s">
        <v>94</v>
      </c>
      <c r="J13" s="10" t="s">
        <v>95</v>
      </c>
      <c r="K13" s="10" t="s">
        <v>96</v>
      </c>
      <c r="L13" s="11"/>
      <c r="M13" s="10" t="s">
        <v>38</v>
      </c>
      <c r="N13" s="11" t="s">
        <v>39</v>
      </c>
      <c r="O13" s="11" t="s">
        <v>39</v>
      </c>
      <c r="P13" s="11"/>
      <c r="Q13" s="10" t="s">
        <v>8</v>
      </c>
      <c r="R13" s="11" t="s">
        <v>91</v>
      </c>
      <c r="S13" s="11" t="s">
        <v>91</v>
      </c>
      <c r="T13" s="11"/>
      <c r="U13" s="12" t="str">
        <f>"562,5"</f>
        <v>562,5</v>
      </c>
      <c r="V13" s="13" t="str">
        <f>"336,5437"</f>
        <v>336,5437</v>
      </c>
      <c r="W13" s="9"/>
    </row>
    <row r="14" spans="1:23" ht="12.75" customHeight="1">
      <c r="A14" s="9" t="s">
        <v>117</v>
      </c>
      <c r="B14" s="28" t="s">
        <v>198</v>
      </c>
      <c r="C14" s="9" t="s">
        <v>284</v>
      </c>
      <c r="D14" s="9" t="s">
        <v>173</v>
      </c>
      <c r="E14" s="10" t="s">
        <v>97</v>
      </c>
      <c r="F14" s="33">
        <v>90</v>
      </c>
      <c r="G14" s="33">
        <v>2</v>
      </c>
      <c r="H14" s="33" t="s">
        <v>266</v>
      </c>
      <c r="I14" s="10" t="s">
        <v>52</v>
      </c>
      <c r="J14" s="10" t="s">
        <v>98</v>
      </c>
      <c r="K14" s="10" t="s">
        <v>86</v>
      </c>
      <c r="L14" s="11"/>
      <c r="M14" s="10" t="s">
        <v>4</v>
      </c>
      <c r="N14" s="11" t="s">
        <v>38</v>
      </c>
      <c r="O14" s="10" t="s">
        <v>38</v>
      </c>
      <c r="P14" s="11"/>
      <c r="Q14" s="10" t="s">
        <v>39</v>
      </c>
      <c r="R14" s="10" t="s">
        <v>46</v>
      </c>
      <c r="S14" s="11" t="s">
        <v>81</v>
      </c>
      <c r="T14" s="11"/>
      <c r="U14" s="12" t="str">
        <f>"470,0"</f>
        <v>470,0</v>
      </c>
      <c r="V14" s="13" t="str">
        <f>"282,4230"</f>
        <v>282,4230</v>
      </c>
      <c r="W14" s="9"/>
    </row>
    <row r="15" spans="1:23" ht="12.75" customHeight="1">
      <c r="A15" s="9" t="s">
        <v>210</v>
      </c>
      <c r="B15" s="28" t="s">
        <v>198</v>
      </c>
      <c r="C15" s="9" t="s">
        <v>285</v>
      </c>
      <c r="D15" s="9" t="s">
        <v>173</v>
      </c>
      <c r="E15" s="10" t="s">
        <v>71</v>
      </c>
      <c r="F15" s="33">
        <v>100</v>
      </c>
      <c r="G15" s="33">
        <v>1</v>
      </c>
      <c r="H15" s="33" t="s">
        <v>266</v>
      </c>
      <c r="I15" s="10" t="s">
        <v>99</v>
      </c>
      <c r="J15" s="11" t="s">
        <v>100</v>
      </c>
      <c r="K15" s="34">
        <v>0</v>
      </c>
      <c r="L15" s="11"/>
      <c r="M15" s="10" t="s">
        <v>52</v>
      </c>
      <c r="N15" s="10" t="s">
        <v>101</v>
      </c>
      <c r="O15" s="11" t="s">
        <v>81</v>
      </c>
      <c r="P15" s="11"/>
      <c r="Q15" s="10" t="s">
        <v>54</v>
      </c>
      <c r="R15" s="10" t="s">
        <v>102</v>
      </c>
      <c r="S15" s="10" t="s">
        <v>103</v>
      </c>
      <c r="T15" s="10" t="s">
        <v>55</v>
      </c>
      <c r="U15" s="12" t="str">
        <f>"702,5"</f>
        <v>702,5</v>
      </c>
      <c r="V15" s="13" t="str">
        <f>"400,2143"</f>
        <v>400,2143</v>
      </c>
      <c r="W15" s="9"/>
    </row>
    <row r="16" spans="1:23" ht="12.75" customHeight="1">
      <c r="A16" s="9" t="s">
        <v>115</v>
      </c>
      <c r="B16" s="28" t="s">
        <v>198</v>
      </c>
      <c r="C16" s="9" t="s">
        <v>286</v>
      </c>
      <c r="D16" s="9" t="s">
        <v>174</v>
      </c>
      <c r="E16" s="10" t="s">
        <v>104</v>
      </c>
      <c r="F16" s="33">
        <v>100</v>
      </c>
      <c r="G16" s="33">
        <v>2</v>
      </c>
      <c r="H16" s="33" t="s">
        <v>266</v>
      </c>
      <c r="I16" s="10" t="s">
        <v>82</v>
      </c>
      <c r="J16" s="10" t="s">
        <v>48</v>
      </c>
      <c r="K16" s="11" t="s">
        <v>7</v>
      </c>
      <c r="L16" s="11"/>
      <c r="M16" s="10" t="s">
        <v>39</v>
      </c>
      <c r="N16" s="11" t="s">
        <v>90</v>
      </c>
      <c r="O16" s="11" t="s">
        <v>90</v>
      </c>
      <c r="P16" s="11"/>
      <c r="Q16" s="10" t="s">
        <v>6</v>
      </c>
      <c r="R16" s="10" t="s">
        <v>54</v>
      </c>
      <c r="S16" s="10" t="s">
        <v>105</v>
      </c>
      <c r="T16" s="11"/>
      <c r="U16" s="12" t="str">
        <f>"605,0"</f>
        <v>605,0</v>
      </c>
      <c r="V16" s="13" t="str">
        <f>"336,0775"</f>
        <v>336,0775</v>
      </c>
      <c r="W16" s="9"/>
    </row>
    <row r="17" spans="1:23" ht="12.75" customHeight="1">
      <c r="A17" s="9" t="s">
        <v>211</v>
      </c>
      <c r="B17" s="28" t="s">
        <v>198</v>
      </c>
      <c r="C17" s="9" t="s">
        <v>287</v>
      </c>
      <c r="D17" s="9" t="s">
        <v>177</v>
      </c>
      <c r="E17" s="10" t="s">
        <v>71</v>
      </c>
      <c r="F17" s="33">
        <v>100</v>
      </c>
      <c r="G17" s="33">
        <v>1</v>
      </c>
      <c r="H17" s="33" t="s">
        <v>342</v>
      </c>
      <c r="I17" s="10" t="s">
        <v>52</v>
      </c>
      <c r="J17" s="10" t="s">
        <v>81</v>
      </c>
      <c r="K17" s="11" t="s">
        <v>94</v>
      </c>
      <c r="L17" s="11"/>
      <c r="M17" s="10" t="s">
        <v>2</v>
      </c>
      <c r="N17" s="10" t="s">
        <v>3</v>
      </c>
      <c r="O17" s="11" t="s">
        <v>35</v>
      </c>
      <c r="P17" s="11"/>
      <c r="Q17" s="10" t="s">
        <v>84</v>
      </c>
      <c r="R17" s="10" t="s">
        <v>7</v>
      </c>
      <c r="S17" s="10" t="s">
        <v>8</v>
      </c>
      <c r="T17" s="11"/>
      <c r="U17" s="12" t="str">
        <f>"510,0"</f>
        <v>510,0</v>
      </c>
      <c r="V17" s="13" t="str">
        <f>"290,5470"</f>
        <v>290,5470</v>
      </c>
      <c r="W17" s="9"/>
    </row>
    <row r="18" spans="1:23" ht="12.75" customHeight="1">
      <c r="A18" s="9" t="s">
        <v>212</v>
      </c>
      <c r="B18" s="28" t="s">
        <v>198</v>
      </c>
      <c r="C18" s="9" t="s">
        <v>288</v>
      </c>
      <c r="D18" s="9" t="s">
        <v>174</v>
      </c>
      <c r="E18" s="10" t="s">
        <v>106</v>
      </c>
      <c r="F18" s="33">
        <v>100</v>
      </c>
      <c r="G18" s="33">
        <v>1</v>
      </c>
      <c r="H18" s="33" t="s">
        <v>268</v>
      </c>
      <c r="I18" s="10" t="s">
        <v>81</v>
      </c>
      <c r="J18" s="10" t="s">
        <v>94</v>
      </c>
      <c r="K18" s="11" t="s">
        <v>83</v>
      </c>
      <c r="L18" s="11"/>
      <c r="M18" s="10" t="s">
        <v>90</v>
      </c>
      <c r="N18" s="10" t="s">
        <v>107</v>
      </c>
      <c r="O18" s="10" t="s">
        <v>53</v>
      </c>
      <c r="P18" s="11"/>
      <c r="Q18" s="10" t="s">
        <v>82</v>
      </c>
      <c r="R18" s="10" t="s">
        <v>83</v>
      </c>
      <c r="S18" s="10" t="s">
        <v>48</v>
      </c>
      <c r="T18" s="11"/>
      <c r="U18" s="12" t="str">
        <f>"550,0"</f>
        <v>550,0</v>
      </c>
      <c r="V18" s="13" t="str">
        <f>"311,4934"</f>
        <v>311,4934</v>
      </c>
      <c r="W18" s="9"/>
    </row>
    <row r="19" spans="1:23" ht="12.75" customHeight="1">
      <c r="A19" s="9" t="s">
        <v>213</v>
      </c>
      <c r="B19" s="28" t="s">
        <v>198</v>
      </c>
      <c r="C19" s="9" t="s">
        <v>289</v>
      </c>
      <c r="D19" s="9" t="s">
        <v>178</v>
      </c>
      <c r="E19" s="10" t="s">
        <v>108</v>
      </c>
      <c r="F19" s="33">
        <v>110</v>
      </c>
      <c r="G19" s="33">
        <v>1</v>
      </c>
      <c r="H19" s="33" t="s">
        <v>266</v>
      </c>
      <c r="I19" s="10" t="s">
        <v>54</v>
      </c>
      <c r="J19" s="10" t="s">
        <v>105</v>
      </c>
      <c r="K19" s="10" t="s">
        <v>109</v>
      </c>
      <c r="L19" s="11"/>
      <c r="M19" s="10" t="s">
        <v>82</v>
      </c>
      <c r="N19" s="10" t="s">
        <v>83</v>
      </c>
      <c r="O19" s="11" t="s">
        <v>84</v>
      </c>
      <c r="P19" s="11"/>
      <c r="Q19" s="10" t="s">
        <v>99</v>
      </c>
      <c r="R19" s="11" t="s">
        <v>110</v>
      </c>
      <c r="S19" s="34">
        <v>0</v>
      </c>
      <c r="T19" s="11"/>
      <c r="U19" s="12" t="str">
        <f>"720,0"</f>
        <v>720,0</v>
      </c>
      <c r="V19" s="13" t="str">
        <f>"387,1440"</f>
        <v>387,1440</v>
      </c>
      <c r="W19" s="9"/>
    </row>
    <row r="20" spans="1:23" ht="12.75" customHeight="1">
      <c r="A20" s="9" t="s">
        <v>116</v>
      </c>
      <c r="B20" s="28" t="s">
        <v>198</v>
      </c>
      <c r="C20" s="9" t="s">
        <v>290</v>
      </c>
      <c r="D20" s="9" t="s">
        <v>173</v>
      </c>
      <c r="E20" s="10" t="s">
        <v>111</v>
      </c>
      <c r="F20" s="33">
        <v>110</v>
      </c>
      <c r="G20" s="33">
        <v>2</v>
      </c>
      <c r="H20" s="33" t="s">
        <v>266</v>
      </c>
      <c r="I20" s="10" t="s">
        <v>83</v>
      </c>
      <c r="J20" s="10" t="s">
        <v>112</v>
      </c>
      <c r="K20" s="10" t="s">
        <v>8</v>
      </c>
      <c r="L20" s="11"/>
      <c r="M20" s="10" t="s">
        <v>2</v>
      </c>
      <c r="N20" s="10" t="s">
        <v>3</v>
      </c>
      <c r="O20" s="11" t="s">
        <v>4</v>
      </c>
      <c r="P20" s="11"/>
      <c r="Q20" s="10" t="s">
        <v>82</v>
      </c>
      <c r="R20" s="10" t="s">
        <v>48</v>
      </c>
      <c r="S20" s="11" t="s">
        <v>7</v>
      </c>
      <c r="T20" s="11"/>
      <c r="U20" s="12" t="str">
        <f>"550,0"</f>
        <v>550,0</v>
      </c>
      <c r="V20" s="13" t="str">
        <f>"298,3200"</f>
        <v>298,3200</v>
      </c>
      <c r="W20" s="9"/>
    </row>
    <row r="21" spans="1:23" ht="12.75" customHeight="1">
      <c r="A21" s="9" t="s">
        <v>118</v>
      </c>
      <c r="B21" s="28" t="s">
        <v>198</v>
      </c>
      <c r="C21" s="9" t="s">
        <v>291</v>
      </c>
      <c r="D21" s="9" t="s">
        <v>174</v>
      </c>
      <c r="E21" s="10" t="s">
        <v>113</v>
      </c>
      <c r="F21" s="33">
        <v>110</v>
      </c>
      <c r="G21" s="33">
        <v>3</v>
      </c>
      <c r="H21" s="33" t="s">
        <v>266</v>
      </c>
      <c r="I21" s="10" t="s">
        <v>45</v>
      </c>
      <c r="J21" s="10" t="s">
        <v>46</v>
      </c>
      <c r="K21" s="10" t="s">
        <v>53</v>
      </c>
      <c r="L21" s="11"/>
      <c r="M21" s="10" t="s">
        <v>26</v>
      </c>
      <c r="N21" s="10" t="s">
        <v>34</v>
      </c>
      <c r="O21" s="11" t="s">
        <v>3</v>
      </c>
      <c r="P21" s="11"/>
      <c r="Q21" s="10" t="s">
        <v>82</v>
      </c>
      <c r="R21" s="10" t="s">
        <v>83</v>
      </c>
      <c r="S21" s="10" t="s">
        <v>84</v>
      </c>
      <c r="T21" s="11"/>
      <c r="U21" s="12" t="str">
        <f>"470,0"</f>
        <v>470,0</v>
      </c>
      <c r="V21" s="13" t="str">
        <f>"258,8760"</f>
        <v>258,8760</v>
      </c>
      <c r="W21" s="9"/>
    </row>
    <row r="22" spans="1:23" ht="12.75" customHeight="1">
      <c r="A22" s="9" t="s">
        <v>213</v>
      </c>
      <c r="B22" s="28" t="s">
        <v>198</v>
      </c>
      <c r="C22" s="9" t="s">
        <v>289</v>
      </c>
      <c r="D22" s="9" t="s">
        <v>178</v>
      </c>
      <c r="E22" s="10" t="s">
        <v>108</v>
      </c>
      <c r="F22" s="33">
        <v>110</v>
      </c>
      <c r="G22" s="33">
        <v>1</v>
      </c>
      <c r="H22" s="33" t="s">
        <v>268</v>
      </c>
      <c r="I22" s="10" t="s">
        <v>54</v>
      </c>
      <c r="J22" s="10" t="s">
        <v>105</v>
      </c>
      <c r="K22" s="10" t="s">
        <v>109</v>
      </c>
      <c r="L22" s="11"/>
      <c r="M22" s="10" t="s">
        <v>82</v>
      </c>
      <c r="N22" s="10" t="s">
        <v>83</v>
      </c>
      <c r="O22" s="11" t="s">
        <v>84</v>
      </c>
      <c r="P22" s="11"/>
      <c r="Q22" s="10" t="s">
        <v>99</v>
      </c>
      <c r="R22" s="11" t="s">
        <v>110</v>
      </c>
      <c r="S22" s="33">
        <v>0</v>
      </c>
      <c r="T22" s="11"/>
      <c r="U22" s="12" t="str">
        <f>"720,0"</f>
        <v>720,0</v>
      </c>
      <c r="V22" s="13" t="str">
        <f>"387,1440"</f>
        <v>387,1440</v>
      </c>
      <c r="W22" s="9"/>
    </row>
    <row r="23" spans="1:23" ht="12.75" customHeight="1">
      <c r="A23" s="9" t="s">
        <v>214</v>
      </c>
      <c r="B23" s="28" t="s">
        <v>198</v>
      </c>
      <c r="C23" s="9" t="s">
        <v>292</v>
      </c>
      <c r="D23" s="9" t="s">
        <v>179</v>
      </c>
      <c r="E23" s="10" t="s">
        <v>14</v>
      </c>
      <c r="F23" s="33">
        <v>110</v>
      </c>
      <c r="G23" s="33">
        <v>1</v>
      </c>
      <c r="H23" s="33" t="s">
        <v>349</v>
      </c>
      <c r="I23" s="10" t="s">
        <v>3</v>
      </c>
      <c r="J23" s="10" t="s">
        <v>35</v>
      </c>
      <c r="K23" s="10" t="s">
        <v>4</v>
      </c>
      <c r="L23" s="11"/>
      <c r="M23" s="10" t="s">
        <v>44</v>
      </c>
      <c r="N23" s="11" t="s">
        <v>51</v>
      </c>
      <c r="O23" s="10" t="s">
        <v>51</v>
      </c>
      <c r="P23" s="11"/>
      <c r="Q23" s="10" t="s">
        <v>39</v>
      </c>
      <c r="R23" s="10" t="s">
        <v>52</v>
      </c>
      <c r="S23" s="10" t="s">
        <v>53</v>
      </c>
      <c r="T23" s="11"/>
      <c r="U23" s="12" t="str">
        <f>"422,5"</f>
        <v>422,5</v>
      </c>
      <c r="V23" s="13" t="str">
        <f>"272,4272"</f>
        <v>272,4272</v>
      </c>
      <c r="W23" s="9"/>
    </row>
  </sheetData>
  <mergeCells count="3">
    <mergeCell ref="I1:K1"/>
    <mergeCell ref="M1:O1"/>
    <mergeCell ref="Q1:S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L22"/>
  <sheetViews>
    <sheetView zoomScaleNormal="100" workbookViewId="0">
      <selection activeCell="A8" sqref="A8"/>
    </sheetView>
  </sheetViews>
  <sheetFormatPr defaultColWidth="9.140625" defaultRowHeight="12.75" customHeight="1"/>
  <cols>
    <col min="1" max="1" width="20" style="3" bestFit="1" customWidth="1"/>
    <col min="2" max="2" width="4.42578125" style="3" bestFit="1" customWidth="1"/>
    <col min="3" max="3" width="10.140625" style="4" bestFit="1" customWidth="1"/>
    <col min="4" max="4" width="11.85546875" style="3" bestFit="1" customWidth="1"/>
    <col min="5" max="8" width="7.5703125" style="4" customWidth="1"/>
    <col min="9" max="11" width="4.5703125" style="4" customWidth="1"/>
    <col min="12" max="12" width="4.7109375" style="4" customWidth="1"/>
    <col min="13" max="13" width="5.7109375" style="1" customWidth="1"/>
    <col min="14" max="14" width="7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319</v>
      </c>
      <c r="I1" s="42" t="s">
        <v>171</v>
      </c>
      <c r="J1" s="42"/>
      <c r="K1" s="42"/>
      <c r="L1" s="42"/>
      <c r="M1" s="26" t="s">
        <v>168</v>
      </c>
      <c r="N1" s="26" t="s">
        <v>169</v>
      </c>
      <c r="O1" s="1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31"/>
      <c r="U2" s="30"/>
      <c r="V2" s="30"/>
      <c r="W2" s="30"/>
    </row>
    <row r="3" spans="1:23" s="4" customFormat="1" ht="12.75" customHeight="1">
      <c r="A3" s="9" t="s">
        <v>211</v>
      </c>
      <c r="B3" s="9" t="s">
        <v>198</v>
      </c>
      <c r="C3" s="10" t="s">
        <v>287</v>
      </c>
      <c r="D3" s="9" t="s">
        <v>177</v>
      </c>
      <c r="E3" s="10" t="s">
        <v>71</v>
      </c>
      <c r="F3" s="33">
        <v>100</v>
      </c>
      <c r="G3" s="33">
        <v>1</v>
      </c>
      <c r="H3" s="33" t="s">
        <v>342</v>
      </c>
      <c r="I3" s="10" t="s">
        <v>19</v>
      </c>
      <c r="J3" s="10" t="s">
        <v>72</v>
      </c>
      <c r="K3" s="10" t="s">
        <v>28</v>
      </c>
      <c r="L3" s="11"/>
      <c r="M3" s="12" t="str">
        <f>"85,0"</f>
        <v>85,0</v>
      </c>
      <c r="N3" s="13" t="str">
        <f>"48,4245"</f>
        <v>48,4245</v>
      </c>
      <c r="O3" s="9"/>
    </row>
    <row r="4" spans="1:23" ht="12.75" customHeight="1">
      <c r="A4" s="9" t="s">
        <v>214</v>
      </c>
      <c r="B4" s="9" t="s">
        <v>198</v>
      </c>
      <c r="C4" s="10" t="s">
        <v>292</v>
      </c>
      <c r="D4" s="9" t="s">
        <v>179</v>
      </c>
      <c r="E4" s="10" t="s">
        <v>14</v>
      </c>
      <c r="F4" s="33">
        <v>110</v>
      </c>
      <c r="G4" s="33">
        <v>1</v>
      </c>
      <c r="H4" s="33" t="s">
        <v>266</v>
      </c>
      <c r="I4" s="10" t="s">
        <v>31</v>
      </c>
      <c r="J4" s="10" t="s">
        <v>66</v>
      </c>
      <c r="K4" s="10" t="s">
        <v>22</v>
      </c>
      <c r="L4" s="11"/>
      <c r="M4" s="12" t="str">
        <f>"55,0"</f>
        <v>55,0</v>
      </c>
      <c r="N4" s="13" t="str">
        <f>"30,2335"</f>
        <v>30,2335</v>
      </c>
      <c r="O4" s="9"/>
    </row>
    <row r="15" spans="1:23" ht="12.75" customHeight="1">
      <c r="A15" s="18"/>
      <c r="B15" s="18"/>
      <c r="C15" s="19"/>
    </row>
    <row r="16" spans="1:23" ht="12.75" customHeight="1">
      <c r="A16" s="20"/>
      <c r="B16" s="20"/>
      <c r="C16" s="19"/>
    </row>
    <row r="17" spans="1:8" ht="12.75" customHeight="1">
      <c r="A17" s="21"/>
      <c r="B17" s="21"/>
      <c r="C17" s="21"/>
      <c r="E17" s="21"/>
      <c r="F17" s="32"/>
      <c r="G17" s="17"/>
      <c r="H17" s="32"/>
    </row>
    <row r="18" spans="1:8" ht="12.75" customHeight="1">
      <c r="A18" s="15"/>
      <c r="B18" s="15"/>
    </row>
    <row r="20" spans="1:8" ht="12.75" customHeight="1">
      <c r="A20" s="20"/>
      <c r="B20" s="20"/>
      <c r="C20" s="19"/>
    </row>
    <row r="21" spans="1:8" ht="12.75" customHeight="1">
      <c r="A21" s="21"/>
      <c r="B21" s="21"/>
      <c r="C21" s="21"/>
      <c r="E21" s="21"/>
      <c r="F21" s="32"/>
      <c r="G21" s="17"/>
      <c r="H21" s="32"/>
    </row>
    <row r="22" spans="1:8" ht="12.75" customHeight="1">
      <c r="A22" s="15"/>
      <c r="B22" s="15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L44"/>
  <sheetViews>
    <sheetView zoomScaleNormal="100" workbookViewId="0">
      <selection activeCell="A11" sqref="A11"/>
    </sheetView>
  </sheetViews>
  <sheetFormatPr defaultColWidth="9.140625" defaultRowHeight="12.75" customHeight="1"/>
  <cols>
    <col min="1" max="1" width="17.28515625" style="3" bestFit="1" customWidth="1"/>
    <col min="2" max="2" width="4.42578125" style="3" bestFit="1" customWidth="1"/>
    <col min="3" max="3" width="10.140625" style="4" bestFit="1" customWidth="1"/>
    <col min="4" max="4" width="12" style="3" bestFit="1" customWidth="1"/>
    <col min="5" max="7" width="7.5703125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7" style="2" bestFit="1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166</v>
      </c>
      <c r="J1" s="42"/>
      <c r="K1" s="42"/>
      <c r="L1" s="26"/>
      <c r="M1" s="26" t="s">
        <v>168</v>
      </c>
      <c r="N1" s="26" t="s">
        <v>169</v>
      </c>
      <c r="O1" s="44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45"/>
      <c r="U2" s="30"/>
      <c r="V2" s="30"/>
      <c r="W2" s="30"/>
    </row>
    <row r="3" spans="1:23" s="4" customFormat="1" ht="12.75" customHeight="1">
      <c r="A3" s="9" t="s">
        <v>256</v>
      </c>
      <c r="B3" s="9" t="s">
        <v>197</v>
      </c>
      <c r="C3" s="9" t="s">
        <v>343</v>
      </c>
      <c r="D3" s="9" t="s">
        <v>174</v>
      </c>
      <c r="E3" s="10" t="s">
        <v>150</v>
      </c>
      <c r="F3" s="33">
        <v>56</v>
      </c>
      <c r="G3" s="33">
        <v>1</v>
      </c>
      <c r="H3" s="33" t="s">
        <v>266</v>
      </c>
      <c r="I3" s="10" t="s">
        <v>2</v>
      </c>
      <c r="J3" s="10" t="s">
        <v>3</v>
      </c>
      <c r="K3" s="10" t="s">
        <v>35</v>
      </c>
      <c r="L3" s="11"/>
      <c r="M3" s="12" t="str">
        <f>"115,0"</f>
        <v>115,0</v>
      </c>
      <c r="N3" s="49">
        <v>106.52</v>
      </c>
      <c r="O3" s="46"/>
    </row>
    <row r="4" spans="1:23" ht="12.75" customHeight="1">
      <c r="A4" s="9" t="s">
        <v>257</v>
      </c>
      <c r="B4" s="9" t="s">
        <v>197</v>
      </c>
      <c r="C4" s="9" t="s">
        <v>344</v>
      </c>
      <c r="D4" s="9" t="s">
        <v>174</v>
      </c>
      <c r="E4" s="10" t="s">
        <v>151</v>
      </c>
      <c r="F4" s="33">
        <v>56</v>
      </c>
      <c r="G4" s="33">
        <v>1</v>
      </c>
      <c r="H4" s="33" t="s">
        <v>271</v>
      </c>
      <c r="I4" s="11" t="s">
        <v>35</v>
      </c>
      <c r="J4" s="10" t="s">
        <v>36</v>
      </c>
      <c r="K4" s="10" t="s">
        <v>38</v>
      </c>
      <c r="L4" s="11"/>
      <c r="M4" s="12" t="str">
        <f>"130,0"</f>
        <v>130,0</v>
      </c>
      <c r="N4" s="49">
        <v>114.62</v>
      </c>
      <c r="O4" s="46"/>
    </row>
    <row r="5" spans="1:23" ht="12.75" customHeight="1">
      <c r="A5" s="9" t="s">
        <v>252</v>
      </c>
      <c r="B5" s="9" t="s">
        <v>198</v>
      </c>
      <c r="C5" s="9" t="s">
        <v>338</v>
      </c>
      <c r="D5" s="9" t="s">
        <v>192</v>
      </c>
      <c r="E5" s="10" t="s">
        <v>10</v>
      </c>
      <c r="F5" s="33">
        <v>75</v>
      </c>
      <c r="G5" s="33">
        <v>1</v>
      </c>
      <c r="H5" s="33" t="s">
        <v>331</v>
      </c>
      <c r="I5" s="10" t="s">
        <v>4</v>
      </c>
      <c r="J5" s="10" t="s">
        <v>39</v>
      </c>
      <c r="K5" s="33">
        <v>0</v>
      </c>
      <c r="L5" s="11"/>
      <c r="M5" s="12" t="str">
        <f>"140,0"</f>
        <v>140,0</v>
      </c>
      <c r="N5" s="49">
        <v>169.98</v>
      </c>
      <c r="O5" s="46"/>
    </row>
    <row r="6" spans="1:23" ht="12.75" customHeight="1">
      <c r="A6" s="9" t="s">
        <v>258</v>
      </c>
      <c r="B6" s="9" t="s">
        <v>198</v>
      </c>
      <c r="C6" s="9" t="s">
        <v>345</v>
      </c>
      <c r="D6" s="9" t="s">
        <v>194</v>
      </c>
      <c r="E6" s="10" t="s">
        <v>152</v>
      </c>
      <c r="F6" s="33">
        <v>82.5</v>
      </c>
      <c r="G6" s="33">
        <v>1</v>
      </c>
      <c r="H6" s="33" t="s">
        <v>331</v>
      </c>
      <c r="I6" s="10" t="s">
        <v>84</v>
      </c>
      <c r="J6" s="10" t="s">
        <v>112</v>
      </c>
      <c r="K6" s="10" t="s">
        <v>153</v>
      </c>
      <c r="L6" s="11"/>
      <c r="M6" s="12" t="str">
        <f>"222,5"</f>
        <v>222,5</v>
      </c>
      <c r="N6" s="49">
        <v>263.77999999999997</v>
      </c>
      <c r="O6" s="46"/>
    </row>
    <row r="7" spans="1:23" ht="12.75" customHeight="1">
      <c r="A7" s="9" t="s">
        <v>259</v>
      </c>
      <c r="B7" s="9" t="s">
        <v>198</v>
      </c>
      <c r="C7" s="9" t="s">
        <v>346</v>
      </c>
      <c r="D7" s="9" t="s">
        <v>174</v>
      </c>
      <c r="E7" s="10" t="s">
        <v>154</v>
      </c>
      <c r="F7" s="33">
        <v>90</v>
      </c>
      <c r="G7" s="33">
        <v>1</v>
      </c>
      <c r="H7" s="33" t="s">
        <v>266</v>
      </c>
      <c r="I7" s="10" t="s">
        <v>94</v>
      </c>
      <c r="J7" s="10" t="s">
        <v>83</v>
      </c>
      <c r="K7" s="10" t="s">
        <v>112</v>
      </c>
      <c r="L7" s="11"/>
      <c r="M7" s="12" t="str">
        <f>"215,0"</f>
        <v>215,0</v>
      </c>
      <c r="N7" s="49">
        <v>127.96</v>
      </c>
      <c r="O7" s="47"/>
    </row>
    <row r="8" spans="1:23" ht="12.75" customHeight="1">
      <c r="A8" s="9" t="s">
        <v>156</v>
      </c>
      <c r="B8" s="9" t="s">
        <v>198</v>
      </c>
      <c r="C8" s="9" t="s">
        <v>347</v>
      </c>
      <c r="D8" s="9" t="s">
        <v>193</v>
      </c>
      <c r="E8" s="10" t="s">
        <v>155</v>
      </c>
      <c r="F8" s="33">
        <v>90</v>
      </c>
      <c r="G8" s="33">
        <v>2</v>
      </c>
      <c r="H8" s="33" t="s">
        <v>266</v>
      </c>
      <c r="I8" s="10" t="s">
        <v>87</v>
      </c>
      <c r="J8" s="10" t="s">
        <v>48</v>
      </c>
      <c r="K8" s="11" t="s">
        <v>153</v>
      </c>
      <c r="L8" s="11"/>
      <c r="M8" s="12" t="str">
        <f>"210,0"</f>
        <v>210,0</v>
      </c>
      <c r="N8" s="49">
        <v>128.77000000000001</v>
      </c>
      <c r="O8" s="48"/>
    </row>
    <row r="9" spans="1:23" ht="12.75" customHeight="1">
      <c r="A9" s="9" t="s">
        <v>260</v>
      </c>
      <c r="B9" s="9" t="s">
        <v>198</v>
      </c>
      <c r="C9" s="9" t="s">
        <v>296</v>
      </c>
      <c r="D9" s="9" t="s">
        <v>180</v>
      </c>
      <c r="E9" s="10" t="s">
        <v>47</v>
      </c>
      <c r="F9" s="33">
        <v>100</v>
      </c>
      <c r="G9" s="33">
        <v>1</v>
      </c>
      <c r="H9" s="33" t="s">
        <v>266</v>
      </c>
      <c r="I9" s="10" t="s">
        <v>48</v>
      </c>
      <c r="J9" s="10" t="s">
        <v>49</v>
      </c>
      <c r="K9" s="10" t="s">
        <v>50</v>
      </c>
      <c r="L9" s="11"/>
      <c r="M9" s="12" t="str">
        <f>"232,5"</f>
        <v>232,5</v>
      </c>
      <c r="N9" s="49">
        <v>132.31</v>
      </c>
      <c r="O9" s="47"/>
    </row>
    <row r="10" spans="1:23" ht="12.75" customHeight="1">
      <c r="A10" s="9" t="s">
        <v>260</v>
      </c>
      <c r="B10" s="9" t="s">
        <v>198</v>
      </c>
      <c r="C10" s="9" t="s">
        <v>296</v>
      </c>
      <c r="D10" s="9" t="s">
        <v>180</v>
      </c>
      <c r="E10" s="10" t="s">
        <v>47</v>
      </c>
      <c r="F10" s="33">
        <v>100</v>
      </c>
      <c r="G10" s="33">
        <v>1</v>
      </c>
      <c r="H10" s="33" t="s">
        <v>295</v>
      </c>
      <c r="I10" s="10" t="s">
        <v>48</v>
      </c>
      <c r="J10" s="10" t="s">
        <v>49</v>
      </c>
      <c r="K10" s="10" t="s">
        <v>50</v>
      </c>
      <c r="L10" s="11"/>
      <c r="M10" s="12" t="str">
        <f>"232,5"</f>
        <v>232,5</v>
      </c>
      <c r="N10" s="49">
        <v>182.59</v>
      </c>
      <c r="O10" s="48"/>
    </row>
    <row r="11" spans="1:23" ht="12.75" customHeight="1">
      <c r="A11" s="9" t="s">
        <v>214</v>
      </c>
      <c r="B11" s="9" t="s">
        <v>198</v>
      </c>
      <c r="C11" s="9" t="s">
        <v>292</v>
      </c>
      <c r="D11" s="9" t="s">
        <v>179</v>
      </c>
      <c r="E11" s="10" t="s">
        <v>14</v>
      </c>
      <c r="F11" s="33">
        <v>110</v>
      </c>
      <c r="G11" s="33">
        <v>1</v>
      </c>
      <c r="H11" s="33" t="s">
        <v>272</v>
      </c>
      <c r="I11" s="10" t="s">
        <v>39</v>
      </c>
      <c r="J11" s="10" t="s">
        <v>52</v>
      </c>
      <c r="K11" s="10" t="s">
        <v>53</v>
      </c>
      <c r="L11" s="11"/>
      <c r="M11" s="12" t="str">
        <f>"160,0"</f>
        <v>160,0</v>
      </c>
      <c r="N11" s="49">
        <v>103.16</v>
      </c>
      <c r="O11" s="46"/>
    </row>
    <row r="22" spans="1:8" ht="12.75" customHeight="1">
      <c r="A22" s="18"/>
      <c r="B22" s="18"/>
      <c r="C22" s="19"/>
    </row>
    <row r="23" spans="1:8" ht="12.75" customHeight="1">
      <c r="A23" s="20"/>
      <c r="B23" s="20"/>
      <c r="C23" s="19"/>
    </row>
    <row r="24" spans="1:8" ht="12.75" customHeight="1">
      <c r="A24" s="21"/>
      <c r="B24" s="21"/>
      <c r="C24" s="21"/>
      <c r="E24" s="21"/>
      <c r="F24" s="32"/>
      <c r="G24" s="17"/>
      <c r="H24" s="32"/>
    </row>
    <row r="25" spans="1:8" ht="12.75" customHeight="1">
      <c r="A25" s="15"/>
      <c r="B25" s="15"/>
    </row>
    <row r="28" spans="1:8" ht="12.75" customHeight="1">
      <c r="A28" s="18"/>
      <c r="B28" s="18"/>
      <c r="C28" s="19"/>
    </row>
    <row r="29" spans="1:8" ht="12.75" customHeight="1">
      <c r="A29" s="20"/>
      <c r="B29" s="20"/>
      <c r="C29" s="19"/>
    </row>
    <row r="30" spans="1:8" ht="12.75" customHeight="1">
      <c r="A30" s="21"/>
      <c r="B30" s="21"/>
      <c r="C30" s="21"/>
      <c r="E30" s="21"/>
      <c r="F30" s="32"/>
      <c r="G30" s="17"/>
      <c r="H30" s="32"/>
    </row>
    <row r="31" spans="1:8" ht="12.75" customHeight="1">
      <c r="A31" s="15"/>
      <c r="B31" s="15"/>
    </row>
    <row r="33" spans="1:8" ht="12.75" customHeight="1">
      <c r="A33" s="20"/>
      <c r="B33" s="20"/>
      <c r="C33" s="19"/>
    </row>
    <row r="34" spans="1:8" ht="12.75" customHeight="1">
      <c r="A34" s="21"/>
      <c r="B34" s="21"/>
      <c r="C34" s="21"/>
      <c r="E34" s="21"/>
      <c r="F34" s="32"/>
      <c r="G34" s="17"/>
      <c r="H34" s="32"/>
    </row>
    <row r="35" spans="1:8" ht="12.75" customHeight="1">
      <c r="A35" s="15"/>
      <c r="B35" s="15"/>
    </row>
    <row r="36" spans="1:8" ht="12.75" customHeight="1">
      <c r="A36" s="15"/>
      <c r="B36" s="15"/>
    </row>
    <row r="37" spans="1:8" ht="12.75" customHeight="1">
      <c r="A37" s="15"/>
      <c r="B37" s="15"/>
    </row>
    <row r="39" spans="1:8" ht="12.75" customHeight="1">
      <c r="A39" s="20"/>
      <c r="B39" s="20"/>
      <c r="C39" s="19"/>
    </row>
    <row r="40" spans="1:8" ht="12.75" customHeight="1">
      <c r="A40" s="21"/>
      <c r="B40" s="21"/>
      <c r="C40" s="21"/>
      <c r="E40" s="21"/>
      <c r="F40" s="32"/>
      <c r="G40" s="17"/>
      <c r="H40" s="32"/>
    </row>
    <row r="41" spans="1:8" ht="12.75" customHeight="1">
      <c r="A41" s="15"/>
      <c r="B41" s="15"/>
    </row>
    <row r="42" spans="1:8" ht="12.75" customHeight="1">
      <c r="A42" s="15"/>
      <c r="B42" s="15"/>
    </row>
    <row r="43" spans="1:8" ht="12.75" customHeight="1">
      <c r="A43" s="15"/>
      <c r="B43" s="15"/>
    </row>
    <row r="44" spans="1:8" ht="12.75" customHeight="1">
      <c r="A44" s="15"/>
      <c r="B44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L29"/>
  <sheetViews>
    <sheetView zoomScaleNormal="100" workbookViewId="0"/>
  </sheetViews>
  <sheetFormatPr defaultColWidth="9.140625" defaultRowHeight="12.75" customHeight="1"/>
  <cols>
    <col min="1" max="1" width="20" style="3" bestFit="1" customWidth="1"/>
    <col min="2" max="2" width="4.42578125" style="3" bestFit="1" customWidth="1"/>
    <col min="3" max="3" width="10.140625" style="3" bestFit="1" customWidth="1"/>
    <col min="4" max="4" width="11.85546875" style="3" bestFit="1" customWidth="1"/>
    <col min="5" max="7" width="7.5703125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8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40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166</v>
      </c>
      <c r="J1" s="42"/>
      <c r="K1" s="42"/>
      <c r="L1" s="26"/>
      <c r="M1" s="26" t="s">
        <v>168</v>
      </c>
      <c r="N1" s="26" t="s">
        <v>169</v>
      </c>
      <c r="O1" s="1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31"/>
      <c r="U2" s="30"/>
      <c r="V2" s="30"/>
      <c r="W2" s="30"/>
    </row>
    <row r="3" spans="1:23" s="4" customFormat="1" ht="12.75" customHeight="1">
      <c r="A3" s="9" t="s">
        <v>248</v>
      </c>
      <c r="B3" s="9" t="s">
        <v>197</v>
      </c>
      <c r="C3" s="9" t="s">
        <v>334</v>
      </c>
      <c r="D3" s="9" t="s">
        <v>181</v>
      </c>
      <c r="E3" s="10" t="s">
        <v>60</v>
      </c>
      <c r="F3" s="33">
        <v>75</v>
      </c>
      <c r="G3" s="33">
        <v>1</v>
      </c>
      <c r="H3" s="33" t="s">
        <v>266</v>
      </c>
      <c r="I3" s="10" t="s">
        <v>83</v>
      </c>
      <c r="J3" s="10" t="s">
        <v>48</v>
      </c>
      <c r="K3" s="11" t="s">
        <v>112</v>
      </c>
      <c r="L3" s="11"/>
      <c r="M3" s="12" t="str">
        <f>"210,0"</f>
        <v>210,0</v>
      </c>
      <c r="N3" s="13" t="str">
        <f>"154,0560"</f>
        <v>154,0560</v>
      </c>
      <c r="O3" s="5"/>
    </row>
    <row r="4" spans="1:23" s="4" customFormat="1" ht="12.75" customHeight="1">
      <c r="A4" s="9" t="s">
        <v>248</v>
      </c>
      <c r="B4" s="9" t="s">
        <v>197</v>
      </c>
      <c r="C4" s="9" t="s">
        <v>334</v>
      </c>
      <c r="D4" s="9" t="s">
        <v>181</v>
      </c>
      <c r="E4" s="10" t="s">
        <v>60</v>
      </c>
      <c r="F4" s="33">
        <v>75</v>
      </c>
      <c r="G4" s="33">
        <v>1</v>
      </c>
      <c r="H4" s="33" t="s">
        <v>268</v>
      </c>
      <c r="I4" s="10" t="s">
        <v>83</v>
      </c>
      <c r="J4" s="10" t="s">
        <v>48</v>
      </c>
      <c r="K4" s="11" t="s">
        <v>112</v>
      </c>
      <c r="L4" s="11"/>
      <c r="M4" s="12" t="str">
        <f>"210,0"</f>
        <v>210,0</v>
      </c>
      <c r="N4" s="13" t="str">
        <f>"154,0560"</f>
        <v>154,0560</v>
      </c>
      <c r="O4" s="6"/>
    </row>
    <row r="5" spans="1:23" ht="12.75" customHeight="1">
      <c r="A5" s="9" t="s">
        <v>211</v>
      </c>
      <c r="B5" s="9" t="s">
        <v>198</v>
      </c>
      <c r="C5" s="9" t="s">
        <v>287</v>
      </c>
      <c r="D5" s="9" t="s">
        <v>177</v>
      </c>
      <c r="E5" s="10" t="s">
        <v>71</v>
      </c>
      <c r="F5" s="33">
        <v>100</v>
      </c>
      <c r="G5" s="33">
        <v>1</v>
      </c>
      <c r="H5" s="33" t="s">
        <v>342</v>
      </c>
      <c r="I5" s="10" t="s">
        <v>84</v>
      </c>
      <c r="J5" s="10" t="s">
        <v>112</v>
      </c>
      <c r="K5" s="10" t="s">
        <v>7</v>
      </c>
      <c r="L5" s="11"/>
      <c r="M5" s="12" t="str">
        <f>"225,0"</f>
        <v>225,0</v>
      </c>
      <c r="N5" s="13" t="str">
        <f>"128,1825"</f>
        <v>128,1825</v>
      </c>
      <c r="O5" s="9"/>
    </row>
    <row r="16" spans="1:23" ht="12.75" customHeight="1">
      <c r="A16" s="18"/>
      <c r="B16" s="18"/>
      <c r="C16" s="18"/>
    </row>
    <row r="17" spans="1:8" ht="12.75" customHeight="1">
      <c r="A17" s="20"/>
      <c r="B17" s="20"/>
      <c r="C17" s="18"/>
    </row>
    <row r="18" spans="1:8" ht="12.75" customHeight="1">
      <c r="A18" s="21"/>
      <c r="B18" s="21"/>
      <c r="C18" s="41"/>
      <c r="E18" s="21"/>
      <c r="F18" s="32"/>
      <c r="G18" s="17"/>
      <c r="H18" s="32"/>
    </row>
    <row r="19" spans="1:8" ht="12.75" customHeight="1">
      <c r="A19" s="15"/>
      <c r="B19" s="15"/>
    </row>
    <row r="21" spans="1:8" ht="12.75" customHeight="1">
      <c r="A21" s="20"/>
      <c r="B21" s="20"/>
      <c r="C21" s="18"/>
    </row>
    <row r="22" spans="1:8" ht="12.75" customHeight="1">
      <c r="A22" s="21"/>
      <c r="B22" s="21"/>
      <c r="C22" s="41"/>
      <c r="E22" s="21"/>
      <c r="F22" s="32"/>
      <c r="G22" s="17"/>
      <c r="H22" s="32"/>
    </row>
    <row r="23" spans="1:8" ht="12.75" customHeight="1">
      <c r="A23" s="15"/>
      <c r="B23" s="15"/>
    </row>
    <row r="26" spans="1:8" ht="12.75" customHeight="1">
      <c r="A26" s="18"/>
      <c r="B26" s="18"/>
      <c r="C26" s="18"/>
    </row>
    <row r="27" spans="1:8" ht="12.75" customHeight="1">
      <c r="A27" s="20"/>
      <c r="B27" s="20"/>
      <c r="C27" s="18"/>
    </row>
    <row r="28" spans="1:8" ht="12.75" customHeight="1">
      <c r="A28" s="21"/>
      <c r="B28" s="21"/>
      <c r="C28" s="41"/>
      <c r="E28" s="21"/>
      <c r="F28" s="32"/>
      <c r="G28" s="17"/>
      <c r="H28" s="32"/>
    </row>
    <row r="29" spans="1:8" ht="12.75" customHeight="1">
      <c r="A29" s="15"/>
      <c r="B29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L19"/>
  <sheetViews>
    <sheetView zoomScaleNormal="100" workbookViewId="0">
      <selection activeCell="A2" sqref="A2"/>
    </sheetView>
  </sheetViews>
  <sheetFormatPr defaultColWidth="9.140625" defaultRowHeight="12.75" customHeight="1"/>
  <cols>
    <col min="1" max="1" width="17.140625" style="3" customWidth="1"/>
    <col min="2" max="2" width="4.42578125" style="3" bestFit="1" customWidth="1"/>
    <col min="3" max="3" width="10.140625" style="4" bestFit="1" customWidth="1"/>
    <col min="4" max="4" width="14.140625" style="3" bestFit="1" customWidth="1"/>
    <col min="5" max="7" width="7.5703125" style="4" customWidth="1"/>
    <col min="8" max="8" width="19" style="4" bestFit="1" customWidth="1"/>
    <col min="9" max="12" width="5.5703125" style="4" customWidth="1"/>
    <col min="13" max="13" width="5.7109375" style="1" customWidth="1"/>
    <col min="14" max="14" width="8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166</v>
      </c>
      <c r="J1" s="42"/>
      <c r="K1" s="42"/>
      <c r="L1" s="26"/>
      <c r="M1" s="26" t="s">
        <v>168</v>
      </c>
      <c r="N1" s="26" t="s">
        <v>169</v>
      </c>
      <c r="O1" s="44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 t="s">
        <v>167</v>
      </c>
      <c r="M2" s="21"/>
      <c r="N2" s="21"/>
      <c r="O2" s="45"/>
      <c r="U2" s="30"/>
      <c r="V2" s="30"/>
      <c r="W2" s="30"/>
    </row>
    <row r="3" spans="1:23" s="4" customFormat="1" ht="12.75" customHeight="1">
      <c r="A3" s="9" t="s">
        <v>261</v>
      </c>
      <c r="B3" s="9" t="s">
        <v>198</v>
      </c>
      <c r="C3" s="10" t="s">
        <v>348</v>
      </c>
      <c r="D3" s="9" t="s">
        <v>195</v>
      </c>
      <c r="E3" s="10" t="s">
        <v>162</v>
      </c>
      <c r="F3" s="33">
        <v>82.5</v>
      </c>
      <c r="G3" s="33">
        <v>1</v>
      </c>
      <c r="H3" s="33" t="s">
        <v>272</v>
      </c>
      <c r="I3" s="11" t="s">
        <v>48</v>
      </c>
      <c r="J3" s="10" t="s">
        <v>112</v>
      </c>
      <c r="K3" s="10" t="s">
        <v>7</v>
      </c>
      <c r="L3" s="10" t="s">
        <v>50</v>
      </c>
      <c r="M3" s="12" t="str">
        <f>"225,0"</f>
        <v>225,0</v>
      </c>
      <c r="N3" s="13" t="str">
        <f>"174,5689"</f>
        <v>174,5689</v>
      </c>
      <c r="O3" s="46"/>
    </row>
    <row r="4" spans="1:23" ht="12.75" customHeight="1">
      <c r="A4" s="9" t="s">
        <v>262</v>
      </c>
      <c r="B4" s="9" t="s">
        <v>198</v>
      </c>
      <c r="C4" s="10" t="s">
        <v>327</v>
      </c>
      <c r="D4" s="9" t="s">
        <v>191</v>
      </c>
      <c r="E4" s="10" t="s">
        <v>37</v>
      </c>
      <c r="F4" s="33">
        <v>100</v>
      </c>
      <c r="G4" s="33">
        <v>1</v>
      </c>
      <c r="H4" s="33" t="s">
        <v>326</v>
      </c>
      <c r="I4" s="10" t="s">
        <v>81</v>
      </c>
      <c r="J4" s="10" t="s">
        <v>82</v>
      </c>
      <c r="K4" s="11" t="s">
        <v>84</v>
      </c>
      <c r="L4" s="11"/>
      <c r="M4" s="12" t="str">
        <f>"190,0"</f>
        <v>190,0</v>
      </c>
      <c r="N4" s="13" t="str">
        <f>"214,5649"</f>
        <v>214,5649</v>
      </c>
      <c r="O4" s="46"/>
    </row>
    <row r="15" spans="1:23" ht="12.75" customHeight="1">
      <c r="A15" s="18"/>
      <c r="B15" s="18"/>
      <c r="C15" s="19"/>
    </row>
    <row r="16" spans="1:23" ht="12.75" customHeight="1">
      <c r="A16" s="20"/>
      <c r="B16" s="20"/>
      <c r="C16" s="19"/>
    </row>
    <row r="17" spans="1:8" ht="12.75" customHeight="1">
      <c r="A17" s="21"/>
      <c r="B17" s="21"/>
      <c r="C17" s="21"/>
      <c r="E17" s="21"/>
      <c r="F17" s="32"/>
      <c r="G17" s="17"/>
      <c r="H17" s="32"/>
    </row>
    <row r="18" spans="1:8" ht="12.75" customHeight="1">
      <c r="A18" s="15"/>
      <c r="B18" s="15"/>
    </row>
    <row r="19" spans="1:8" ht="12.75" customHeight="1">
      <c r="A19" s="15"/>
      <c r="B19" s="15"/>
    </row>
  </sheetData>
  <mergeCells count="1">
    <mergeCell ref="I1:K1"/>
  </mergeCells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/>
  <headerFooter>
    <oddFooter>&amp;R&amp;D&amp;T&amp;P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L4"/>
  <sheetViews>
    <sheetView zoomScaleNormal="100" workbookViewId="0">
      <selection activeCell="C6" sqref="C6"/>
    </sheetView>
  </sheetViews>
  <sheetFormatPr defaultColWidth="9.140625" defaultRowHeight="12.75" customHeight="1"/>
  <cols>
    <col min="1" max="1" width="17.5703125" style="3" bestFit="1" customWidth="1"/>
    <col min="2" max="2" width="4.42578125" style="3" bestFit="1" customWidth="1"/>
    <col min="3" max="3" width="10.140625" style="4" bestFit="1" customWidth="1"/>
    <col min="4" max="5" width="7.5703125" style="4" customWidth="1"/>
    <col min="6" max="6" width="4.140625" style="4" customWidth="1"/>
    <col min="7" max="7" width="19" style="4" bestFit="1" customWidth="1"/>
    <col min="8" max="8" width="7.140625" style="3" bestFit="1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9" width="5.5703125" style="4" customWidth="1"/>
    <col min="20" max="20" width="4.7109375" style="4" customWidth="1"/>
    <col min="21" max="21" width="5.7109375" style="1" customWidth="1"/>
    <col min="22" max="22" width="8.5703125" style="2" customWidth="1"/>
    <col min="23" max="23" width="8.28515625" style="3" bestFit="1" customWidth="1"/>
    <col min="24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7" t="s">
        <v>164</v>
      </c>
      <c r="E1" s="27" t="s">
        <v>264</v>
      </c>
      <c r="F1" s="27" t="s">
        <v>199</v>
      </c>
      <c r="G1" s="27" t="s">
        <v>265</v>
      </c>
      <c r="H1" s="26" t="s">
        <v>165</v>
      </c>
      <c r="I1" s="42" t="s">
        <v>170</v>
      </c>
      <c r="J1" s="42"/>
      <c r="K1" s="42"/>
      <c r="L1" s="26"/>
      <c r="M1" s="42" t="s">
        <v>171</v>
      </c>
      <c r="N1" s="42"/>
      <c r="O1" s="42"/>
      <c r="P1" s="26"/>
      <c r="Q1" s="42" t="s">
        <v>166</v>
      </c>
      <c r="R1" s="42"/>
      <c r="S1" s="42"/>
      <c r="T1" s="26"/>
      <c r="U1" s="26" t="s">
        <v>168</v>
      </c>
      <c r="V1" s="26" t="s">
        <v>169</v>
      </c>
      <c r="W1" s="16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>
        <v>1</v>
      </c>
      <c r="N2" s="21">
        <v>2</v>
      </c>
      <c r="O2" s="21">
        <v>3</v>
      </c>
      <c r="P2" s="21"/>
      <c r="Q2" s="21">
        <v>1</v>
      </c>
      <c r="R2" s="21">
        <v>2</v>
      </c>
      <c r="S2" s="21">
        <v>3</v>
      </c>
      <c r="T2" s="21"/>
      <c r="U2" s="26"/>
      <c r="V2" s="26"/>
      <c r="W2" s="16"/>
    </row>
    <row r="3" spans="1:23" s="4" customFormat="1" ht="12.75" customHeight="1">
      <c r="A3" s="9" t="s">
        <v>216</v>
      </c>
      <c r="B3" s="9" t="s">
        <v>198</v>
      </c>
      <c r="C3" s="10" t="s">
        <v>294</v>
      </c>
      <c r="D3" s="10" t="s">
        <v>157</v>
      </c>
      <c r="E3" s="33">
        <v>110</v>
      </c>
      <c r="F3" s="33">
        <v>1</v>
      </c>
      <c r="G3" s="10" t="s">
        <v>266</v>
      </c>
      <c r="H3" s="9" t="s">
        <v>180</v>
      </c>
      <c r="I3" s="10" t="s">
        <v>53</v>
      </c>
      <c r="J3" s="10" t="s">
        <v>158</v>
      </c>
      <c r="K3" s="10" t="s">
        <v>86</v>
      </c>
      <c r="L3" s="11"/>
      <c r="M3" s="10" t="s">
        <v>53</v>
      </c>
      <c r="N3" s="10" t="s">
        <v>81</v>
      </c>
      <c r="O3" s="10" t="s">
        <v>94</v>
      </c>
      <c r="P3" s="11"/>
      <c r="Q3" s="10" t="s">
        <v>86</v>
      </c>
      <c r="R3" s="10" t="s">
        <v>83</v>
      </c>
      <c r="S3" s="10" t="s">
        <v>6</v>
      </c>
      <c r="T3" s="11"/>
      <c r="U3" s="12" t="str">
        <f>"585,0"</f>
        <v>585,0</v>
      </c>
      <c r="V3" s="13" t="str">
        <f>"315,6075"</f>
        <v>315,6075</v>
      </c>
      <c r="W3" s="9"/>
    </row>
    <row r="4" spans="1:23" s="4" customFormat="1" ht="12.75" customHeight="1">
      <c r="A4" s="3"/>
      <c r="B4" s="3"/>
      <c r="H4" s="3"/>
      <c r="U4" s="1"/>
      <c r="V4" s="2"/>
      <c r="W4" s="3"/>
    </row>
  </sheetData>
  <mergeCells count="3">
    <mergeCell ref="I1:K1"/>
    <mergeCell ref="M1:O1"/>
    <mergeCell ref="Q1:S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L29"/>
  <sheetViews>
    <sheetView zoomScaleNormal="100" workbookViewId="0">
      <selection activeCell="I12" sqref="I12"/>
    </sheetView>
  </sheetViews>
  <sheetFormatPr defaultColWidth="9.140625" defaultRowHeight="12.75" customHeight="1"/>
  <cols>
    <col min="1" max="1" width="17.85546875" style="3" customWidth="1"/>
    <col min="2" max="2" width="4.42578125" style="3" bestFit="1" customWidth="1"/>
    <col min="3" max="3" width="10.140625" style="3" bestFit="1" customWidth="1"/>
    <col min="4" max="5" width="7.5703125" style="4" customWidth="1"/>
    <col min="6" max="7" width="5.42578125" style="4" customWidth="1"/>
    <col min="8" max="8" width="9.7109375" style="3" bestFit="1" customWidth="1"/>
    <col min="9" max="12" width="6.28515625" style="3" customWidth="1"/>
    <col min="13" max="15" width="5.5703125" style="4" customWidth="1"/>
    <col min="16" max="16" width="4.7109375" style="4" customWidth="1"/>
    <col min="17" max="19" width="5.5703125" style="4" customWidth="1"/>
    <col min="20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40" t="s">
        <v>293</v>
      </c>
      <c r="D1" s="27" t="s">
        <v>164</v>
      </c>
      <c r="E1" s="27" t="s">
        <v>264</v>
      </c>
      <c r="F1" s="27" t="s">
        <v>199</v>
      </c>
      <c r="G1" s="27"/>
      <c r="H1" s="26" t="s">
        <v>165</v>
      </c>
      <c r="I1" s="42" t="s">
        <v>170</v>
      </c>
      <c r="J1" s="42"/>
      <c r="K1" s="42"/>
      <c r="L1" s="42"/>
      <c r="M1" s="42" t="s">
        <v>171</v>
      </c>
      <c r="N1" s="42"/>
      <c r="O1" s="42"/>
      <c r="P1" s="26"/>
      <c r="Q1" s="42" t="s">
        <v>166</v>
      </c>
      <c r="R1" s="42"/>
      <c r="S1" s="42"/>
      <c r="T1" s="30"/>
      <c r="U1" s="30"/>
      <c r="V1" s="30"/>
      <c r="W1" s="30"/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43">
        <v>1</v>
      </c>
      <c r="J2" s="43">
        <v>2</v>
      </c>
      <c r="K2" s="43">
        <v>3</v>
      </c>
      <c r="L2" s="27"/>
      <c r="M2" s="21">
        <v>1</v>
      </c>
      <c r="N2" s="21">
        <v>2</v>
      </c>
      <c r="O2" s="21">
        <v>3</v>
      </c>
      <c r="P2" s="21"/>
      <c r="Q2" s="21">
        <v>1</v>
      </c>
      <c r="R2" s="21">
        <v>2</v>
      </c>
      <c r="S2" s="21">
        <v>3</v>
      </c>
      <c r="U2" s="30"/>
      <c r="V2" s="30"/>
      <c r="W2" s="30"/>
    </row>
    <row r="3" spans="1:23" s="4" customFormat="1" ht="12.75" customHeight="1">
      <c r="A3" s="9" t="s">
        <v>217</v>
      </c>
      <c r="B3" s="9" t="s">
        <v>198</v>
      </c>
      <c r="C3" s="35">
        <v>2004</v>
      </c>
      <c r="D3" s="10" t="s">
        <v>27</v>
      </c>
      <c r="E3" s="33">
        <v>75</v>
      </c>
      <c r="F3" s="33">
        <v>1</v>
      </c>
      <c r="G3" s="33" t="s">
        <v>271</v>
      </c>
      <c r="H3" s="9" t="s">
        <v>181</v>
      </c>
      <c r="I3" s="35">
        <v>0</v>
      </c>
      <c r="J3" s="35">
        <v>0</v>
      </c>
      <c r="K3" s="35">
        <v>0</v>
      </c>
      <c r="L3" s="9"/>
      <c r="M3" s="10" t="s">
        <v>42</v>
      </c>
      <c r="N3" s="10" t="s">
        <v>43</v>
      </c>
      <c r="O3" s="10" t="s">
        <v>28</v>
      </c>
      <c r="P3" s="11"/>
      <c r="Q3" s="10" t="s">
        <v>44</v>
      </c>
      <c r="R3" s="10" t="s">
        <v>45</v>
      </c>
      <c r="S3" s="10" t="s">
        <v>46</v>
      </c>
    </row>
    <row r="4" spans="1:23" s="4" customFormat="1" ht="12.75" customHeight="1">
      <c r="A4" s="9" t="s">
        <v>217</v>
      </c>
      <c r="B4" s="9" t="s">
        <v>198</v>
      </c>
      <c r="C4" s="35">
        <v>2004</v>
      </c>
      <c r="D4" s="10" t="s">
        <v>27</v>
      </c>
      <c r="E4" s="33">
        <v>75</v>
      </c>
      <c r="F4" s="33">
        <v>1</v>
      </c>
      <c r="G4" s="33" t="s">
        <v>266</v>
      </c>
      <c r="H4" s="9" t="s">
        <v>181</v>
      </c>
      <c r="I4" s="35">
        <v>0</v>
      </c>
      <c r="J4" s="35">
        <v>0</v>
      </c>
      <c r="K4" s="35">
        <v>0</v>
      </c>
      <c r="L4" s="9"/>
      <c r="M4" s="10" t="s">
        <v>42</v>
      </c>
      <c r="N4" s="10" t="s">
        <v>43</v>
      </c>
      <c r="O4" s="10" t="s">
        <v>28</v>
      </c>
      <c r="P4" s="11"/>
      <c r="Q4" s="10" t="s">
        <v>44</v>
      </c>
      <c r="R4" s="10" t="s">
        <v>45</v>
      </c>
      <c r="S4" s="10" t="s">
        <v>46</v>
      </c>
    </row>
    <row r="5" spans="1:23" ht="12.75" customHeight="1">
      <c r="A5" s="9" t="s">
        <v>218</v>
      </c>
      <c r="B5" s="9" t="s">
        <v>198</v>
      </c>
      <c r="C5" s="9" t="s">
        <v>296</v>
      </c>
      <c r="D5" s="10" t="s">
        <v>47</v>
      </c>
      <c r="E5" s="33">
        <v>100</v>
      </c>
      <c r="F5" s="33">
        <v>1</v>
      </c>
      <c r="G5" s="33" t="s">
        <v>295</v>
      </c>
      <c r="H5" s="9" t="s">
        <v>180</v>
      </c>
      <c r="I5" s="35">
        <v>0</v>
      </c>
      <c r="J5" s="35">
        <v>0</v>
      </c>
      <c r="K5" s="35">
        <v>0</v>
      </c>
      <c r="L5" s="9"/>
      <c r="M5" s="10" t="s">
        <v>38</v>
      </c>
      <c r="N5" s="10" t="s">
        <v>39</v>
      </c>
      <c r="O5" s="11" t="s">
        <v>45</v>
      </c>
      <c r="P5" s="11"/>
      <c r="Q5" s="10" t="s">
        <v>48</v>
      </c>
      <c r="R5" s="10" t="s">
        <v>49</v>
      </c>
      <c r="S5" s="10" t="s">
        <v>50</v>
      </c>
    </row>
    <row r="6" spans="1:23" ht="12.75" customHeight="1">
      <c r="A6" s="9" t="s">
        <v>214</v>
      </c>
      <c r="B6" s="9" t="s">
        <v>198</v>
      </c>
      <c r="C6" s="35">
        <v>1971</v>
      </c>
      <c r="D6" s="10" t="s">
        <v>14</v>
      </c>
      <c r="E6" s="33">
        <v>110</v>
      </c>
      <c r="F6" s="33">
        <v>1</v>
      </c>
      <c r="G6" s="33" t="s">
        <v>266</v>
      </c>
      <c r="H6" s="9" t="s">
        <v>179</v>
      </c>
      <c r="I6" s="35">
        <v>0</v>
      </c>
      <c r="J6" s="35">
        <v>0</v>
      </c>
      <c r="K6" s="35">
        <v>0</v>
      </c>
      <c r="L6" s="9"/>
      <c r="M6" s="10" t="s">
        <v>44</v>
      </c>
      <c r="N6" s="11" t="s">
        <v>51</v>
      </c>
      <c r="O6" s="10" t="s">
        <v>51</v>
      </c>
      <c r="P6" s="11"/>
      <c r="Q6" s="10" t="s">
        <v>39</v>
      </c>
      <c r="R6" s="10" t="s">
        <v>52</v>
      </c>
      <c r="S6" s="10" t="s">
        <v>53</v>
      </c>
    </row>
    <row r="17" spans="1:7" ht="12.75" customHeight="1">
      <c r="A17" s="18"/>
      <c r="B17" s="18"/>
      <c r="C17" s="18"/>
    </row>
    <row r="18" spans="1:7" ht="12.75" customHeight="1">
      <c r="A18" s="20"/>
      <c r="B18" s="20"/>
      <c r="C18" s="18"/>
    </row>
    <row r="19" spans="1:7" ht="12.75" customHeight="1">
      <c r="A19" s="21"/>
      <c r="B19" s="21"/>
      <c r="C19" s="41"/>
      <c r="D19" s="21"/>
      <c r="E19" s="32"/>
      <c r="F19" s="17"/>
      <c r="G19" s="32"/>
    </row>
    <row r="20" spans="1:7" ht="12.75" customHeight="1">
      <c r="A20" s="15"/>
      <c r="B20" s="15"/>
    </row>
    <row r="22" spans="1:7" ht="12.75" customHeight="1">
      <c r="A22" s="20"/>
      <c r="B22" s="20"/>
      <c r="C22" s="18"/>
    </row>
    <row r="23" spans="1:7" ht="12.75" customHeight="1">
      <c r="A23" s="21"/>
      <c r="B23" s="21"/>
      <c r="C23" s="41"/>
      <c r="D23" s="21"/>
      <c r="E23" s="32"/>
      <c r="F23" s="17"/>
      <c r="G23" s="32"/>
    </row>
    <row r="24" spans="1:7" ht="12.75" customHeight="1">
      <c r="A24" s="15"/>
      <c r="B24" s="15"/>
    </row>
    <row r="25" spans="1:7" ht="12.75" customHeight="1">
      <c r="A25" s="15"/>
      <c r="B25" s="15"/>
    </row>
    <row r="27" spans="1:7" ht="12.75" customHeight="1">
      <c r="A27" s="20"/>
      <c r="B27" s="20"/>
      <c r="C27" s="18"/>
    </row>
    <row r="28" spans="1:7" ht="12.75" customHeight="1">
      <c r="A28" s="21"/>
      <c r="B28" s="21"/>
      <c r="C28" s="41"/>
      <c r="D28" s="21"/>
      <c r="E28" s="32"/>
      <c r="F28" s="17"/>
      <c r="G28" s="32"/>
    </row>
    <row r="29" spans="1:7" ht="12.75" customHeight="1">
      <c r="A29" s="15"/>
      <c r="B29" s="15"/>
    </row>
  </sheetData>
  <mergeCells count="3">
    <mergeCell ref="Q1:S1"/>
    <mergeCell ref="M1:O1"/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L76"/>
  <sheetViews>
    <sheetView zoomScaleNormal="100" workbookViewId="0">
      <selection activeCell="D8" sqref="D8"/>
    </sheetView>
  </sheetViews>
  <sheetFormatPr defaultColWidth="9.140625" defaultRowHeight="12.75" customHeight="1"/>
  <cols>
    <col min="1" max="1" width="19.42578125" style="3" bestFit="1" customWidth="1"/>
    <col min="2" max="2" width="4.42578125" style="3" bestFit="1" customWidth="1"/>
    <col min="3" max="3" width="10.140625" style="3" bestFit="1" customWidth="1"/>
    <col min="4" max="4" width="15.28515625" style="3" bestFit="1" customWidth="1"/>
    <col min="5" max="6" width="7.5703125" style="4" customWidth="1"/>
    <col min="7" max="7" width="5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8.5703125" style="2" customWidth="1"/>
    <col min="15" max="15" width="17.57031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40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171</v>
      </c>
      <c r="J1" s="42"/>
      <c r="K1" s="42"/>
      <c r="L1" s="26"/>
      <c r="M1" s="26" t="s">
        <v>168</v>
      </c>
      <c r="N1" s="26" t="s">
        <v>169</v>
      </c>
      <c r="O1" s="26" t="s">
        <v>172</v>
      </c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21"/>
      <c r="U2" s="30"/>
      <c r="V2" s="30"/>
      <c r="W2" s="30"/>
    </row>
    <row r="3" spans="1:23" s="4" customFormat="1" ht="12.75" customHeight="1">
      <c r="A3" s="9" t="s">
        <v>221</v>
      </c>
      <c r="B3" s="9" t="s">
        <v>197</v>
      </c>
      <c r="C3" s="9" t="s">
        <v>297</v>
      </c>
      <c r="D3" s="9" t="s">
        <v>174</v>
      </c>
      <c r="E3" s="10" t="s">
        <v>119</v>
      </c>
      <c r="F3" s="33">
        <v>56</v>
      </c>
      <c r="G3" s="33">
        <v>1</v>
      </c>
      <c r="H3" s="33" t="s">
        <v>266</v>
      </c>
      <c r="I3" s="10" t="s">
        <v>42</v>
      </c>
      <c r="J3" s="11" t="s">
        <v>43</v>
      </c>
      <c r="K3" s="11" t="s">
        <v>43</v>
      </c>
      <c r="L3" s="11"/>
      <c r="M3" s="12" t="str">
        <f>"77,5"</f>
        <v>77,5</v>
      </c>
      <c r="N3" s="13" t="str">
        <f>"70,7265"</f>
        <v>70,7265</v>
      </c>
      <c r="O3" s="9"/>
    </row>
    <row r="4" spans="1:23" ht="12.75" customHeight="1">
      <c r="A4" s="9" t="s">
        <v>222</v>
      </c>
      <c r="B4" s="9" t="s">
        <v>197</v>
      </c>
      <c r="C4" s="9" t="s">
        <v>298</v>
      </c>
      <c r="D4" s="9" t="s">
        <v>174</v>
      </c>
      <c r="E4" s="10" t="s">
        <v>120</v>
      </c>
      <c r="F4" s="33">
        <v>67.5</v>
      </c>
      <c r="G4" s="33">
        <v>1</v>
      </c>
      <c r="H4" s="33" t="s">
        <v>266</v>
      </c>
      <c r="I4" s="10" t="s">
        <v>22</v>
      </c>
      <c r="J4" s="10" t="s">
        <v>64</v>
      </c>
      <c r="K4" s="10" t="s">
        <v>23</v>
      </c>
      <c r="L4" s="11"/>
      <c r="M4" s="12" t="str">
        <f>"60,0"</f>
        <v>60,0</v>
      </c>
      <c r="N4" s="13" t="str">
        <f>"48,5700"</f>
        <v>48,5700</v>
      </c>
      <c r="O4" s="9"/>
    </row>
    <row r="5" spans="1:23" ht="12.75" customHeight="1">
      <c r="A5" s="9" t="s">
        <v>223</v>
      </c>
      <c r="B5" s="9" t="s">
        <v>197</v>
      </c>
      <c r="C5" s="9" t="s">
        <v>299</v>
      </c>
      <c r="D5" s="9" t="s">
        <v>182</v>
      </c>
      <c r="E5" s="10" t="s">
        <v>121</v>
      </c>
      <c r="F5" s="33">
        <v>75</v>
      </c>
      <c r="G5" s="33">
        <v>1</v>
      </c>
      <c r="H5" s="33" t="s">
        <v>266</v>
      </c>
      <c r="I5" s="10" t="s">
        <v>25</v>
      </c>
      <c r="J5" s="10" t="s">
        <v>43</v>
      </c>
      <c r="K5" s="11" t="s">
        <v>28</v>
      </c>
      <c r="L5" s="11"/>
      <c r="M5" s="12" t="str">
        <f>"82,5"</f>
        <v>82,5</v>
      </c>
      <c r="N5" s="13" t="str">
        <f>"62,2875"</f>
        <v>62,2875</v>
      </c>
      <c r="O5" s="9"/>
    </row>
    <row r="6" spans="1:23" ht="12.75" customHeight="1">
      <c r="A6" s="9" t="s">
        <v>224</v>
      </c>
      <c r="B6" s="9" t="s">
        <v>197</v>
      </c>
      <c r="C6" s="9" t="s">
        <v>300</v>
      </c>
      <c r="D6" s="9" t="s">
        <v>174</v>
      </c>
      <c r="E6" s="10" t="s">
        <v>1</v>
      </c>
      <c r="F6" s="33">
        <v>75</v>
      </c>
      <c r="G6" s="33">
        <v>1</v>
      </c>
      <c r="H6" s="33" t="s">
        <v>272</v>
      </c>
      <c r="I6" s="10" t="s">
        <v>28</v>
      </c>
      <c r="J6" s="10" t="s">
        <v>13</v>
      </c>
      <c r="K6" s="11" t="s">
        <v>26</v>
      </c>
      <c r="L6" s="11"/>
      <c r="M6" s="12" t="str">
        <f>"90,0"</f>
        <v>90,0</v>
      </c>
      <c r="N6" s="13" t="str">
        <f>"90,9241"</f>
        <v>90,9241</v>
      </c>
      <c r="O6" s="9"/>
    </row>
    <row r="7" spans="1:23" ht="12.75" customHeight="1">
      <c r="A7" s="9" t="s">
        <v>225</v>
      </c>
      <c r="B7" s="9" t="s">
        <v>198</v>
      </c>
      <c r="C7" s="9" t="s">
        <v>301</v>
      </c>
      <c r="D7" s="9" t="s">
        <v>174</v>
      </c>
      <c r="E7" s="10" t="s">
        <v>122</v>
      </c>
      <c r="F7" s="33">
        <v>67.5</v>
      </c>
      <c r="G7" s="33">
        <v>1</v>
      </c>
      <c r="H7" s="33" t="s">
        <v>266</v>
      </c>
      <c r="I7" s="10" t="s">
        <v>2</v>
      </c>
      <c r="J7" s="10" t="s">
        <v>123</v>
      </c>
      <c r="K7" s="11" t="s">
        <v>3</v>
      </c>
      <c r="L7" s="11"/>
      <c r="M7" s="12" t="str">
        <f>"107,5"</f>
        <v>107,5</v>
      </c>
      <c r="N7" s="13" t="str">
        <f>"80,3132"</f>
        <v>80,3132</v>
      </c>
      <c r="O7" s="9"/>
    </row>
    <row r="8" spans="1:23" ht="12.75" customHeight="1">
      <c r="A8" s="9" t="s">
        <v>219</v>
      </c>
      <c r="B8" s="9" t="s">
        <v>198</v>
      </c>
      <c r="C8" s="9" t="s">
        <v>302</v>
      </c>
      <c r="D8" s="9" t="s">
        <v>173</v>
      </c>
      <c r="E8" s="10" t="s">
        <v>124</v>
      </c>
      <c r="F8" s="33">
        <v>67.5</v>
      </c>
      <c r="G8" s="10"/>
      <c r="H8" s="10" t="s">
        <v>266</v>
      </c>
      <c r="I8" s="11" t="s">
        <v>125</v>
      </c>
      <c r="J8" s="11" t="s">
        <v>125</v>
      </c>
      <c r="K8" s="11" t="s">
        <v>125</v>
      </c>
      <c r="L8" s="11"/>
      <c r="M8" s="12" t="str">
        <f>"0.00"</f>
        <v>0.00</v>
      </c>
      <c r="N8" s="13" t="str">
        <f>"0,0000"</f>
        <v>0,0000</v>
      </c>
      <c r="O8" s="9"/>
    </row>
    <row r="9" spans="1:23" ht="12.75" customHeight="1">
      <c r="A9" s="9" t="s">
        <v>226</v>
      </c>
      <c r="B9" s="9" t="s">
        <v>198</v>
      </c>
      <c r="C9" s="9" t="s">
        <v>303</v>
      </c>
      <c r="D9" s="9" t="s">
        <v>183</v>
      </c>
      <c r="E9" s="10" t="s">
        <v>29</v>
      </c>
      <c r="F9" s="33">
        <v>75</v>
      </c>
      <c r="G9" s="33">
        <v>1</v>
      </c>
      <c r="H9" s="33" t="s">
        <v>266</v>
      </c>
      <c r="I9" s="11" t="s">
        <v>126</v>
      </c>
      <c r="J9" s="10" t="s">
        <v>126</v>
      </c>
      <c r="K9" s="11" t="s">
        <v>44</v>
      </c>
      <c r="L9" s="11"/>
      <c r="M9" s="12" t="str">
        <f>"117,5"</f>
        <v>117,5</v>
      </c>
      <c r="N9" s="13" t="str">
        <f>"78,1610"</f>
        <v>78,1610</v>
      </c>
      <c r="O9" s="9"/>
    </row>
    <row r="10" spans="1:23" ht="12.75" customHeight="1">
      <c r="A10" s="9" t="s">
        <v>227</v>
      </c>
      <c r="B10" s="9" t="s">
        <v>198</v>
      </c>
      <c r="C10" s="9" t="s">
        <v>304</v>
      </c>
      <c r="D10" s="9" t="s">
        <v>184</v>
      </c>
      <c r="E10" s="10" t="s">
        <v>127</v>
      </c>
      <c r="F10" s="33">
        <v>82.5</v>
      </c>
      <c r="G10" s="33">
        <v>1</v>
      </c>
      <c r="H10" s="33" t="s">
        <v>266</v>
      </c>
      <c r="I10" s="10" t="s">
        <v>39</v>
      </c>
      <c r="J10" s="10" t="s">
        <v>45</v>
      </c>
      <c r="K10" s="10" t="s">
        <v>128</v>
      </c>
      <c r="L10" s="11"/>
      <c r="M10" s="12" t="str">
        <f>"147,5"</f>
        <v>147,5</v>
      </c>
      <c r="N10" s="13" t="str">
        <f>"92,2023"</f>
        <v>92,2023</v>
      </c>
      <c r="O10" s="9"/>
    </row>
    <row r="11" spans="1:23" ht="12.75" customHeight="1">
      <c r="A11" s="9" t="s">
        <v>227</v>
      </c>
      <c r="B11" s="9" t="s">
        <v>198</v>
      </c>
      <c r="C11" s="9" t="s">
        <v>304</v>
      </c>
      <c r="D11" s="9" t="s">
        <v>184</v>
      </c>
      <c r="E11" s="10" t="s">
        <v>127</v>
      </c>
      <c r="F11" s="33">
        <v>82.5</v>
      </c>
      <c r="G11" s="33">
        <v>1</v>
      </c>
      <c r="H11" s="33" t="s">
        <v>268</v>
      </c>
      <c r="I11" s="10" t="s">
        <v>39</v>
      </c>
      <c r="J11" s="10" t="s">
        <v>45</v>
      </c>
      <c r="K11" s="10" t="s">
        <v>128</v>
      </c>
      <c r="L11" s="11"/>
      <c r="M11" s="12" t="str">
        <f>"147,5"</f>
        <v>147,5</v>
      </c>
      <c r="N11" s="13" t="str">
        <f>"92,2023"</f>
        <v>92,2023</v>
      </c>
      <c r="O11" s="9"/>
    </row>
    <row r="12" spans="1:23" ht="12.75" customHeight="1">
      <c r="A12" s="9" t="s">
        <v>228</v>
      </c>
      <c r="B12" s="9" t="s">
        <v>198</v>
      </c>
      <c r="C12" s="9" t="s">
        <v>305</v>
      </c>
      <c r="D12" s="9" t="s">
        <v>174</v>
      </c>
      <c r="E12" s="10" t="s">
        <v>67</v>
      </c>
      <c r="F12" s="33">
        <v>90</v>
      </c>
      <c r="G12" s="33">
        <v>1</v>
      </c>
      <c r="H12" s="33" t="s">
        <v>266</v>
      </c>
      <c r="I12" s="10" t="s">
        <v>94</v>
      </c>
      <c r="J12" s="10" t="s">
        <v>86</v>
      </c>
      <c r="K12" s="10" t="s">
        <v>82</v>
      </c>
      <c r="L12" s="11"/>
      <c r="M12" s="12" t="str">
        <f>"190,0"</f>
        <v>190,0</v>
      </c>
      <c r="N12" s="13" t="str">
        <f>"111,2830"</f>
        <v>111,2830</v>
      </c>
      <c r="O12" s="9"/>
    </row>
    <row r="13" spans="1:23" ht="12.75" customHeight="1">
      <c r="A13" s="9" t="s">
        <v>220</v>
      </c>
      <c r="B13" s="9" t="s">
        <v>198</v>
      </c>
      <c r="C13" s="9" t="s">
        <v>306</v>
      </c>
      <c r="D13" s="9" t="s">
        <v>174</v>
      </c>
      <c r="E13" s="10" t="s">
        <v>12</v>
      </c>
      <c r="F13" s="33">
        <v>90</v>
      </c>
      <c r="G13" s="10"/>
      <c r="H13" s="10" t="s">
        <v>266</v>
      </c>
      <c r="I13" s="11" t="s">
        <v>3</v>
      </c>
      <c r="J13" s="11" t="s">
        <v>4</v>
      </c>
      <c r="K13" s="11" t="s">
        <v>129</v>
      </c>
      <c r="L13" s="11"/>
      <c r="M13" s="12" t="str">
        <f>"0.00"</f>
        <v>0.00</v>
      </c>
      <c r="N13" s="13"/>
      <c r="O13" s="9" t="s">
        <v>130</v>
      </c>
    </row>
    <row r="14" spans="1:23" ht="12.75" customHeight="1">
      <c r="A14" s="9" t="s">
        <v>229</v>
      </c>
      <c r="B14" s="9" t="s">
        <v>198</v>
      </c>
      <c r="C14" s="9" t="s">
        <v>307</v>
      </c>
      <c r="D14" s="9" t="s">
        <v>185</v>
      </c>
      <c r="E14" s="10" t="s">
        <v>131</v>
      </c>
      <c r="F14" s="33">
        <v>90</v>
      </c>
      <c r="G14" s="33">
        <v>1</v>
      </c>
      <c r="H14" s="33" t="s">
        <v>269</v>
      </c>
      <c r="I14" s="10" t="s">
        <v>52</v>
      </c>
      <c r="J14" s="10" t="s">
        <v>98</v>
      </c>
      <c r="K14" s="11" t="s">
        <v>132</v>
      </c>
      <c r="L14" s="11"/>
      <c r="M14" s="12" t="str">
        <f>"165,0"</f>
        <v>165,0</v>
      </c>
      <c r="N14" s="13" t="str">
        <f>"105,7476"</f>
        <v>105,7476</v>
      </c>
      <c r="O14" s="9"/>
    </row>
    <row r="15" spans="1:23" ht="12.75" customHeight="1">
      <c r="A15" s="9" t="s">
        <v>230</v>
      </c>
      <c r="B15" s="9" t="s">
        <v>198</v>
      </c>
      <c r="C15" s="9" t="s">
        <v>308</v>
      </c>
      <c r="D15" s="9" t="s">
        <v>174</v>
      </c>
      <c r="E15" s="10" t="s">
        <v>133</v>
      </c>
      <c r="F15" s="33">
        <v>90</v>
      </c>
      <c r="G15" s="33">
        <v>1</v>
      </c>
      <c r="H15" s="33" t="s">
        <v>272</v>
      </c>
      <c r="I15" s="10" t="s">
        <v>34</v>
      </c>
      <c r="J15" s="11" t="s">
        <v>3</v>
      </c>
      <c r="K15" s="11" t="s">
        <v>3</v>
      </c>
      <c r="L15" s="11"/>
      <c r="M15" s="12" t="str">
        <f>"105,0"</f>
        <v>105,0</v>
      </c>
      <c r="N15" s="13" t="str">
        <f>"77,3675"</f>
        <v>77,3675</v>
      </c>
      <c r="O15" s="9"/>
    </row>
    <row r="16" spans="1:23" ht="12.75" customHeight="1">
      <c r="A16" s="9" t="s">
        <v>231</v>
      </c>
      <c r="B16" s="9" t="s">
        <v>198</v>
      </c>
      <c r="C16" s="9" t="s">
        <v>309</v>
      </c>
      <c r="D16" s="9" t="s">
        <v>178</v>
      </c>
      <c r="E16" s="10" t="s">
        <v>134</v>
      </c>
      <c r="F16" s="33">
        <v>100</v>
      </c>
      <c r="G16" s="33">
        <v>1</v>
      </c>
      <c r="H16" s="33" t="s">
        <v>266</v>
      </c>
      <c r="I16" s="10" t="s">
        <v>52</v>
      </c>
      <c r="J16" s="10" t="s">
        <v>53</v>
      </c>
      <c r="K16" s="10" t="s">
        <v>135</v>
      </c>
      <c r="L16" s="11"/>
      <c r="M16" s="12" t="str">
        <f>"177,5"</f>
        <v>177,5</v>
      </c>
      <c r="N16" s="13" t="str">
        <f>"99,0983"</f>
        <v>99,0983</v>
      </c>
      <c r="O16" s="9"/>
    </row>
    <row r="17" spans="1:15" ht="12.75" customHeight="1">
      <c r="A17" s="9" t="s">
        <v>148</v>
      </c>
      <c r="B17" s="9" t="s">
        <v>198</v>
      </c>
      <c r="C17" s="9" t="s">
        <v>310</v>
      </c>
      <c r="D17" s="9" t="s">
        <v>174</v>
      </c>
      <c r="E17" s="10" t="s">
        <v>136</v>
      </c>
      <c r="F17" s="33">
        <v>100</v>
      </c>
      <c r="G17" s="33">
        <v>2</v>
      </c>
      <c r="H17" s="33" t="s">
        <v>266</v>
      </c>
      <c r="I17" s="10" t="s">
        <v>46</v>
      </c>
      <c r="J17" s="10" t="s">
        <v>98</v>
      </c>
      <c r="K17" s="11" t="s">
        <v>135</v>
      </c>
      <c r="L17" s="11"/>
      <c r="M17" s="12" t="str">
        <f>"165,0"</f>
        <v>165,0</v>
      </c>
      <c r="N17" s="13" t="str">
        <f>"93,2910"</f>
        <v>93,2910</v>
      </c>
      <c r="O17" s="9"/>
    </row>
    <row r="18" spans="1:15" ht="12.75" customHeight="1">
      <c r="A18" s="9" t="s">
        <v>232</v>
      </c>
      <c r="B18" s="9" t="s">
        <v>198</v>
      </c>
      <c r="C18" s="9" t="s">
        <v>311</v>
      </c>
      <c r="D18" s="9" t="s">
        <v>186</v>
      </c>
      <c r="E18" s="10" t="s">
        <v>137</v>
      </c>
      <c r="F18" s="33">
        <v>100</v>
      </c>
      <c r="G18" s="33">
        <v>1</v>
      </c>
      <c r="H18" s="33" t="s">
        <v>269</v>
      </c>
      <c r="I18" s="10" t="s">
        <v>129</v>
      </c>
      <c r="J18" s="10" t="s">
        <v>138</v>
      </c>
      <c r="K18" s="11" t="s">
        <v>51</v>
      </c>
      <c r="L18" s="11"/>
      <c r="M18" s="12" t="str">
        <f>"137,5"</f>
        <v>137,5</v>
      </c>
      <c r="N18" s="13" t="str">
        <f>"90,6205"</f>
        <v>90,6205</v>
      </c>
      <c r="O18" s="9"/>
    </row>
    <row r="19" spans="1:15" ht="12.75" customHeight="1">
      <c r="A19" s="9" t="s">
        <v>218</v>
      </c>
      <c r="B19" s="9" t="s">
        <v>198</v>
      </c>
      <c r="C19" s="9" t="s">
        <v>296</v>
      </c>
      <c r="D19" s="9" t="s">
        <v>180</v>
      </c>
      <c r="E19" s="10" t="s">
        <v>47</v>
      </c>
      <c r="F19" s="33">
        <v>100</v>
      </c>
      <c r="G19" s="33">
        <v>1</v>
      </c>
      <c r="H19" s="33" t="s">
        <v>295</v>
      </c>
      <c r="I19" s="10" t="s">
        <v>38</v>
      </c>
      <c r="J19" s="10" t="s">
        <v>39</v>
      </c>
      <c r="K19" s="11" t="s">
        <v>45</v>
      </c>
      <c r="L19" s="11"/>
      <c r="M19" s="12" t="str">
        <f>"140,0"</f>
        <v>140,0</v>
      </c>
      <c r="N19" s="13" t="str">
        <f>"109,9501"</f>
        <v>109,9501</v>
      </c>
      <c r="O19" s="9"/>
    </row>
    <row r="20" spans="1:15" ht="12.75" customHeight="1">
      <c r="A20" s="9" t="s">
        <v>233</v>
      </c>
      <c r="B20" s="9" t="s">
        <v>198</v>
      </c>
      <c r="C20" s="9" t="s">
        <v>312</v>
      </c>
      <c r="D20" s="9" t="s">
        <v>187</v>
      </c>
      <c r="E20" s="10" t="s">
        <v>139</v>
      </c>
      <c r="F20" s="33">
        <v>110</v>
      </c>
      <c r="G20" s="33">
        <v>1</v>
      </c>
      <c r="H20" s="33" t="s">
        <v>266</v>
      </c>
      <c r="I20" s="10" t="s">
        <v>86</v>
      </c>
      <c r="J20" s="10" t="s">
        <v>87</v>
      </c>
      <c r="K20" s="11" t="s">
        <v>83</v>
      </c>
      <c r="L20" s="11"/>
      <c r="M20" s="12" t="str">
        <f>"195,0"</f>
        <v>195,0</v>
      </c>
      <c r="N20" s="13" t="str">
        <f>"104,6175"</f>
        <v>104,6175</v>
      </c>
      <c r="O20" s="9"/>
    </row>
    <row r="21" spans="1:15" ht="12.75" customHeight="1">
      <c r="A21" s="9" t="s">
        <v>149</v>
      </c>
      <c r="B21" s="9" t="s">
        <v>198</v>
      </c>
      <c r="C21" s="9" t="s">
        <v>313</v>
      </c>
      <c r="D21" s="9" t="s">
        <v>174</v>
      </c>
      <c r="E21" s="10" t="s">
        <v>140</v>
      </c>
      <c r="F21" s="33">
        <v>110</v>
      </c>
      <c r="G21" s="33">
        <v>2</v>
      </c>
      <c r="H21" s="33" t="s">
        <v>266</v>
      </c>
      <c r="I21" s="10" t="s">
        <v>39</v>
      </c>
      <c r="J21" s="10" t="s">
        <v>128</v>
      </c>
      <c r="K21" s="10" t="s">
        <v>52</v>
      </c>
      <c r="L21" s="11"/>
      <c r="M21" s="12" t="str">
        <f>"150,0"</f>
        <v>150,0</v>
      </c>
      <c r="N21" s="13" t="str">
        <f>"80,8650"</f>
        <v>80,8650</v>
      </c>
      <c r="O21" s="9"/>
    </row>
    <row r="22" spans="1:15" ht="12.75" customHeight="1">
      <c r="A22" s="9" t="s">
        <v>234</v>
      </c>
      <c r="B22" s="9" t="s">
        <v>198</v>
      </c>
      <c r="C22" s="9" t="s">
        <v>314</v>
      </c>
      <c r="D22" s="9" t="s">
        <v>176</v>
      </c>
      <c r="E22" s="10" t="s">
        <v>141</v>
      </c>
      <c r="F22" s="33">
        <v>110</v>
      </c>
      <c r="G22" s="33">
        <v>1</v>
      </c>
      <c r="H22" s="33" t="s">
        <v>269</v>
      </c>
      <c r="I22" s="10" t="s">
        <v>94</v>
      </c>
      <c r="J22" s="10" t="s">
        <v>87</v>
      </c>
      <c r="K22" s="11" t="s">
        <v>83</v>
      </c>
      <c r="L22" s="11"/>
      <c r="M22" s="12" t="str">
        <f>"195,0"</f>
        <v>195,0</v>
      </c>
      <c r="N22" s="13" t="str">
        <f>"117,6419"</f>
        <v>117,6419</v>
      </c>
      <c r="O22" s="9" t="s">
        <v>142</v>
      </c>
    </row>
    <row r="23" spans="1:15" ht="12.75" customHeight="1">
      <c r="A23" s="9" t="s">
        <v>235</v>
      </c>
      <c r="B23" s="9" t="s">
        <v>198</v>
      </c>
      <c r="C23" s="9" t="s">
        <v>315</v>
      </c>
      <c r="D23" s="9" t="s">
        <v>174</v>
      </c>
      <c r="E23" s="10" t="s">
        <v>143</v>
      </c>
      <c r="F23" s="33">
        <v>110</v>
      </c>
      <c r="G23" s="33">
        <v>1</v>
      </c>
      <c r="H23" s="33" t="s">
        <v>272</v>
      </c>
      <c r="I23" s="10" t="s">
        <v>81</v>
      </c>
      <c r="J23" s="11" t="s">
        <v>132</v>
      </c>
      <c r="K23" s="33">
        <v>0</v>
      </c>
      <c r="L23" s="11"/>
      <c r="M23" s="12" t="str">
        <f>"170,0"</f>
        <v>170,0</v>
      </c>
      <c r="N23" s="13" t="str">
        <f>"107,5418"</f>
        <v>107,5418</v>
      </c>
      <c r="O23" s="9"/>
    </row>
    <row r="24" spans="1:15" ht="12.75" customHeight="1">
      <c r="A24" s="9" t="s">
        <v>16</v>
      </c>
      <c r="B24" s="9" t="s">
        <v>198</v>
      </c>
      <c r="C24" s="9" t="s">
        <v>292</v>
      </c>
      <c r="D24" s="9" t="s">
        <v>179</v>
      </c>
      <c r="E24" s="10" t="s">
        <v>14</v>
      </c>
      <c r="F24" s="33">
        <v>110</v>
      </c>
      <c r="G24" s="33">
        <v>2</v>
      </c>
      <c r="H24" s="33" t="s">
        <v>272</v>
      </c>
      <c r="I24" s="10" t="s">
        <v>44</v>
      </c>
      <c r="J24" s="11" t="s">
        <v>51</v>
      </c>
      <c r="K24" s="10" t="s">
        <v>51</v>
      </c>
      <c r="L24" s="11"/>
      <c r="M24" s="12" t="str">
        <f>"142,5"</f>
        <v>142,5</v>
      </c>
      <c r="N24" s="13" t="str">
        <f>"91,8837"</f>
        <v>91,8837</v>
      </c>
      <c r="O24" s="9"/>
    </row>
    <row r="25" spans="1:15" ht="12.75" customHeight="1">
      <c r="A25" s="9" t="s">
        <v>236</v>
      </c>
      <c r="B25" s="9" t="s">
        <v>198</v>
      </c>
      <c r="C25" s="9" t="s">
        <v>316</v>
      </c>
      <c r="D25" s="9" t="s">
        <v>174</v>
      </c>
      <c r="E25" s="10" t="s">
        <v>144</v>
      </c>
      <c r="F25" s="33">
        <v>125</v>
      </c>
      <c r="G25" s="33">
        <v>1</v>
      </c>
      <c r="H25" s="33" t="s">
        <v>269</v>
      </c>
      <c r="I25" s="11" t="s">
        <v>52</v>
      </c>
      <c r="J25" s="10" t="s">
        <v>90</v>
      </c>
      <c r="K25" s="10" t="s">
        <v>46</v>
      </c>
      <c r="L25" s="11"/>
      <c r="M25" s="12" t="str">
        <f>"155,0"</f>
        <v>155,0</v>
      </c>
      <c r="N25" s="13" t="str">
        <f>"84,7287"</f>
        <v>84,7287</v>
      </c>
      <c r="O25" s="9"/>
    </row>
    <row r="26" spans="1:15" ht="12.75" customHeight="1">
      <c r="A26" s="9" t="s">
        <v>237</v>
      </c>
      <c r="B26" s="9" t="s">
        <v>198</v>
      </c>
      <c r="C26" s="9" t="s">
        <v>317</v>
      </c>
      <c r="D26" s="9" t="s">
        <v>174</v>
      </c>
      <c r="E26" s="10" t="s">
        <v>145</v>
      </c>
      <c r="F26" s="33">
        <v>140</v>
      </c>
      <c r="G26" s="33">
        <v>1</v>
      </c>
      <c r="H26" s="33" t="s">
        <v>295</v>
      </c>
      <c r="I26" s="10" t="s">
        <v>132</v>
      </c>
      <c r="J26" s="10" t="s">
        <v>135</v>
      </c>
      <c r="K26" s="11" t="s">
        <v>146</v>
      </c>
      <c r="L26" s="11"/>
      <c r="M26" s="12" t="str">
        <f>"177,5"</f>
        <v>177,5</v>
      </c>
      <c r="N26" s="13" t="str">
        <f>"133,5041"</f>
        <v>133,5041</v>
      </c>
      <c r="O26" s="9"/>
    </row>
    <row r="27" spans="1:15" ht="12.75" customHeight="1">
      <c r="A27" s="9" t="s">
        <v>238</v>
      </c>
      <c r="B27" s="9" t="s">
        <v>198</v>
      </c>
      <c r="C27" s="9" t="s">
        <v>318</v>
      </c>
      <c r="D27" s="9" t="s">
        <v>188</v>
      </c>
      <c r="E27" s="10" t="s">
        <v>147</v>
      </c>
      <c r="F27" s="33">
        <v>155</v>
      </c>
      <c r="G27" s="33">
        <v>1</v>
      </c>
      <c r="H27" s="33" t="s">
        <v>266</v>
      </c>
      <c r="I27" s="10" t="s">
        <v>81</v>
      </c>
      <c r="J27" s="10" t="s">
        <v>94</v>
      </c>
      <c r="K27" s="10" t="s">
        <v>86</v>
      </c>
      <c r="L27" s="11"/>
      <c r="M27" s="12" t="str">
        <f>"185,0"</f>
        <v>185,0</v>
      </c>
      <c r="N27" s="13" t="str">
        <f>"92,1115"</f>
        <v>92,1115</v>
      </c>
      <c r="O27" s="9"/>
    </row>
    <row r="28" spans="1:15" ht="12.75" customHeight="1">
      <c r="A28" s="9" t="s">
        <v>238</v>
      </c>
      <c r="B28" s="9" t="s">
        <v>198</v>
      </c>
      <c r="C28" s="9" t="s">
        <v>318</v>
      </c>
      <c r="D28" s="9" t="s">
        <v>188</v>
      </c>
      <c r="E28" s="10" t="s">
        <v>147</v>
      </c>
      <c r="F28" s="33">
        <v>155</v>
      </c>
      <c r="G28" s="33">
        <v>1</v>
      </c>
      <c r="H28" s="33" t="s">
        <v>269</v>
      </c>
      <c r="I28" s="10" t="s">
        <v>81</v>
      </c>
      <c r="J28" s="10" t="s">
        <v>94</v>
      </c>
      <c r="K28" s="10" t="s">
        <v>86</v>
      </c>
      <c r="L28" s="11"/>
      <c r="M28" s="12" t="str">
        <f>"185,0"</f>
        <v>185,0</v>
      </c>
      <c r="N28" s="13" t="str">
        <f>"100,5858"</f>
        <v>100,5858</v>
      </c>
      <c r="O28" s="9"/>
    </row>
    <row r="39" spans="1:8" ht="12.75" customHeight="1">
      <c r="A39" s="18"/>
      <c r="B39" s="18"/>
      <c r="C39" s="18"/>
    </row>
    <row r="40" spans="1:8" ht="12.75" customHeight="1">
      <c r="A40" s="20"/>
      <c r="B40" s="20"/>
      <c r="C40" s="18"/>
    </row>
    <row r="41" spans="1:8" ht="12.75" customHeight="1">
      <c r="A41" s="21"/>
      <c r="B41" s="21"/>
      <c r="C41" s="41"/>
      <c r="E41" s="21"/>
      <c r="F41" s="32"/>
      <c r="G41" s="17"/>
      <c r="H41" s="32"/>
    </row>
    <row r="42" spans="1:8" ht="12.75" customHeight="1">
      <c r="A42" s="15"/>
      <c r="B42" s="15"/>
    </row>
    <row r="43" spans="1:8" ht="12.75" customHeight="1">
      <c r="A43" s="15"/>
      <c r="B43" s="15"/>
    </row>
    <row r="44" spans="1:8" ht="12.75" customHeight="1">
      <c r="A44" s="15"/>
      <c r="B44" s="15"/>
    </row>
    <row r="46" spans="1:8" ht="12.75" customHeight="1">
      <c r="A46" s="20"/>
      <c r="B46" s="20"/>
      <c r="C46" s="18"/>
    </row>
    <row r="47" spans="1:8" ht="12.75" customHeight="1">
      <c r="A47" s="21"/>
      <c r="B47" s="21"/>
      <c r="C47" s="41"/>
      <c r="E47" s="21"/>
      <c r="F47" s="32"/>
      <c r="G47" s="17"/>
      <c r="H47" s="32"/>
    </row>
    <row r="48" spans="1:8" ht="12.75" customHeight="1">
      <c r="A48" s="15"/>
      <c r="B48" s="15"/>
    </row>
    <row r="51" spans="1:8" ht="12.75" customHeight="1">
      <c r="A51" s="18"/>
      <c r="B51" s="18"/>
      <c r="C51" s="18"/>
    </row>
    <row r="52" spans="1:8" ht="12.75" customHeight="1">
      <c r="A52" s="20"/>
      <c r="B52" s="20"/>
      <c r="C52" s="18"/>
    </row>
    <row r="53" spans="1:8" ht="12.75" customHeight="1">
      <c r="A53" s="21"/>
      <c r="B53" s="21"/>
      <c r="C53" s="41"/>
      <c r="E53" s="21"/>
      <c r="F53" s="32"/>
      <c r="G53" s="17"/>
      <c r="H53" s="32"/>
    </row>
    <row r="54" spans="1:8" ht="12.75" customHeight="1">
      <c r="A54" s="15"/>
      <c r="B54" s="15"/>
    </row>
    <row r="55" spans="1:8" ht="12.75" customHeight="1">
      <c r="A55" s="15"/>
      <c r="B55" s="15"/>
    </row>
    <row r="56" spans="1:8" ht="12.75" customHeight="1">
      <c r="A56" s="15"/>
      <c r="B56" s="15"/>
    </row>
    <row r="57" spans="1:8" ht="12.75" customHeight="1">
      <c r="A57" s="15"/>
      <c r="B57" s="15"/>
    </row>
    <row r="58" spans="1:8" ht="12.75" customHeight="1">
      <c r="A58" s="15"/>
      <c r="B58" s="15"/>
    </row>
    <row r="59" spans="1:8" ht="12.75" customHeight="1">
      <c r="A59" s="15"/>
      <c r="B59" s="15"/>
    </row>
    <row r="60" spans="1:8" ht="12.75" customHeight="1">
      <c r="A60" s="15"/>
      <c r="B60" s="15"/>
    </row>
    <row r="61" spans="1:8" ht="12.75" customHeight="1">
      <c r="A61" s="15"/>
      <c r="B61" s="15"/>
    </row>
    <row r="62" spans="1:8" ht="12.75" customHeight="1">
      <c r="A62" s="15"/>
      <c r="B62" s="15"/>
    </row>
    <row r="64" spans="1:8" ht="12.75" customHeight="1">
      <c r="A64" s="20"/>
      <c r="B64" s="20"/>
      <c r="C64" s="18"/>
    </row>
    <row r="65" spans="1:8" ht="12.75" customHeight="1">
      <c r="A65" s="21"/>
      <c r="B65" s="21"/>
      <c r="C65" s="41"/>
      <c r="E65" s="21"/>
      <c r="F65" s="32"/>
      <c r="G65" s="17"/>
      <c r="H65" s="32"/>
    </row>
    <row r="66" spans="1:8" ht="12.75" customHeight="1">
      <c r="A66" s="15"/>
      <c r="B66" s="15"/>
    </row>
    <row r="67" spans="1:8" ht="12.75" customHeight="1">
      <c r="A67" s="15"/>
      <c r="B67" s="15"/>
    </row>
    <row r="68" spans="1:8" ht="12.75" customHeight="1">
      <c r="A68" s="15"/>
      <c r="B68" s="15"/>
    </row>
    <row r="69" spans="1:8" ht="12.75" customHeight="1">
      <c r="A69" s="15"/>
      <c r="B69" s="15"/>
    </row>
    <row r="70" spans="1:8" ht="12.75" customHeight="1">
      <c r="A70" s="15"/>
      <c r="B70" s="15"/>
    </row>
    <row r="71" spans="1:8" ht="12.75" customHeight="1">
      <c r="A71" s="15"/>
      <c r="B71" s="15"/>
    </row>
    <row r="72" spans="1:8" ht="12.75" customHeight="1">
      <c r="A72" s="15"/>
      <c r="B72" s="15"/>
    </row>
    <row r="73" spans="1:8" ht="12.75" customHeight="1">
      <c r="A73" s="15"/>
      <c r="B73" s="15"/>
    </row>
    <row r="74" spans="1:8" ht="12.75" customHeight="1">
      <c r="A74" s="15"/>
      <c r="B74" s="15"/>
    </row>
    <row r="75" spans="1:8" ht="12.75" customHeight="1">
      <c r="A75" s="15"/>
      <c r="B75" s="15"/>
    </row>
    <row r="76" spans="1:8" ht="12.75" customHeight="1">
      <c r="A76" s="15"/>
      <c r="B76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L33"/>
  <sheetViews>
    <sheetView zoomScaleNormal="100" workbookViewId="0">
      <selection activeCell="A2" sqref="A2"/>
    </sheetView>
  </sheetViews>
  <sheetFormatPr defaultColWidth="9.140625" defaultRowHeight="12.75" customHeight="1"/>
  <cols>
    <col min="1" max="1" width="19.140625" style="3" bestFit="1" customWidth="1"/>
    <col min="2" max="2" width="4.42578125" style="3" bestFit="1" customWidth="1"/>
    <col min="3" max="3" width="10.140625" style="3" bestFit="1" customWidth="1"/>
    <col min="4" max="4" width="8.42578125" style="3" bestFit="1" customWidth="1"/>
    <col min="5" max="5" width="7.5703125" style="4" customWidth="1"/>
    <col min="6" max="7" width="5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8.5703125" style="2" customWidth="1"/>
    <col min="15" max="15" width="8.28515625" style="3" bestFit="1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40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171</v>
      </c>
      <c r="J1" s="42"/>
      <c r="K1" s="42"/>
      <c r="L1" s="26"/>
      <c r="M1" s="26" t="s">
        <v>168</v>
      </c>
      <c r="N1" s="26" t="s">
        <v>169</v>
      </c>
      <c r="O1" s="2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21"/>
      <c r="U2" s="30"/>
      <c r="V2" s="30"/>
      <c r="W2" s="30"/>
    </row>
    <row r="3" spans="1:23" s="4" customFormat="1" ht="12.75" customHeight="1">
      <c r="A3" s="9" t="s">
        <v>239</v>
      </c>
      <c r="B3" s="9" t="s">
        <v>198</v>
      </c>
      <c r="C3" s="9" t="s">
        <v>320</v>
      </c>
      <c r="D3" s="9" t="s">
        <v>189</v>
      </c>
      <c r="E3" s="10" t="s">
        <v>20</v>
      </c>
      <c r="F3" s="33">
        <v>75</v>
      </c>
      <c r="G3" s="33">
        <v>1</v>
      </c>
      <c r="H3" s="33" t="s">
        <v>266</v>
      </c>
      <c r="I3" s="11" t="s">
        <v>38</v>
      </c>
      <c r="J3" s="10" t="s">
        <v>38</v>
      </c>
      <c r="K3" s="11" t="s">
        <v>39</v>
      </c>
      <c r="L3" s="11"/>
      <c r="M3" s="12" t="str">
        <f>"130,0"</f>
        <v>130,0</v>
      </c>
      <c r="N3" s="13" t="str">
        <f>"87,5810"</f>
        <v>87,5810</v>
      </c>
      <c r="O3" s="9"/>
    </row>
    <row r="4" spans="1:23" ht="12.75" customHeight="1">
      <c r="A4" s="9" t="s">
        <v>240</v>
      </c>
      <c r="B4" s="9" t="s">
        <v>198</v>
      </c>
      <c r="C4" s="9" t="s">
        <v>321</v>
      </c>
      <c r="D4" s="9" t="s">
        <v>174</v>
      </c>
      <c r="E4" s="10" t="s">
        <v>159</v>
      </c>
      <c r="F4" s="33">
        <v>82.5</v>
      </c>
      <c r="G4" s="33">
        <v>1</v>
      </c>
      <c r="H4" s="33" t="s">
        <v>268</v>
      </c>
      <c r="I4" s="10" t="s">
        <v>38</v>
      </c>
      <c r="J4" s="10" t="s">
        <v>44</v>
      </c>
      <c r="K4" s="11" t="s">
        <v>39</v>
      </c>
      <c r="L4" s="11"/>
      <c r="M4" s="12" t="str">
        <f>"135,0"</f>
        <v>135,0</v>
      </c>
      <c r="N4" s="13" t="str">
        <f>"88,3407"</f>
        <v>88,3407</v>
      </c>
      <c r="O4" s="9"/>
    </row>
    <row r="5" spans="1:23" ht="12.75" customHeight="1">
      <c r="A5" s="9" t="s">
        <v>241</v>
      </c>
      <c r="B5" s="9" t="s">
        <v>198</v>
      </c>
      <c r="C5" s="9" t="s">
        <v>322</v>
      </c>
      <c r="D5" s="9" t="s">
        <v>190</v>
      </c>
      <c r="E5" s="10" t="s">
        <v>160</v>
      </c>
      <c r="F5" s="33">
        <v>90</v>
      </c>
      <c r="G5" s="33">
        <v>1</v>
      </c>
      <c r="H5" s="33" t="s">
        <v>271</v>
      </c>
      <c r="I5" s="10" t="s">
        <v>158</v>
      </c>
      <c r="J5" s="11" t="s">
        <v>94</v>
      </c>
      <c r="K5" s="11" t="s">
        <v>94</v>
      </c>
      <c r="L5" s="11"/>
      <c r="M5" s="12" t="str">
        <f>"175,0"</f>
        <v>175,0</v>
      </c>
      <c r="N5" s="13" t="str">
        <f>"102,9175"</f>
        <v>102,9175</v>
      </c>
      <c r="O5" s="9"/>
    </row>
    <row r="6" spans="1:23" ht="12.75" customHeight="1">
      <c r="A6" s="9" t="s">
        <v>241</v>
      </c>
      <c r="B6" s="9" t="s">
        <v>198</v>
      </c>
      <c r="C6" s="9" t="s">
        <v>322</v>
      </c>
      <c r="D6" s="9" t="s">
        <v>190</v>
      </c>
      <c r="E6" s="10" t="s">
        <v>160</v>
      </c>
      <c r="F6" s="33">
        <v>90</v>
      </c>
      <c r="G6" s="33">
        <v>1</v>
      </c>
      <c r="H6" s="33" t="s">
        <v>266</v>
      </c>
      <c r="I6" s="10" t="s">
        <v>158</v>
      </c>
      <c r="J6" s="11" t="s">
        <v>94</v>
      </c>
      <c r="K6" s="11" t="s">
        <v>94</v>
      </c>
      <c r="L6" s="11"/>
      <c r="M6" s="12" t="str">
        <f>"175,0"</f>
        <v>175,0</v>
      </c>
      <c r="N6" s="13" t="str">
        <f>"102,9175"</f>
        <v>102,9175</v>
      </c>
      <c r="O6" s="9"/>
    </row>
    <row r="7" spans="1:23" ht="12.75" customHeight="1">
      <c r="A7" s="9" t="s">
        <v>242</v>
      </c>
      <c r="B7" s="9" t="s">
        <v>198</v>
      </c>
      <c r="C7" s="9" t="s">
        <v>323</v>
      </c>
      <c r="D7" s="9" t="s">
        <v>174</v>
      </c>
      <c r="E7" s="10" t="s">
        <v>5</v>
      </c>
      <c r="F7" s="33">
        <v>110</v>
      </c>
      <c r="G7" s="33">
        <v>1</v>
      </c>
      <c r="H7" s="33" t="s">
        <v>266</v>
      </c>
      <c r="I7" s="10" t="s">
        <v>132</v>
      </c>
      <c r="J7" s="11" t="s">
        <v>94</v>
      </c>
      <c r="K7" s="11" t="s">
        <v>94</v>
      </c>
      <c r="L7" s="11"/>
      <c r="M7" s="12" t="str">
        <f>"172,5"</f>
        <v>172,5</v>
      </c>
      <c r="N7" s="13" t="str">
        <f>"93,3398"</f>
        <v>93,3398</v>
      </c>
      <c r="O7" s="9"/>
    </row>
    <row r="8" spans="1:23" ht="12.75" customHeight="1">
      <c r="A8" s="9" t="s">
        <v>243</v>
      </c>
      <c r="B8" s="9" t="s">
        <v>198</v>
      </c>
      <c r="C8" s="9" t="s">
        <v>324</v>
      </c>
      <c r="D8" s="9" t="s">
        <v>174</v>
      </c>
      <c r="E8" s="10" t="s">
        <v>161</v>
      </c>
      <c r="F8" s="33">
        <v>125</v>
      </c>
      <c r="G8" s="33">
        <v>1</v>
      </c>
      <c r="H8" s="33" t="s">
        <v>266</v>
      </c>
      <c r="I8" s="10" t="s">
        <v>87</v>
      </c>
      <c r="J8" s="10" t="s">
        <v>83</v>
      </c>
      <c r="K8" s="11" t="s">
        <v>114</v>
      </c>
      <c r="L8" s="11"/>
      <c r="M8" s="12" t="str">
        <f>"200,0"</f>
        <v>200,0</v>
      </c>
      <c r="N8" s="13" t="str">
        <f>"105,9600"</f>
        <v>105,9600</v>
      </c>
      <c r="O8" s="9"/>
    </row>
    <row r="19" spans="1:8" ht="12.75" customHeight="1">
      <c r="A19" s="18"/>
      <c r="B19" s="18"/>
      <c r="C19" s="18"/>
    </row>
    <row r="20" spans="1:8" ht="12.75" customHeight="1">
      <c r="A20" s="20"/>
      <c r="B20" s="20"/>
      <c r="C20" s="18"/>
    </row>
    <row r="21" spans="1:8" ht="12.75" customHeight="1">
      <c r="A21" s="21"/>
      <c r="B21" s="21"/>
      <c r="C21" s="41"/>
      <c r="E21" s="21"/>
      <c r="F21" s="32"/>
      <c r="G21" s="17"/>
      <c r="H21" s="32"/>
    </row>
    <row r="22" spans="1:8" ht="12.75" customHeight="1">
      <c r="A22" s="15"/>
      <c r="B22" s="15"/>
    </row>
    <row r="24" spans="1:8" ht="12.75" customHeight="1">
      <c r="A24" s="20"/>
      <c r="B24" s="20"/>
      <c r="C24" s="18"/>
    </row>
    <row r="25" spans="1:8" ht="12.75" customHeight="1">
      <c r="A25" s="21"/>
      <c r="B25" s="21"/>
      <c r="C25" s="41"/>
      <c r="E25" s="21"/>
      <c r="F25" s="32"/>
      <c r="G25" s="17"/>
      <c r="H25" s="32"/>
    </row>
    <row r="26" spans="1:8" ht="12.75" customHeight="1">
      <c r="A26" s="15"/>
      <c r="B26" s="15"/>
    </row>
    <row r="27" spans="1:8" ht="12.75" customHeight="1">
      <c r="A27" s="15"/>
      <c r="B27" s="15"/>
    </row>
    <row r="28" spans="1:8" ht="12.75" customHeight="1">
      <c r="A28" s="15"/>
      <c r="B28" s="15"/>
    </row>
    <row r="29" spans="1:8" ht="12.75" customHeight="1">
      <c r="A29" s="15"/>
      <c r="B29" s="15"/>
    </row>
    <row r="31" spans="1:8" ht="12.75" customHeight="1">
      <c r="A31" s="20"/>
      <c r="B31" s="20"/>
      <c r="C31" s="18"/>
    </row>
    <row r="32" spans="1:8" ht="12.75" customHeight="1">
      <c r="A32" s="21"/>
      <c r="B32" s="21"/>
      <c r="C32" s="41"/>
      <c r="E32" s="21"/>
      <c r="F32" s="32"/>
      <c r="G32" s="17"/>
      <c r="H32" s="32"/>
    </row>
    <row r="33" spans="1:2" ht="12.75" customHeight="1">
      <c r="A33" s="15"/>
      <c r="B33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4"/>
  <sheetViews>
    <sheetView zoomScaleNormal="100" workbookViewId="0">
      <selection activeCell="B7" sqref="B7"/>
    </sheetView>
  </sheetViews>
  <sheetFormatPr defaultColWidth="9.140625" defaultRowHeight="12.75" customHeight="1"/>
  <cols>
    <col min="1" max="1" width="17.42578125" style="3" bestFit="1" customWidth="1"/>
    <col min="2" max="2" width="4.42578125" style="3" bestFit="1" customWidth="1"/>
    <col min="3" max="3" width="10.140625" style="4" bestFit="1" customWidth="1"/>
    <col min="4" max="4" width="7.42578125" style="3" bestFit="1" customWidth="1"/>
    <col min="5" max="6" width="7.5703125" style="4" customWidth="1"/>
    <col min="7" max="7" width="6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8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171</v>
      </c>
      <c r="J1" s="42"/>
      <c r="K1" s="42"/>
      <c r="L1" s="26"/>
      <c r="M1" s="26" t="s">
        <v>168</v>
      </c>
      <c r="N1" s="26" t="s">
        <v>169</v>
      </c>
      <c r="O1" s="44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45"/>
      <c r="U2" s="30"/>
      <c r="V2" s="30"/>
      <c r="W2" s="30"/>
    </row>
    <row r="3" spans="1:23" s="4" customFormat="1" ht="12.75" customHeight="1">
      <c r="A3" s="9" t="s">
        <v>224</v>
      </c>
      <c r="B3" s="9" t="s">
        <v>197</v>
      </c>
      <c r="C3" s="10" t="s">
        <v>300</v>
      </c>
      <c r="D3" s="9" t="s">
        <v>174</v>
      </c>
      <c r="E3" s="10" t="s">
        <v>1</v>
      </c>
      <c r="F3" s="33">
        <v>75</v>
      </c>
      <c r="G3" s="33">
        <v>1</v>
      </c>
      <c r="H3" s="10" t="s">
        <v>272</v>
      </c>
      <c r="I3" s="10" t="s">
        <v>2</v>
      </c>
      <c r="J3" s="10" t="s">
        <v>3</v>
      </c>
      <c r="K3" s="10" t="s">
        <v>4</v>
      </c>
      <c r="L3" s="11"/>
      <c r="M3" s="12" t="str">
        <f>"120,0"</f>
        <v>120,0</v>
      </c>
      <c r="N3" s="13" t="str">
        <f>"126,8823"</f>
        <v>126,8823</v>
      </c>
      <c r="O3" s="46"/>
    </row>
    <row r="4" spans="1:23" ht="12.75" customHeight="1">
      <c r="A4" s="9" t="s">
        <v>244</v>
      </c>
      <c r="B4" s="9" t="s">
        <v>198</v>
      </c>
      <c r="C4" s="10" t="s">
        <v>325</v>
      </c>
      <c r="D4" s="9" t="s">
        <v>174</v>
      </c>
      <c r="E4" s="10" t="s">
        <v>5</v>
      </c>
      <c r="F4" s="33">
        <v>110</v>
      </c>
      <c r="G4" s="33">
        <v>1</v>
      </c>
      <c r="H4" s="10" t="s">
        <v>266</v>
      </c>
      <c r="I4" s="10" t="s">
        <v>6</v>
      </c>
      <c r="J4" s="10" t="s">
        <v>7</v>
      </c>
      <c r="K4" s="10" t="s">
        <v>8</v>
      </c>
      <c r="L4" s="11"/>
      <c r="M4" s="12" t="str">
        <f>"230,0"</f>
        <v>230,0</v>
      </c>
      <c r="N4" s="13" t="str">
        <f>"130,5940"</f>
        <v>130,5940</v>
      </c>
      <c r="O4" s="46"/>
    </row>
    <row r="15" spans="1:23" ht="12.75" customHeight="1">
      <c r="A15" s="18"/>
      <c r="B15" s="18"/>
      <c r="C15" s="19"/>
    </row>
    <row r="16" spans="1:23" ht="12.75" customHeight="1">
      <c r="A16" s="20"/>
      <c r="B16" s="20"/>
      <c r="C16" s="19"/>
    </row>
    <row r="17" spans="1:8" ht="12.75" customHeight="1">
      <c r="A17" s="21"/>
      <c r="B17" s="21"/>
      <c r="C17" s="21"/>
      <c r="E17" s="21"/>
      <c r="F17" s="32"/>
      <c r="G17" s="17"/>
      <c r="H17" s="32"/>
    </row>
    <row r="18" spans="1:8" ht="12.75" customHeight="1">
      <c r="A18" s="15"/>
      <c r="B18" s="15"/>
    </row>
    <row r="21" spans="1:8" ht="12.75" customHeight="1">
      <c r="A21" s="18"/>
      <c r="B21" s="18"/>
      <c r="C21" s="19"/>
    </row>
    <row r="22" spans="1:8" ht="12.75" customHeight="1">
      <c r="A22" s="20"/>
      <c r="B22" s="20"/>
      <c r="C22" s="19"/>
    </row>
    <row r="23" spans="1:8" ht="12.75" customHeight="1">
      <c r="A23" s="21"/>
      <c r="B23" s="21"/>
      <c r="C23" s="21"/>
      <c r="E23" s="21"/>
      <c r="F23" s="32"/>
      <c r="G23" s="17"/>
      <c r="H23" s="32"/>
    </row>
    <row r="24" spans="1:8" ht="12.75" customHeight="1">
      <c r="A24" s="15"/>
      <c r="B24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L17"/>
  <sheetViews>
    <sheetView zoomScaleNormal="100" workbookViewId="0">
      <selection activeCell="F8" sqref="F8"/>
    </sheetView>
  </sheetViews>
  <sheetFormatPr defaultColWidth="9.140625" defaultRowHeight="12.75" customHeight="1"/>
  <cols>
    <col min="1" max="1" width="13.28515625" style="3" bestFit="1" customWidth="1"/>
    <col min="2" max="2" width="4.42578125" style="3" bestFit="1" customWidth="1"/>
    <col min="3" max="3" width="10.140625" style="4" bestFit="1" customWidth="1"/>
    <col min="4" max="4" width="6.7109375" style="3" bestFit="1" customWidth="1"/>
    <col min="5" max="7" width="7.5703125" style="4" customWidth="1"/>
    <col min="8" max="8" width="19" style="4" bestFit="1" customWidth="1"/>
    <col min="9" max="11" width="5.5703125" style="4" customWidth="1"/>
    <col min="12" max="12" width="4.7109375" style="4" customWidth="1"/>
    <col min="13" max="13" width="5.7109375" style="1" customWidth="1"/>
    <col min="14" max="14" width="8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0</v>
      </c>
      <c r="B1" s="26" t="s">
        <v>196</v>
      </c>
      <c r="C1" s="27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265</v>
      </c>
      <c r="I1" s="42" t="s">
        <v>170</v>
      </c>
      <c r="J1" s="42"/>
      <c r="K1" s="42"/>
      <c r="L1" s="42"/>
      <c r="M1" s="26" t="s">
        <v>168</v>
      </c>
      <c r="N1" s="26" t="s">
        <v>169</v>
      </c>
      <c r="O1" s="1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31"/>
      <c r="U2" s="30"/>
      <c r="V2" s="30"/>
      <c r="W2" s="30"/>
    </row>
    <row r="3" spans="1:23" s="4" customFormat="1" ht="12.75" customHeight="1">
      <c r="A3" s="9" t="s">
        <v>40</v>
      </c>
      <c r="B3" s="9" t="s">
        <v>198</v>
      </c>
      <c r="C3" s="10" t="s">
        <v>327</v>
      </c>
      <c r="D3" s="9" t="s">
        <v>191</v>
      </c>
      <c r="E3" s="10" t="s">
        <v>37</v>
      </c>
      <c r="F3" s="33">
        <v>100</v>
      </c>
      <c r="G3" s="33">
        <v>1</v>
      </c>
      <c r="H3" s="10" t="s">
        <v>326</v>
      </c>
      <c r="I3" s="10" t="s">
        <v>38</v>
      </c>
      <c r="J3" s="10" t="s">
        <v>52</v>
      </c>
      <c r="K3" s="10" t="s">
        <v>263</v>
      </c>
      <c r="L3" s="11"/>
      <c r="M3" s="12" t="str">
        <f>"150,0"</f>
        <v>150,0</v>
      </c>
      <c r="N3" s="13" t="str">
        <f>"169,3933"</f>
        <v>169,3933</v>
      </c>
      <c r="O3" s="9"/>
    </row>
    <row r="4" spans="1:23" s="4" customFormat="1" ht="12.75" customHeight="1">
      <c r="A4" s="3"/>
      <c r="B4" s="3"/>
      <c r="D4" s="3"/>
      <c r="M4" s="1"/>
      <c r="N4" s="2"/>
      <c r="O4" s="3"/>
    </row>
    <row r="14" spans="1:23" ht="12.75" customHeight="1">
      <c r="A14" s="18"/>
      <c r="B14" s="18"/>
      <c r="C14" s="19"/>
    </row>
    <row r="15" spans="1:23" ht="12.75" customHeight="1">
      <c r="A15" s="20"/>
      <c r="B15" s="20"/>
      <c r="C15" s="19"/>
    </row>
    <row r="16" spans="1:23" ht="12.75" customHeight="1">
      <c r="A16" s="21"/>
      <c r="B16" s="21"/>
      <c r="C16" s="21"/>
      <c r="E16" s="21"/>
      <c r="F16" s="32"/>
      <c r="G16" s="17"/>
      <c r="H16" s="32"/>
    </row>
    <row r="17" spans="1:2" ht="12.75" customHeight="1">
      <c r="A17" s="15"/>
      <c r="B17" s="15"/>
    </row>
  </sheetData>
  <mergeCells count="1">
    <mergeCell ref="I1:L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L17"/>
  <sheetViews>
    <sheetView zoomScaleNormal="100" workbookViewId="0">
      <selection activeCell="C12" sqref="C12"/>
    </sheetView>
  </sheetViews>
  <sheetFormatPr defaultColWidth="9.140625" defaultRowHeight="12.75" customHeight="1"/>
  <cols>
    <col min="1" max="1" width="15.42578125" style="3" bestFit="1" customWidth="1"/>
    <col min="2" max="2" width="4.42578125" style="3" bestFit="1" customWidth="1"/>
    <col min="3" max="3" width="10.140625" style="4" bestFit="1" customWidth="1"/>
    <col min="4" max="4" width="7.5703125" style="4" customWidth="1"/>
    <col min="5" max="5" width="4" style="4" bestFit="1" customWidth="1"/>
    <col min="6" max="6" width="3" style="4" bestFit="1" customWidth="1"/>
    <col min="7" max="7" width="19" style="4" bestFit="1" customWidth="1"/>
    <col min="8" max="8" width="7.42578125" style="3" bestFit="1" customWidth="1"/>
    <col min="9" max="11" width="4.5703125" style="4" customWidth="1"/>
    <col min="12" max="12" width="4.7109375" style="4" customWidth="1"/>
    <col min="13" max="13" width="5.7109375" style="1" customWidth="1"/>
    <col min="14" max="14" width="7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27" t="s">
        <v>293</v>
      </c>
      <c r="D1" s="27" t="s">
        <v>164</v>
      </c>
      <c r="E1" s="27" t="s">
        <v>264</v>
      </c>
      <c r="F1" s="27" t="s">
        <v>199</v>
      </c>
      <c r="G1" s="27" t="s">
        <v>265</v>
      </c>
      <c r="H1" s="26" t="s">
        <v>165</v>
      </c>
      <c r="I1" s="42" t="s">
        <v>171</v>
      </c>
      <c r="J1" s="42"/>
      <c r="K1" s="42"/>
      <c r="L1" s="26"/>
      <c r="M1" s="26" t="s">
        <v>168</v>
      </c>
      <c r="N1" s="26" t="s">
        <v>169</v>
      </c>
      <c r="O1" s="1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27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31"/>
      <c r="U2" s="30"/>
      <c r="V2" s="30"/>
      <c r="W2" s="30"/>
    </row>
    <row r="3" spans="1:23" s="4" customFormat="1" ht="12.75" customHeight="1">
      <c r="A3" s="9" t="s">
        <v>245</v>
      </c>
      <c r="B3" s="9" t="s">
        <v>198</v>
      </c>
      <c r="C3" s="10" t="s">
        <v>328</v>
      </c>
      <c r="D3" s="10" t="s">
        <v>33</v>
      </c>
      <c r="E3" s="33">
        <v>100</v>
      </c>
      <c r="F3" s="33">
        <v>1</v>
      </c>
      <c r="G3" s="10" t="s">
        <v>267</v>
      </c>
      <c r="H3" s="9" t="s">
        <v>174</v>
      </c>
      <c r="I3" s="10" t="s">
        <v>19</v>
      </c>
      <c r="J3" s="10" t="s">
        <v>11</v>
      </c>
      <c r="K3" s="11" t="s">
        <v>25</v>
      </c>
      <c r="L3" s="11"/>
      <c r="M3" s="12" t="str">
        <f>"75,0"</f>
        <v>75,0</v>
      </c>
      <c r="N3" s="13" t="str">
        <f>"42,8775"</f>
        <v>42,8775</v>
      </c>
      <c r="O3" s="9"/>
    </row>
    <row r="4" spans="1:23" s="4" customFormat="1" ht="12.75" customHeight="1">
      <c r="A4" s="3"/>
      <c r="B4" s="3"/>
      <c r="H4" s="3"/>
      <c r="M4" s="1"/>
      <c r="N4" s="2"/>
      <c r="O4" s="3"/>
    </row>
    <row r="14" spans="1:23" ht="12.75" customHeight="1">
      <c r="A14" s="18"/>
      <c r="B14" s="18"/>
      <c r="C14" s="19"/>
    </row>
    <row r="15" spans="1:23" ht="12.75" customHeight="1">
      <c r="A15" s="20"/>
      <c r="B15" s="20"/>
      <c r="C15" s="19"/>
    </row>
    <row r="16" spans="1:23" ht="12.75" customHeight="1">
      <c r="A16" s="21"/>
      <c r="B16" s="21"/>
      <c r="C16" s="21"/>
      <c r="D16" s="21"/>
      <c r="E16" s="32"/>
      <c r="F16" s="17"/>
      <c r="G16" s="32"/>
    </row>
    <row r="17" spans="1:2" ht="12.75" customHeight="1">
      <c r="A17" s="15"/>
      <c r="B17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L63"/>
  <sheetViews>
    <sheetView zoomScaleNormal="100" workbookViewId="0">
      <selection activeCell="H16" sqref="H16"/>
    </sheetView>
  </sheetViews>
  <sheetFormatPr defaultColWidth="9.140625" defaultRowHeight="12.75" customHeight="1"/>
  <cols>
    <col min="1" max="1" width="20" style="3" bestFit="1" customWidth="1"/>
    <col min="2" max="2" width="4.42578125" style="3" bestFit="1" customWidth="1"/>
    <col min="3" max="3" width="10.140625" style="3" bestFit="1" customWidth="1"/>
    <col min="4" max="4" width="12" style="3" bestFit="1" customWidth="1"/>
    <col min="5" max="8" width="7.5703125" style="4" customWidth="1"/>
    <col min="9" max="11" width="4.5703125" style="4" customWidth="1"/>
    <col min="12" max="12" width="4.7109375" style="4" customWidth="1"/>
    <col min="13" max="13" width="5.7109375" style="1" customWidth="1"/>
    <col min="14" max="14" width="7.5703125" style="2" customWidth="1"/>
    <col min="15" max="15" width="7.140625" style="3" customWidth="1"/>
    <col min="16" max="1026" width="9.140625" style="7"/>
    <col min="1027" max="16384" width="9.140625" style="8"/>
  </cols>
  <sheetData>
    <row r="1" spans="1:23" s="17" customFormat="1" ht="12.75" customHeight="1">
      <c r="A1" s="26" t="s">
        <v>163</v>
      </c>
      <c r="B1" s="26" t="s">
        <v>196</v>
      </c>
      <c r="C1" s="40" t="s">
        <v>293</v>
      </c>
      <c r="D1" s="26" t="s">
        <v>165</v>
      </c>
      <c r="E1" s="27" t="s">
        <v>164</v>
      </c>
      <c r="F1" s="27" t="s">
        <v>264</v>
      </c>
      <c r="G1" s="27" t="s">
        <v>199</v>
      </c>
      <c r="H1" s="27" t="s">
        <v>329</v>
      </c>
      <c r="I1" s="42" t="s">
        <v>171</v>
      </c>
      <c r="J1" s="42"/>
      <c r="K1" s="42"/>
      <c r="L1" s="26"/>
      <c r="M1" s="26" t="s">
        <v>168</v>
      </c>
      <c r="N1" s="26" t="s">
        <v>169</v>
      </c>
      <c r="O1" s="16"/>
      <c r="P1" s="30"/>
      <c r="Q1" s="30"/>
      <c r="R1" s="30"/>
      <c r="S1" s="30"/>
      <c r="T1" s="30"/>
      <c r="U1" s="30"/>
      <c r="V1" s="30"/>
      <c r="W1" s="30"/>
    </row>
    <row r="2" spans="1:23" s="17" customFormat="1" ht="12.75" customHeight="1">
      <c r="A2" s="26"/>
      <c r="B2" s="26"/>
      <c r="C2" s="40"/>
      <c r="D2" s="27"/>
      <c r="E2" s="27"/>
      <c r="F2" s="27"/>
      <c r="G2" s="27"/>
      <c r="H2" s="27"/>
      <c r="I2" s="21">
        <v>1</v>
      </c>
      <c r="J2" s="21">
        <v>2</v>
      </c>
      <c r="K2" s="21">
        <v>3</v>
      </c>
      <c r="L2" s="21"/>
      <c r="M2" s="21"/>
      <c r="N2" s="21"/>
      <c r="O2" s="31"/>
      <c r="U2" s="30"/>
      <c r="V2" s="30"/>
      <c r="W2" s="30"/>
    </row>
    <row r="3" spans="1:23" s="4" customFormat="1" ht="12.75" customHeight="1">
      <c r="A3" s="9" t="s">
        <v>246</v>
      </c>
      <c r="B3" s="9" t="s">
        <v>197</v>
      </c>
      <c r="C3" s="9" t="s">
        <v>332</v>
      </c>
      <c r="D3" s="9" t="s">
        <v>184</v>
      </c>
      <c r="E3" s="10" t="s">
        <v>56</v>
      </c>
      <c r="F3" s="33">
        <v>56</v>
      </c>
      <c r="G3" s="33">
        <v>1</v>
      </c>
      <c r="H3" s="33" t="s">
        <v>266</v>
      </c>
      <c r="I3" s="10" t="s">
        <v>57</v>
      </c>
      <c r="J3" s="11" t="s">
        <v>58</v>
      </c>
      <c r="K3" s="11" t="s">
        <v>58</v>
      </c>
      <c r="L3" s="11"/>
      <c r="M3" s="12" t="str">
        <f>"27,5"</f>
        <v>27,5</v>
      </c>
      <c r="N3" s="13" t="str">
        <f>"26,0205"</f>
        <v>26,0205</v>
      </c>
      <c r="O3" s="9"/>
    </row>
    <row r="4" spans="1:23" ht="12.75" customHeight="1">
      <c r="A4" s="9" t="s">
        <v>247</v>
      </c>
      <c r="B4" s="9" t="s">
        <v>197</v>
      </c>
      <c r="C4" s="9" t="s">
        <v>333</v>
      </c>
      <c r="D4" s="9" t="s">
        <v>174</v>
      </c>
      <c r="E4" s="10" t="s">
        <v>21</v>
      </c>
      <c r="F4" s="33">
        <v>67.5</v>
      </c>
      <c r="G4" s="33">
        <v>1</v>
      </c>
      <c r="H4" s="33" t="s">
        <v>267</v>
      </c>
      <c r="I4" s="10" t="s">
        <v>9</v>
      </c>
      <c r="J4" s="10" t="s">
        <v>57</v>
      </c>
      <c r="K4" s="10" t="s">
        <v>59</v>
      </c>
      <c r="L4" s="11"/>
      <c r="M4" s="12" t="str">
        <f>"30,0"</f>
        <v>30,0</v>
      </c>
      <c r="N4" s="13" t="str">
        <f>"24,0630"</f>
        <v>24,0630</v>
      </c>
      <c r="O4" s="9"/>
    </row>
    <row r="5" spans="1:23" ht="12.75" customHeight="1">
      <c r="A5" s="9" t="s">
        <v>248</v>
      </c>
      <c r="B5" s="9" t="s">
        <v>197</v>
      </c>
      <c r="C5" s="9" t="s">
        <v>334</v>
      </c>
      <c r="D5" s="9" t="s">
        <v>181</v>
      </c>
      <c r="E5" s="10" t="s">
        <v>60</v>
      </c>
      <c r="F5" s="33">
        <v>75</v>
      </c>
      <c r="G5" s="33">
        <v>1</v>
      </c>
      <c r="H5" s="33" t="s">
        <v>266</v>
      </c>
      <c r="I5" s="10" t="s">
        <v>61</v>
      </c>
      <c r="J5" s="10" t="s">
        <v>31</v>
      </c>
      <c r="K5" s="11" t="s">
        <v>62</v>
      </c>
      <c r="L5" s="11"/>
      <c r="M5" s="12" t="str">
        <f>"40,0"</f>
        <v>40,0</v>
      </c>
      <c r="N5" s="13" t="str">
        <f>"29,3440"</f>
        <v>29,3440</v>
      </c>
      <c r="O5" s="5"/>
    </row>
    <row r="6" spans="1:23" ht="12.75" customHeight="1">
      <c r="A6" s="9" t="s">
        <v>248</v>
      </c>
      <c r="B6" s="9" t="s">
        <v>197</v>
      </c>
      <c r="C6" s="9" t="s">
        <v>334</v>
      </c>
      <c r="D6" s="9" t="s">
        <v>181</v>
      </c>
      <c r="E6" s="10" t="s">
        <v>60</v>
      </c>
      <c r="F6" s="33">
        <v>75</v>
      </c>
      <c r="G6" s="33">
        <v>1</v>
      </c>
      <c r="H6" s="33" t="s">
        <v>268</v>
      </c>
      <c r="I6" s="10" t="s">
        <v>61</v>
      </c>
      <c r="J6" s="10" t="s">
        <v>31</v>
      </c>
      <c r="K6" s="11" t="s">
        <v>62</v>
      </c>
      <c r="L6" s="11"/>
      <c r="M6" s="12" t="str">
        <f>"40,0"</f>
        <v>40,0</v>
      </c>
      <c r="N6" s="13" t="str">
        <f>"29,3440"</f>
        <v>29,3440</v>
      </c>
      <c r="O6" s="6"/>
    </row>
    <row r="7" spans="1:23" ht="12.75" customHeight="1">
      <c r="A7" s="9" t="s">
        <v>249</v>
      </c>
      <c r="B7" s="9" t="s">
        <v>198</v>
      </c>
      <c r="C7" s="9" t="s">
        <v>335</v>
      </c>
      <c r="D7" s="9" t="s">
        <v>174</v>
      </c>
      <c r="E7" s="10" t="s">
        <v>29</v>
      </c>
      <c r="F7" s="33">
        <v>75</v>
      </c>
      <c r="G7" s="33">
        <v>1</v>
      </c>
      <c r="H7" s="33" t="s">
        <v>330</v>
      </c>
      <c r="I7" s="10" t="s">
        <v>23</v>
      </c>
      <c r="J7" s="11" t="s">
        <v>63</v>
      </c>
      <c r="K7" s="10" t="s">
        <v>63</v>
      </c>
      <c r="L7" s="11"/>
      <c r="M7" s="12" t="str">
        <f>"62,5"</f>
        <v>62,5</v>
      </c>
      <c r="N7" s="13" t="str">
        <f>"41,5750"</f>
        <v>41,5750</v>
      </c>
      <c r="O7" s="5"/>
    </row>
    <row r="8" spans="1:23" ht="12.75" customHeight="1">
      <c r="A8" s="9" t="s">
        <v>250</v>
      </c>
      <c r="B8" s="9" t="s">
        <v>198</v>
      </c>
      <c r="C8" s="9" t="s">
        <v>336</v>
      </c>
      <c r="D8" s="9" t="s">
        <v>174</v>
      </c>
      <c r="E8" s="10" t="s">
        <v>18</v>
      </c>
      <c r="F8" s="33">
        <v>75</v>
      </c>
      <c r="G8" s="33">
        <v>1</v>
      </c>
      <c r="H8" s="33" t="s">
        <v>268</v>
      </c>
      <c r="I8" s="10" t="s">
        <v>64</v>
      </c>
      <c r="J8" s="10" t="s">
        <v>23</v>
      </c>
      <c r="K8" s="11" t="s">
        <v>63</v>
      </c>
      <c r="L8" s="11"/>
      <c r="M8" s="12" t="str">
        <f>"60,0"</f>
        <v>60,0</v>
      </c>
      <c r="N8" s="13" t="str">
        <f>"42,6202"</f>
        <v>42,6202</v>
      </c>
      <c r="O8" s="14"/>
    </row>
    <row r="9" spans="1:23" ht="12.75" customHeight="1">
      <c r="A9" s="9" t="s">
        <v>251</v>
      </c>
      <c r="B9" s="9" t="s">
        <v>198</v>
      </c>
      <c r="C9" s="9" t="s">
        <v>337</v>
      </c>
      <c r="D9" s="9" t="s">
        <v>174</v>
      </c>
      <c r="E9" s="10" t="s">
        <v>65</v>
      </c>
      <c r="F9" s="33">
        <v>75</v>
      </c>
      <c r="G9" s="33">
        <v>1</v>
      </c>
      <c r="H9" s="33" t="s">
        <v>295</v>
      </c>
      <c r="I9" s="10" t="s">
        <v>22</v>
      </c>
      <c r="J9" s="11" t="s">
        <v>64</v>
      </c>
      <c r="K9" s="11" t="s">
        <v>64</v>
      </c>
      <c r="L9" s="11"/>
      <c r="M9" s="12" t="str">
        <f>"55,0"</f>
        <v>55,0</v>
      </c>
      <c r="N9" s="13" t="str">
        <f>"54,4322"</f>
        <v>54,4322</v>
      </c>
      <c r="O9" s="14"/>
    </row>
    <row r="10" spans="1:23" ht="12.75" customHeight="1">
      <c r="A10" s="9" t="s">
        <v>252</v>
      </c>
      <c r="B10" s="9" t="s">
        <v>198</v>
      </c>
      <c r="C10" s="9" t="s">
        <v>338</v>
      </c>
      <c r="D10" s="9" t="s">
        <v>192</v>
      </c>
      <c r="E10" s="10" t="s">
        <v>10</v>
      </c>
      <c r="F10" s="33">
        <v>75</v>
      </c>
      <c r="G10" s="33">
        <v>1</v>
      </c>
      <c r="H10" s="33" t="s">
        <v>331</v>
      </c>
      <c r="I10" s="10" t="s">
        <v>61</v>
      </c>
      <c r="J10" s="10" t="s">
        <v>31</v>
      </c>
      <c r="K10" s="11" t="s">
        <v>66</v>
      </c>
      <c r="L10" s="11"/>
      <c r="M10" s="12" t="str">
        <f>"40,0"</f>
        <v>40,0</v>
      </c>
      <c r="N10" s="13" t="str">
        <f>"48,5659"</f>
        <v>48,5659</v>
      </c>
      <c r="O10" s="6"/>
    </row>
    <row r="11" spans="1:23" ht="12.75" customHeight="1">
      <c r="A11" s="9" t="s">
        <v>253</v>
      </c>
      <c r="B11" s="9" t="s">
        <v>198</v>
      </c>
      <c r="C11" s="9" t="s">
        <v>339</v>
      </c>
      <c r="D11" s="9" t="s">
        <v>174</v>
      </c>
      <c r="E11" s="10" t="s">
        <v>30</v>
      </c>
      <c r="F11" s="33">
        <v>82.5</v>
      </c>
      <c r="G11" s="33">
        <v>1</v>
      </c>
      <c r="H11" s="33" t="s">
        <v>266</v>
      </c>
      <c r="I11" s="10" t="s">
        <v>23</v>
      </c>
      <c r="J11" s="10" t="s">
        <v>63</v>
      </c>
      <c r="K11" s="11" t="s">
        <v>24</v>
      </c>
      <c r="L11" s="11"/>
      <c r="M11" s="12" t="str">
        <f>"62,5"</f>
        <v>62,5</v>
      </c>
      <c r="N11" s="13" t="str">
        <f>"40,4937"</f>
        <v>40,4937</v>
      </c>
      <c r="O11" s="9"/>
    </row>
    <row r="12" spans="1:23" ht="12.75" customHeight="1">
      <c r="A12" s="9" t="s">
        <v>228</v>
      </c>
      <c r="B12" s="9" t="s">
        <v>198</v>
      </c>
      <c r="C12" s="9" t="s">
        <v>305</v>
      </c>
      <c r="D12" s="9" t="s">
        <v>174</v>
      </c>
      <c r="E12" s="10" t="s">
        <v>67</v>
      </c>
      <c r="F12" s="33">
        <v>90</v>
      </c>
      <c r="G12" s="33">
        <v>1</v>
      </c>
      <c r="H12" s="33" t="s">
        <v>266</v>
      </c>
      <c r="I12" s="10" t="s">
        <v>11</v>
      </c>
      <c r="J12" s="11" t="s">
        <v>25</v>
      </c>
      <c r="K12" s="11" t="s">
        <v>25</v>
      </c>
      <c r="L12" s="11"/>
      <c r="M12" s="12" t="str">
        <f>"75,0"</f>
        <v>75,0</v>
      </c>
      <c r="N12" s="13" t="str">
        <f>"43,9275"</f>
        <v>43,9275</v>
      </c>
      <c r="O12" s="5"/>
    </row>
    <row r="13" spans="1:23" ht="12.75" customHeight="1">
      <c r="A13" s="9" t="s">
        <v>255</v>
      </c>
      <c r="B13" s="9" t="s">
        <v>198</v>
      </c>
      <c r="C13" s="9" t="s">
        <v>340</v>
      </c>
      <c r="D13" s="9" t="s">
        <v>174</v>
      </c>
      <c r="E13" s="10" t="s">
        <v>68</v>
      </c>
      <c r="F13" s="33">
        <v>90</v>
      </c>
      <c r="G13" s="33">
        <v>2</v>
      </c>
      <c r="H13" s="33" t="s">
        <v>266</v>
      </c>
      <c r="I13" s="10" t="s">
        <v>23</v>
      </c>
      <c r="J13" s="10" t="s">
        <v>24</v>
      </c>
      <c r="K13" s="11" t="s">
        <v>69</v>
      </c>
      <c r="L13" s="11"/>
      <c r="M13" s="12" t="str">
        <f>"65,0"</f>
        <v>65,0</v>
      </c>
      <c r="N13" s="13" t="str">
        <f>"38,0445"</f>
        <v>38,0445</v>
      </c>
      <c r="O13" s="6"/>
    </row>
    <row r="14" spans="1:23" ht="12.75" customHeight="1">
      <c r="A14" s="9" t="s">
        <v>254</v>
      </c>
      <c r="B14" s="9" t="s">
        <v>198</v>
      </c>
      <c r="C14" s="9" t="s">
        <v>341</v>
      </c>
      <c r="D14" s="9" t="s">
        <v>174</v>
      </c>
      <c r="E14" s="10" t="s">
        <v>70</v>
      </c>
      <c r="F14" s="33">
        <v>100</v>
      </c>
      <c r="G14" s="33">
        <v>1</v>
      </c>
      <c r="H14" s="33" t="s">
        <v>266</v>
      </c>
      <c r="I14" s="10" t="s">
        <v>23</v>
      </c>
      <c r="J14" s="10" t="s">
        <v>63</v>
      </c>
      <c r="K14" s="10" t="s">
        <v>24</v>
      </c>
      <c r="L14" s="11"/>
      <c r="M14" s="12" t="str">
        <f>"65,0"</f>
        <v>65,0</v>
      </c>
      <c r="N14" s="13" t="str">
        <f>"36,5950"</f>
        <v>36,5950</v>
      </c>
      <c r="O14" s="5"/>
    </row>
    <row r="15" spans="1:23" ht="12.75" customHeight="1">
      <c r="A15" s="9" t="s">
        <v>211</v>
      </c>
      <c r="B15" s="9" t="s">
        <v>198</v>
      </c>
      <c r="C15" s="9" t="s">
        <v>287</v>
      </c>
      <c r="D15" s="9" t="s">
        <v>177</v>
      </c>
      <c r="E15" s="10" t="s">
        <v>71</v>
      </c>
      <c r="F15" s="33">
        <v>100</v>
      </c>
      <c r="G15" s="33">
        <v>1</v>
      </c>
      <c r="H15" s="33" t="s">
        <v>342</v>
      </c>
      <c r="I15" s="10" t="s">
        <v>32</v>
      </c>
      <c r="J15" s="10" t="s">
        <v>41</v>
      </c>
      <c r="K15" s="11" t="s">
        <v>24</v>
      </c>
      <c r="L15" s="11"/>
      <c r="M15" s="12" t="str">
        <f>"60,0"</f>
        <v>60,0</v>
      </c>
      <c r="N15" s="13" t="str">
        <f>"34,1820"</f>
        <v>34,1820</v>
      </c>
      <c r="O15" s="6"/>
    </row>
    <row r="16" spans="1:23" ht="12.75" customHeight="1">
      <c r="A16" s="9" t="s">
        <v>214</v>
      </c>
      <c r="B16" s="9" t="s">
        <v>198</v>
      </c>
      <c r="C16" s="9" t="s">
        <v>292</v>
      </c>
      <c r="D16" s="9" t="s">
        <v>179</v>
      </c>
      <c r="E16" s="10" t="s">
        <v>14</v>
      </c>
      <c r="F16" s="33">
        <v>110</v>
      </c>
      <c r="G16" s="33">
        <v>1</v>
      </c>
      <c r="H16" s="33" t="s">
        <v>266</v>
      </c>
      <c r="I16" s="10" t="s">
        <v>31</v>
      </c>
      <c r="J16" s="10" t="s">
        <v>66</v>
      </c>
      <c r="K16" s="11" t="s">
        <v>23</v>
      </c>
      <c r="L16" s="11"/>
      <c r="M16" s="12" t="str">
        <f>"45,0"</f>
        <v>45,0</v>
      </c>
      <c r="N16" s="13" t="str">
        <f>"24,7365"</f>
        <v>24,7365</v>
      </c>
      <c r="O16" s="9"/>
    </row>
    <row r="27" spans="1:8" ht="12.75" customHeight="1">
      <c r="A27" s="18"/>
      <c r="B27" s="18"/>
      <c r="C27" s="18"/>
    </row>
    <row r="28" spans="1:8" ht="12.75" customHeight="1">
      <c r="A28" s="20"/>
      <c r="B28" s="20"/>
      <c r="C28" s="18"/>
    </row>
    <row r="29" spans="1:8" ht="12.75" customHeight="1">
      <c r="A29" s="21"/>
      <c r="B29" s="21"/>
      <c r="C29" s="41"/>
      <c r="E29" s="21"/>
      <c r="F29" s="32"/>
      <c r="G29" s="17"/>
      <c r="H29" s="32"/>
    </row>
    <row r="30" spans="1:8" ht="12.75" customHeight="1">
      <c r="A30" s="15"/>
      <c r="B30" s="15"/>
    </row>
    <row r="32" spans="1:8" ht="12.75" customHeight="1">
      <c r="A32" s="20"/>
      <c r="B32" s="20"/>
      <c r="C32" s="18"/>
    </row>
    <row r="33" spans="1:8" ht="12.75" customHeight="1">
      <c r="A33" s="21"/>
      <c r="B33" s="21"/>
      <c r="C33" s="41"/>
      <c r="E33" s="21"/>
      <c r="F33" s="32"/>
      <c r="G33" s="17"/>
      <c r="H33" s="32"/>
    </row>
    <row r="34" spans="1:8" ht="12.75" customHeight="1">
      <c r="A34" s="15"/>
      <c r="B34" s="15"/>
    </row>
    <row r="35" spans="1:8" ht="12.75" customHeight="1">
      <c r="A35" s="15"/>
      <c r="B35" s="15"/>
    </row>
    <row r="37" spans="1:8" ht="12.75" customHeight="1">
      <c r="A37" s="20"/>
      <c r="B37" s="20"/>
      <c r="C37" s="18"/>
    </row>
    <row r="38" spans="1:8" ht="12.75" customHeight="1">
      <c r="A38" s="21"/>
      <c r="B38" s="21"/>
      <c r="C38" s="41"/>
      <c r="E38" s="21"/>
      <c r="F38" s="32"/>
      <c r="G38" s="17"/>
      <c r="H38" s="32"/>
    </row>
    <row r="39" spans="1:8" ht="12.75" customHeight="1">
      <c r="A39" s="15"/>
      <c r="B39" s="15"/>
    </row>
    <row r="42" spans="1:8" ht="12.75" customHeight="1">
      <c r="A42" s="18"/>
      <c r="B42" s="18"/>
      <c r="C42" s="18"/>
    </row>
    <row r="43" spans="1:8" ht="12.75" customHeight="1">
      <c r="A43" s="20"/>
      <c r="B43" s="20"/>
      <c r="C43" s="18"/>
    </row>
    <row r="44" spans="1:8" ht="12.75" customHeight="1">
      <c r="A44" s="21"/>
      <c r="B44" s="21"/>
      <c r="C44" s="41"/>
      <c r="E44" s="21"/>
      <c r="F44" s="32"/>
      <c r="G44" s="17"/>
      <c r="H44" s="32"/>
    </row>
    <row r="45" spans="1:8" ht="12.75" customHeight="1">
      <c r="A45" s="15"/>
      <c r="B45" s="15"/>
    </row>
    <row r="47" spans="1:8" ht="12.75" customHeight="1">
      <c r="A47" s="20"/>
      <c r="B47" s="20"/>
      <c r="C47" s="18"/>
    </row>
    <row r="48" spans="1:8" ht="12.75" customHeight="1">
      <c r="A48" s="21"/>
      <c r="B48" s="21"/>
      <c r="C48" s="41"/>
      <c r="E48" s="21"/>
      <c r="F48" s="32"/>
      <c r="G48" s="17"/>
      <c r="H48" s="32"/>
    </row>
    <row r="49" spans="1:8" ht="12.75" customHeight="1">
      <c r="A49" s="15"/>
      <c r="B49" s="15"/>
    </row>
    <row r="50" spans="1:8" ht="12.75" customHeight="1">
      <c r="A50" s="15"/>
      <c r="B50" s="15"/>
    </row>
    <row r="51" spans="1:8" ht="12.75" customHeight="1">
      <c r="A51" s="15"/>
      <c r="B51" s="15"/>
    </row>
    <row r="52" spans="1:8" ht="12.75" customHeight="1">
      <c r="A52" s="15"/>
      <c r="B52" s="15"/>
    </row>
    <row r="53" spans="1:8" ht="12.75" customHeight="1">
      <c r="A53" s="15"/>
      <c r="B53" s="15"/>
    </row>
    <row r="55" spans="1:8" ht="12.75" customHeight="1">
      <c r="A55" s="20"/>
      <c r="B55" s="20"/>
      <c r="C55" s="18"/>
    </row>
    <row r="56" spans="1:8" ht="12.75" customHeight="1">
      <c r="A56" s="21"/>
      <c r="B56" s="21"/>
      <c r="C56" s="41"/>
      <c r="E56" s="21"/>
      <c r="F56" s="32"/>
      <c r="G56" s="17"/>
      <c r="H56" s="32"/>
    </row>
    <row r="57" spans="1:8" ht="12.75" customHeight="1">
      <c r="A57" s="15"/>
      <c r="B57" s="15"/>
    </row>
    <row r="59" spans="1:8" ht="12.75" customHeight="1">
      <c r="A59" s="20"/>
      <c r="B59" s="20"/>
      <c r="C59" s="18"/>
    </row>
    <row r="60" spans="1:8" ht="12.75" customHeight="1">
      <c r="A60" s="21"/>
      <c r="B60" s="21"/>
      <c r="C60" s="41"/>
      <c r="E60" s="21"/>
      <c r="F60" s="32"/>
      <c r="G60" s="17"/>
      <c r="H60" s="32"/>
    </row>
    <row r="61" spans="1:8" ht="12.75" customHeight="1">
      <c r="A61" s="15"/>
      <c r="B61" s="15"/>
    </row>
    <row r="62" spans="1:8" ht="12.75" customHeight="1">
      <c r="A62" s="15"/>
      <c r="B62" s="15"/>
    </row>
    <row r="63" spans="1:8" ht="12.75" customHeight="1">
      <c r="A63" s="15"/>
      <c r="B63" s="15"/>
    </row>
  </sheetData>
  <mergeCells count="1">
    <mergeCell ref="I1:K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AWPA raw PL</vt:lpstr>
      <vt:lpstr>WPA raw PL</vt:lpstr>
      <vt:lpstr>AWPA RAW PP</vt:lpstr>
      <vt:lpstr>AWPA raw BP</vt:lpstr>
      <vt:lpstr>WPA raw BP</vt:lpstr>
      <vt:lpstr>AWPC MP soft eq. BP</vt:lpstr>
      <vt:lpstr>WPA raw SQ</vt:lpstr>
      <vt:lpstr>WPA SC</vt:lpstr>
      <vt:lpstr>AWPA SC</vt:lpstr>
      <vt:lpstr>AWPA mil_bp</vt:lpstr>
      <vt:lpstr>AWPA raw DL</vt:lpstr>
      <vt:lpstr>AWPA DL</vt:lpstr>
      <vt:lpstr>WPA raw DL</vt:lpstr>
      <vt:lpstr>'WPA raw DL'!_FilterDatabase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Pete Kravtsov</cp:lastModifiedBy>
  <cp:revision>2</cp:revision>
  <cp:lastPrinted>2008-02-22T21:19:54Z</cp:lastPrinted>
  <dcterms:created xsi:type="dcterms:W3CDTF">2002-06-16T13:36:44Z</dcterms:created>
  <dcterms:modified xsi:type="dcterms:W3CDTF">2021-04-18T16:29:18Z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