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Апрель/"/>
    </mc:Choice>
  </mc:AlternateContent>
  <xr:revisionPtr revIDLastSave="0" documentId="13_ncr:1_{5EBF8B89-28F3-AA46-9F8A-661AB1B92F53}" xr6:coauthVersionLast="45" xr6:coauthVersionMax="45" xr10:uidLastSave="{00000000-0000-0000-0000-000000000000}"/>
  <bookViews>
    <workbookView xWindow="1260" yWindow="460" windowWidth="28640" windowHeight="16200" tabRatio="969" firstSheet="43" activeTab="43" xr2:uid="{00000000-000D-0000-FFFF-FFFF00000000}"/>
  </bookViews>
  <sheets>
    <sheet name="IPL ПЛ без экипировки ДК" sheetId="8" r:id="rId1"/>
    <sheet name="IPL ПЛ без экипировки" sheetId="7" r:id="rId2"/>
    <sheet name="IPL ПЛ в бинтах ДК" sheetId="10" r:id="rId3"/>
    <sheet name="IPL ПЛ в бинтах" sheetId="9" r:id="rId4"/>
    <sheet name="IPL ПЛ однослой" sheetId="6" r:id="rId5"/>
    <sheet name="IPL ПЛ многослой" sheetId="5" r:id="rId6"/>
    <sheet name="IPL Двоеборье без экип ДК" sheetId="26" r:id="rId7"/>
    <sheet name="IPL Двоеборье без экип" sheetId="25" r:id="rId8"/>
    <sheet name="IPL Присед без экипировки ДК" sheetId="22" r:id="rId9"/>
    <sheet name="IPL Присед без экипировки" sheetId="21" r:id="rId10"/>
    <sheet name="IPL Присед в бинтах ДК" sheetId="24" r:id="rId11"/>
    <sheet name="IPL Присед в бинтах" sheetId="23" r:id="rId12"/>
    <sheet name="IPL Жим без экипировки ДК" sheetId="12" r:id="rId13"/>
    <sheet name="IPL Жим без экипировки" sheetId="11" r:id="rId14"/>
    <sheet name="IPL Жим однослой ДК" sheetId="14" r:id="rId15"/>
    <sheet name="IPL Жим однослой" sheetId="13" r:id="rId16"/>
    <sheet name="IPL Жим многослой" sheetId="15" r:id="rId17"/>
    <sheet name="СПР Жим софт однопетельная ДК" sheetId="82" r:id="rId18"/>
    <sheet name="СПР Жим софт однопетельная" sheetId="81" r:id="rId19"/>
    <sheet name="СПР Жим софт многопетельная ДК" sheetId="84" r:id="rId20"/>
    <sheet name="СПР Жим софт многопетельная" sheetId="83" r:id="rId21"/>
    <sheet name="СПР Жим СФО" sheetId="37" r:id="rId22"/>
    <sheet name="IPL Тяга без экипировки ДК" sheetId="18" r:id="rId23"/>
    <sheet name="IPL Тяга без экипировки" sheetId="17" r:id="rId24"/>
    <sheet name="IPL Тяга однослой" sheetId="20" r:id="rId25"/>
    <sheet name="IPL Тяга многослой" sheetId="19" r:id="rId26"/>
    <sheet name="СПР Пауэрспорт ДК" sheetId="32" r:id="rId27"/>
    <sheet name="СПР Пауэрспорт" sheetId="31" r:id="rId28"/>
    <sheet name="СПР Жим стоя" sheetId="27" r:id="rId29"/>
    <sheet name="СПР Подъем на бицепс ДК" sheetId="30" r:id="rId30"/>
    <sheet name="СПР Подъем на бицепс" sheetId="29" r:id="rId31"/>
    <sheet name="ФЖД ЖД ДК" sheetId="43" r:id="rId32"/>
    <sheet name="ФЖД ЖД" sheetId="38" r:id="rId33"/>
    <sheet name="ФЖД ЖД Армейский жим" sheetId="59" r:id="rId34"/>
    <sheet name="ФЖД ЖД ДК 1_2" sheetId="46" r:id="rId35"/>
    <sheet name="ФЖД ЖД 1_2" sheetId="41" r:id="rId36"/>
    <sheet name="ФЖД ЖД Софт однослой" sheetId="51" r:id="rId37"/>
    <sheet name="ФЖД Жим на макс. ДК" sheetId="44" r:id="rId38"/>
    <sheet name="ФЖД Жим на макс." sheetId="39" r:id="rId39"/>
    <sheet name="ФЖД Софт однослой жим макс ДК" sheetId="55" r:id="rId40"/>
    <sheet name="ФЖД Софт однослой жим на макс." sheetId="52" r:id="rId41"/>
    <sheet name="ФЖД Софт многослой жим на макс." sheetId="56" r:id="rId42"/>
    <sheet name="ФЖД Армейский жим на макс" sheetId="60" r:id="rId43"/>
    <sheet name="ФЖД Военный жим на макс." sheetId="48" r:id="rId44"/>
  </sheets>
  <definedNames>
    <definedName name="_FilterDatabase" localSheetId="5" hidden="1">'IPL ПЛ многослой'!$A$1:$S$3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1" i="84" l="1"/>
  <c r="K11" i="84"/>
  <c r="E11" i="84"/>
  <c r="L10" i="84"/>
  <c r="K10" i="84"/>
  <c r="E10" i="84"/>
  <c r="L7" i="84"/>
  <c r="K7" i="84"/>
  <c r="E7" i="84"/>
  <c r="L6" i="84"/>
  <c r="K6" i="84"/>
  <c r="E6" i="84"/>
  <c r="L22" i="83"/>
  <c r="K22" i="83"/>
  <c r="E22" i="83"/>
  <c r="L21" i="83"/>
  <c r="K21" i="83"/>
  <c r="E21" i="83"/>
  <c r="L18" i="83"/>
  <c r="K18" i="83"/>
  <c r="E18" i="83"/>
  <c r="L17" i="83"/>
  <c r="K17" i="83"/>
  <c r="E17" i="83"/>
  <c r="L16" i="83"/>
  <c r="K16" i="83"/>
  <c r="E16" i="83"/>
  <c r="L15" i="83"/>
  <c r="K15" i="83"/>
  <c r="E15" i="83"/>
  <c r="L12" i="83"/>
  <c r="K12" i="83"/>
  <c r="E12" i="83"/>
  <c r="L9" i="83"/>
  <c r="K9" i="83"/>
  <c r="E9" i="83"/>
  <c r="L6" i="83"/>
  <c r="K6" i="83"/>
  <c r="E6" i="83"/>
  <c r="L32" i="82"/>
  <c r="K32" i="82"/>
  <c r="E32" i="82"/>
  <c r="L29" i="82"/>
  <c r="K29" i="82"/>
  <c r="E29" i="82"/>
  <c r="L28" i="82"/>
  <c r="K28" i="82"/>
  <c r="E28" i="82"/>
  <c r="L25" i="82"/>
  <c r="K25" i="82"/>
  <c r="E25" i="82"/>
  <c r="L24" i="82"/>
  <c r="K24" i="82"/>
  <c r="E24" i="82"/>
  <c r="L21" i="82"/>
  <c r="K21" i="82"/>
  <c r="E21" i="82"/>
  <c r="L20" i="82"/>
  <c r="K20" i="82"/>
  <c r="E20" i="82"/>
  <c r="L17" i="82"/>
  <c r="K17" i="82"/>
  <c r="E17" i="82"/>
  <c r="L16" i="82"/>
  <c r="K16" i="82"/>
  <c r="E16" i="82"/>
  <c r="L13" i="82"/>
  <c r="K13" i="82"/>
  <c r="E13" i="82"/>
  <c r="L12" i="82"/>
  <c r="K12" i="82"/>
  <c r="E12" i="82"/>
  <c r="L9" i="82"/>
  <c r="K9" i="82"/>
  <c r="E9" i="82"/>
  <c r="L6" i="82"/>
  <c r="K6" i="82"/>
  <c r="E6" i="82"/>
  <c r="L40" i="81"/>
  <c r="E40" i="81"/>
  <c r="L39" i="81"/>
  <c r="E39" i="81"/>
  <c r="L36" i="81"/>
  <c r="K36" i="81"/>
  <c r="E36" i="81"/>
  <c r="L35" i="81"/>
  <c r="K35" i="81"/>
  <c r="E35" i="81"/>
  <c r="L34" i="81"/>
  <c r="K34" i="81"/>
  <c r="E34" i="81"/>
  <c r="L31" i="81"/>
  <c r="E31" i="81"/>
  <c r="L30" i="81"/>
  <c r="K30" i="81"/>
  <c r="E30" i="81"/>
  <c r="L29" i="81"/>
  <c r="K29" i="81"/>
  <c r="E29" i="81"/>
  <c r="L28" i="81"/>
  <c r="K28" i="81"/>
  <c r="E28" i="81"/>
  <c r="L27" i="81"/>
  <c r="K27" i="81"/>
  <c r="E27" i="81"/>
  <c r="L26" i="81"/>
  <c r="E26" i="81"/>
  <c r="L25" i="81"/>
  <c r="K25" i="81"/>
  <c r="E25" i="81"/>
  <c r="L24" i="81"/>
  <c r="K24" i="81"/>
  <c r="E24" i="81"/>
  <c r="L23" i="81"/>
  <c r="K23" i="81"/>
  <c r="E23" i="81"/>
  <c r="L22" i="81"/>
  <c r="K22" i="81"/>
  <c r="E22" i="81"/>
  <c r="L21" i="81"/>
  <c r="K21" i="81"/>
  <c r="E21" i="81"/>
  <c r="L18" i="81"/>
  <c r="K18" i="81"/>
  <c r="E18" i="81"/>
  <c r="L17" i="81"/>
  <c r="K17" i="81"/>
  <c r="E17" i="81"/>
  <c r="L16" i="81"/>
  <c r="K16" i="81"/>
  <c r="E16" i="81"/>
  <c r="L15" i="81"/>
  <c r="K15" i="81"/>
  <c r="E15" i="81"/>
  <c r="L12" i="81"/>
  <c r="K12" i="81"/>
  <c r="E12" i="81"/>
  <c r="L11" i="81"/>
  <c r="K11" i="81"/>
  <c r="E11" i="81"/>
  <c r="L10" i="81"/>
  <c r="K10" i="81"/>
  <c r="E10" i="81"/>
  <c r="L7" i="81"/>
  <c r="K7" i="81"/>
  <c r="E7" i="81"/>
  <c r="L6" i="81"/>
  <c r="K6" i="81"/>
  <c r="E6" i="81"/>
  <c r="L13" i="60"/>
  <c r="K13" i="60"/>
  <c r="E13" i="60"/>
  <c r="L10" i="60"/>
  <c r="K10" i="60"/>
  <c r="E10" i="60"/>
  <c r="L7" i="60"/>
  <c r="K7" i="60"/>
  <c r="E7" i="60"/>
  <c r="L6" i="60"/>
  <c r="K6" i="60"/>
  <c r="E6" i="60"/>
  <c r="N6" i="59"/>
  <c r="M6" i="59"/>
  <c r="E6" i="59"/>
  <c r="L11" i="56"/>
  <c r="K11" i="56"/>
  <c r="E11" i="56"/>
  <c r="L10" i="56"/>
  <c r="K10" i="56"/>
  <c r="E10" i="56"/>
  <c r="L7" i="56"/>
  <c r="K7" i="56"/>
  <c r="E7" i="56"/>
  <c r="L6" i="56"/>
  <c r="K6" i="56"/>
  <c r="E6" i="56"/>
  <c r="L9" i="55"/>
  <c r="K9" i="55"/>
  <c r="E9" i="55"/>
  <c r="L6" i="55"/>
  <c r="E6" i="55"/>
  <c r="L23" i="52"/>
  <c r="K23" i="52"/>
  <c r="E23" i="52"/>
  <c r="L22" i="52"/>
  <c r="K22" i="52"/>
  <c r="E22" i="52"/>
  <c r="L21" i="52"/>
  <c r="K21" i="52"/>
  <c r="E21" i="52"/>
  <c r="L18" i="52"/>
  <c r="K18" i="52"/>
  <c r="E18" i="52"/>
  <c r="L17" i="52"/>
  <c r="K17" i="52"/>
  <c r="E17" i="52"/>
  <c r="L16" i="52"/>
  <c r="K16" i="52"/>
  <c r="E16" i="52"/>
  <c r="L15" i="52"/>
  <c r="K15" i="52"/>
  <c r="E15" i="52"/>
  <c r="L12" i="52"/>
  <c r="K12" i="52"/>
  <c r="E12" i="52"/>
  <c r="L11" i="52"/>
  <c r="K11" i="52"/>
  <c r="E11" i="52"/>
  <c r="L10" i="52"/>
  <c r="K10" i="52"/>
  <c r="E10" i="52"/>
  <c r="L7" i="52"/>
  <c r="K7" i="52"/>
  <c r="E7" i="52"/>
  <c r="L6" i="52"/>
  <c r="K6" i="52"/>
  <c r="E6" i="52"/>
  <c r="N13" i="51"/>
  <c r="M13" i="51"/>
  <c r="E13" i="51"/>
  <c r="N10" i="51"/>
  <c r="M10" i="51"/>
  <c r="E10" i="51"/>
  <c r="N9" i="51"/>
  <c r="M9" i="51"/>
  <c r="E9" i="51"/>
  <c r="N6" i="51"/>
  <c r="M6" i="51"/>
  <c r="E6" i="51"/>
  <c r="L13" i="48"/>
  <c r="K13" i="48"/>
  <c r="E13" i="48"/>
  <c r="L12" i="48"/>
  <c r="K12" i="48"/>
  <c r="E12" i="48"/>
  <c r="L9" i="48"/>
  <c r="K9" i="48"/>
  <c r="E9" i="48"/>
  <c r="L6" i="48"/>
  <c r="K6" i="48"/>
  <c r="E6" i="48"/>
  <c r="N6" i="46"/>
  <c r="M6" i="46"/>
  <c r="E6" i="46"/>
  <c r="L9" i="44"/>
  <c r="K9" i="44"/>
  <c r="E9" i="44"/>
  <c r="L6" i="44"/>
  <c r="K6" i="44"/>
  <c r="E6" i="44"/>
  <c r="N9" i="43"/>
  <c r="M9" i="43"/>
  <c r="E9" i="43"/>
  <c r="N6" i="43"/>
  <c r="M6" i="43"/>
  <c r="E6" i="43"/>
  <c r="N8" i="41"/>
  <c r="M8" i="41"/>
  <c r="E8" i="41"/>
  <c r="N7" i="41"/>
  <c r="M7" i="41"/>
  <c r="E7" i="41"/>
  <c r="N6" i="41"/>
  <c r="M6" i="41"/>
  <c r="E6" i="41"/>
  <c r="L6" i="39"/>
  <c r="K6" i="39"/>
  <c r="E6" i="39"/>
  <c r="N11" i="38"/>
  <c r="M11" i="38"/>
  <c r="E11" i="38"/>
  <c r="N10" i="38"/>
  <c r="M10" i="38"/>
  <c r="E10" i="38"/>
  <c r="N9" i="38"/>
  <c r="M9" i="38"/>
  <c r="E9" i="38"/>
  <c r="N6" i="38"/>
  <c r="M6" i="38"/>
  <c r="E6" i="38"/>
  <c r="L34" i="37"/>
  <c r="K34" i="37"/>
  <c r="E34" i="37"/>
  <c r="L33" i="37"/>
  <c r="K33" i="37"/>
  <c r="E33" i="37"/>
  <c r="L32" i="37"/>
  <c r="K32" i="37"/>
  <c r="E32" i="37"/>
  <c r="L31" i="37"/>
  <c r="K31" i="37"/>
  <c r="E31" i="37"/>
  <c r="L28" i="37"/>
  <c r="K28" i="37"/>
  <c r="E28" i="37"/>
  <c r="L27" i="37"/>
  <c r="K27" i="37"/>
  <c r="E27" i="37"/>
  <c r="L24" i="37"/>
  <c r="K24" i="37"/>
  <c r="E24" i="37"/>
  <c r="L21" i="37"/>
  <c r="K21" i="37"/>
  <c r="E21" i="37"/>
  <c r="L18" i="37"/>
  <c r="K18" i="37"/>
  <c r="E18" i="37"/>
  <c r="L15" i="37"/>
  <c r="K15" i="37"/>
  <c r="E15" i="37"/>
  <c r="L12" i="37"/>
  <c r="K12" i="37"/>
  <c r="E12" i="37"/>
  <c r="L9" i="37"/>
  <c r="K9" i="37"/>
  <c r="E9" i="37"/>
  <c r="L6" i="37"/>
  <c r="K6" i="37"/>
  <c r="E6" i="37"/>
  <c r="P13" i="32"/>
  <c r="O13" i="32"/>
  <c r="E13" i="32"/>
  <c r="P10" i="32"/>
  <c r="O10" i="32"/>
  <c r="E10" i="32"/>
  <c r="P7" i="32"/>
  <c r="O7" i="32"/>
  <c r="E7" i="32"/>
  <c r="P6" i="32"/>
  <c r="O6" i="32"/>
  <c r="E6" i="32"/>
  <c r="P22" i="31"/>
  <c r="O22" i="31"/>
  <c r="E22" i="31"/>
  <c r="P19" i="31"/>
  <c r="O19" i="31"/>
  <c r="E19" i="31"/>
  <c r="P18" i="31"/>
  <c r="O18" i="31"/>
  <c r="E18" i="31"/>
  <c r="P15" i="31"/>
  <c r="O15" i="31"/>
  <c r="E15" i="31"/>
  <c r="P14" i="31"/>
  <c r="O14" i="31"/>
  <c r="E14" i="31"/>
  <c r="P11" i="31"/>
  <c r="O11" i="31"/>
  <c r="E11" i="31"/>
  <c r="P10" i="31"/>
  <c r="O10" i="31"/>
  <c r="E10" i="31"/>
  <c r="P9" i="31"/>
  <c r="O9" i="31"/>
  <c r="E9" i="31"/>
  <c r="P6" i="31"/>
  <c r="O6" i="31"/>
  <c r="E6" i="31"/>
  <c r="L29" i="30"/>
  <c r="K29" i="30"/>
  <c r="E29" i="30"/>
  <c r="L26" i="30"/>
  <c r="K26" i="30"/>
  <c r="E26" i="30"/>
  <c r="L23" i="30"/>
  <c r="K23" i="30"/>
  <c r="E23" i="30"/>
  <c r="L22" i="30"/>
  <c r="K22" i="30"/>
  <c r="E22" i="30"/>
  <c r="L21" i="30"/>
  <c r="K21" i="30"/>
  <c r="E21" i="30"/>
  <c r="L20" i="30"/>
  <c r="K20" i="30"/>
  <c r="E20" i="30"/>
  <c r="L17" i="30"/>
  <c r="K17" i="30"/>
  <c r="E17" i="30"/>
  <c r="L16" i="30"/>
  <c r="K16" i="30"/>
  <c r="E16" i="30"/>
  <c r="L15" i="30"/>
  <c r="K15" i="30"/>
  <c r="E15" i="30"/>
  <c r="L14" i="30"/>
  <c r="K14" i="30"/>
  <c r="E14" i="30"/>
  <c r="L13" i="30"/>
  <c r="K13" i="30"/>
  <c r="E13" i="30"/>
  <c r="L12" i="30"/>
  <c r="K12" i="30"/>
  <c r="E12" i="30"/>
  <c r="L11" i="30"/>
  <c r="K11" i="30"/>
  <c r="E11" i="30"/>
  <c r="L8" i="30"/>
  <c r="K8" i="30"/>
  <c r="E8" i="30"/>
  <c r="L7" i="30"/>
  <c r="K7" i="30"/>
  <c r="E7" i="30"/>
  <c r="L6" i="30"/>
  <c r="K6" i="30"/>
  <c r="E6" i="30"/>
  <c r="L26" i="29"/>
  <c r="K26" i="29"/>
  <c r="E26" i="29"/>
  <c r="L23" i="29"/>
  <c r="K23" i="29"/>
  <c r="E23" i="29"/>
  <c r="L20" i="29"/>
  <c r="K20" i="29"/>
  <c r="E20" i="29"/>
  <c r="L19" i="29"/>
  <c r="K19" i="29"/>
  <c r="E19" i="29"/>
  <c r="L16" i="29"/>
  <c r="K16" i="29"/>
  <c r="E16" i="29"/>
  <c r="L15" i="29"/>
  <c r="K15" i="29"/>
  <c r="E15" i="29"/>
  <c r="L14" i="29"/>
  <c r="K14" i="29"/>
  <c r="E14" i="29"/>
  <c r="L11" i="29"/>
  <c r="K11" i="29"/>
  <c r="E11" i="29"/>
  <c r="L10" i="29"/>
  <c r="K10" i="29"/>
  <c r="E10" i="29"/>
  <c r="L7" i="29"/>
  <c r="K7" i="29"/>
  <c r="E7" i="29"/>
  <c r="L6" i="29"/>
  <c r="K6" i="29"/>
  <c r="E6" i="29"/>
  <c r="L16" i="27"/>
  <c r="K16" i="27"/>
  <c r="E16" i="27"/>
  <c r="L13" i="27"/>
  <c r="K13" i="27"/>
  <c r="E13" i="27"/>
  <c r="L10" i="27"/>
  <c r="K10" i="27"/>
  <c r="E10" i="27"/>
  <c r="L7" i="27"/>
  <c r="K7" i="27"/>
  <c r="E7" i="27"/>
  <c r="L6" i="27"/>
  <c r="K6" i="27"/>
  <c r="E6" i="27"/>
  <c r="P32" i="26"/>
  <c r="O32" i="26"/>
  <c r="E32" i="26"/>
  <c r="P29" i="26"/>
  <c r="O29" i="26"/>
  <c r="E29" i="26"/>
  <c r="P28" i="26"/>
  <c r="O28" i="26"/>
  <c r="E28" i="26"/>
  <c r="P25" i="26"/>
  <c r="O25" i="26"/>
  <c r="E25" i="26"/>
  <c r="P24" i="26"/>
  <c r="O24" i="26"/>
  <c r="E24" i="26"/>
  <c r="P23" i="26"/>
  <c r="O23" i="26"/>
  <c r="E23" i="26"/>
  <c r="P22" i="26"/>
  <c r="O22" i="26"/>
  <c r="E22" i="26"/>
  <c r="P19" i="26"/>
  <c r="O19" i="26"/>
  <c r="E19" i="26"/>
  <c r="P18" i="26"/>
  <c r="O18" i="26"/>
  <c r="E18" i="26"/>
  <c r="P15" i="26"/>
  <c r="O15" i="26"/>
  <c r="E15" i="26"/>
  <c r="P12" i="26"/>
  <c r="O12" i="26"/>
  <c r="E12" i="26"/>
  <c r="P9" i="26"/>
  <c r="O9" i="26"/>
  <c r="E9" i="26"/>
  <c r="P8" i="26"/>
  <c r="O8" i="26"/>
  <c r="E8" i="26"/>
  <c r="P7" i="26"/>
  <c r="O7" i="26"/>
  <c r="E7" i="26"/>
  <c r="P6" i="26"/>
  <c r="O6" i="26"/>
  <c r="E6" i="26"/>
  <c r="P25" i="25"/>
  <c r="O25" i="25"/>
  <c r="E25" i="25"/>
  <c r="P22" i="25"/>
  <c r="O22" i="25"/>
  <c r="E22" i="25"/>
  <c r="P19" i="25"/>
  <c r="O19" i="25"/>
  <c r="E19" i="25"/>
  <c r="P16" i="25"/>
  <c r="O16" i="25"/>
  <c r="E16" i="25"/>
  <c r="P15" i="25"/>
  <c r="O15" i="25"/>
  <c r="E15" i="25"/>
  <c r="P12" i="25"/>
  <c r="O12" i="25"/>
  <c r="E12" i="25"/>
  <c r="P9" i="25"/>
  <c r="O9" i="25"/>
  <c r="E9" i="25"/>
  <c r="P6" i="25"/>
  <c r="O6" i="25"/>
  <c r="E6" i="25"/>
  <c r="L6" i="24"/>
  <c r="E6" i="24"/>
  <c r="L6" i="23"/>
  <c r="K6" i="23"/>
  <c r="E6" i="23"/>
  <c r="L23" i="22"/>
  <c r="K23" i="22"/>
  <c r="E23" i="22"/>
  <c r="L20" i="22"/>
  <c r="K20" i="22"/>
  <c r="E20" i="22"/>
  <c r="L17" i="22"/>
  <c r="K17" i="22"/>
  <c r="E17" i="22"/>
  <c r="L14" i="22"/>
  <c r="E14" i="22"/>
  <c r="L13" i="22"/>
  <c r="K13" i="22"/>
  <c r="E13" i="22"/>
  <c r="L12" i="22"/>
  <c r="K12" i="22"/>
  <c r="E12" i="22"/>
  <c r="L9" i="22"/>
  <c r="K9" i="22"/>
  <c r="E9" i="22"/>
  <c r="L6" i="22"/>
  <c r="K6" i="22"/>
  <c r="E6" i="22"/>
  <c r="L9" i="21"/>
  <c r="K9" i="21"/>
  <c r="E9" i="21"/>
  <c r="L6" i="21"/>
  <c r="K6" i="21"/>
  <c r="E6" i="21"/>
  <c r="L22" i="20"/>
  <c r="K22" i="20"/>
  <c r="E22" i="20"/>
  <c r="L19" i="20"/>
  <c r="K19" i="20"/>
  <c r="E19" i="20"/>
  <c r="L18" i="20"/>
  <c r="K18" i="20"/>
  <c r="E18" i="20"/>
  <c r="L15" i="20"/>
  <c r="K15" i="20"/>
  <c r="E15" i="20"/>
  <c r="L12" i="20"/>
  <c r="K12" i="20"/>
  <c r="E12" i="20"/>
  <c r="L9" i="20"/>
  <c r="K9" i="20"/>
  <c r="E9" i="20"/>
  <c r="L6" i="20"/>
  <c r="K6" i="20"/>
  <c r="E6" i="20"/>
  <c r="L9" i="19"/>
  <c r="K9" i="19"/>
  <c r="E9" i="19"/>
  <c r="L6" i="19"/>
  <c r="K6" i="19"/>
  <c r="E6" i="19"/>
  <c r="L64" i="18"/>
  <c r="K64" i="18"/>
  <c r="E64" i="18"/>
  <c r="L61" i="18"/>
  <c r="K61" i="18"/>
  <c r="E61" i="18"/>
  <c r="L60" i="18"/>
  <c r="K60" i="18"/>
  <c r="E60" i="18"/>
  <c r="L57" i="18"/>
  <c r="K57" i="18"/>
  <c r="E57" i="18"/>
  <c r="L56" i="18"/>
  <c r="K56" i="18"/>
  <c r="E56" i="18"/>
  <c r="L55" i="18"/>
  <c r="K55" i="18"/>
  <c r="E55" i="18"/>
  <c r="L54" i="18"/>
  <c r="K54" i="18"/>
  <c r="E54" i="18"/>
  <c r="L51" i="18"/>
  <c r="K51" i="18"/>
  <c r="E51" i="18"/>
  <c r="L50" i="18"/>
  <c r="K50" i="18"/>
  <c r="E50" i="18"/>
  <c r="L49" i="18"/>
  <c r="K49" i="18"/>
  <c r="E49" i="18"/>
  <c r="L48" i="18"/>
  <c r="K48" i="18"/>
  <c r="E48" i="18"/>
  <c r="L45" i="18"/>
  <c r="K45" i="18"/>
  <c r="E45" i="18"/>
  <c r="L44" i="18"/>
  <c r="K44" i="18"/>
  <c r="E44" i="18"/>
  <c r="L43" i="18"/>
  <c r="K43" i="18"/>
  <c r="E43" i="18"/>
  <c r="L42" i="18"/>
  <c r="K42" i="18"/>
  <c r="E42" i="18"/>
  <c r="L41" i="18"/>
  <c r="K41" i="18"/>
  <c r="E41" i="18"/>
  <c r="L40" i="18"/>
  <c r="K40" i="18"/>
  <c r="E40" i="18"/>
  <c r="L37" i="18"/>
  <c r="K37" i="18"/>
  <c r="E37" i="18"/>
  <c r="L36" i="18"/>
  <c r="K36" i="18"/>
  <c r="E36" i="18"/>
  <c r="L35" i="18"/>
  <c r="K35" i="18"/>
  <c r="E35" i="18"/>
  <c r="L34" i="18"/>
  <c r="K34" i="18"/>
  <c r="E34" i="18"/>
  <c r="L33" i="18"/>
  <c r="K33" i="18"/>
  <c r="E33" i="18"/>
  <c r="L30" i="18"/>
  <c r="K30" i="18"/>
  <c r="E30" i="18"/>
  <c r="L29" i="18"/>
  <c r="K29" i="18"/>
  <c r="E29" i="18"/>
  <c r="L26" i="18"/>
  <c r="K26" i="18"/>
  <c r="E26" i="18"/>
  <c r="L23" i="18"/>
  <c r="K23" i="18"/>
  <c r="E23" i="18"/>
  <c r="L20" i="18"/>
  <c r="K20" i="18"/>
  <c r="E20" i="18"/>
  <c r="L19" i="18"/>
  <c r="K19" i="18"/>
  <c r="E19" i="18"/>
  <c r="L16" i="18"/>
  <c r="E16" i="18"/>
  <c r="L15" i="18"/>
  <c r="K15" i="18"/>
  <c r="E15" i="18"/>
  <c r="L14" i="18"/>
  <c r="K14" i="18"/>
  <c r="E14" i="18"/>
  <c r="L13" i="18"/>
  <c r="K13" i="18"/>
  <c r="E13" i="18"/>
  <c r="L10" i="18"/>
  <c r="K10" i="18"/>
  <c r="E10" i="18"/>
  <c r="L9" i="18"/>
  <c r="K9" i="18"/>
  <c r="E9" i="18"/>
  <c r="L6" i="18"/>
  <c r="K6" i="18"/>
  <c r="E6" i="18"/>
  <c r="L29" i="17"/>
  <c r="K29" i="17"/>
  <c r="E29" i="17"/>
  <c r="L26" i="17"/>
  <c r="K26" i="17"/>
  <c r="E26" i="17"/>
  <c r="L23" i="17"/>
  <c r="K23" i="17"/>
  <c r="E23" i="17"/>
  <c r="L22" i="17"/>
  <c r="K22" i="17"/>
  <c r="E22" i="17"/>
  <c r="L21" i="17"/>
  <c r="K21" i="17"/>
  <c r="E21" i="17"/>
  <c r="L18" i="17"/>
  <c r="K18" i="17"/>
  <c r="E18" i="17"/>
  <c r="L17" i="17"/>
  <c r="K17" i="17"/>
  <c r="E17" i="17"/>
  <c r="L14" i="17"/>
  <c r="K14" i="17"/>
  <c r="E14" i="17"/>
  <c r="L13" i="17"/>
  <c r="K13" i="17"/>
  <c r="E13" i="17"/>
  <c r="L10" i="17"/>
  <c r="K10" i="17"/>
  <c r="E10" i="17"/>
  <c r="L9" i="17"/>
  <c r="K9" i="17"/>
  <c r="E9" i="17"/>
  <c r="L6" i="17"/>
  <c r="K6" i="17"/>
  <c r="E6" i="17"/>
  <c r="L14" i="15"/>
  <c r="K14" i="15"/>
  <c r="E14" i="15"/>
  <c r="L11" i="15"/>
  <c r="K11" i="15"/>
  <c r="E11" i="15"/>
  <c r="L8" i="15"/>
  <c r="K8" i="15"/>
  <c r="E8" i="15"/>
  <c r="L7" i="15"/>
  <c r="K7" i="15"/>
  <c r="E7" i="15"/>
  <c r="L6" i="15"/>
  <c r="K6" i="15"/>
  <c r="E6" i="15"/>
  <c r="L11" i="14"/>
  <c r="K11" i="14"/>
  <c r="E11" i="14"/>
  <c r="L10" i="14"/>
  <c r="K10" i="14"/>
  <c r="E10" i="14"/>
  <c r="L9" i="14"/>
  <c r="K9" i="14"/>
  <c r="E9" i="14"/>
  <c r="L6" i="14"/>
  <c r="K6" i="14"/>
  <c r="E6" i="14"/>
  <c r="L17" i="13"/>
  <c r="K17" i="13"/>
  <c r="E17" i="13"/>
  <c r="L16" i="13"/>
  <c r="K16" i="13"/>
  <c r="E16" i="13"/>
  <c r="L15" i="13"/>
  <c r="K15" i="13"/>
  <c r="E15" i="13"/>
  <c r="L12" i="13"/>
  <c r="K12" i="13"/>
  <c r="E12" i="13"/>
  <c r="L9" i="13"/>
  <c r="K9" i="13"/>
  <c r="E9" i="13"/>
  <c r="L6" i="13"/>
  <c r="K6" i="13"/>
  <c r="E6" i="13"/>
  <c r="L118" i="12"/>
  <c r="K118" i="12"/>
  <c r="E118" i="12"/>
  <c r="L117" i="12"/>
  <c r="K117" i="12"/>
  <c r="E117" i="12"/>
  <c r="L116" i="12"/>
  <c r="K116" i="12"/>
  <c r="E116" i="12"/>
  <c r="L115" i="12"/>
  <c r="K115" i="12"/>
  <c r="E115" i="12"/>
  <c r="L112" i="12"/>
  <c r="E112" i="12"/>
  <c r="L111" i="12"/>
  <c r="E111" i="12"/>
  <c r="L110" i="12"/>
  <c r="K110" i="12"/>
  <c r="E110" i="12"/>
  <c r="L109" i="12"/>
  <c r="K109" i="12"/>
  <c r="E109" i="12"/>
  <c r="L108" i="12"/>
  <c r="K108" i="12"/>
  <c r="E108" i="12"/>
  <c r="L107" i="12"/>
  <c r="K107" i="12"/>
  <c r="E107" i="12"/>
  <c r="L104" i="12"/>
  <c r="K104" i="12"/>
  <c r="E104" i="12"/>
  <c r="L103" i="12"/>
  <c r="K103" i="12"/>
  <c r="E103" i="12"/>
  <c r="L102" i="12"/>
  <c r="K102" i="12"/>
  <c r="E102" i="12"/>
  <c r="L101" i="12"/>
  <c r="K101" i="12"/>
  <c r="E101" i="12"/>
  <c r="L100" i="12"/>
  <c r="K100" i="12"/>
  <c r="E100" i="12"/>
  <c r="L99" i="12"/>
  <c r="K99" i="12"/>
  <c r="E99" i="12"/>
  <c r="L98" i="12"/>
  <c r="K98" i="12"/>
  <c r="E98" i="12"/>
  <c r="L97" i="12"/>
  <c r="K97" i="12"/>
  <c r="E97" i="12"/>
  <c r="L96" i="12"/>
  <c r="K96" i="12"/>
  <c r="E96" i="12"/>
  <c r="L95" i="12"/>
  <c r="K95" i="12"/>
  <c r="E95" i="12"/>
  <c r="L94" i="12"/>
  <c r="K94" i="12"/>
  <c r="E94" i="12"/>
  <c r="L93" i="12"/>
  <c r="K93" i="12"/>
  <c r="E93" i="12"/>
  <c r="L92" i="12"/>
  <c r="K92" i="12"/>
  <c r="E92" i="12"/>
  <c r="L91" i="12"/>
  <c r="K91" i="12"/>
  <c r="E91" i="12"/>
  <c r="L90" i="12"/>
  <c r="K90" i="12"/>
  <c r="E90" i="12"/>
  <c r="L89" i="12"/>
  <c r="K89" i="12"/>
  <c r="E89" i="12"/>
  <c r="L86" i="12"/>
  <c r="K86" i="12"/>
  <c r="E86" i="12"/>
  <c r="L85" i="12"/>
  <c r="K85" i="12"/>
  <c r="E85" i="12"/>
  <c r="L84" i="12"/>
  <c r="K84" i="12"/>
  <c r="E84" i="12"/>
  <c r="L83" i="12"/>
  <c r="K83" i="12"/>
  <c r="E83" i="12"/>
  <c r="L82" i="12"/>
  <c r="K82" i="12"/>
  <c r="E82" i="12"/>
  <c r="L81" i="12"/>
  <c r="K81" i="12"/>
  <c r="E81" i="12"/>
  <c r="L80" i="12"/>
  <c r="K80" i="12"/>
  <c r="E80" i="12"/>
  <c r="L79" i="12"/>
  <c r="E79" i="12"/>
  <c r="L78" i="12"/>
  <c r="K78" i="12"/>
  <c r="E78" i="12"/>
  <c r="L77" i="12"/>
  <c r="K77" i="12"/>
  <c r="E77" i="12"/>
  <c r="L76" i="12"/>
  <c r="K76" i="12"/>
  <c r="E76" i="12"/>
  <c r="L75" i="12"/>
  <c r="K75" i="12"/>
  <c r="E75" i="12"/>
  <c r="L74" i="12"/>
  <c r="K74" i="12"/>
  <c r="E74" i="12"/>
  <c r="L73" i="12"/>
  <c r="K73" i="12"/>
  <c r="E73" i="12"/>
  <c r="L72" i="12"/>
  <c r="K72" i="12"/>
  <c r="E72" i="12"/>
  <c r="L69" i="12"/>
  <c r="K69" i="12"/>
  <c r="E69" i="12"/>
  <c r="L68" i="12"/>
  <c r="K68" i="12"/>
  <c r="E68" i="12"/>
  <c r="L67" i="12"/>
  <c r="K67" i="12"/>
  <c r="E67" i="12"/>
  <c r="L66" i="12"/>
  <c r="K66" i="12"/>
  <c r="E66" i="12"/>
  <c r="L65" i="12"/>
  <c r="K65" i="12"/>
  <c r="E65" i="12"/>
  <c r="L64" i="12"/>
  <c r="K64" i="12"/>
  <c r="E64" i="12"/>
  <c r="L63" i="12"/>
  <c r="K63" i="12"/>
  <c r="E63" i="12"/>
  <c r="L62" i="12"/>
  <c r="K62" i="12"/>
  <c r="E62" i="12"/>
  <c r="L61" i="12"/>
  <c r="K61" i="12"/>
  <c r="E61" i="12"/>
  <c r="L60" i="12"/>
  <c r="K60" i="12"/>
  <c r="E60" i="12"/>
  <c r="L59" i="12"/>
  <c r="K59" i="12"/>
  <c r="E59" i="12"/>
  <c r="L58" i="12"/>
  <c r="K58" i="12"/>
  <c r="E58" i="12"/>
  <c r="L57" i="12"/>
  <c r="K57" i="12"/>
  <c r="E57" i="12"/>
  <c r="L56" i="12"/>
  <c r="K56" i="12"/>
  <c r="E56" i="12"/>
  <c r="L55" i="12"/>
  <c r="K55" i="12"/>
  <c r="E55" i="12"/>
  <c r="L52" i="12"/>
  <c r="K52" i="12"/>
  <c r="E52" i="12"/>
  <c r="L51" i="12"/>
  <c r="K51" i="12"/>
  <c r="E51" i="12"/>
  <c r="L50" i="12"/>
  <c r="K50" i="12"/>
  <c r="E50" i="12"/>
  <c r="L49" i="12"/>
  <c r="K49" i="12"/>
  <c r="E49" i="12"/>
  <c r="L48" i="12"/>
  <c r="K48" i="12"/>
  <c r="E48" i="12"/>
  <c r="L47" i="12"/>
  <c r="K47" i="12"/>
  <c r="E47" i="12"/>
  <c r="L46" i="12"/>
  <c r="K46" i="12"/>
  <c r="E46" i="12"/>
  <c r="L45" i="12"/>
  <c r="K45" i="12"/>
  <c r="E45" i="12"/>
  <c r="L42" i="12"/>
  <c r="K42" i="12"/>
  <c r="E42" i="12"/>
  <c r="L41" i="12"/>
  <c r="E41" i="12"/>
  <c r="L40" i="12"/>
  <c r="K40" i="12"/>
  <c r="E40" i="12"/>
  <c r="L39" i="12"/>
  <c r="K39" i="12"/>
  <c r="E39" i="12"/>
  <c r="L38" i="12"/>
  <c r="K38" i="12"/>
  <c r="E38" i="12"/>
  <c r="L37" i="12"/>
  <c r="K37" i="12"/>
  <c r="E37" i="12"/>
  <c r="L36" i="12"/>
  <c r="K36" i="12"/>
  <c r="E36" i="12"/>
  <c r="L33" i="12"/>
  <c r="K33" i="12"/>
  <c r="E33" i="12"/>
  <c r="L32" i="12"/>
  <c r="K32" i="12"/>
  <c r="E32" i="12"/>
  <c r="L31" i="12"/>
  <c r="K31" i="12"/>
  <c r="E31" i="12"/>
  <c r="L30" i="12"/>
  <c r="K30" i="12"/>
  <c r="E30" i="12"/>
  <c r="L27" i="12"/>
  <c r="K27" i="12"/>
  <c r="E27" i="12"/>
  <c r="L24" i="12"/>
  <c r="K24" i="12"/>
  <c r="E24" i="12"/>
  <c r="L23" i="12"/>
  <c r="K23" i="12"/>
  <c r="E23" i="12"/>
  <c r="L22" i="12"/>
  <c r="K22" i="12"/>
  <c r="E22" i="12"/>
  <c r="L19" i="12"/>
  <c r="K19" i="12"/>
  <c r="E19" i="12"/>
  <c r="L18" i="12"/>
  <c r="K18" i="12"/>
  <c r="E18" i="12"/>
  <c r="L17" i="12"/>
  <c r="K17" i="12"/>
  <c r="E17" i="12"/>
  <c r="L14" i="12"/>
  <c r="K14" i="12"/>
  <c r="E14" i="12"/>
  <c r="L13" i="12"/>
  <c r="K13" i="12"/>
  <c r="E13" i="12"/>
  <c r="L10" i="12"/>
  <c r="K10" i="12"/>
  <c r="E10" i="12"/>
  <c r="L9" i="12"/>
  <c r="K9" i="12"/>
  <c r="E9" i="12"/>
  <c r="L6" i="12"/>
  <c r="K6" i="12"/>
  <c r="E6" i="12"/>
  <c r="L81" i="11"/>
  <c r="K81" i="11"/>
  <c r="E81" i="11"/>
  <c r="L80" i="11"/>
  <c r="K80" i="11"/>
  <c r="E80" i="11"/>
  <c r="L77" i="11"/>
  <c r="K77" i="11"/>
  <c r="E77" i="11"/>
  <c r="L74" i="11"/>
  <c r="K74" i="11"/>
  <c r="E74" i="11"/>
  <c r="L73" i="11"/>
  <c r="K73" i="11"/>
  <c r="E73" i="11"/>
  <c r="L72" i="11"/>
  <c r="K72" i="11"/>
  <c r="E72" i="11"/>
  <c r="L71" i="11"/>
  <c r="K71" i="11"/>
  <c r="E71" i="11"/>
  <c r="L70" i="11"/>
  <c r="K70" i="11"/>
  <c r="E70" i="11"/>
  <c r="L69" i="11"/>
  <c r="K69" i="11"/>
  <c r="E69" i="11"/>
  <c r="L68" i="11"/>
  <c r="K68" i="11"/>
  <c r="E68" i="11"/>
  <c r="L67" i="11"/>
  <c r="K67" i="11"/>
  <c r="E67" i="11"/>
  <c r="L66" i="11"/>
  <c r="K66" i="11"/>
  <c r="E66" i="11"/>
  <c r="L63" i="11"/>
  <c r="K63" i="11"/>
  <c r="E63" i="11"/>
  <c r="L62" i="11"/>
  <c r="K62" i="11"/>
  <c r="E62" i="11"/>
  <c r="L61" i="11"/>
  <c r="K61" i="11"/>
  <c r="E61" i="11"/>
  <c r="L60" i="11"/>
  <c r="K60" i="11"/>
  <c r="E60" i="11"/>
  <c r="L59" i="11"/>
  <c r="K59" i="11"/>
  <c r="E59" i="11"/>
  <c r="L58" i="11"/>
  <c r="K58" i="11"/>
  <c r="E58" i="11"/>
  <c r="L55" i="11"/>
  <c r="K55" i="11"/>
  <c r="E55" i="11"/>
  <c r="L54" i="11"/>
  <c r="K54" i="11"/>
  <c r="E54" i="11"/>
  <c r="L53" i="11"/>
  <c r="K53" i="11"/>
  <c r="E53" i="11"/>
  <c r="L52" i="11"/>
  <c r="K52" i="11"/>
  <c r="E52" i="11"/>
  <c r="L51" i="11"/>
  <c r="K51" i="11"/>
  <c r="E51" i="11"/>
  <c r="L48" i="11"/>
  <c r="K48" i="11"/>
  <c r="E48" i="11"/>
  <c r="L47" i="11"/>
  <c r="K47" i="11"/>
  <c r="E47" i="11"/>
  <c r="L46" i="11"/>
  <c r="K46" i="11"/>
  <c r="E46" i="11"/>
  <c r="L45" i="11"/>
  <c r="K45" i="11"/>
  <c r="E45" i="11"/>
  <c r="L44" i="11"/>
  <c r="K44" i="11"/>
  <c r="E44" i="11"/>
  <c r="L43" i="11"/>
  <c r="K43" i="11"/>
  <c r="E43" i="11"/>
  <c r="L42" i="11"/>
  <c r="K42" i="11"/>
  <c r="E42" i="11"/>
  <c r="L41" i="11"/>
  <c r="K41" i="11"/>
  <c r="E41" i="11"/>
  <c r="L40" i="11"/>
  <c r="K40" i="11"/>
  <c r="E40" i="11"/>
  <c r="L37" i="11"/>
  <c r="K37" i="11"/>
  <c r="E37" i="11"/>
  <c r="L36" i="11"/>
  <c r="K36" i="11"/>
  <c r="E36" i="11"/>
  <c r="L35" i="11"/>
  <c r="K35" i="11"/>
  <c r="E35" i="11"/>
  <c r="L34" i="11"/>
  <c r="K34" i="11"/>
  <c r="E34" i="11"/>
  <c r="L33" i="11"/>
  <c r="K33" i="11"/>
  <c r="E33" i="11"/>
  <c r="L32" i="11"/>
  <c r="K32" i="11"/>
  <c r="E32" i="11"/>
  <c r="L31" i="11"/>
  <c r="K31" i="11"/>
  <c r="E31" i="11"/>
  <c r="L30" i="11"/>
  <c r="K30" i="11"/>
  <c r="E30" i="11"/>
  <c r="L29" i="11"/>
  <c r="K29" i="11"/>
  <c r="E29" i="11"/>
  <c r="L26" i="11"/>
  <c r="K26" i="11"/>
  <c r="E26" i="11"/>
  <c r="L25" i="11"/>
  <c r="K25" i="11"/>
  <c r="E25" i="11"/>
  <c r="L24" i="11"/>
  <c r="K24" i="11"/>
  <c r="E24" i="11"/>
  <c r="L23" i="11"/>
  <c r="K23" i="11"/>
  <c r="E23" i="11"/>
  <c r="L20" i="11"/>
  <c r="K20" i="11"/>
  <c r="E20" i="11"/>
  <c r="L17" i="11"/>
  <c r="K17" i="11"/>
  <c r="E17" i="11"/>
  <c r="L14" i="11"/>
  <c r="K14" i="11"/>
  <c r="E14" i="11"/>
  <c r="L13" i="11"/>
  <c r="K13" i="11"/>
  <c r="E13" i="11"/>
  <c r="L10" i="11"/>
  <c r="K10" i="11"/>
  <c r="E10" i="11"/>
  <c r="L9" i="11"/>
  <c r="K9" i="11"/>
  <c r="E9" i="11"/>
  <c r="L6" i="11"/>
  <c r="K6" i="11"/>
  <c r="E6" i="11"/>
  <c r="T24" i="10"/>
  <c r="S24" i="10"/>
  <c r="E24" i="10"/>
  <c r="T21" i="10"/>
  <c r="E21" i="10"/>
  <c r="T18" i="10"/>
  <c r="S18" i="10"/>
  <c r="E18" i="10"/>
  <c r="T17" i="10"/>
  <c r="S17" i="10"/>
  <c r="E17" i="10"/>
  <c r="T16" i="10"/>
  <c r="S16" i="10"/>
  <c r="E16" i="10"/>
  <c r="T13" i="10"/>
  <c r="S13" i="10"/>
  <c r="E13" i="10"/>
  <c r="T12" i="10"/>
  <c r="E12" i="10"/>
  <c r="T11" i="10"/>
  <c r="S11" i="10"/>
  <c r="E11" i="10"/>
  <c r="T10" i="10"/>
  <c r="S10" i="10"/>
  <c r="E10" i="10"/>
  <c r="T7" i="10"/>
  <c r="S7" i="10"/>
  <c r="E7" i="10"/>
  <c r="T6" i="10"/>
  <c r="S6" i="10"/>
  <c r="E6" i="10"/>
  <c r="T27" i="9"/>
  <c r="E27" i="9"/>
  <c r="T24" i="9"/>
  <c r="S24" i="9"/>
  <c r="E24" i="9"/>
  <c r="T23" i="9"/>
  <c r="S23" i="9"/>
  <c r="E23" i="9"/>
  <c r="T20" i="9"/>
  <c r="S20" i="9"/>
  <c r="E20" i="9"/>
  <c r="T19" i="9"/>
  <c r="S19" i="9"/>
  <c r="E19" i="9"/>
  <c r="T16" i="9"/>
  <c r="S16" i="9"/>
  <c r="E16" i="9"/>
  <c r="T15" i="9"/>
  <c r="S15" i="9"/>
  <c r="E15" i="9"/>
  <c r="T12" i="9"/>
  <c r="S12" i="9"/>
  <c r="E12" i="9"/>
  <c r="T9" i="9"/>
  <c r="S9" i="9"/>
  <c r="E9" i="9"/>
  <c r="T6" i="9"/>
  <c r="S6" i="9"/>
  <c r="E6" i="9"/>
  <c r="T75" i="8"/>
  <c r="S75" i="8"/>
  <c r="E75" i="8"/>
  <c r="T74" i="8"/>
  <c r="E74" i="8"/>
  <c r="T71" i="8"/>
  <c r="S71" i="8"/>
  <c r="E71" i="8"/>
  <c r="T68" i="8"/>
  <c r="S68" i="8"/>
  <c r="E68" i="8"/>
  <c r="T67" i="8"/>
  <c r="S67" i="8"/>
  <c r="E67" i="8"/>
  <c r="T66" i="8"/>
  <c r="S66" i="8"/>
  <c r="E66" i="8"/>
  <c r="T63" i="8"/>
  <c r="S63" i="8"/>
  <c r="E63" i="8"/>
  <c r="T62" i="8"/>
  <c r="S62" i="8"/>
  <c r="E62" i="8"/>
  <c r="T61" i="8"/>
  <c r="S61" i="8"/>
  <c r="E61" i="8"/>
  <c r="T60" i="8"/>
  <c r="S60" i="8"/>
  <c r="E60" i="8"/>
  <c r="T59" i="8"/>
  <c r="S59" i="8"/>
  <c r="E59" i="8"/>
  <c r="T58" i="8"/>
  <c r="S58" i="8"/>
  <c r="E58" i="8"/>
  <c r="T57" i="8"/>
  <c r="S57" i="8"/>
  <c r="E57" i="8"/>
  <c r="T56" i="8"/>
  <c r="S56" i="8"/>
  <c r="E56" i="8"/>
  <c r="T55" i="8"/>
  <c r="S55" i="8"/>
  <c r="E55" i="8"/>
  <c r="T52" i="8"/>
  <c r="S52" i="8"/>
  <c r="E52" i="8"/>
  <c r="T51" i="8"/>
  <c r="S51" i="8"/>
  <c r="E51" i="8"/>
  <c r="T50" i="8"/>
  <c r="S50" i="8"/>
  <c r="E50" i="8"/>
  <c r="T49" i="8"/>
  <c r="S49" i="8"/>
  <c r="E49" i="8"/>
  <c r="T48" i="8"/>
  <c r="S48" i="8"/>
  <c r="E48" i="8"/>
  <c r="T45" i="8"/>
  <c r="E45" i="8"/>
  <c r="T44" i="8"/>
  <c r="E44" i="8"/>
  <c r="T43" i="8"/>
  <c r="S43" i="8"/>
  <c r="E43" i="8"/>
  <c r="T42" i="8"/>
  <c r="S42" i="8"/>
  <c r="E42" i="8"/>
  <c r="T39" i="8"/>
  <c r="S39" i="8"/>
  <c r="E39" i="8"/>
  <c r="T38" i="8"/>
  <c r="S38" i="8"/>
  <c r="E38" i="8"/>
  <c r="T35" i="8"/>
  <c r="S35" i="8"/>
  <c r="E35" i="8"/>
  <c r="T34" i="8"/>
  <c r="S34" i="8"/>
  <c r="E34" i="8"/>
  <c r="T33" i="8"/>
  <c r="S33" i="8"/>
  <c r="E33" i="8"/>
  <c r="T30" i="8"/>
  <c r="S30" i="8"/>
  <c r="E30" i="8"/>
  <c r="T27" i="8"/>
  <c r="S27" i="8"/>
  <c r="E27" i="8"/>
  <c r="T26" i="8"/>
  <c r="S26" i="8"/>
  <c r="E26" i="8"/>
  <c r="T25" i="8"/>
  <c r="S25" i="8"/>
  <c r="E25" i="8"/>
  <c r="T24" i="8"/>
  <c r="S24" i="8"/>
  <c r="E24" i="8"/>
  <c r="T23" i="8"/>
  <c r="E23" i="8"/>
  <c r="T20" i="8"/>
  <c r="S20" i="8"/>
  <c r="E20" i="8"/>
  <c r="T19" i="8"/>
  <c r="S19" i="8"/>
  <c r="E19" i="8"/>
  <c r="T18" i="8"/>
  <c r="S18" i="8"/>
  <c r="E18" i="8"/>
  <c r="T17" i="8"/>
  <c r="S17" i="8"/>
  <c r="E17" i="8"/>
  <c r="T14" i="8"/>
  <c r="S14" i="8"/>
  <c r="E14" i="8"/>
  <c r="T13" i="8"/>
  <c r="S13" i="8"/>
  <c r="E13" i="8"/>
  <c r="T12" i="8"/>
  <c r="S12" i="8"/>
  <c r="E12" i="8"/>
  <c r="T11" i="8"/>
  <c r="S11" i="8"/>
  <c r="E11" i="8"/>
  <c r="T8" i="8"/>
  <c r="S8" i="8"/>
  <c r="E8" i="8"/>
  <c r="T7" i="8"/>
  <c r="S7" i="8"/>
  <c r="E7" i="8"/>
  <c r="T6" i="8"/>
  <c r="S6" i="8"/>
  <c r="E6" i="8"/>
  <c r="T50" i="7"/>
  <c r="S50" i="7"/>
  <c r="E50" i="7"/>
  <c r="T47" i="7"/>
  <c r="S47" i="7"/>
  <c r="E47" i="7"/>
  <c r="T46" i="7"/>
  <c r="S46" i="7"/>
  <c r="E46" i="7"/>
  <c r="T45" i="7"/>
  <c r="S45" i="7"/>
  <c r="E45" i="7"/>
  <c r="T42" i="7"/>
  <c r="S42" i="7"/>
  <c r="E42" i="7"/>
  <c r="T41" i="7"/>
  <c r="S41" i="7"/>
  <c r="E41" i="7"/>
  <c r="T40" i="7"/>
  <c r="S40" i="7"/>
  <c r="E40" i="7"/>
  <c r="T39" i="7"/>
  <c r="S39" i="7"/>
  <c r="E39" i="7"/>
  <c r="T36" i="7"/>
  <c r="S36" i="7"/>
  <c r="E36" i="7"/>
  <c r="T35" i="7"/>
  <c r="S35" i="7"/>
  <c r="E35" i="7"/>
  <c r="T34" i="7"/>
  <c r="S34" i="7"/>
  <c r="E34" i="7"/>
  <c r="T33" i="7"/>
  <c r="S33" i="7"/>
  <c r="E33" i="7"/>
  <c r="T32" i="7"/>
  <c r="S32" i="7"/>
  <c r="E32" i="7"/>
  <c r="T31" i="7"/>
  <c r="S31" i="7"/>
  <c r="E31" i="7"/>
  <c r="T28" i="7"/>
  <c r="S28" i="7"/>
  <c r="E28" i="7"/>
  <c r="T27" i="7"/>
  <c r="E27" i="7"/>
  <c r="T26" i="7"/>
  <c r="S26" i="7"/>
  <c r="E26" i="7"/>
  <c r="T25" i="7"/>
  <c r="S25" i="7"/>
  <c r="E25" i="7"/>
  <c r="T24" i="7"/>
  <c r="S24" i="7"/>
  <c r="E24" i="7"/>
  <c r="T23" i="7"/>
  <c r="S23" i="7"/>
  <c r="E23" i="7"/>
  <c r="T20" i="7"/>
  <c r="S20" i="7"/>
  <c r="E20" i="7"/>
  <c r="T19" i="7"/>
  <c r="S19" i="7"/>
  <c r="E19" i="7"/>
  <c r="T16" i="7"/>
  <c r="S16" i="7"/>
  <c r="E16" i="7"/>
  <c r="T13" i="7"/>
  <c r="S13" i="7"/>
  <c r="E13" i="7"/>
  <c r="T12" i="7"/>
  <c r="S12" i="7"/>
  <c r="E12" i="7"/>
  <c r="T9" i="7"/>
  <c r="S9" i="7"/>
  <c r="E9" i="7"/>
  <c r="T6" i="7"/>
  <c r="E6" i="7"/>
  <c r="T6" i="6"/>
  <c r="S6" i="6"/>
  <c r="E6" i="6"/>
  <c r="T6" i="5"/>
  <c r="S6" i="5"/>
  <c r="E6" i="5"/>
</calcChain>
</file>

<file path=xl/sharedStrings.xml><?xml version="1.0" encoding="utf-8"?>
<sst xmlns="http://schemas.openxmlformats.org/spreadsheetml/2006/main" count="6181" uniqueCount="1590">
  <si>
    <t>ФИО</t>
  </si>
  <si>
    <t>Сумма</t>
  </si>
  <si>
    <t>Тренер</t>
  </si>
  <si>
    <t>Очки</t>
  </si>
  <si>
    <t>Рек</t>
  </si>
  <si>
    <t>Возрастная группа
Дата рождения/Возраст</t>
  </si>
  <si>
    <t>Вес</t>
  </si>
  <si>
    <t>Повторы</t>
  </si>
  <si>
    <t>Собственный 
вес</t>
  </si>
  <si>
    <t>Wilks</t>
  </si>
  <si>
    <t>Город/Страна</t>
  </si>
  <si>
    <t>Приседание</t>
  </si>
  <si>
    <t>Жим лёжа</t>
  </si>
  <si>
    <t>Становая тяга</t>
  </si>
  <si>
    <t>ВЕСОВАЯ КАТЕГОРИЯ   90</t>
  </si>
  <si>
    <t>Мося Денис</t>
  </si>
  <si>
    <t>88,40</t>
  </si>
  <si>
    <t>240,0</t>
  </si>
  <si>
    <t>160,0</t>
  </si>
  <si>
    <t>170,0</t>
  </si>
  <si>
    <t>182,5</t>
  </si>
  <si>
    <t>255,0</t>
  </si>
  <si>
    <t>267,5</t>
  </si>
  <si>
    <t xml:space="preserve">Сорокин Д. </t>
  </si>
  <si>
    <t xml:space="preserve">Абсолютный зачёт </t>
  </si>
  <si>
    <t xml:space="preserve">Мужчины </t>
  </si>
  <si>
    <t xml:space="preserve">Мастера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</si>
  <si>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</si>
  <si>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</si>
  <si>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</si>
  <si>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</si>
  <si>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Wilks </t>
  </si>
  <si>
    <t>90</t>
  </si>
  <si>
    <t>1</t>
  </si>
  <si>
    <t/>
  </si>
  <si>
    <t>ВЕСОВАЯ КАТЕГОРИЯ   110</t>
  </si>
  <si>
    <t>Емцев Николай</t>
  </si>
  <si>
    <t>104,80</t>
  </si>
  <si>
    <t>230,0</t>
  </si>
  <si>
    <t>250,0</t>
  </si>
  <si>
    <t>155,0</t>
  </si>
  <si>
    <t>165,0</t>
  </si>
  <si>
    <t>110</t>
  </si>
  <si>
    <t>ВЕСОВАЯ КАТЕГОРИЯ   56</t>
  </si>
  <si>
    <t>Васильева Надежда</t>
  </si>
  <si>
    <t>Открытая (24.12.1972)/48</t>
  </si>
  <si>
    <t>55,90</t>
  </si>
  <si>
    <t>105,0</t>
  </si>
  <si>
    <t>55,0</t>
  </si>
  <si>
    <t>130,0</t>
  </si>
  <si>
    <t xml:space="preserve">Казаков В. </t>
  </si>
  <si>
    <t>ВЕСОВАЯ КАТЕГОРИЯ   67.5</t>
  </si>
  <si>
    <t>Ларская Алиса</t>
  </si>
  <si>
    <t>Открытая (18.04.1989)/32</t>
  </si>
  <si>
    <t>67,50</t>
  </si>
  <si>
    <t>135,0</t>
  </si>
  <si>
    <t>140,0</t>
  </si>
  <si>
    <t>142,5</t>
  </si>
  <si>
    <t>90,0</t>
  </si>
  <si>
    <t>95,0</t>
  </si>
  <si>
    <t>145,0</t>
  </si>
  <si>
    <t>150,0</t>
  </si>
  <si>
    <t xml:space="preserve">Суслов Н. </t>
  </si>
  <si>
    <t>ВЕСОВАЯ КАТЕГОРИЯ   82.5</t>
  </si>
  <si>
    <t>Стародубова Дарья</t>
  </si>
  <si>
    <t>Девушки 15-19 (27.09.2004)/16</t>
  </si>
  <si>
    <t>82,20</t>
  </si>
  <si>
    <t>102,5</t>
  </si>
  <si>
    <t>185,0</t>
  </si>
  <si>
    <t>190,0</t>
  </si>
  <si>
    <t>195,0</t>
  </si>
  <si>
    <t xml:space="preserve">Кабишов С. </t>
  </si>
  <si>
    <t>Открытая (27.09.2004)/16</t>
  </si>
  <si>
    <t>ВЕСОВАЯ КАТЕГОРИЯ   75</t>
  </si>
  <si>
    <t>Минаев Александр</t>
  </si>
  <si>
    <t>Открытая (01.08.1993)/27</t>
  </si>
  <si>
    <t>74,80</t>
  </si>
  <si>
    <t>180,0</t>
  </si>
  <si>
    <t>202,5</t>
  </si>
  <si>
    <t>120,0</t>
  </si>
  <si>
    <t>125,0</t>
  </si>
  <si>
    <t>127,5</t>
  </si>
  <si>
    <t>260,0</t>
  </si>
  <si>
    <t>272,5</t>
  </si>
  <si>
    <t>Угодин Сергей</t>
  </si>
  <si>
    <t>Открытая (14.07.1982)/38</t>
  </si>
  <si>
    <t>81,00</t>
  </si>
  <si>
    <t>200,0</t>
  </si>
  <si>
    <t>205,0</t>
  </si>
  <si>
    <t>132,5</t>
  </si>
  <si>
    <t>207,5</t>
  </si>
  <si>
    <t xml:space="preserve">Петрушкин Р. </t>
  </si>
  <si>
    <t>Нестерко Сергей</t>
  </si>
  <si>
    <t>Открытая (29.04.1983)/37</t>
  </si>
  <si>
    <t>242,5</t>
  </si>
  <si>
    <t>Ягафаров Евгений</t>
  </si>
  <si>
    <t>Юноши 15-19 (11.07.2001)/19</t>
  </si>
  <si>
    <t>84,40</t>
  </si>
  <si>
    <t>100,0</t>
  </si>
  <si>
    <t>110,0</t>
  </si>
  <si>
    <t>112,5</t>
  </si>
  <si>
    <t>Мыцев Иван</t>
  </si>
  <si>
    <t>Открытая (07.11.1988)/32</t>
  </si>
  <si>
    <t>89,10</t>
  </si>
  <si>
    <t>210,0</t>
  </si>
  <si>
    <t>220,0</t>
  </si>
  <si>
    <t>225,0</t>
  </si>
  <si>
    <t>167,5</t>
  </si>
  <si>
    <t>252,5</t>
  </si>
  <si>
    <t>Качаев Иван</t>
  </si>
  <si>
    <t>Открытая (05.11.1996)/24</t>
  </si>
  <si>
    <t>89,90</t>
  </si>
  <si>
    <t>232,5</t>
  </si>
  <si>
    <t>157,5</t>
  </si>
  <si>
    <t>245,0</t>
  </si>
  <si>
    <t xml:space="preserve">Луговой А. </t>
  </si>
  <si>
    <t>Нарышкин Виктор</t>
  </si>
  <si>
    <t>Открытая (08.04.1995)/26</t>
  </si>
  <si>
    <t xml:space="preserve">Шарапов И. </t>
  </si>
  <si>
    <t>Тарасов Виталий</t>
  </si>
  <si>
    <t>Открытая (09.06.1977)/43</t>
  </si>
  <si>
    <t>87,00</t>
  </si>
  <si>
    <t>235,0</t>
  </si>
  <si>
    <t>147,5</t>
  </si>
  <si>
    <t>152,5</t>
  </si>
  <si>
    <t>Решетов Владимир</t>
  </si>
  <si>
    <t>88,90</t>
  </si>
  <si>
    <t>215,0</t>
  </si>
  <si>
    <t>162,5</t>
  </si>
  <si>
    <t xml:space="preserve">Власкин С. </t>
  </si>
  <si>
    <t>ВЕСОВАЯ КАТЕГОРИЯ   100</t>
  </si>
  <si>
    <t>Чиков Павел</t>
  </si>
  <si>
    <t>99,40</t>
  </si>
  <si>
    <t>275,0</t>
  </si>
  <si>
    <t>283,0</t>
  </si>
  <si>
    <t>311,0</t>
  </si>
  <si>
    <t>322,5</t>
  </si>
  <si>
    <t>330,0</t>
  </si>
  <si>
    <t>340,0</t>
  </si>
  <si>
    <t xml:space="preserve">Шишов А. </t>
  </si>
  <si>
    <t>Крюков Евгений</t>
  </si>
  <si>
    <t>99,90</t>
  </si>
  <si>
    <t>265,0</t>
  </si>
  <si>
    <t>270,0</t>
  </si>
  <si>
    <t>285,0</t>
  </si>
  <si>
    <t>290,0</t>
  </si>
  <si>
    <t>Уланов Артем</t>
  </si>
  <si>
    <t>Открытая (09.01.1996)/25</t>
  </si>
  <si>
    <t>100,00</t>
  </si>
  <si>
    <t>292,5</t>
  </si>
  <si>
    <t>302,5</t>
  </si>
  <si>
    <t>320,0</t>
  </si>
  <si>
    <t>335,0</t>
  </si>
  <si>
    <t>Олефир Александр</t>
  </si>
  <si>
    <t>Открытая (06.07.1981)/39</t>
  </si>
  <si>
    <t>98,90</t>
  </si>
  <si>
    <t xml:space="preserve">Долгов С. </t>
  </si>
  <si>
    <t>Смирнов Александр</t>
  </si>
  <si>
    <t>Открытая (04.02.1996)/25</t>
  </si>
  <si>
    <t>97,60</t>
  </si>
  <si>
    <t>172,5</t>
  </si>
  <si>
    <t>Хацаюк Антон</t>
  </si>
  <si>
    <t>Открытая (22.05.1986)/34</t>
  </si>
  <si>
    <t>91,00</t>
  </si>
  <si>
    <t xml:space="preserve">Олефир А. </t>
  </si>
  <si>
    <t>Чухнов Павел</t>
  </si>
  <si>
    <t>Открытая (05.03.1989)/32</t>
  </si>
  <si>
    <t>109,10</t>
  </si>
  <si>
    <t>300,0</t>
  </si>
  <si>
    <t>305,0</t>
  </si>
  <si>
    <t xml:space="preserve">Амазян Д. </t>
  </si>
  <si>
    <t>Жданов Роман</t>
  </si>
  <si>
    <t>Открытая (22.07.1983)/37</t>
  </si>
  <si>
    <t>109,30</t>
  </si>
  <si>
    <t xml:space="preserve">Крюков Е. </t>
  </si>
  <si>
    <t>Шалаев Евгений</t>
  </si>
  <si>
    <t>Открытая (25.01.1986)/35</t>
  </si>
  <si>
    <t>105,00</t>
  </si>
  <si>
    <t>227,5</t>
  </si>
  <si>
    <t>237,5</t>
  </si>
  <si>
    <t>Беков Кайрат</t>
  </si>
  <si>
    <t>101,80</t>
  </si>
  <si>
    <t>115,0</t>
  </si>
  <si>
    <t xml:space="preserve">Сайхудинов Н. </t>
  </si>
  <si>
    <t>ВЕСОВАЯ КАТЕГОРИЯ   125</t>
  </si>
  <si>
    <t>Загороднюк Иван</t>
  </si>
  <si>
    <t>114,40</t>
  </si>
  <si>
    <t>175,0</t>
  </si>
  <si>
    <t>310,0</t>
  </si>
  <si>
    <t>Пысь Дмитрий</t>
  </si>
  <si>
    <t>Открытая (04.05.1986)/34</t>
  </si>
  <si>
    <t>124,70</t>
  </si>
  <si>
    <t>350,0</t>
  </si>
  <si>
    <t>360,0</t>
  </si>
  <si>
    <t>Шарапов Игорь</t>
  </si>
  <si>
    <t>124,30</t>
  </si>
  <si>
    <t>282,5</t>
  </si>
  <si>
    <t>280,0</t>
  </si>
  <si>
    <t>ВЕСОВАЯ КАТЕГОРИЯ   140</t>
  </si>
  <si>
    <t>Омаров Руслан</t>
  </si>
  <si>
    <t>Открытая (07.07.1983)/37</t>
  </si>
  <si>
    <t>125,30</t>
  </si>
  <si>
    <t>307,5</t>
  </si>
  <si>
    <t>222,5</t>
  </si>
  <si>
    <t xml:space="preserve">Клюшев А. </t>
  </si>
  <si>
    <t xml:space="preserve">Женщины </t>
  </si>
  <si>
    <t>82.5</t>
  </si>
  <si>
    <t xml:space="preserve">Открытая </t>
  </si>
  <si>
    <t>67.5</t>
  </si>
  <si>
    <t>100</t>
  </si>
  <si>
    <t>125</t>
  </si>
  <si>
    <t>925,0</t>
  </si>
  <si>
    <t>527,3425</t>
  </si>
  <si>
    <t>140</t>
  </si>
  <si>
    <t>862,5</t>
  </si>
  <si>
    <t>491,2800</t>
  </si>
  <si>
    <t>825,0</t>
  </si>
  <si>
    <t>486,7500</t>
  </si>
  <si>
    <t>-</t>
  </si>
  <si>
    <t>2</t>
  </si>
  <si>
    <t>3</t>
  </si>
  <si>
    <t>4</t>
  </si>
  <si>
    <t>ВЕСОВАЯ КАТЕГОРИЯ   48</t>
  </si>
  <si>
    <t>Лопухова Мария</t>
  </si>
  <si>
    <t>Открытая (07.12.1997)/23</t>
  </si>
  <si>
    <t>47,50</t>
  </si>
  <si>
    <t>85,0</t>
  </si>
  <si>
    <t>92,5</t>
  </si>
  <si>
    <t>40,0</t>
  </si>
  <si>
    <t>45,0</t>
  </si>
  <si>
    <t xml:space="preserve">Моргулец Д. </t>
  </si>
  <si>
    <t>Воробьева Татьяна</t>
  </si>
  <si>
    <t>Открытая (29.11.1986)/34</t>
  </si>
  <si>
    <t>47,70</t>
  </si>
  <si>
    <t>82,5</t>
  </si>
  <si>
    <t>42,5</t>
  </si>
  <si>
    <t>97,5</t>
  </si>
  <si>
    <t xml:space="preserve">Мякишева Г. </t>
  </si>
  <si>
    <t>Орлова Оксана</t>
  </si>
  <si>
    <t>Открытая (28.02.1993)/28</t>
  </si>
  <si>
    <t>47,20</t>
  </si>
  <si>
    <t>47,5</t>
  </si>
  <si>
    <t xml:space="preserve">Алёхин М. </t>
  </si>
  <si>
    <t>ВЕСОВАЯ КАТЕГОРИЯ   52</t>
  </si>
  <si>
    <t>Лебедикова Евгения</t>
  </si>
  <si>
    <t>Открытая (23.03.1995)/26</t>
  </si>
  <si>
    <t>50,50</t>
  </si>
  <si>
    <t>80,0</t>
  </si>
  <si>
    <t>87,5</t>
  </si>
  <si>
    <t xml:space="preserve">Лебедиков Е. </t>
  </si>
  <si>
    <t>Бондарь Татьяна</t>
  </si>
  <si>
    <t>Открытая (30.10.1995)/25</t>
  </si>
  <si>
    <t>50,60</t>
  </si>
  <si>
    <t>75,0</t>
  </si>
  <si>
    <t>50,0</t>
  </si>
  <si>
    <t>52,5</t>
  </si>
  <si>
    <t xml:space="preserve">Харитонов А. </t>
  </si>
  <si>
    <t>Накопия Фируза</t>
  </si>
  <si>
    <t>Открытая (04.09.1985)/35</t>
  </si>
  <si>
    <t>51,60</t>
  </si>
  <si>
    <t>65,0</t>
  </si>
  <si>
    <t>70,0</t>
  </si>
  <si>
    <t>72,5</t>
  </si>
  <si>
    <t xml:space="preserve">Кончакова Н. </t>
  </si>
  <si>
    <t>Горькова Александра</t>
  </si>
  <si>
    <t>51,30</t>
  </si>
  <si>
    <t>Балякина Евгения</t>
  </si>
  <si>
    <t>Открытая (15.12.1990)/30</t>
  </si>
  <si>
    <t>53,50</t>
  </si>
  <si>
    <t>57,5</t>
  </si>
  <si>
    <t>60,0</t>
  </si>
  <si>
    <t>62,5</t>
  </si>
  <si>
    <t xml:space="preserve">Собко М. </t>
  </si>
  <si>
    <t>Голуб Анна</t>
  </si>
  <si>
    <t>Открытая (23.06.1992)/28</t>
  </si>
  <si>
    <t>77,5</t>
  </si>
  <si>
    <t>Юдина Елена</t>
  </si>
  <si>
    <t>Открытая (03.05.1985)/35</t>
  </si>
  <si>
    <t>56,00</t>
  </si>
  <si>
    <t>35,0</t>
  </si>
  <si>
    <t>Сушкова Надежда</t>
  </si>
  <si>
    <t>55,10</t>
  </si>
  <si>
    <t xml:space="preserve">Ахлестин С. </t>
  </si>
  <si>
    <t>ВЕСОВАЯ КАТЕГОРИЯ   60</t>
  </si>
  <si>
    <t>Михайлова Полина</t>
  </si>
  <si>
    <t>58,40</t>
  </si>
  <si>
    <t>107,5</t>
  </si>
  <si>
    <t xml:space="preserve">Квас П. </t>
  </si>
  <si>
    <t>Канунникова Елизавета</t>
  </si>
  <si>
    <t>Открытая (28.05.1989)/31</t>
  </si>
  <si>
    <t>59,10</t>
  </si>
  <si>
    <t xml:space="preserve">Реброва Н. </t>
  </si>
  <si>
    <t>Сосновская Анастасия</t>
  </si>
  <si>
    <t>Открытая (09.08.1994)/26</t>
  </si>
  <si>
    <t>59,70</t>
  </si>
  <si>
    <t>67,5</t>
  </si>
  <si>
    <t>Землянская Анна</t>
  </si>
  <si>
    <t>57,40</t>
  </si>
  <si>
    <t>122,5</t>
  </si>
  <si>
    <t>Толманова Ольга</t>
  </si>
  <si>
    <t>59,60</t>
  </si>
  <si>
    <t>37,5</t>
  </si>
  <si>
    <t>Ядрихинская Мария</t>
  </si>
  <si>
    <t>Открытая (09.07.1982)/38</t>
  </si>
  <si>
    <t>66,10</t>
  </si>
  <si>
    <t>Шубина Валерия</t>
  </si>
  <si>
    <t>Открытая (12.10.1993)/27</t>
  </si>
  <si>
    <t>74,00</t>
  </si>
  <si>
    <t xml:space="preserve">Владимиров Е. </t>
  </si>
  <si>
    <t>Кардакова Нвталья</t>
  </si>
  <si>
    <t>Открытая (15.06.1981)/39</t>
  </si>
  <si>
    <t>70,00</t>
  </si>
  <si>
    <t xml:space="preserve">Харина В. </t>
  </si>
  <si>
    <t>Рожкова Екатерина</t>
  </si>
  <si>
    <t>Открытая (08.05.1995)/25</t>
  </si>
  <si>
    <t>71,10</t>
  </si>
  <si>
    <t>Вышинский Никита</t>
  </si>
  <si>
    <t>Юноши 15-19 (30.11.2007)/13</t>
  </si>
  <si>
    <t>50,80</t>
  </si>
  <si>
    <t>Сапожников Владимир</t>
  </si>
  <si>
    <t>Открытая (19.07.1991)/29</t>
  </si>
  <si>
    <t>48,20</t>
  </si>
  <si>
    <t>Пономарев Егор</t>
  </si>
  <si>
    <t>Юноши 15-19 (19.04.2004)/16</t>
  </si>
  <si>
    <t>74,90</t>
  </si>
  <si>
    <t>Шушпанов Виктор</t>
  </si>
  <si>
    <t>Открытая (14.04.1993)/28</t>
  </si>
  <si>
    <t>72,00</t>
  </si>
  <si>
    <t>117,5</t>
  </si>
  <si>
    <t>Малютин Семен</t>
  </si>
  <si>
    <t>Открытая (28.10.1993)/27</t>
  </si>
  <si>
    <t>74,60</t>
  </si>
  <si>
    <t>Zhakin Vladimir</t>
  </si>
  <si>
    <t>74,30</t>
  </si>
  <si>
    <t>Донников Юрий</t>
  </si>
  <si>
    <t>Открытая (01.12.1983)/37</t>
  </si>
  <si>
    <t>81,10</t>
  </si>
  <si>
    <t xml:space="preserve">Пустовой Р. </t>
  </si>
  <si>
    <t>Сидельников Егор</t>
  </si>
  <si>
    <t>Открытая (15.11.1993)/27</t>
  </si>
  <si>
    <t>82,50</t>
  </si>
  <si>
    <t>Кафаш Михаил</t>
  </si>
  <si>
    <t>Открытая (25.02.1996)/25</t>
  </si>
  <si>
    <t>77,30</t>
  </si>
  <si>
    <t>192,5</t>
  </si>
  <si>
    <t>Аль-Хиджазин Валентин</t>
  </si>
  <si>
    <t>Открытая (10.01.1990)/31</t>
  </si>
  <si>
    <t>79,40</t>
  </si>
  <si>
    <t>Шубин Артем</t>
  </si>
  <si>
    <t>77,50</t>
  </si>
  <si>
    <t xml:space="preserve">Буланов В. </t>
  </si>
  <si>
    <t>Тимофеев Артем</t>
  </si>
  <si>
    <t>Юноши 15-19 (29.07.2003)/17</t>
  </si>
  <si>
    <t>86,70</t>
  </si>
  <si>
    <t>Конышев Владислав</t>
  </si>
  <si>
    <t>89,60</t>
  </si>
  <si>
    <t>137,5</t>
  </si>
  <si>
    <t>Васильев Максим</t>
  </si>
  <si>
    <t>Открытая (13.10.1989)/31</t>
  </si>
  <si>
    <t>89,00</t>
  </si>
  <si>
    <t xml:space="preserve">Рябинников О. </t>
  </si>
  <si>
    <t>Краснов Александр</t>
  </si>
  <si>
    <t>Открытая (28.10.1986)/34</t>
  </si>
  <si>
    <t>87,20</t>
  </si>
  <si>
    <t>Вострокнутов Артем</t>
  </si>
  <si>
    <t>Открытая (10.09.1985)/35</t>
  </si>
  <si>
    <t>89,30</t>
  </si>
  <si>
    <t>Василенко Иван</t>
  </si>
  <si>
    <t>Открытая (20.06.1985)/35</t>
  </si>
  <si>
    <t>Нарожный Иван</t>
  </si>
  <si>
    <t>Открытая (30.05.1990)/30</t>
  </si>
  <si>
    <t>Конев Николай</t>
  </si>
  <si>
    <t>Открытая (26.05.1989)/31</t>
  </si>
  <si>
    <t>87,90</t>
  </si>
  <si>
    <t>Зотов Владимир</t>
  </si>
  <si>
    <t>Трунов Олег</t>
  </si>
  <si>
    <t>Открытая (08.08.1988)/32</t>
  </si>
  <si>
    <t>99,00</t>
  </si>
  <si>
    <t xml:space="preserve">Довбыш О. </t>
  </si>
  <si>
    <t>Марченко Артем</t>
  </si>
  <si>
    <t>Открытая (21.09.1988)/32</t>
  </si>
  <si>
    <t>93,70</t>
  </si>
  <si>
    <t xml:space="preserve">Кляузов С. </t>
  </si>
  <si>
    <t>Третьяков Сергей</t>
  </si>
  <si>
    <t>97,40</t>
  </si>
  <si>
    <t>Открытая (31.03.1971)/50</t>
  </si>
  <si>
    <t>Муратов Николай</t>
  </si>
  <si>
    <t>118,00</t>
  </si>
  <si>
    <t>Бычков Алексей</t>
  </si>
  <si>
    <t>Открытая (21.03.1983)/38</t>
  </si>
  <si>
    <t>116,30</t>
  </si>
  <si>
    <t>56</t>
  </si>
  <si>
    <t>390,2080</t>
  </si>
  <si>
    <t>337,5</t>
  </si>
  <si>
    <t>349,7175</t>
  </si>
  <si>
    <t>75</t>
  </si>
  <si>
    <t>316,3710</t>
  </si>
  <si>
    <t>52</t>
  </si>
  <si>
    <t>400,0</t>
  </si>
  <si>
    <t>695,0</t>
  </si>
  <si>
    <t>424,7145</t>
  </si>
  <si>
    <t>595,0</t>
  </si>
  <si>
    <t>386,2145</t>
  </si>
  <si>
    <t>597,5</t>
  </si>
  <si>
    <t>383,6547</t>
  </si>
  <si>
    <t>5</t>
  </si>
  <si>
    <t>6</t>
  </si>
  <si>
    <t>Батинова Ольга</t>
  </si>
  <si>
    <t>73,00</t>
  </si>
  <si>
    <t xml:space="preserve">Григорьев И. </t>
  </si>
  <si>
    <t>Печерская Елена</t>
  </si>
  <si>
    <t>Открытая (08.02.1991)/30</t>
  </si>
  <si>
    <t>79,00</t>
  </si>
  <si>
    <t>187,5</t>
  </si>
  <si>
    <t>Новоголуб Олег</t>
  </si>
  <si>
    <t>Открытая (27.01.1995)/26</t>
  </si>
  <si>
    <t>80,90</t>
  </si>
  <si>
    <t xml:space="preserve">Олейник А. </t>
  </si>
  <si>
    <t>Борисов Александр</t>
  </si>
  <si>
    <t>89,80</t>
  </si>
  <si>
    <t>Открытая (03.06.1997)/23</t>
  </si>
  <si>
    <t>Сидягин Александр</t>
  </si>
  <si>
    <t>Открытая (20.05.1988)/32</t>
  </si>
  <si>
    <t>99,20</t>
  </si>
  <si>
    <t>Шишкин Александр</t>
  </si>
  <si>
    <t>99,60</t>
  </si>
  <si>
    <t>247,5</t>
  </si>
  <si>
    <t>Антипин Андрей</t>
  </si>
  <si>
    <t>Открытая (20.12.1990)/30</t>
  </si>
  <si>
    <t>106,50</t>
  </si>
  <si>
    <t>Дьячков Антон</t>
  </si>
  <si>
    <t>107,10</t>
  </si>
  <si>
    <t>Бебенин Григорий</t>
  </si>
  <si>
    <t>Открытая (02.04.1993)/28</t>
  </si>
  <si>
    <t>125,40</t>
  </si>
  <si>
    <t>362,5</t>
  </si>
  <si>
    <t>Кончакова Наталья</t>
  </si>
  <si>
    <t>Открытая (14.08.1977)/43</t>
  </si>
  <si>
    <t>54,20</t>
  </si>
  <si>
    <t>177,5</t>
  </si>
  <si>
    <t xml:space="preserve">Белкин Ю. </t>
  </si>
  <si>
    <t>Ефимищев Михаил</t>
  </si>
  <si>
    <t>Открытая (27.10.1994)/26</t>
  </si>
  <si>
    <t>77,40</t>
  </si>
  <si>
    <t xml:space="preserve">Варава И. </t>
  </si>
  <si>
    <t>Сидоренко Владимир</t>
  </si>
  <si>
    <t>Открытая (27.10.1961)/59</t>
  </si>
  <si>
    <t>80,10</t>
  </si>
  <si>
    <t>Аристов Владислав</t>
  </si>
  <si>
    <t>Открытая (17.10.1995)/25</t>
  </si>
  <si>
    <t>81,20</t>
  </si>
  <si>
    <t>Проскурин Дмитрий</t>
  </si>
  <si>
    <t>Открытая (24.06.1994)/26</t>
  </si>
  <si>
    <t>217,5</t>
  </si>
  <si>
    <t>Благов Алексей</t>
  </si>
  <si>
    <t>Открытая (24.10.1986)/34</t>
  </si>
  <si>
    <t>88,10</t>
  </si>
  <si>
    <t>Ремизевич Евгений</t>
  </si>
  <si>
    <t>Открытая (03.03.1992)/29</t>
  </si>
  <si>
    <t>83,30</t>
  </si>
  <si>
    <t>Решетников Богдан</t>
  </si>
  <si>
    <t>104,50</t>
  </si>
  <si>
    <t>Синяков Даниил</t>
  </si>
  <si>
    <t>Открытая (06.09.1994)/26</t>
  </si>
  <si>
    <t>134,00</t>
  </si>
  <si>
    <t>262,5</t>
  </si>
  <si>
    <t>Костикова Кристина</t>
  </si>
  <si>
    <t>Открытая (22.05.1993)/27</t>
  </si>
  <si>
    <t>52,00</t>
  </si>
  <si>
    <t>Самарина Ульяна</t>
  </si>
  <si>
    <t>Девушки 15-19 (08.10.2007)/13</t>
  </si>
  <si>
    <t>Глазкова Марина</t>
  </si>
  <si>
    <t>54,10</t>
  </si>
  <si>
    <t xml:space="preserve">Пысь Д. </t>
  </si>
  <si>
    <t>Самарина Наталья</t>
  </si>
  <si>
    <t>Открытая (27.06.1984)/36</t>
  </si>
  <si>
    <t>150,5</t>
  </si>
  <si>
    <t>153,0</t>
  </si>
  <si>
    <t xml:space="preserve">Суслов Николай </t>
  </si>
  <si>
    <t>Открытая (18.04.1989)/31</t>
  </si>
  <si>
    <t>Колисниченко Алексей</t>
  </si>
  <si>
    <t>Открытая (14.07.1994)/26</t>
  </si>
  <si>
    <t>51,40</t>
  </si>
  <si>
    <t>Слуцкий Дмитрий</t>
  </si>
  <si>
    <t>66,90</t>
  </si>
  <si>
    <t>Сычёв Сергей</t>
  </si>
  <si>
    <t>Открытая (18.07.1978)/42</t>
  </si>
  <si>
    <t>212,5</t>
  </si>
  <si>
    <t>Шибаев Александр</t>
  </si>
  <si>
    <t>Открытая (14.01.1991)/30</t>
  </si>
  <si>
    <t>72,90</t>
  </si>
  <si>
    <t>Василенко Виталий</t>
  </si>
  <si>
    <t>74,20</t>
  </si>
  <si>
    <t>Килин Роман</t>
  </si>
  <si>
    <t>82,00</t>
  </si>
  <si>
    <t xml:space="preserve">Смирнов Д. </t>
  </si>
  <si>
    <t>Открытая (02.06.1998)/22</t>
  </si>
  <si>
    <t>Шахбазян Давид</t>
  </si>
  <si>
    <t>Открытая (30.08.1994)/26</t>
  </si>
  <si>
    <t>81,90</t>
  </si>
  <si>
    <t xml:space="preserve">Андреев Т. </t>
  </si>
  <si>
    <t>Суший Илья</t>
  </si>
  <si>
    <t>Открытая (20.08.1984)/36</t>
  </si>
  <si>
    <t>Волков Дмитрий</t>
  </si>
  <si>
    <t>Открытая (04.05.1982)/38</t>
  </si>
  <si>
    <t>78,50</t>
  </si>
  <si>
    <t>Азизов Фируз</t>
  </si>
  <si>
    <t>Открытая (30.06.1995)/25</t>
  </si>
  <si>
    <t>79,90</t>
  </si>
  <si>
    <t>Воробьев Станислав</t>
  </si>
  <si>
    <t>Открытая (28.04.1994)/26</t>
  </si>
  <si>
    <t xml:space="preserve">Авраменко И. </t>
  </si>
  <si>
    <t>Тенишев Валериан</t>
  </si>
  <si>
    <t>Тимченко Сергей</t>
  </si>
  <si>
    <t>Открытая (23.12.1979)/41</t>
  </si>
  <si>
    <t>Бакушкин Юрий</t>
  </si>
  <si>
    <t>Открытая (17.07.1990)/30</t>
  </si>
  <si>
    <t>89,50</t>
  </si>
  <si>
    <t>Кондаков Алексей</t>
  </si>
  <si>
    <t>Открытая (22.07.1970)/50</t>
  </si>
  <si>
    <t>Никитин Сергей</t>
  </si>
  <si>
    <t>Открытая (08.09.1990)/30</t>
  </si>
  <si>
    <t xml:space="preserve">Жирнов Р. </t>
  </si>
  <si>
    <t>Алёхин Михаил</t>
  </si>
  <si>
    <t>Открытая (15.04.1987)/34</t>
  </si>
  <si>
    <t>87,30</t>
  </si>
  <si>
    <t>Аскеров Шамиль</t>
  </si>
  <si>
    <t>Открытая (01.04.1989)/32</t>
  </si>
  <si>
    <t>Markovic Zivorad</t>
  </si>
  <si>
    <t>84,50</t>
  </si>
  <si>
    <t>Чуканов Виктор</t>
  </si>
  <si>
    <t>86,80</t>
  </si>
  <si>
    <t xml:space="preserve">Ковалев С. </t>
  </si>
  <si>
    <t>Солохин Денис</t>
  </si>
  <si>
    <t>Открытая (25.02.1981)/40</t>
  </si>
  <si>
    <t>98,80</t>
  </si>
  <si>
    <t>Федотов Никита</t>
  </si>
  <si>
    <t>Открытая (27.12.1997)/23</t>
  </si>
  <si>
    <t>Николаев Максим</t>
  </si>
  <si>
    <t>Открытая (09.08.1983)/37</t>
  </si>
  <si>
    <t>96,40</t>
  </si>
  <si>
    <t>Богачев Дмитрий</t>
  </si>
  <si>
    <t>Открытая (26.03.1996)/25</t>
  </si>
  <si>
    <t>95,70</t>
  </si>
  <si>
    <t xml:space="preserve">Капитонов Ю. </t>
  </si>
  <si>
    <t>Петросян Артур</t>
  </si>
  <si>
    <t>98,60</t>
  </si>
  <si>
    <t>Бондарев Евгений</t>
  </si>
  <si>
    <t>Открытая (21.09.1985)/35</t>
  </si>
  <si>
    <t>108,70</t>
  </si>
  <si>
    <t>Исаев Евгений</t>
  </si>
  <si>
    <t>Открытая (12.04.1971)/50</t>
  </si>
  <si>
    <t>107,60</t>
  </si>
  <si>
    <t>Шулимов Кирилл</t>
  </si>
  <si>
    <t>104,40</t>
  </si>
  <si>
    <t>Герштанский Сергей</t>
  </si>
  <si>
    <t xml:space="preserve">Петросян А. </t>
  </si>
  <si>
    <t>Веселов Алексей</t>
  </si>
  <si>
    <t>109,60</t>
  </si>
  <si>
    <t>Лисютин Максим</t>
  </si>
  <si>
    <t>Открытая (24.04.1985)/35</t>
  </si>
  <si>
    <t>115,40</t>
  </si>
  <si>
    <t>Черепнин Валентин</t>
  </si>
  <si>
    <t>Открытая (08.12.1976)/44</t>
  </si>
  <si>
    <t>114,60</t>
  </si>
  <si>
    <t xml:space="preserve">Суслов . Н. </t>
  </si>
  <si>
    <t>Моисеев Александр</t>
  </si>
  <si>
    <t>Открытая (11.11.1972)/48</t>
  </si>
  <si>
    <t>117,10</t>
  </si>
  <si>
    <t>Мишонков Александр</t>
  </si>
  <si>
    <t>Открытая (09.05.1990)/30</t>
  </si>
  <si>
    <t xml:space="preserve">Мурашов М. </t>
  </si>
  <si>
    <t>Пераль Владимир</t>
  </si>
  <si>
    <t>Открытая (08.03.1991)/30</t>
  </si>
  <si>
    <t>114,20</t>
  </si>
  <si>
    <t xml:space="preserve">Иванов С. </t>
  </si>
  <si>
    <t>Юрашевич Антон</t>
  </si>
  <si>
    <t>Открытая (24.05.1981)/39</t>
  </si>
  <si>
    <t>118,60</t>
  </si>
  <si>
    <t xml:space="preserve">Лисютин М. </t>
  </si>
  <si>
    <t>Пешко Владимир</t>
  </si>
  <si>
    <t>117,50</t>
  </si>
  <si>
    <t xml:space="preserve">Абдулин М. </t>
  </si>
  <si>
    <t>Булатов Кирилл</t>
  </si>
  <si>
    <t>Открытая (30.12.1989)/31</t>
  </si>
  <si>
    <t>134,40</t>
  </si>
  <si>
    <t>ВЕСОВАЯ КАТЕГОРИЯ   140+</t>
  </si>
  <si>
    <t>Володько Антон</t>
  </si>
  <si>
    <t>Открытая (27.03.1982)/39</t>
  </si>
  <si>
    <t>155,50</t>
  </si>
  <si>
    <t xml:space="preserve">Алибегов М. </t>
  </si>
  <si>
    <t>Махмудов Ариф</t>
  </si>
  <si>
    <t>141,40</t>
  </si>
  <si>
    <t xml:space="preserve">Результат </t>
  </si>
  <si>
    <t>156,5355</t>
  </si>
  <si>
    <t>146,6160</t>
  </si>
  <si>
    <t>145,1250</t>
  </si>
  <si>
    <t>153,7517</t>
  </si>
  <si>
    <t>140+</t>
  </si>
  <si>
    <t>151,2236</t>
  </si>
  <si>
    <t>148,6686</t>
  </si>
  <si>
    <t>Результат</t>
  </si>
  <si>
    <t>7</t>
  </si>
  <si>
    <t>Балясина Евгения</t>
  </si>
  <si>
    <t>Открытая (21.05.1989)/31</t>
  </si>
  <si>
    <t>46,80</t>
  </si>
  <si>
    <t xml:space="preserve">Беляев Р. </t>
  </si>
  <si>
    <t>Фёдорова Лидия</t>
  </si>
  <si>
    <t>Открытая (25.08.1989)/31</t>
  </si>
  <si>
    <t>51,70</t>
  </si>
  <si>
    <t>Счастливая Вероника</t>
  </si>
  <si>
    <t>Открытая (28.11.1995)/25</t>
  </si>
  <si>
    <t xml:space="preserve">Мустафин С. </t>
  </si>
  <si>
    <t>Колесникова Ольга</t>
  </si>
  <si>
    <t>Открытая (13.09.1994)/26</t>
  </si>
  <si>
    <t>55,20</t>
  </si>
  <si>
    <t>Гаврилова Вера</t>
  </si>
  <si>
    <t>Открытая (27.09.1987)/33</t>
  </si>
  <si>
    <t>55,30</t>
  </si>
  <si>
    <t>Помогаева Елена</t>
  </si>
  <si>
    <t>Открытая (07.07.1981)/39</t>
  </si>
  <si>
    <t>59,00</t>
  </si>
  <si>
    <t>Страшнова Анастасия</t>
  </si>
  <si>
    <t>Открытая (13.12.1990)/30</t>
  </si>
  <si>
    <t>59,30</t>
  </si>
  <si>
    <t xml:space="preserve">Юдин С. </t>
  </si>
  <si>
    <t>Харина Валентина</t>
  </si>
  <si>
    <t>Открытая (24.12.1977)/43</t>
  </si>
  <si>
    <t>66,70</t>
  </si>
  <si>
    <t xml:space="preserve">Прокопов М. </t>
  </si>
  <si>
    <t>Абрамова Елена</t>
  </si>
  <si>
    <t>Открытая (28.06.1993)/27</t>
  </si>
  <si>
    <t>66,30</t>
  </si>
  <si>
    <t>Ромасенко Ирина</t>
  </si>
  <si>
    <t xml:space="preserve">Даниелян С. </t>
  </si>
  <si>
    <t>Шматова Мария</t>
  </si>
  <si>
    <t>Открытая (14.12.1986)/34</t>
  </si>
  <si>
    <t>70,40</t>
  </si>
  <si>
    <t>Хусаинов Артем</t>
  </si>
  <si>
    <t>Открытая (18.06.1997)/23</t>
  </si>
  <si>
    <t>Боровков Вадим</t>
  </si>
  <si>
    <t>Открытая (11.09.1986)/34</t>
  </si>
  <si>
    <t>64,50</t>
  </si>
  <si>
    <t>Безлепкин Ярослав</t>
  </si>
  <si>
    <t>Юноши 15-19 (04.06.2001)/19</t>
  </si>
  <si>
    <t>73,60</t>
  </si>
  <si>
    <t xml:space="preserve">Василенко И. </t>
  </si>
  <si>
    <t>Шмыров Вадим</t>
  </si>
  <si>
    <t>Карпов Иван</t>
  </si>
  <si>
    <t>Открытая (09.12.1987)/33</t>
  </si>
  <si>
    <t>74,70</t>
  </si>
  <si>
    <t>Суслопаров Алексей</t>
  </si>
  <si>
    <t>Открытая (20.04.1982)/38</t>
  </si>
  <si>
    <t>Буробин Сергей</t>
  </si>
  <si>
    <t>Открытая (30.10.1989)/31</t>
  </si>
  <si>
    <t xml:space="preserve">Козлов В. </t>
  </si>
  <si>
    <t>Гирейко Юрий</t>
  </si>
  <si>
    <t>Открытая (27.01.1987)/34</t>
  </si>
  <si>
    <t>73,80</t>
  </si>
  <si>
    <t>Акопян Ваган</t>
  </si>
  <si>
    <t>Середут Дмитрий</t>
  </si>
  <si>
    <t>Юноши 15-19 (28.01.2005)/16</t>
  </si>
  <si>
    <t>80,30</t>
  </si>
  <si>
    <t>Никитин Никита</t>
  </si>
  <si>
    <t>81,30</t>
  </si>
  <si>
    <t xml:space="preserve">Решетник К. </t>
  </si>
  <si>
    <t>Дробченко Евгений</t>
  </si>
  <si>
    <t>Открытая (05.10.1981)/39</t>
  </si>
  <si>
    <t>81,40</t>
  </si>
  <si>
    <t>Ромашев Павел</t>
  </si>
  <si>
    <t>Открытая (24.04.1989)/31</t>
  </si>
  <si>
    <t>78,40</t>
  </si>
  <si>
    <t>Киржанов Дмитрий</t>
  </si>
  <si>
    <t>Открытая (28.06.1994)/26</t>
  </si>
  <si>
    <t>Козырев Сергей</t>
  </si>
  <si>
    <t>Открытая (07.02.1983)/38</t>
  </si>
  <si>
    <t xml:space="preserve">Люситин М. </t>
  </si>
  <si>
    <t>Ильин Михаил</t>
  </si>
  <si>
    <t>79,50</t>
  </si>
  <si>
    <t>Зайниев Азат</t>
  </si>
  <si>
    <t>77,80</t>
  </si>
  <si>
    <t xml:space="preserve">Хасаншин А. </t>
  </si>
  <si>
    <t>Мазур Евгений</t>
  </si>
  <si>
    <t>Открытая (30.11.1990)/30</t>
  </si>
  <si>
    <t xml:space="preserve">Якименко В. </t>
  </si>
  <si>
    <t>Николаев Иван</t>
  </si>
  <si>
    <t>Открытая (22.03.1989)/32</t>
  </si>
  <si>
    <t>Усатов Николай</t>
  </si>
  <si>
    <t>Открытая (25.06.1986)/34</t>
  </si>
  <si>
    <t>89,40</t>
  </si>
  <si>
    <t>Никонов Денис</t>
  </si>
  <si>
    <t>Открытая (21.03.1982)/39</t>
  </si>
  <si>
    <t>87,60</t>
  </si>
  <si>
    <t xml:space="preserve">Чекринев А. </t>
  </si>
  <si>
    <t>Грамматчиков Александр</t>
  </si>
  <si>
    <t>Открытая (27.02.1985)/36</t>
  </si>
  <si>
    <t xml:space="preserve">Кравченко А. </t>
  </si>
  <si>
    <t>Филимонов Сергей</t>
  </si>
  <si>
    <t>Открытая (29.04.1985)/35</t>
  </si>
  <si>
    <t>88,80</t>
  </si>
  <si>
    <t>Осипов Дмитрий</t>
  </si>
  <si>
    <t>Открытая (05.07.1986)/34</t>
  </si>
  <si>
    <t>87,50</t>
  </si>
  <si>
    <t>Варламов Павел</t>
  </si>
  <si>
    <t>Открытая (17.11.1983)/37</t>
  </si>
  <si>
    <t>88,50</t>
  </si>
  <si>
    <t>Соцков Антон</t>
  </si>
  <si>
    <t>Открытая (01.09.1987)/33</t>
  </si>
  <si>
    <t xml:space="preserve">Кузнецов А. </t>
  </si>
  <si>
    <t>Талдыкин Алексей</t>
  </si>
  <si>
    <t>Мокин Роман</t>
  </si>
  <si>
    <t>88,70</t>
  </si>
  <si>
    <t>Янов Сергей</t>
  </si>
  <si>
    <t>87,70</t>
  </si>
  <si>
    <t>Солдатов Владимир</t>
  </si>
  <si>
    <t xml:space="preserve">Кандауров С. </t>
  </si>
  <si>
    <t>Шамин Георгий</t>
  </si>
  <si>
    <t>Юноши 15-19 (02.10.2007)/13</t>
  </si>
  <si>
    <t>90,30</t>
  </si>
  <si>
    <t>Макарцов Вадим</t>
  </si>
  <si>
    <t>Открытая (07.08.1981)/39</t>
  </si>
  <si>
    <t>96,80</t>
  </si>
  <si>
    <t xml:space="preserve">Калиниченко В. </t>
  </si>
  <si>
    <t>Кубраков Алексей</t>
  </si>
  <si>
    <t>Открытая (30.09.1988)/32</t>
  </si>
  <si>
    <t>96,10</t>
  </si>
  <si>
    <t>Мамченко Алексей</t>
  </si>
  <si>
    <t>Открытая (20.03.1984)/37</t>
  </si>
  <si>
    <t>99,50</t>
  </si>
  <si>
    <t>Открытая (28.09.1996)/24</t>
  </si>
  <si>
    <t>98,10</t>
  </si>
  <si>
    <t>Зубаков Глеб</t>
  </si>
  <si>
    <t>Открытая (06.06.1991)/29</t>
  </si>
  <si>
    <t>98,50</t>
  </si>
  <si>
    <t>Алёхин Евгений</t>
  </si>
  <si>
    <t>Открытая (02.10.1984)/36</t>
  </si>
  <si>
    <t>Лобанов Сергей</t>
  </si>
  <si>
    <t>97,50</t>
  </si>
  <si>
    <t>Плотников Герман</t>
  </si>
  <si>
    <t>94,00</t>
  </si>
  <si>
    <t xml:space="preserve">Кучин И. </t>
  </si>
  <si>
    <t>Хасаншин Альберт</t>
  </si>
  <si>
    <t>Михайлов Геннадий</t>
  </si>
  <si>
    <t xml:space="preserve">Свентицкий С. </t>
  </si>
  <si>
    <t>Колчев Сергей</t>
  </si>
  <si>
    <t xml:space="preserve">Василенко Д. </t>
  </si>
  <si>
    <t>Волков Вячеслав</t>
  </si>
  <si>
    <t>Омаров Магомед</t>
  </si>
  <si>
    <t>93,50</t>
  </si>
  <si>
    <t>Музыкин Александр</t>
  </si>
  <si>
    <t>102,50</t>
  </si>
  <si>
    <t>Богачев Андрей</t>
  </si>
  <si>
    <t>Открытая (29.04.1994)/26</t>
  </si>
  <si>
    <t>101,30</t>
  </si>
  <si>
    <t>Гришин Евгений</t>
  </si>
  <si>
    <t>Открытая (05.07.1987)/33</t>
  </si>
  <si>
    <t>108,90</t>
  </si>
  <si>
    <t>197,5</t>
  </si>
  <si>
    <t>Виноградов Эдуард</t>
  </si>
  <si>
    <t>Открытая (20.07.1974)/46</t>
  </si>
  <si>
    <t>Новлянский Александр</t>
  </si>
  <si>
    <t>Открытая (11.05.1984)/36</t>
  </si>
  <si>
    <t>107,20</t>
  </si>
  <si>
    <t xml:space="preserve">Жданов В. </t>
  </si>
  <si>
    <t>Буланов Алексей</t>
  </si>
  <si>
    <t>Открытая (11.04.1992)/29</t>
  </si>
  <si>
    <t>104,10</t>
  </si>
  <si>
    <t>Козловский Юрий</t>
  </si>
  <si>
    <t>Открытая (06.03.1993)/28</t>
  </si>
  <si>
    <t>108,00</t>
  </si>
  <si>
    <t xml:space="preserve">Илясов А. </t>
  </si>
  <si>
    <t>Фокин Артём</t>
  </si>
  <si>
    <t>Открытая (13.03.1993)/28</t>
  </si>
  <si>
    <t>102,00</t>
  </si>
  <si>
    <t xml:space="preserve">Постика В. </t>
  </si>
  <si>
    <t>Алтухов Алексей</t>
  </si>
  <si>
    <t>Открытая (11.12.1984)/36</t>
  </si>
  <si>
    <t>Любченко Алексей</t>
  </si>
  <si>
    <t>109,50</t>
  </si>
  <si>
    <t xml:space="preserve">Макаркин И. </t>
  </si>
  <si>
    <t>Сыромясов Владимир</t>
  </si>
  <si>
    <t>102,70</t>
  </si>
  <si>
    <t xml:space="preserve">Павлов А. </t>
  </si>
  <si>
    <t>Бабин Евгений</t>
  </si>
  <si>
    <t>109,20</t>
  </si>
  <si>
    <t xml:space="preserve">Петров С. </t>
  </si>
  <si>
    <t>Яковенко Владимир</t>
  </si>
  <si>
    <t xml:space="preserve">Савин К. </t>
  </si>
  <si>
    <t>Чернышов Владимир</t>
  </si>
  <si>
    <t>Швецов Сергей</t>
  </si>
  <si>
    <t>Открытая (02.03.1987)/34</t>
  </si>
  <si>
    <t>115,70</t>
  </si>
  <si>
    <t>Трошин Андрей</t>
  </si>
  <si>
    <t>Открытая (08.06.1984)/36</t>
  </si>
  <si>
    <t>122,00</t>
  </si>
  <si>
    <t>Сорокин Павел</t>
  </si>
  <si>
    <t>Открытая (03.01.1984)/37</t>
  </si>
  <si>
    <t>120,50</t>
  </si>
  <si>
    <t>Крамской Александр</t>
  </si>
  <si>
    <t>Открытая (11.05.1996)/24</t>
  </si>
  <si>
    <t>123,40</t>
  </si>
  <si>
    <t xml:space="preserve">Джабаров Р. </t>
  </si>
  <si>
    <t>Усольцев Евгений</t>
  </si>
  <si>
    <t>Открытая (01.02.1970)/51</t>
  </si>
  <si>
    <t>122,50</t>
  </si>
  <si>
    <t>Савин Руслан</t>
  </si>
  <si>
    <t>Открытая (26.12.1978)/42</t>
  </si>
  <si>
    <t>134,30</t>
  </si>
  <si>
    <t xml:space="preserve">Никитин С. </t>
  </si>
  <si>
    <t>Срослов Евгений</t>
  </si>
  <si>
    <t>130,20</t>
  </si>
  <si>
    <t>Чубаров Владимир</t>
  </si>
  <si>
    <t>134,50</t>
  </si>
  <si>
    <t>113,2340</t>
  </si>
  <si>
    <t>48</t>
  </si>
  <si>
    <t>107,9200</t>
  </si>
  <si>
    <t>84,5235</t>
  </si>
  <si>
    <t>122,3145</t>
  </si>
  <si>
    <t>124,1275</t>
  </si>
  <si>
    <t>123,3800</t>
  </si>
  <si>
    <t>134,9384</t>
  </si>
  <si>
    <t>133,0978</t>
  </si>
  <si>
    <t>129,6525</t>
  </si>
  <si>
    <t>8</t>
  </si>
  <si>
    <t>9</t>
  </si>
  <si>
    <t>10</t>
  </si>
  <si>
    <t>11</t>
  </si>
  <si>
    <t>Земерев Иван</t>
  </si>
  <si>
    <t>Открытая (14.01.1990)/31</t>
  </si>
  <si>
    <t>Новиков Олег</t>
  </si>
  <si>
    <t>Открытая (27.02.1992)/29</t>
  </si>
  <si>
    <t>Продан Анатолий</t>
  </si>
  <si>
    <t>109,40</t>
  </si>
  <si>
    <t>Открытая (23.09.1981)/39</t>
  </si>
  <si>
    <t>110,40</t>
  </si>
  <si>
    <t xml:space="preserve">Бубнов Д. </t>
  </si>
  <si>
    <t>Бубнов Дмитрий</t>
  </si>
  <si>
    <t>Открытая (14.10.1973)/47</t>
  </si>
  <si>
    <t>123,90</t>
  </si>
  <si>
    <t>110,90</t>
  </si>
  <si>
    <t>Краснобаев Даниил</t>
  </si>
  <si>
    <t>Открытая (18.05.1981)/39</t>
  </si>
  <si>
    <t>75,00</t>
  </si>
  <si>
    <t xml:space="preserve">Кровиков А. </t>
  </si>
  <si>
    <t>Кокорев Илья</t>
  </si>
  <si>
    <t>Открытая (19.01.1973)/48</t>
  </si>
  <si>
    <t>Кириллов Анатолий</t>
  </si>
  <si>
    <t>Открытая (08.09.1981)/39</t>
  </si>
  <si>
    <t>Сорокин Дмитрий</t>
  </si>
  <si>
    <t>Открытая (22.03.1971)/50</t>
  </si>
  <si>
    <t>Кровиков Александр</t>
  </si>
  <si>
    <t>100,30</t>
  </si>
  <si>
    <t>Глазьев Николай</t>
  </si>
  <si>
    <t>Открытая (29.10.1983)/37</t>
  </si>
  <si>
    <t>128,10</t>
  </si>
  <si>
    <t xml:space="preserve">Козырев О. </t>
  </si>
  <si>
    <t>Голикова Ольга</t>
  </si>
  <si>
    <t>Открытая (06.12.1985)/35</t>
  </si>
  <si>
    <t>46,90</t>
  </si>
  <si>
    <t>Гаджиахмедов Далгат</t>
  </si>
  <si>
    <t>Открытая (18.06.1987)/33</t>
  </si>
  <si>
    <t xml:space="preserve">Гаджиахмедова Э. </t>
  </si>
  <si>
    <t>Дмитриев Иван</t>
  </si>
  <si>
    <t>Открытая (11.06.1970)/50</t>
  </si>
  <si>
    <t>89,70</t>
  </si>
  <si>
    <t>Кравченко Евгений</t>
  </si>
  <si>
    <t>Открытая (03.11.1986)/34</t>
  </si>
  <si>
    <t>365,0</t>
  </si>
  <si>
    <t>390,0</t>
  </si>
  <si>
    <t>Крят Игорь</t>
  </si>
  <si>
    <t>Открытая (31.05.1988)/32</t>
  </si>
  <si>
    <t>98,00</t>
  </si>
  <si>
    <t>Макаров Владимир</t>
  </si>
  <si>
    <t>93,30</t>
  </si>
  <si>
    <t>Колосюк Юрий</t>
  </si>
  <si>
    <t>Открытая (09.12.1995)/25</t>
  </si>
  <si>
    <t>Старов Дмитрий</t>
  </si>
  <si>
    <t>123,30</t>
  </si>
  <si>
    <t>223,4165</t>
  </si>
  <si>
    <t>198,2450</t>
  </si>
  <si>
    <t>190,2160</t>
  </si>
  <si>
    <t>198,3206</t>
  </si>
  <si>
    <t>Викторова Виктория</t>
  </si>
  <si>
    <t>Открытая (15.09.1999)/21</t>
  </si>
  <si>
    <t xml:space="preserve">Боев В. </t>
  </si>
  <si>
    <t>Ших Анна</t>
  </si>
  <si>
    <t>Открытая (02.07.1989)/31</t>
  </si>
  <si>
    <t xml:space="preserve">Булатов А. </t>
  </si>
  <si>
    <t>Тельнова Мария</t>
  </si>
  <si>
    <t xml:space="preserve">Папян А. </t>
  </si>
  <si>
    <t>Цветкова Светлана</t>
  </si>
  <si>
    <t>Открытая (10.03.1980)/41</t>
  </si>
  <si>
    <t>55,60</t>
  </si>
  <si>
    <t xml:space="preserve">Дурнов Р. </t>
  </si>
  <si>
    <t>Харламова Елизавета</t>
  </si>
  <si>
    <t>Открытая (09.07.1990)/30</t>
  </si>
  <si>
    <t>55,40</t>
  </si>
  <si>
    <t xml:space="preserve">Солохин Д. </t>
  </si>
  <si>
    <t>Фильчагина Ольга</t>
  </si>
  <si>
    <t>Открытая (24.05.1993)/27</t>
  </si>
  <si>
    <t>60,00</t>
  </si>
  <si>
    <t xml:space="preserve">Семенов Р. </t>
  </si>
  <si>
    <t>Сердюченко Елена</t>
  </si>
  <si>
    <t>65,30</t>
  </si>
  <si>
    <t xml:space="preserve">Петрокович Н. </t>
  </si>
  <si>
    <t>Ермолаева Таисия</t>
  </si>
  <si>
    <t>Открытая (25.02.1986)/35</t>
  </si>
  <si>
    <t>74,40</t>
  </si>
  <si>
    <t>171,0</t>
  </si>
  <si>
    <t>Жупиков Константин</t>
  </si>
  <si>
    <t>Юноши 15-19 (16.11.2002)/18</t>
  </si>
  <si>
    <t>62,00</t>
  </si>
  <si>
    <t xml:space="preserve">Филипчук И. </t>
  </si>
  <si>
    <t>Щербаков Дмитрий</t>
  </si>
  <si>
    <t>Открытая (27.04.1984)/36</t>
  </si>
  <si>
    <t>65,20</t>
  </si>
  <si>
    <t>Оларь Василий</t>
  </si>
  <si>
    <t>Открытая (13.01.1994)/27</t>
  </si>
  <si>
    <t>80,60</t>
  </si>
  <si>
    <t>Елисеев Евгений</t>
  </si>
  <si>
    <t>Открытая (27.02.1991)/30</t>
  </si>
  <si>
    <t>79,80</t>
  </si>
  <si>
    <t>Сивак Сергей</t>
  </si>
  <si>
    <t>Тимошенко Дмитрий</t>
  </si>
  <si>
    <t>Открытая (20.07.1995)/25</t>
  </si>
  <si>
    <t xml:space="preserve">Насонов Д. </t>
  </si>
  <si>
    <t>Федосеев Иван</t>
  </si>
  <si>
    <t>Зайцев Вадим</t>
  </si>
  <si>
    <t>86,50</t>
  </si>
  <si>
    <t>Кобозев Николай</t>
  </si>
  <si>
    <t>Марченко Эдуард</t>
  </si>
  <si>
    <t>Открытая (17.03.1992)/29</t>
  </si>
  <si>
    <t>97,30</t>
  </si>
  <si>
    <t>315,0</t>
  </si>
  <si>
    <t>Хватов Ярослав</t>
  </si>
  <si>
    <t>Открытая (09.03.1994)/27</t>
  </si>
  <si>
    <t>97,20</t>
  </si>
  <si>
    <t>Леоненко Василий</t>
  </si>
  <si>
    <t>92,70</t>
  </si>
  <si>
    <t xml:space="preserve">Похватько Р. </t>
  </si>
  <si>
    <t>Беглов Дмитрий</t>
  </si>
  <si>
    <t>295,0</t>
  </si>
  <si>
    <t>Открытая (22.02.2000)/21</t>
  </si>
  <si>
    <t>Мурзаков Василий</t>
  </si>
  <si>
    <t>Открытая (01.08.1985)/35</t>
  </si>
  <si>
    <t>107,40</t>
  </si>
  <si>
    <t xml:space="preserve">Кравченко Е. </t>
  </si>
  <si>
    <t>257,5</t>
  </si>
  <si>
    <t>Мартьянов Кирилл</t>
  </si>
  <si>
    <t>Открытая (13.10.1990)/30</t>
  </si>
  <si>
    <t>121,00</t>
  </si>
  <si>
    <t>Воробьёв Сергей</t>
  </si>
  <si>
    <t>126,30</t>
  </si>
  <si>
    <t>277,5</t>
  </si>
  <si>
    <t>192,0555</t>
  </si>
  <si>
    <t>177,4800</t>
  </si>
  <si>
    <t>163,3905</t>
  </si>
  <si>
    <t>168,0645</t>
  </si>
  <si>
    <t>187,7275</t>
  </si>
  <si>
    <t>173,2725</t>
  </si>
  <si>
    <t>206,9131</t>
  </si>
  <si>
    <t>182,0757</t>
  </si>
  <si>
    <t>Караваева Нина</t>
  </si>
  <si>
    <t>Открытая (13.06.1983)/37</t>
  </si>
  <si>
    <t>66,40</t>
  </si>
  <si>
    <t>Вахрамеев Владислав</t>
  </si>
  <si>
    <t>Открытая (01.05.1989)/31</t>
  </si>
  <si>
    <t>71,60</t>
  </si>
  <si>
    <t>Тропин Игорь</t>
  </si>
  <si>
    <t>Открытая (14.05.1995)/25</t>
  </si>
  <si>
    <t>Корюков Игорь</t>
  </si>
  <si>
    <t>Открытая (11.05.1983)/37</t>
  </si>
  <si>
    <t>Пашков Алексей</t>
  </si>
  <si>
    <t>Открытая (06.10.1984)/36</t>
  </si>
  <si>
    <t>Гришина Полина</t>
  </si>
  <si>
    <t>Открытая (19.04.1988)/32</t>
  </si>
  <si>
    <t>65,50</t>
  </si>
  <si>
    <t>57,90</t>
  </si>
  <si>
    <t>Путилова Елена</t>
  </si>
  <si>
    <t>Першин Евгений</t>
  </si>
  <si>
    <t>Открытая (27.04.1989)/31</t>
  </si>
  <si>
    <t>73,20</t>
  </si>
  <si>
    <t>Сидоровский Сергей</t>
  </si>
  <si>
    <t xml:space="preserve">Силушин П. </t>
  </si>
  <si>
    <t>Кузнецов Андрей</t>
  </si>
  <si>
    <t>81,70</t>
  </si>
  <si>
    <t xml:space="preserve">Мышко Н. </t>
  </si>
  <si>
    <t>Шейкин Алексей</t>
  </si>
  <si>
    <t>Открытая (24.03.1988)/33</t>
  </si>
  <si>
    <t>Тимошенкова Ирина</t>
  </si>
  <si>
    <t>Открытая (16.08.1979)/41</t>
  </si>
  <si>
    <t xml:space="preserve">Черепнин В. </t>
  </si>
  <si>
    <t>Демидова Анна</t>
  </si>
  <si>
    <t>Открытая (12.08.1983)/37</t>
  </si>
  <si>
    <t>58,10</t>
  </si>
  <si>
    <t>Воропаева Ольга</t>
  </si>
  <si>
    <t>69,20</t>
  </si>
  <si>
    <t>Рыжов Артём</t>
  </si>
  <si>
    <t>Юноши 15-19 (24.04.2003)/17</t>
  </si>
  <si>
    <t>67,40</t>
  </si>
  <si>
    <t xml:space="preserve">Гребнев Е. </t>
  </si>
  <si>
    <t>Новиков Алексей</t>
  </si>
  <si>
    <t>Открытая (25.02.1984)/37</t>
  </si>
  <si>
    <t>72,20</t>
  </si>
  <si>
    <t>Денисов Денис</t>
  </si>
  <si>
    <t>Открытая (27.10.1993)/27</t>
  </si>
  <si>
    <t>79,30</t>
  </si>
  <si>
    <t>Баёнов Чумабек</t>
  </si>
  <si>
    <t>Открытая (19.02.1990)/31</t>
  </si>
  <si>
    <t>Gloss</t>
  </si>
  <si>
    <t>Жим стоя</t>
  </si>
  <si>
    <t>Глазырин Николай</t>
  </si>
  <si>
    <t>Открытая (02.09.1987)/33</t>
  </si>
  <si>
    <t>80,40</t>
  </si>
  <si>
    <t>Абдуллин Марат</t>
  </si>
  <si>
    <t>Открытая (21.07.1985)/35</t>
  </si>
  <si>
    <t>Николаев Кирилл</t>
  </si>
  <si>
    <t>111,50</t>
  </si>
  <si>
    <t>Жемаркин Дмитрий</t>
  </si>
  <si>
    <t>Открытая (29.01.1997)/24</t>
  </si>
  <si>
    <t>127,50</t>
  </si>
  <si>
    <t xml:space="preserve">Gloss </t>
  </si>
  <si>
    <t>Никитченко Сергей</t>
  </si>
  <si>
    <t>70,30</t>
  </si>
  <si>
    <t>Карев Владимир</t>
  </si>
  <si>
    <t>Мастера 60+ (18.12.1948)/72</t>
  </si>
  <si>
    <t>Боев Андрей</t>
  </si>
  <si>
    <t>Открытая (27.07.1988)/32</t>
  </si>
  <si>
    <t>80,50</t>
  </si>
  <si>
    <t>Пенько Константин</t>
  </si>
  <si>
    <t>82,30</t>
  </si>
  <si>
    <t>Мельяновский Александр</t>
  </si>
  <si>
    <t>Открытая (05.04.1978)/43</t>
  </si>
  <si>
    <t>88,00</t>
  </si>
  <si>
    <t>Волков Максим</t>
  </si>
  <si>
    <t>Открытая (17.10.1973)/47</t>
  </si>
  <si>
    <t>76,0</t>
  </si>
  <si>
    <t>78,5</t>
  </si>
  <si>
    <t>Мартынов Михаил</t>
  </si>
  <si>
    <t>97,90</t>
  </si>
  <si>
    <t>Захарко Аркадий</t>
  </si>
  <si>
    <t>66,50</t>
  </si>
  <si>
    <t>Эргашев Илхом</t>
  </si>
  <si>
    <t>Открытая (16.12.1996)/24</t>
  </si>
  <si>
    <t>Открытая (24.04.2003)/17</t>
  </si>
  <si>
    <t>Афонин Никита</t>
  </si>
  <si>
    <t xml:space="preserve">Нещедимов Р. </t>
  </si>
  <si>
    <t>Гудков Георгий</t>
  </si>
  <si>
    <t>Захарко Тимофей</t>
  </si>
  <si>
    <t>73,70</t>
  </si>
  <si>
    <t>Качалин Андрей</t>
  </si>
  <si>
    <t>Открытая (14.10.1997)/23</t>
  </si>
  <si>
    <t>Минькач Игорь</t>
  </si>
  <si>
    <t>Открытая (05.11.1989)/31</t>
  </si>
  <si>
    <t>Александров Максим</t>
  </si>
  <si>
    <t>Открытая (04.09.1988)/32</t>
  </si>
  <si>
    <t>Овсяный Виктор</t>
  </si>
  <si>
    <t>Мастера 60+ (19.04.1958)/62</t>
  </si>
  <si>
    <t>Темиров Хуршед</t>
  </si>
  <si>
    <t>89,20</t>
  </si>
  <si>
    <t xml:space="preserve">Васильев А. </t>
  </si>
  <si>
    <t>Зайцев Сергей</t>
  </si>
  <si>
    <t>Открытая (24.07.1986)/34</t>
  </si>
  <si>
    <t>91,20</t>
  </si>
  <si>
    <t>57,6098</t>
  </si>
  <si>
    <t>46,7160</t>
  </si>
  <si>
    <t>44,8890</t>
  </si>
  <si>
    <t>Васильев Алексей</t>
  </si>
  <si>
    <t>Открытая (18.01.1982)/39</t>
  </si>
  <si>
    <t>90,80</t>
  </si>
  <si>
    <t>Открытая (13.07.1980)/40</t>
  </si>
  <si>
    <t>134,3479</t>
  </si>
  <si>
    <t>117,2229</t>
  </si>
  <si>
    <t>117,1255</t>
  </si>
  <si>
    <t>Сьянова Ирина</t>
  </si>
  <si>
    <t>Открытая (09.06.1984)/36</t>
  </si>
  <si>
    <t>51,10</t>
  </si>
  <si>
    <t>30,0</t>
  </si>
  <si>
    <t>32,5</t>
  </si>
  <si>
    <t>25,0</t>
  </si>
  <si>
    <t>27,5</t>
  </si>
  <si>
    <t>48,30</t>
  </si>
  <si>
    <t>Борзаков Сергей</t>
  </si>
  <si>
    <t xml:space="preserve">Воронин Д. </t>
  </si>
  <si>
    <t>98,40</t>
  </si>
  <si>
    <t>Одинцова Любовь</t>
  </si>
  <si>
    <t>Мастера 60-69 (24.10.1960)/60</t>
  </si>
  <si>
    <t>64,40</t>
  </si>
  <si>
    <t>Новикова Лилия</t>
  </si>
  <si>
    <t>Мастера 50-59 (20.08.1964)/56</t>
  </si>
  <si>
    <t>68,70</t>
  </si>
  <si>
    <t xml:space="preserve">Ковалёв С. </t>
  </si>
  <si>
    <t>Зайцева Таисья</t>
  </si>
  <si>
    <t>Мастера 70-79 (30.08.1947)/73</t>
  </si>
  <si>
    <t>Шишикин Владимир</t>
  </si>
  <si>
    <t>51,00</t>
  </si>
  <si>
    <t xml:space="preserve">Тропин Г. </t>
  </si>
  <si>
    <t>Лощинин Григорий</t>
  </si>
  <si>
    <t>Открытая (05.05.1991)/29</t>
  </si>
  <si>
    <t>55,70</t>
  </si>
  <si>
    <t>Косарев Евгений</t>
  </si>
  <si>
    <t>Мастера 60-69 (29.03.1961)/60</t>
  </si>
  <si>
    <t>64,30</t>
  </si>
  <si>
    <t>Груничев Вячеслав</t>
  </si>
  <si>
    <t>Мастера 80+ (27.06.1939)/81</t>
  </si>
  <si>
    <t>76,80</t>
  </si>
  <si>
    <t>Петрокович Николай</t>
  </si>
  <si>
    <t>Открытая (17.08.1979)/41</t>
  </si>
  <si>
    <t>Мастера 40-49 (17.08.1979)/41</t>
  </si>
  <si>
    <t>Пурышев Иван</t>
  </si>
  <si>
    <t>Мастера 40-49 (03.05.1980)/40</t>
  </si>
  <si>
    <t>99,70</t>
  </si>
  <si>
    <t>Ковалев Сергей</t>
  </si>
  <si>
    <t>Мастера 50-59 (22.05.1969)/51</t>
  </si>
  <si>
    <t>Аристов Олег</t>
  </si>
  <si>
    <t>Мастера 60-69 (08.03.1955)/66</t>
  </si>
  <si>
    <t>96,70</t>
  </si>
  <si>
    <t>Кузнецов Владимир</t>
  </si>
  <si>
    <t>Мастера 70-79 (04.03.1945)/76</t>
  </si>
  <si>
    <t>96,60</t>
  </si>
  <si>
    <t>Смирнов Иван</t>
  </si>
  <si>
    <t>Открытая (07.07.1984)/36</t>
  </si>
  <si>
    <t>Грицак Александр</t>
  </si>
  <si>
    <t>Открытая (07.04.1963)/58</t>
  </si>
  <si>
    <t>Остапенко Кирилл</t>
  </si>
  <si>
    <t>97,80</t>
  </si>
  <si>
    <t>Wilks/Залуцкий</t>
  </si>
  <si>
    <t>Юсупов Анвар</t>
  </si>
  <si>
    <t>Открытая (06.03.1983)/38</t>
  </si>
  <si>
    <t>Овчинников Евгений</t>
  </si>
  <si>
    <t>97,00</t>
  </si>
  <si>
    <t>Мастера 70+ (25.07.1946)/74</t>
  </si>
  <si>
    <t>ВЕСОВАЯ КАТЕГОРИЯ   80</t>
  </si>
  <si>
    <t>Калинин Сергей</t>
  </si>
  <si>
    <t>79,10</t>
  </si>
  <si>
    <t>Корнильцев Дмитрий</t>
  </si>
  <si>
    <t xml:space="preserve">Алёхин М </t>
  </si>
  <si>
    <t>Акулич Александр</t>
  </si>
  <si>
    <t>Открытая (17.11.1981)/39</t>
  </si>
  <si>
    <t>90,90</t>
  </si>
  <si>
    <t>Самойлов Владимир</t>
  </si>
  <si>
    <t>Открытая (09.05.1991)/29</t>
  </si>
  <si>
    <t>105,20</t>
  </si>
  <si>
    <t>312,5</t>
  </si>
  <si>
    <t>Капитонов Юрий</t>
  </si>
  <si>
    <t>103,00</t>
  </si>
  <si>
    <t>ВЕСОВАЯ КАТЕГОРИЯ   130</t>
  </si>
  <si>
    <t>Зиновьев Александр</t>
  </si>
  <si>
    <t>121,90</t>
  </si>
  <si>
    <t>Илюшин Руслан</t>
  </si>
  <si>
    <t>Открытая (25.02.1991)/30</t>
  </si>
  <si>
    <t xml:space="preserve">Ушков И. </t>
  </si>
  <si>
    <t>Журавлёв Кирилл</t>
  </si>
  <si>
    <t>Открытая (06.02.1990)/31</t>
  </si>
  <si>
    <t>Семенов Роман</t>
  </si>
  <si>
    <t>Открытая (12.11.1979)/41</t>
  </si>
  <si>
    <t>96,30</t>
  </si>
  <si>
    <t>300,5</t>
  </si>
  <si>
    <t xml:space="preserve">Емельянов Н. </t>
  </si>
  <si>
    <t>Беспаликов Валерий</t>
  </si>
  <si>
    <t>Открытая (07.04.1981)/40</t>
  </si>
  <si>
    <t>Едреников Максим</t>
  </si>
  <si>
    <t>105,40</t>
  </si>
  <si>
    <t>Самитов Александр</t>
  </si>
  <si>
    <t>ВЕСОВАЯ КАТЕГОРИЯ   120</t>
  </si>
  <si>
    <t>Емельянов Николай</t>
  </si>
  <si>
    <t>Открытая (30.08.1979)/41</t>
  </si>
  <si>
    <t>118,40</t>
  </si>
  <si>
    <t>325,0</t>
  </si>
  <si>
    <t xml:space="preserve">самостоятель </t>
  </si>
  <si>
    <t>Куротченко Игорь</t>
  </si>
  <si>
    <t>113,10</t>
  </si>
  <si>
    <t>Кублицкий Александр</t>
  </si>
  <si>
    <t>Открытая (18.09.1981)/39</t>
  </si>
  <si>
    <t>105,50</t>
  </si>
  <si>
    <t>Баранов Александр</t>
  </si>
  <si>
    <t>Открытая (15.01.1986)/35</t>
  </si>
  <si>
    <t>Тяга</t>
  </si>
  <si>
    <t>Хованский Дмитрий</t>
  </si>
  <si>
    <t>Открытая (26.05.1986)/34</t>
  </si>
  <si>
    <t xml:space="preserve">Быховец А. </t>
  </si>
  <si>
    <t>Силушин Павел</t>
  </si>
  <si>
    <t>Открытая (17.09.1989)/31</t>
  </si>
  <si>
    <t>81,50</t>
  </si>
  <si>
    <t xml:space="preserve">Силушин А. </t>
  </si>
  <si>
    <t>Боев Виталий</t>
  </si>
  <si>
    <t>Тарасов Дмитрий</t>
  </si>
  <si>
    <t>Открытая (21.08.1989)/31</t>
  </si>
  <si>
    <t>Решетник Константин</t>
  </si>
  <si>
    <t>Открытая (10.03.1987)/34</t>
  </si>
  <si>
    <t>98,20</t>
  </si>
  <si>
    <t>Мячик Сергей</t>
  </si>
  <si>
    <t>Плотников Алексей</t>
  </si>
  <si>
    <t>Открытая (16.06.1975)/45</t>
  </si>
  <si>
    <t>Пузырев Денис</t>
  </si>
  <si>
    <t>Открытая (31.03.1974)/47</t>
  </si>
  <si>
    <t>108,40</t>
  </si>
  <si>
    <t xml:space="preserve">Грудев А. </t>
  </si>
  <si>
    <t>Шлепин Олег</t>
  </si>
  <si>
    <t>Открытая (08.07.1975)/45</t>
  </si>
  <si>
    <t>109,90</t>
  </si>
  <si>
    <t>Черствов Алексей</t>
  </si>
  <si>
    <t>118,90</t>
  </si>
  <si>
    <t>Открытая (31.07.1962)/58</t>
  </si>
  <si>
    <t>179,5950</t>
  </si>
  <si>
    <t>175,3672</t>
  </si>
  <si>
    <t>170,3940</t>
  </si>
  <si>
    <t>Прокопова Елена</t>
  </si>
  <si>
    <t>65,80</t>
  </si>
  <si>
    <t>Черненко Михаил</t>
  </si>
  <si>
    <t>Открытая (25.12.1995)/25</t>
  </si>
  <si>
    <t>66,00</t>
  </si>
  <si>
    <t>Матвеев Александр</t>
  </si>
  <si>
    <t>Открытая (14.03.1974)/47</t>
  </si>
  <si>
    <t xml:space="preserve">Жинкин В. </t>
  </si>
  <si>
    <t>Жигулин Константин</t>
  </si>
  <si>
    <t>Открытая (03.10.1987)/33</t>
  </si>
  <si>
    <t>Душевин Евгений</t>
  </si>
  <si>
    <t>Открытая (20.08.1995)/25</t>
  </si>
  <si>
    <t>Глебов Александр</t>
  </si>
  <si>
    <t>Открытая (20.01.1989)/32</t>
  </si>
  <si>
    <t>Открытая (20.03.1981)/40</t>
  </si>
  <si>
    <t>Лавров Дмитрий</t>
  </si>
  <si>
    <t>106,30</t>
  </si>
  <si>
    <t>Николаева Екатерина</t>
  </si>
  <si>
    <t>Открытая (07.06.1984)/36</t>
  </si>
  <si>
    <t>185,5</t>
  </si>
  <si>
    <t xml:space="preserve">Егорова Е. </t>
  </si>
  <si>
    <t>Егорова Евгения</t>
  </si>
  <si>
    <t>Открытая (28.11.1990)/30</t>
  </si>
  <si>
    <t xml:space="preserve">Николаева Е. </t>
  </si>
  <si>
    <t>Сухарев Андрей</t>
  </si>
  <si>
    <t>Открытая (22.07.1974)/46</t>
  </si>
  <si>
    <t>108,20</t>
  </si>
  <si>
    <t>Атменеев Виталий</t>
  </si>
  <si>
    <t>Открытая (06.11.1986)/34</t>
  </si>
  <si>
    <t xml:space="preserve">Еловиков Р. </t>
  </si>
  <si>
    <t>Василенко Дмитрий</t>
  </si>
  <si>
    <t>Открытая (03.06.1975)/45</t>
  </si>
  <si>
    <t>117,20</t>
  </si>
  <si>
    <t>345,0</t>
  </si>
  <si>
    <t>370,0</t>
  </si>
  <si>
    <t>Алёхин М.</t>
  </si>
  <si>
    <t>Ковалёв С.</t>
  </si>
  <si>
    <t>Варава И.</t>
  </si>
  <si>
    <t>Янов С.</t>
  </si>
  <si>
    <t>Постнов Д.</t>
  </si>
  <si>
    <t xml:space="preserve">Постнов Д. </t>
  </si>
  <si>
    <t>Башков А.</t>
  </si>
  <si>
    <t>Башков Андрей</t>
  </si>
  <si>
    <t>Ушаков А.</t>
  </si>
  <si>
    <t>Чемпионат Европы IPL
IPL Пауэрлифтинг без экипировки ДК
Долгопрудный/Московская область, 16-18 апреля 2021 года</t>
  </si>
  <si>
    <t>Чемпионат Европы IPL
IPL Пауэрлифтинг без экипировки
Долгопрудный/Московская область, 16-18 апреля 2021 года</t>
  </si>
  <si>
    <t>Чемпионат Европы IPL
IPL Пауэрлифтинг в бинтах ДК
Долгопрудный/Московская область, 16-18 апреля 2021 года</t>
  </si>
  <si>
    <t>Чемпионат Европы IPL
IPL Пауэрлифтинг в бинтах
Долгопрудный/Московская область, 16-18 апреля 2021 года</t>
  </si>
  <si>
    <t>Чемпионат Европы IPL
IPL Пауэрлифтинг в однослойной экипировке
Долгопрудный/Московская область, 16-18 апреля 2021 года</t>
  </si>
  <si>
    <t>Чемпионат Европы IPL
IPL Пауэрлифтинг в многослойной экипировке
Долгопрудный/Московская область, 16-18 апреля 2021 года</t>
  </si>
  <si>
    <t>Чемпионат Европы IPL
IPL Силовое двоеборье без экипировки ДК
Долгопрудный/Московская область, 16-18 апреля 2021 года</t>
  </si>
  <si>
    <t>Чемпионат Европы IPL
IPL Силовое двоеборье без экипировки
Долгопрудный/Московская область, 16-18 апреля 2021 года</t>
  </si>
  <si>
    <t>Чемпионат Европы IPL
IPL Присед без экипировки ДК
Долгопрудный/Московская область, 16-18 апреля 2021 года</t>
  </si>
  <si>
    <t>Чемпионат Европы IPL
IPL Присед без экипировки
Долгопрудный/Московская область, 16-18 апреля 2021 года</t>
  </si>
  <si>
    <t>Чемпионат Европы IPL
IPL Присед в бинтах ДК
Долгопрудный/Московская область, 16-18 апреля 2021 года</t>
  </si>
  <si>
    <t>Чемпионат Европы IPL
IPL Присед в бинтах
Долгопрудный/Московская область, 16-18 апреля 2021 года</t>
  </si>
  <si>
    <t>Чемпионат Европы IPL
IPL Жим лежа без экипировки ДК
Долгопрудный/Московская область, 16-18 апреля 2021 года</t>
  </si>
  <si>
    <t>Чемпионат Европы IPL
IPL Жим лежа без экипировки
Долгопрудный/Московская область, 16-18 апреля 2021 года</t>
  </si>
  <si>
    <t>Чемпионат Европы IPL
IPL Жим лежа в однослойной экипировке ДК
Долгопрудный/Московская область, 16-18 апреля 2021 года</t>
  </si>
  <si>
    <t>Чемпионат Европы IPL
IPL Жим лежа в однослойной экипировке
Долгопрудный/Московская область, 16-18 апреля 2021 года</t>
  </si>
  <si>
    <t>Чемпионат Европы IPL
IPL Жим лежа в многослойной экипировке
Долгопрудный/Московская область, 16-18 апреля 2021 года</t>
  </si>
  <si>
    <t>ВМТ в рамках Чемпионата Европы IPL
СПР Жим лежа в однопетельной софт экипировке ДК
Долгопрудный/Московская область, 16-18 апреля 2021 года</t>
  </si>
  <si>
    <t>ВМТ в рамках Чемпионата Европы IPL
СПР Жим лежа в однопетельной софт экипировке
Долгопрудный/Московская область, 16-18 апреля 2021 года</t>
  </si>
  <si>
    <t>ВМТ в рамках Чемпионата Европы IPL
СПР Жим лежа в многопетельной софт экипировке ДК
Долгопрудный/Московская область, 16-18 апреля 2021 года</t>
  </si>
  <si>
    <t>ВМТ в рамках Чемпионата Европы IPL
СПР Жим лежа в многопетельной софт экипировке
Долгопрудный/Московская область, 16-18 апреля 2021 года</t>
  </si>
  <si>
    <t>ВМТ СПР в рамках Чемпионата Европы IPL
СПР Жим лежа СФО
Долгопрудный/Московская область, 16-18 апреля 2021 года</t>
  </si>
  <si>
    <t>Чемпионат Европы IPL
IPL Становая тяга без экипировки ДК
Долгопрудный/Московская область, 16-18 апреля 2021 года</t>
  </si>
  <si>
    <t>Чемпионат Европы IPL
IPL Становая тяга без экипировки
Долгопрудный/Московская область, 16-18 апреля 2021 года</t>
  </si>
  <si>
    <t>Чемпионат Европы IPL
IPL Становая тяга в однослойной экипировке
Долгопрудный/Московская область, 16-18 апреля 2021 года</t>
  </si>
  <si>
    <t>Чемпионат Европы IPL
IPL Становая тяга в многослойной экипировке
Долгопрудный/Московская область, 16-18 апреля 2021 года</t>
  </si>
  <si>
    <t>ВМТ СПР в рамках Чемпионата Европы IPL
СПР Пауэрспорт ДК
Долгопрудный/Московская область, 16-18 апреля 2021 года</t>
  </si>
  <si>
    <t>ВМТ СПР в рамках Чемпионата Европы IPL
СПР Пауэрспорт
Долгопрудный/Московская область, 16-18 апреля 2021 года</t>
  </si>
  <si>
    <t>ВМТ СПР в рамках Чемпионата Европы IPL
СПР Жим штанги стоя
Долгопрудный/Московская область, 16-18 апреля 2021 года</t>
  </si>
  <si>
    <t>ВМТ СПР в рамках Чемпионата Европы IPL
СПР Строгий подъем штанги на бицепс ДК
Долгопрудный/Московская область, 16-18 апреля 2021 года</t>
  </si>
  <si>
    <t>ВМТ СПР в рамках Чемпионата Европы IPL
СПР Строгий подъем штанги на бицепс
Долгопрудный/Московская область, 16-18 апреля 2021 года</t>
  </si>
  <si>
    <t>Чемпионат Европы ФЖД
ФЖД Армейский жим двоеборье
Долгопрудный/Московская область, 16-18 апреля 2021 года</t>
  </si>
  <si>
    <t>Чемпионат Европы ФЖД
ФЖД Армейский жим на максимум
Долгопрудный/Московская область, 16-18 апреля 2021 года</t>
  </si>
  <si>
    <t>Чемпионат Европы ФЖД
ФЖД Софт экипировка многослойная жим на максимум
Долгопрудный/Московская область, 16-18 апреля 2021 года</t>
  </si>
  <si>
    <t>Чемпионат Европы ФЖД
ФЖД Софт экипировка однослойная жим на максимум с ДК
Долгопрудный/Московская область, 16-18 апреля 2021 года</t>
  </si>
  <si>
    <t>Чемпионат Европы ФЖД
ФЖД Софт экипировка однослойная жим на максимум
Долгопрудный/Московская область, 16-18 апреля 2021 года</t>
  </si>
  <si>
    <t>Чемпионат Европы ФЖД
ФЖД Софт экипировка однослойная двоеборье
Долгопрудный/Московская область, 16-18 апреля 2021 года</t>
  </si>
  <si>
    <t>Чемпионат Европы ФЖД
ФЖД Военный жим на максимум
Долгопрудный/Московская область, 16-18 апреля 2021 года</t>
  </si>
  <si>
    <t>Чемпионат Европы ФЖД
ФЖД Любители с ДК двоеборье 1/2 веса
Долгопрудный/Московская область, 16-18 апреля 2021 года</t>
  </si>
  <si>
    <t>Чемпионат Европы ФЖД
ФЖД Любители с ДК жим на максимум
Долгопрудный/Московская область, 16-18 апреля 2021 года</t>
  </si>
  <si>
    <t>Чемпионат Европы ФЖД
ФЖД Любители с ДК двоеборье
Долгопрудный/Московская область, 16-18 апреля 2021 года</t>
  </si>
  <si>
    <t>Чемпионат Европы ФЖД
ФЖД Любители двоеборье 1/2 веса
Долгопрудный/Московская область, 16-18 апреля 2021 года</t>
  </si>
  <si>
    <t>Чемпионат Европы ФЖД
ФЖД Любители жим на максимум
Долгопрудный/Московская область, 16-18 апреля 2021 года</t>
  </si>
  <si>
    <t>Чемпионат Европы ФЖД
ФЖД Любители двоеборье
Долгопрудный/Московская область, 16-18 апреля 2021 года</t>
  </si>
  <si>
    <t>Мастера 50-54 (11.02.1968)/53</t>
  </si>
  <si>
    <t>Мастера 45-49 (16.02.1975)/46</t>
  </si>
  <si>
    <t>Юниорки 20-23 (28.07.1999)/21</t>
  </si>
  <si>
    <t>Мастера 40-44 (10.03.1981)/40</t>
  </si>
  <si>
    <t>Мастера 45-49 (07.10.1974)/46</t>
  </si>
  <si>
    <t>Мастера 65-69 (15.09.1952)/68</t>
  </si>
  <si>
    <t>Мастера 40-44 (16.12.1980)/40</t>
  </si>
  <si>
    <t>Юниоры 20-23 (07.05.1999)/21</t>
  </si>
  <si>
    <t>Мастера 40-44 (19.11.1980)/40</t>
  </si>
  <si>
    <t>Мастера 40-44 (17.08.1978)/42</t>
  </si>
  <si>
    <t>Юниоры 20-23 (23.08.1998)/22</t>
  </si>
  <si>
    <t>Мастера 45-49 (07.07.1975)/45</t>
  </si>
  <si>
    <t>Юниоры 20-23 (18.05.1999)/21</t>
  </si>
  <si>
    <t>Юниоры 20-23 (26.07.1999)/21</t>
  </si>
  <si>
    <t>Мастера 50-54 (31.03.1971)/50</t>
  </si>
  <si>
    <t>Юниоры 20-23 (02.05.1997)/23</t>
  </si>
  <si>
    <t>Мастера 45-49 (30.10.1971)/49</t>
  </si>
  <si>
    <t>Мастера 40-44 (14.08.1977)/43</t>
  </si>
  <si>
    <t>Мастера 55-59 (27.10.1961)/59</t>
  </si>
  <si>
    <t>Юниоры 20-23 (04.06.1997)/23</t>
  </si>
  <si>
    <t>Мастера 45-49 (22.09.1974)/46</t>
  </si>
  <si>
    <t>Юниоры 20-23 (03.06.1997)/23</t>
  </si>
  <si>
    <t>Мастера 45-49 (27.10.1975)/45</t>
  </si>
  <si>
    <t>Мастера 40-44 (21.12.1977)/43</t>
  </si>
  <si>
    <t>Мастера 50-54 (23.05.1967)/53</t>
  </si>
  <si>
    <t>Мастера 45-49 (11.11.1975)/45</t>
  </si>
  <si>
    <t>Мастера 40-44 (16.08.1979)/41</t>
  </si>
  <si>
    <t>Мастера 55-59 (15.07.1965)/55</t>
  </si>
  <si>
    <t>Мастера 45-49 (24.12.1972)/48</t>
  </si>
  <si>
    <t>Мастера 55-59 (29.11.1965)/55</t>
  </si>
  <si>
    <t>Мастера 45-49 (12.05.1971)/49</t>
  </si>
  <si>
    <t>Юниоры 20-23 (31.01.1999)/22</t>
  </si>
  <si>
    <t>Мастера 45-49 (22.12.1975)/45</t>
  </si>
  <si>
    <t>Юниоры 20-23 (18.06.1997)/23</t>
  </si>
  <si>
    <t>Мастера 45-49 (16.11.1974)/46</t>
  </si>
  <si>
    <t>Юниоры 20-23 (05.07.1999)/21</t>
  </si>
  <si>
    <t>Мастера 40-44 (22.12.1978)/42</t>
  </si>
  <si>
    <t>Юниоры 20-23 (26.11.1997)/23</t>
  </si>
  <si>
    <t>Мастера 40-44 (26.11.1978)/42</t>
  </si>
  <si>
    <t>Мастера 40-44 (09.09.1979)/41</t>
  </si>
  <si>
    <t>Мастера 40-44 (29.03.1980)/41</t>
  </si>
  <si>
    <t>Мастера 45-49 (06.10.1973)/47</t>
  </si>
  <si>
    <t>Мастера 55-59 (28.01.1964)/57</t>
  </si>
  <si>
    <t>Мастера 60-64 (05.06.1958)/62</t>
  </si>
  <si>
    <t>Мастера 40-44 (20.03.1981)/40</t>
  </si>
  <si>
    <t>Мастера 40-44 (08.05.1976)/44</t>
  </si>
  <si>
    <t>Мастера 40-44 (16.05.1977)/43</t>
  </si>
  <si>
    <t>Мастера 40-44 (15.02.1978)/43</t>
  </si>
  <si>
    <t>Мастера 40-44 (20.05.1979)/41</t>
  </si>
  <si>
    <t>Мастера 45-49 (13.11.1971)/49</t>
  </si>
  <si>
    <t>Мастера 55-59 (30.05.1963)/57</t>
  </si>
  <si>
    <t>Юниоры 20-23 (06.04.1998)/23</t>
  </si>
  <si>
    <t>Мастера 40-44 (01.07.1979)/41</t>
  </si>
  <si>
    <t>Мастера 45-49 (20.07.1974)/46</t>
  </si>
  <si>
    <t>Мастера 45-49 (23.04.1972)/48</t>
  </si>
  <si>
    <t>Мастера 50-54 (17.04.1971)/50</t>
  </si>
  <si>
    <t>Мастера 60-64 (27.03.1959)/62</t>
  </si>
  <si>
    <t>Мастера 70-74 (06.09.1948)/72</t>
  </si>
  <si>
    <t>Мастера 50-54 (01.02.1970)/51</t>
  </si>
  <si>
    <t>Мастера 40-44 (26.12.1978)/42</t>
  </si>
  <si>
    <t>Мастера 40-44 (15.07.1978)/42</t>
  </si>
  <si>
    <t>Мастера 55-59 (03.04.1964)/57</t>
  </si>
  <si>
    <t xml:space="preserve">Мастера 45-49 </t>
  </si>
  <si>
    <t xml:space="preserve">Мастера 55-59 </t>
  </si>
  <si>
    <t xml:space="preserve">Мастера 70-74 </t>
  </si>
  <si>
    <t>Мастера 40-44 (08.02.1980)/41</t>
  </si>
  <si>
    <t>Мастера 40-44 (18.07.1978)/42</t>
  </si>
  <si>
    <t>Мастера 40-44 (28.04.1980)/40</t>
  </si>
  <si>
    <t>Юниоры 20-23 (02.06.1998)/22</t>
  </si>
  <si>
    <t>Мастера 55-59 (17.11.1963)/57</t>
  </si>
  <si>
    <t>Мастера 50-54 (22.07.1970)/50</t>
  </si>
  <si>
    <t>Мастера 60-64 (29.09.1960)/60</t>
  </si>
  <si>
    <t>Мастера 70-74 (31.08.1946)/74</t>
  </si>
  <si>
    <t>Мастера 50-54 (23.02.1970)/51</t>
  </si>
  <si>
    <t>Мастера 40-44 (04.06.1980)/40</t>
  </si>
  <si>
    <t>Мастера 45-49 (06.04.1974)/47</t>
  </si>
  <si>
    <t>Мастера 50-54 (26.07.1966)/54</t>
  </si>
  <si>
    <t>Мастера 50-54 (12.04.1971)/50</t>
  </si>
  <si>
    <t>Мастера 40-44 (08.12.1976)/44</t>
  </si>
  <si>
    <t>Мастера 45-49 (11.11.1972)/48</t>
  </si>
  <si>
    <t>Мастера 50-54 (12.02.1970)/51</t>
  </si>
  <si>
    <t>Мастера 55-59 (31.07.1962)/58</t>
  </si>
  <si>
    <t xml:space="preserve">Мастера 50-54 </t>
  </si>
  <si>
    <t xml:space="preserve">Мастера 40-44 </t>
  </si>
  <si>
    <t>Мастера 45-49 (19.01.1973)/48</t>
  </si>
  <si>
    <t>Мастера 55-59 (02.06.1961)/59</t>
  </si>
  <si>
    <t>Мастера 55-59 (26.09.1961)/59</t>
  </si>
  <si>
    <t>Мастера 50-59 (07.03.1966)/55</t>
  </si>
  <si>
    <t>Мастера 40-49 (14.03.1974)/47</t>
  </si>
  <si>
    <t>Мастера 50-59 (06.04.1967)/54</t>
  </si>
  <si>
    <t>Мастера 40-49 (17.04.1977)/44</t>
  </si>
  <si>
    <t>Мастера 40-44 (25.10.1976)/44</t>
  </si>
  <si>
    <t>Мастера 40-49 (25.08.1979)/41</t>
  </si>
  <si>
    <t>Мастера 40-49 (16.06.1975)/45</t>
  </si>
  <si>
    <t>Мастера 40-49 (07.04.1981)/40</t>
  </si>
  <si>
    <t>Мастера 40-49 (31.03.1974)/47</t>
  </si>
  <si>
    <t>Мастера 40-49 (08.07.1975)/45</t>
  </si>
  <si>
    <t>Мастера 50-59 (12.04.1971)/50</t>
  </si>
  <si>
    <t>Мастера 40-49 (30.08.1979)/41</t>
  </si>
  <si>
    <t>Мастера 40-49 (16.04.1981)/40</t>
  </si>
  <si>
    <t>Мастера 50-59 (31.07.1962)/58</t>
  </si>
  <si>
    <t>Мастера 40-49 (22.07.1974)/46</t>
  </si>
  <si>
    <t>Мастера 40-49 (03.06.1975)/45</t>
  </si>
  <si>
    <t>Юниоры 20-23 (24.03.1999)/22</t>
  </si>
  <si>
    <t>Юниорки 20-23 (17.04.2001)/20</t>
  </si>
  <si>
    <t>Мастера 45-49 (15.01.1972)/49</t>
  </si>
  <si>
    <t>Мастера 40-44 (09.08.1979)/41</t>
  </si>
  <si>
    <t>Мастера 45-49 (06.01.1976)/45</t>
  </si>
  <si>
    <t>Мастера 60-64 (26.08.1960)/60</t>
  </si>
  <si>
    <t>Мастера 60-64 (05.12.1957)/63</t>
  </si>
  <si>
    <t>Мастера 50-54 (06.04.1967)/54</t>
  </si>
  <si>
    <t>Мастера 70-74 (25.07.1946)/74</t>
  </si>
  <si>
    <t>Юниоры 20-23 (22.02.2000)/21</t>
  </si>
  <si>
    <t>Мастера 45-49 (25.05.1974)/46</t>
  </si>
  <si>
    <t xml:space="preserve">Мастера 60-64 </t>
  </si>
  <si>
    <t>Мастера 50-54 (11.06.1970)/50</t>
  </si>
  <si>
    <t>Мастера 45-49 (01.02.1973)/48</t>
  </si>
  <si>
    <t>Юноши 13-19 (27.12.2001)/19</t>
  </si>
  <si>
    <t>Мастера 40-49 (19.12.1978)/42</t>
  </si>
  <si>
    <t>Мастера 40-49 (05.04.1978)/43</t>
  </si>
  <si>
    <t>Мастера 40-49 (13.07.1980)/40</t>
  </si>
  <si>
    <t>Юноши 13-19 (13.09.2001)/19</t>
  </si>
  <si>
    <t>Юноши 13-19 (26.10.2003)/17</t>
  </si>
  <si>
    <t>Юноши 13-19 (05.11.2001)/19</t>
  </si>
  <si>
    <t>Юниоры 20-23 (01.06.1998)/22</t>
  </si>
  <si>
    <t>Мастера 40-49 (22.12.1978)/42</t>
  </si>
  <si>
    <t>Мастера 40-49 (10.09.1978)/42</t>
  </si>
  <si>
    <t>Мастера 50-59 (10.05.1962)/58</t>
  </si>
  <si>
    <t>Мастера 40-49 (25.12.1979)/41</t>
  </si>
  <si>
    <t>Мастера 40-44 (05.04.1978)/43</t>
  </si>
  <si>
    <t>Мастера 40-44 (07.04.1981)/40</t>
  </si>
  <si>
    <t>Мастера 40-44 (30.08.1979)/41</t>
  </si>
  <si>
    <t>Мастера 40-44 (12.11.1979)/41</t>
  </si>
  <si>
    <t>Мастера 45-49 (30.04.1975)/45</t>
  </si>
  <si>
    <t>Мастера 55-59 (20.03.1962)/59</t>
  </si>
  <si>
    <t>Мастера 60-64 (15.11.1957)/63</t>
  </si>
  <si>
    <t>Мастера 40-44 (11.05.1976)/44</t>
  </si>
  <si>
    <t>Мастера 45-49 (19.11.1975)/45</t>
  </si>
  <si>
    <t>Мастера 50-54 (15.11.1970)/50</t>
  </si>
  <si>
    <t>Мастера 55-59 (07.04.1963)/58</t>
  </si>
  <si>
    <t>Мастера 40-44 (19.10.1977)/43</t>
  </si>
  <si>
    <t>Самостоятельно</t>
  </si>
  <si>
    <t>Весовая категория</t>
  </si>
  <si>
    <t>Павлов А.</t>
  </si>
  <si>
    <t>Юдин Г.</t>
  </si>
  <si>
    <t>Мякишев С.</t>
  </si>
  <si>
    <t>Макаркин И.</t>
  </si>
  <si>
    <t xml:space="preserve">Белянин Э. </t>
  </si>
  <si>
    <t>Солохин Д.</t>
  </si>
  <si>
    <t>Сметов Сергей</t>
  </si>
  <si>
    <t>Джабаров  Р.</t>
  </si>
  <si>
    <t>Самарина Н.</t>
  </si>
  <si>
    <t>Булатов А.</t>
  </si>
  <si>
    <t xml:space="preserve">Весовая категория </t>
  </si>
  <si>
    <t>Василенко Д.</t>
  </si>
  <si>
    <t>Атменеев В.</t>
  </si>
  <si>
    <t>Мастера 40-49 (25.10.1976)/44</t>
  </si>
  <si>
    <t>Алышев Н.</t>
  </si>
  <si>
    <t>Бунтов Д.</t>
  </si>
  <si>
    <t>Многоповторный жим</t>
  </si>
  <si>
    <t xml:space="preserve"> Многоповторный жим</t>
  </si>
  <si>
    <t>Капитонов Ю.</t>
  </si>
  <si>
    <t xml:space="preserve"> </t>
  </si>
  <si>
    <t>№</t>
  </si>
  <si>
    <t xml:space="preserve">Москва </t>
  </si>
  <si>
    <t xml:space="preserve">Орёл </t>
  </si>
  <si>
    <t xml:space="preserve">Курск </t>
  </si>
  <si>
    <t xml:space="preserve">Люберцы </t>
  </si>
  <si>
    <t xml:space="preserve">Пушкино </t>
  </si>
  <si>
    <t xml:space="preserve">Долгопрудный </t>
  </si>
  <si>
    <t xml:space="preserve">Снежинск </t>
  </si>
  <si>
    <t xml:space="preserve">Тверь </t>
  </si>
  <si>
    <t xml:space="preserve">Пенза </t>
  </si>
  <si>
    <t xml:space="preserve">Шарья </t>
  </si>
  <si>
    <t xml:space="preserve">Железнодорожный </t>
  </si>
  <si>
    <t xml:space="preserve">Казань </t>
  </si>
  <si>
    <t xml:space="preserve">Кубинка </t>
  </si>
  <si>
    <t xml:space="preserve">Красноярск </t>
  </si>
  <si>
    <t xml:space="preserve">Ижевск </t>
  </si>
  <si>
    <t xml:space="preserve">Ухта </t>
  </si>
  <si>
    <t xml:space="preserve">Иваново </t>
  </si>
  <si>
    <t xml:space="preserve">Краснозаводск </t>
  </si>
  <si>
    <t xml:space="preserve">Рязань </t>
  </si>
  <si>
    <t xml:space="preserve">Стерлитамак </t>
  </si>
  <si>
    <t xml:space="preserve">Раменское </t>
  </si>
  <si>
    <t xml:space="preserve">Ковров </t>
  </si>
  <si>
    <t xml:space="preserve">Чебоксары </t>
  </si>
  <si>
    <t xml:space="preserve">Белорецк </t>
  </si>
  <si>
    <t xml:space="preserve">Унеча </t>
  </si>
  <si>
    <t xml:space="preserve">Реутов </t>
  </si>
  <si>
    <t xml:space="preserve">Дубна </t>
  </si>
  <si>
    <t xml:space="preserve">Лобня </t>
  </si>
  <si>
    <t xml:space="preserve">Киреевск </t>
  </si>
  <si>
    <t xml:space="preserve">Киров </t>
  </si>
  <si>
    <t xml:space="preserve">Жуковский </t>
  </si>
  <si>
    <t xml:space="preserve">Орск </t>
  </si>
  <si>
    <t xml:space="preserve">Владимир </t>
  </si>
  <si>
    <t xml:space="preserve">Новотроицк </t>
  </si>
  <si>
    <t xml:space="preserve">Михайловка </t>
  </si>
  <si>
    <t xml:space="preserve">Нижний Новгород </t>
  </si>
  <si>
    <t xml:space="preserve">Геленджик </t>
  </si>
  <si>
    <t xml:space="preserve">Кизляр </t>
  </si>
  <si>
    <t xml:space="preserve">Десногорск </t>
  </si>
  <si>
    <t xml:space="preserve">Костерёво </t>
  </si>
  <si>
    <t xml:space="preserve">Симферополь </t>
  </si>
  <si>
    <t xml:space="preserve">Арзамас </t>
  </si>
  <si>
    <t xml:space="preserve">Балахна </t>
  </si>
  <si>
    <t xml:space="preserve">Одинцово </t>
  </si>
  <si>
    <t xml:space="preserve">Волгоград </t>
  </si>
  <si>
    <t xml:space="preserve">Кувшиново </t>
  </si>
  <si>
    <t xml:space="preserve">Мурманск </t>
  </si>
  <si>
    <t xml:space="preserve">Солнечногорск </t>
  </si>
  <si>
    <t xml:space="preserve">Серпухов </t>
  </si>
  <si>
    <t xml:space="preserve">Алтайское </t>
  </si>
  <si>
    <t xml:space="preserve">Сухой Лог </t>
  </si>
  <si>
    <t xml:space="preserve"> Сухой Лог </t>
  </si>
  <si>
    <t xml:space="preserve">Щёлково </t>
  </si>
  <si>
    <t xml:space="preserve">Дмитров </t>
  </si>
  <si>
    <t xml:space="preserve">Смоленск </t>
  </si>
  <si>
    <t xml:space="preserve">Химки </t>
  </si>
  <si>
    <t xml:space="preserve">Щёкино </t>
  </si>
  <si>
    <t xml:space="preserve">Щербинка </t>
  </si>
  <si>
    <t xml:space="preserve">Подольск </t>
  </si>
  <si>
    <t xml:space="preserve">Михнево </t>
  </si>
  <si>
    <t xml:space="preserve">Иркутск </t>
  </si>
  <si>
    <t xml:space="preserve">Красногорск </t>
  </si>
  <si>
    <t xml:space="preserve">Торжок </t>
  </si>
  <si>
    <t xml:space="preserve">Малаховка </t>
  </si>
  <si>
    <t xml:space="preserve">Хотьково </t>
  </si>
  <si>
    <t xml:space="preserve">Уфа </t>
  </si>
  <si>
    <t xml:space="preserve">Мытищи </t>
  </si>
  <si>
    <t xml:space="preserve">Липецк </t>
  </si>
  <si>
    <t xml:space="preserve">Саров </t>
  </si>
  <si>
    <t xml:space="preserve">Стародуб </t>
  </si>
  <si>
    <t xml:space="preserve">Балашиха </t>
  </si>
  <si>
    <t xml:space="preserve">Сызрань </t>
  </si>
  <si>
    <t xml:space="preserve">Зеленоград </t>
  </si>
  <si>
    <t xml:space="preserve">Волгодонск </t>
  </si>
  <si>
    <t xml:space="preserve">Тула </t>
  </si>
  <si>
    <t xml:space="preserve">Саратов </t>
  </si>
  <si>
    <t xml:space="preserve">Можайск </t>
  </si>
  <si>
    <t xml:space="preserve">Ярославль </t>
  </si>
  <si>
    <t xml:space="preserve">Хабаровск </t>
  </si>
  <si>
    <t xml:space="preserve">Брянск </t>
  </si>
  <si>
    <t xml:space="preserve">Климовск </t>
  </si>
  <si>
    <t xml:space="preserve">Чайковский </t>
  </si>
  <si>
    <t xml:space="preserve">Северск </t>
  </si>
  <si>
    <t xml:space="preserve">Тамбов </t>
  </si>
  <si>
    <t xml:space="preserve">Новомосковск </t>
  </si>
  <si>
    <t xml:space="preserve">Всеволожск </t>
  </si>
  <si>
    <t xml:space="preserve">Орехово-Зуево </t>
  </si>
  <si>
    <t xml:space="preserve">Новосибирск </t>
  </si>
  <si>
    <t xml:space="preserve">Нахабино </t>
  </si>
  <si>
    <t xml:space="preserve"> Мкрманск</t>
  </si>
  <si>
    <t xml:space="preserve">Сергиев Посад </t>
  </si>
  <si>
    <t xml:space="preserve">  Мкрманск</t>
  </si>
  <si>
    <t xml:space="preserve">Фряново </t>
  </si>
  <si>
    <t xml:space="preserve">Собинка </t>
  </si>
  <si>
    <t xml:space="preserve">Сланцы </t>
  </si>
  <si>
    <t xml:space="preserve">Сочи </t>
  </si>
  <si>
    <t xml:space="preserve">Дзержинский </t>
  </si>
  <si>
    <t xml:space="preserve">Мирный </t>
  </si>
  <si>
    <t xml:space="preserve">Ливны </t>
  </si>
  <si>
    <t xml:space="preserve">Алушта </t>
  </si>
  <si>
    <t xml:space="preserve">Кемерово </t>
  </si>
  <si>
    <t xml:space="preserve">Лосино-Петровский </t>
  </si>
  <si>
    <t xml:space="preserve">Талдом </t>
  </si>
  <si>
    <t xml:space="preserve">Владивосток </t>
  </si>
  <si>
    <t xml:space="preserve">Родники </t>
  </si>
  <si>
    <t xml:space="preserve">Вичуга </t>
  </si>
  <si>
    <t xml:space="preserve">Электросталь </t>
  </si>
  <si>
    <t xml:space="preserve">Кохма </t>
  </si>
  <si>
    <t xml:space="preserve">Краснослободск </t>
  </si>
  <si>
    <t xml:space="preserve">Дагестанские Огни </t>
  </si>
  <si>
    <t xml:space="preserve">Кострома </t>
  </si>
  <si>
    <t>Тимошевск</t>
  </si>
  <si>
    <t xml:space="preserve">Королёв </t>
  </si>
  <si>
    <t xml:space="preserve">Самара </t>
  </si>
  <si>
    <t xml:space="preserve">Мичуринск </t>
  </si>
  <si>
    <t xml:space="preserve">Грязовец </t>
  </si>
  <si>
    <t xml:space="preserve">Качканар </t>
  </si>
  <si>
    <t xml:space="preserve">Санкт-Петербург </t>
  </si>
  <si>
    <t xml:space="preserve">Кушва </t>
  </si>
  <si>
    <t xml:space="preserve"> Москва</t>
  </si>
  <si>
    <t xml:space="preserve">Горловка </t>
  </si>
  <si>
    <t xml:space="preserve">Киев </t>
  </si>
  <si>
    <t xml:space="preserve">Кривой Рог </t>
  </si>
  <si>
    <t xml:space="preserve">Минск </t>
  </si>
  <si>
    <t xml:space="preserve">Бобруйск </t>
  </si>
  <si>
    <t xml:space="preserve">Гомель </t>
  </si>
  <si>
    <t xml:space="preserve">Leskovac </t>
  </si>
  <si>
    <t xml:space="preserve">Кишинев </t>
  </si>
  <si>
    <t xml:space="preserve">Алматы </t>
  </si>
  <si>
    <t xml:space="preserve">Караганда </t>
  </si>
  <si>
    <t>Жим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</si>
</sst>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49" fontId="1" fillId="0" borderId="22" xfId="0" applyNumberFormat="1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49" fontId="7" fillId="0" borderId="22" xfId="0" applyNumberFormat="1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center" vertical="center"/>
    </xf>
    <xf numFmtId="49" fontId="7" fillId="0" borderId="23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" fontId="1" fillId="0" borderId="16" xfId="0" applyNumberFormat="1" applyFont="1" applyFill="1" applyBorder="1" applyAlignment="1">
      <alignment horizontal="center" vertical="center"/>
    </xf>
    <xf numFmtId="1" fontId="1" fillId="0" borderId="17" xfId="0" applyNumberFormat="1" applyFont="1" applyFill="1" applyBorder="1" applyAlignment="1">
      <alignment horizontal="center" vertical="center"/>
    </xf>
    <xf numFmtId="1" fontId="1" fillId="0" borderId="8" xfId="0" applyNumberFormat="1" applyFont="1" applyFill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49" fontId="1" fillId="2" borderId="2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U94"/>
  <sheetViews>
    <sheetView workbookViewId="0">
      <selection activeCell="B90" sqref="B90"/>
    </sheetView>
  </sheetViews>
  <sheetFormatPr baseColWidth="10" defaultColWidth="9.1640625" defaultRowHeight="13"/>
  <cols>
    <col min="1" max="1" width="7.5" style="5" bestFit="1" customWidth="1"/>
    <col min="2" max="2" width="22.1640625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22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28" bestFit="1" customWidth="1"/>
    <col min="20" max="20" width="8.5" style="6" bestFit="1" customWidth="1"/>
    <col min="21" max="21" width="27.1640625" style="5" bestFit="1" customWidth="1"/>
    <col min="22" max="16384" width="9.1640625" style="3"/>
  </cols>
  <sheetData>
    <row r="1" spans="1:21" s="2" customFormat="1" ht="29" customHeight="1">
      <c r="A1" s="62" t="s">
        <v>1251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5"/>
    </row>
    <row r="2" spans="1:21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9"/>
    </row>
    <row r="3" spans="1:21" s="1" customFormat="1" ht="12.75" customHeight="1">
      <c r="A3" s="70" t="s">
        <v>1458</v>
      </c>
      <c r="B3" s="59" t="s">
        <v>0</v>
      </c>
      <c r="C3" s="72" t="s">
        <v>5</v>
      </c>
      <c r="D3" s="72" t="s">
        <v>8</v>
      </c>
      <c r="E3" s="74" t="s">
        <v>9</v>
      </c>
      <c r="F3" s="74" t="s">
        <v>10</v>
      </c>
      <c r="G3" s="74" t="s">
        <v>11</v>
      </c>
      <c r="H3" s="74"/>
      <c r="I3" s="74"/>
      <c r="J3" s="74"/>
      <c r="K3" s="74" t="s">
        <v>12</v>
      </c>
      <c r="L3" s="74"/>
      <c r="M3" s="74"/>
      <c r="N3" s="74"/>
      <c r="O3" s="74" t="s">
        <v>13</v>
      </c>
      <c r="P3" s="74"/>
      <c r="Q3" s="74"/>
      <c r="R3" s="74"/>
      <c r="S3" s="75" t="s">
        <v>1</v>
      </c>
      <c r="T3" s="74" t="s">
        <v>3</v>
      </c>
      <c r="U3" s="77" t="s">
        <v>2</v>
      </c>
    </row>
    <row r="4" spans="1:21" s="1" customFormat="1" ht="21" customHeight="1" thickBot="1">
      <c r="A4" s="71"/>
      <c r="B4" s="60"/>
      <c r="C4" s="73"/>
      <c r="D4" s="73"/>
      <c r="E4" s="73"/>
      <c r="F4" s="7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76"/>
      <c r="T4" s="73"/>
      <c r="U4" s="78"/>
    </row>
    <row r="5" spans="1:21" ht="16">
      <c r="A5" s="57" t="s">
        <v>222</v>
      </c>
      <c r="B5" s="57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</row>
    <row r="6" spans="1:21">
      <c r="A6" s="17" t="s">
        <v>33</v>
      </c>
      <c r="B6" s="16" t="s">
        <v>223</v>
      </c>
      <c r="C6" s="16" t="s">
        <v>224</v>
      </c>
      <c r="D6" s="16" t="s">
        <v>225</v>
      </c>
      <c r="E6" s="16" t="str">
        <f>"1,3346"</f>
        <v>1,3346</v>
      </c>
      <c r="F6" s="16" t="s">
        <v>1459</v>
      </c>
      <c r="G6" s="23" t="s">
        <v>226</v>
      </c>
      <c r="H6" s="23" t="s">
        <v>58</v>
      </c>
      <c r="I6" s="22" t="s">
        <v>227</v>
      </c>
      <c r="J6" s="17"/>
      <c r="K6" s="23" t="s">
        <v>228</v>
      </c>
      <c r="L6" s="22" t="s">
        <v>229</v>
      </c>
      <c r="M6" s="22" t="s">
        <v>229</v>
      </c>
      <c r="N6" s="17"/>
      <c r="O6" s="22" t="s">
        <v>98</v>
      </c>
      <c r="P6" s="23" t="s">
        <v>47</v>
      </c>
      <c r="Q6" s="22" t="s">
        <v>99</v>
      </c>
      <c r="R6" s="17"/>
      <c r="S6" s="29" t="str">
        <f>"235,0"</f>
        <v>235,0</v>
      </c>
      <c r="T6" s="17" t="str">
        <f>"313,6310"</f>
        <v>313,6310</v>
      </c>
      <c r="U6" s="16" t="s">
        <v>230</v>
      </c>
    </row>
    <row r="7" spans="1:21">
      <c r="A7" s="21" t="s">
        <v>219</v>
      </c>
      <c r="B7" s="20" t="s">
        <v>231</v>
      </c>
      <c r="C7" s="20" t="s">
        <v>232</v>
      </c>
      <c r="D7" s="20" t="s">
        <v>233</v>
      </c>
      <c r="E7" s="20" t="str">
        <f>"1,3305"</f>
        <v>1,3305</v>
      </c>
      <c r="F7" s="20" t="s">
        <v>1459</v>
      </c>
      <c r="G7" s="27" t="s">
        <v>234</v>
      </c>
      <c r="H7" s="26" t="s">
        <v>234</v>
      </c>
      <c r="I7" s="27" t="s">
        <v>58</v>
      </c>
      <c r="J7" s="21"/>
      <c r="K7" s="27" t="s">
        <v>228</v>
      </c>
      <c r="L7" s="26" t="s">
        <v>228</v>
      </c>
      <c r="M7" s="27" t="s">
        <v>235</v>
      </c>
      <c r="N7" s="21"/>
      <c r="O7" s="26" t="s">
        <v>236</v>
      </c>
      <c r="P7" s="26" t="s">
        <v>47</v>
      </c>
      <c r="Q7" s="27" t="s">
        <v>182</v>
      </c>
      <c r="R7" s="21"/>
      <c r="S7" s="30" t="str">
        <f>"227,5"</f>
        <v>227,5</v>
      </c>
      <c r="T7" s="21" t="str">
        <f>"302,6888"</f>
        <v>302,6888</v>
      </c>
      <c r="U7" s="20" t="s">
        <v>237</v>
      </c>
    </row>
    <row r="8" spans="1:21">
      <c r="A8" s="19" t="s">
        <v>220</v>
      </c>
      <c r="B8" s="18" t="s">
        <v>238</v>
      </c>
      <c r="C8" s="18" t="s">
        <v>239</v>
      </c>
      <c r="D8" s="18" t="s">
        <v>240</v>
      </c>
      <c r="E8" s="18" t="str">
        <f>"1,3408"</f>
        <v>1,3408</v>
      </c>
      <c r="F8" s="18" t="s">
        <v>1460</v>
      </c>
      <c r="G8" s="25" t="s">
        <v>234</v>
      </c>
      <c r="H8" s="24" t="s">
        <v>58</v>
      </c>
      <c r="I8" s="24" t="s">
        <v>58</v>
      </c>
      <c r="J8" s="19"/>
      <c r="K8" s="24" t="s">
        <v>229</v>
      </c>
      <c r="L8" s="25" t="s">
        <v>229</v>
      </c>
      <c r="M8" s="24" t="s">
        <v>241</v>
      </c>
      <c r="N8" s="19"/>
      <c r="O8" s="25" t="s">
        <v>227</v>
      </c>
      <c r="P8" s="24" t="s">
        <v>236</v>
      </c>
      <c r="Q8" s="24" t="s">
        <v>236</v>
      </c>
      <c r="R8" s="19"/>
      <c r="S8" s="31" t="str">
        <f>"220,0"</f>
        <v>220,0</v>
      </c>
      <c r="T8" s="19" t="str">
        <f>"294,9760"</f>
        <v>294,9760</v>
      </c>
      <c r="U8" s="18" t="s">
        <v>242</v>
      </c>
    </row>
    <row r="9" spans="1:21">
      <c r="B9" s="5" t="s">
        <v>34</v>
      </c>
    </row>
    <row r="10" spans="1:21" ht="16">
      <c r="A10" s="61" t="s">
        <v>243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</row>
    <row r="11" spans="1:21">
      <c r="A11" s="17" t="s">
        <v>33</v>
      </c>
      <c r="B11" s="16" t="s">
        <v>244</v>
      </c>
      <c r="C11" s="16" t="s">
        <v>245</v>
      </c>
      <c r="D11" s="16" t="s">
        <v>246</v>
      </c>
      <c r="E11" s="16" t="str">
        <f>"1,2750"</f>
        <v>1,2750</v>
      </c>
      <c r="F11" s="16" t="s">
        <v>1461</v>
      </c>
      <c r="G11" s="23" t="s">
        <v>58</v>
      </c>
      <c r="H11" s="22" t="s">
        <v>59</v>
      </c>
      <c r="I11" s="22" t="s">
        <v>59</v>
      </c>
      <c r="J11" s="17"/>
      <c r="K11" s="23" t="s">
        <v>228</v>
      </c>
      <c r="L11" s="23" t="s">
        <v>229</v>
      </c>
      <c r="M11" s="22" t="s">
        <v>241</v>
      </c>
      <c r="N11" s="17"/>
      <c r="O11" s="23" t="s">
        <v>247</v>
      </c>
      <c r="P11" s="23" t="s">
        <v>248</v>
      </c>
      <c r="Q11" s="23" t="s">
        <v>59</v>
      </c>
      <c r="R11" s="17"/>
      <c r="S11" s="29" t="str">
        <f>"230,0"</f>
        <v>230,0</v>
      </c>
      <c r="T11" s="17" t="str">
        <f>"293,2500"</f>
        <v>293,2500</v>
      </c>
      <c r="U11" s="16" t="s">
        <v>249</v>
      </c>
    </row>
    <row r="12" spans="1:21">
      <c r="A12" s="21" t="s">
        <v>219</v>
      </c>
      <c r="B12" s="20" t="s">
        <v>250</v>
      </c>
      <c r="C12" s="20" t="s">
        <v>251</v>
      </c>
      <c r="D12" s="20" t="s">
        <v>252</v>
      </c>
      <c r="E12" s="20" t="str">
        <f>"1,2730"</f>
        <v>1,2730</v>
      </c>
      <c r="F12" s="20" t="s">
        <v>1459</v>
      </c>
      <c r="G12" s="27" t="s">
        <v>253</v>
      </c>
      <c r="H12" s="26" t="s">
        <v>247</v>
      </c>
      <c r="I12" s="27" t="s">
        <v>226</v>
      </c>
      <c r="J12" s="21"/>
      <c r="K12" s="27" t="s">
        <v>254</v>
      </c>
      <c r="L12" s="26" t="s">
        <v>255</v>
      </c>
      <c r="M12" s="26" t="s">
        <v>48</v>
      </c>
      <c r="N12" s="21"/>
      <c r="O12" s="27" t="s">
        <v>253</v>
      </c>
      <c r="P12" s="26" t="s">
        <v>247</v>
      </c>
      <c r="Q12" s="26" t="s">
        <v>226</v>
      </c>
      <c r="R12" s="21"/>
      <c r="S12" s="30" t="str">
        <f>"220,0"</f>
        <v>220,0</v>
      </c>
      <c r="T12" s="21" t="str">
        <f>"280,0600"</f>
        <v>280,0600</v>
      </c>
      <c r="U12" s="20" t="s">
        <v>256</v>
      </c>
    </row>
    <row r="13" spans="1:21">
      <c r="A13" s="21" t="s">
        <v>220</v>
      </c>
      <c r="B13" s="20" t="s">
        <v>257</v>
      </c>
      <c r="C13" s="20" t="s">
        <v>258</v>
      </c>
      <c r="D13" s="20" t="s">
        <v>259</v>
      </c>
      <c r="E13" s="20" t="str">
        <f>"1,2541"</f>
        <v>1,2541</v>
      </c>
      <c r="F13" s="20" t="s">
        <v>1462</v>
      </c>
      <c r="G13" s="26" t="s">
        <v>260</v>
      </c>
      <c r="H13" s="26" t="s">
        <v>261</v>
      </c>
      <c r="I13" s="26" t="s">
        <v>262</v>
      </c>
      <c r="J13" s="21"/>
      <c r="K13" s="26" t="s">
        <v>229</v>
      </c>
      <c r="L13" s="26" t="s">
        <v>241</v>
      </c>
      <c r="M13" s="27" t="s">
        <v>254</v>
      </c>
      <c r="N13" s="21"/>
      <c r="O13" s="26" t="s">
        <v>226</v>
      </c>
      <c r="P13" s="26" t="s">
        <v>227</v>
      </c>
      <c r="Q13" s="27" t="s">
        <v>47</v>
      </c>
      <c r="R13" s="21"/>
      <c r="S13" s="30" t="str">
        <f>"212,5"</f>
        <v>212,5</v>
      </c>
      <c r="T13" s="21" t="str">
        <f>"266,4962"</f>
        <v>266,4962</v>
      </c>
      <c r="U13" s="20" t="s">
        <v>263</v>
      </c>
    </row>
    <row r="14" spans="1:21">
      <c r="A14" s="19" t="s">
        <v>33</v>
      </c>
      <c r="B14" s="18" t="s">
        <v>264</v>
      </c>
      <c r="C14" s="18" t="s">
        <v>1295</v>
      </c>
      <c r="D14" s="18" t="s">
        <v>265</v>
      </c>
      <c r="E14" s="18" t="str">
        <f>"1,2597"</f>
        <v>1,2597</v>
      </c>
      <c r="F14" s="18" t="s">
        <v>1460</v>
      </c>
      <c r="G14" s="25" t="s">
        <v>228</v>
      </c>
      <c r="H14" s="25" t="s">
        <v>254</v>
      </c>
      <c r="I14" s="24" t="s">
        <v>48</v>
      </c>
      <c r="J14" s="19"/>
      <c r="K14" s="25" t="s">
        <v>228</v>
      </c>
      <c r="L14" s="25" t="s">
        <v>235</v>
      </c>
      <c r="M14" s="24" t="s">
        <v>229</v>
      </c>
      <c r="N14" s="19"/>
      <c r="O14" s="24" t="s">
        <v>59</v>
      </c>
      <c r="P14" s="25" t="s">
        <v>236</v>
      </c>
      <c r="Q14" s="24" t="s">
        <v>98</v>
      </c>
      <c r="R14" s="19"/>
      <c r="S14" s="31" t="str">
        <f>"190,0"</f>
        <v>190,0</v>
      </c>
      <c r="T14" s="19" t="str">
        <f>"288,8870"</f>
        <v>288,8870</v>
      </c>
      <c r="U14" s="18"/>
    </row>
    <row r="15" spans="1:21">
      <c r="B15" s="5" t="s">
        <v>34</v>
      </c>
    </row>
    <row r="16" spans="1:21" ht="16">
      <c r="A16" s="61" t="s">
        <v>43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</row>
    <row r="17" spans="1:21">
      <c r="A17" s="17" t="s">
        <v>33</v>
      </c>
      <c r="B17" s="16" t="s">
        <v>266</v>
      </c>
      <c r="C17" s="16" t="s">
        <v>267</v>
      </c>
      <c r="D17" s="16" t="s">
        <v>268</v>
      </c>
      <c r="E17" s="16" t="str">
        <f>"1,2194"</f>
        <v>1,2194</v>
      </c>
      <c r="F17" s="16" t="s">
        <v>1459</v>
      </c>
      <c r="G17" s="23" t="s">
        <v>98</v>
      </c>
      <c r="H17" s="22" t="s">
        <v>67</v>
      </c>
      <c r="I17" s="23" t="s">
        <v>67</v>
      </c>
      <c r="J17" s="17"/>
      <c r="K17" s="23" t="s">
        <v>269</v>
      </c>
      <c r="L17" s="23" t="s">
        <v>270</v>
      </c>
      <c r="M17" s="22" t="s">
        <v>271</v>
      </c>
      <c r="N17" s="17"/>
      <c r="O17" s="23" t="s">
        <v>61</v>
      </c>
      <c r="P17" s="22" t="s">
        <v>40</v>
      </c>
      <c r="Q17" s="23" t="s">
        <v>113</v>
      </c>
      <c r="R17" s="17"/>
      <c r="S17" s="29" t="str">
        <f>"320,0"</f>
        <v>320,0</v>
      </c>
      <c r="T17" s="17" t="str">
        <f>"390,2080"</f>
        <v>390,2080</v>
      </c>
      <c r="U17" s="16" t="s">
        <v>272</v>
      </c>
    </row>
    <row r="18" spans="1:21">
      <c r="A18" s="21" t="s">
        <v>219</v>
      </c>
      <c r="B18" s="20" t="s">
        <v>273</v>
      </c>
      <c r="C18" s="20" t="s">
        <v>274</v>
      </c>
      <c r="D18" s="20" t="s">
        <v>46</v>
      </c>
      <c r="E18" s="20" t="str">
        <f>"1,1783"</f>
        <v>1,1783</v>
      </c>
      <c r="F18" s="20" t="s">
        <v>1459</v>
      </c>
      <c r="G18" s="26" t="s">
        <v>261</v>
      </c>
      <c r="H18" s="26" t="s">
        <v>253</v>
      </c>
      <c r="I18" s="27" t="s">
        <v>275</v>
      </c>
      <c r="J18" s="21"/>
      <c r="K18" s="26" t="s">
        <v>254</v>
      </c>
      <c r="L18" s="27" t="s">
        <v>48</v>
      </c>
      <c r="M18" s="27" t="s">
        <v>48</v>
      </c>
      <c r="N18" s="21"/>
      <c r="O18" s="26" t="s">
        <v>247</v>
      </c>
      <c r="P18" s="27" t="s">
        <v>226</v>
      </c>
      <c r="Q18" s="26" t="s">
        <v>226</v>
      </c>
      <c r="R18" s="21"/>
      <c r="S18" s="30" t="str">
        <f>"210,0"</f>
        <v>210,0</v>
      </c>
      <c r="T18" s="21" t="str">
        <f>"247,4430"</f>
        <v>247,4430</v>
      </c>
      <c r="U18" s="20" t="s">
        <v>1438</v>
      </c>
    </row>
    <row r="19" spans="1:21">
      <c r="A19" s="21" t="s">
        <v>220</v>
      </c>
      <c r="B19" s="20" t="s">
        <v>276</v>
      </c>
      <c r="C19" s="20" t="s">
        <v>277</v>
      </c>
      <c r="D19" s="20" t="s">
        <v>278</v>
      </c>
      <c r="E19" s="20" t="str">
        <f>"1,1766"</f>
        <v>1,1766</v>
      </c>
      <c r="F19" s="20" t="s">
        <v>1463</v>
      </c>
      <c r="G19" s="26" t="s">
        <v>261</v>
      </c>
      <c r="H19" s="26" t="s">
        <v>275</v>
      </c>
      <c r="I19" s="26" t="s">
        <v>247</v>
      </c>
      <c r="J19" s="21"/>
      <c r="K19" s="26" t="s">
        <v>279</v>
      </c>
      <c r="L19" s="26" t="s">
        <v>228</v>
      </c>
      <c r="M19" s="27" t="s">
        <v>229</v>
      </c>
      <c r="N19" s="21"/>
      <c r="O19" s="26" t="s">
        <v>253</v>
      </c>
      <c r="P19" s="26" t="s">
        <v>247</v>
      </c>
      <c r="Q19" s="26" t="s">
        <v>248</v>
      </c>
      <c r="R19" s="21"/>
      <c r="S19" s="30" t="str">
        <f>"207,5"</f>
        <v>207,5</v>
      </c>
      <c r="T19" s="21" t="str">
        <f>"244,1445"</f>
        <v>244,1445</v>
      </c>
      <c r="U19" s="20" t="s">
        <v>1439</v>
      </c>
    </row>
    <row r="20" spans="1:21">
      <c r="A20" s="19" t="s">
        <v>33</v>
      </c>
      <c r="B20" s="18" t="s">
        <v>280</v>
      </c>
      <c r="C20" s="18" t="s">
        <v>1296</v>
      </c>
      <c r="D20" s="18" t="s">
        <v>281</v>
      </c>
      <c r="E20" s="18" t="str">
        <f>"1,1916"</f>
        <v>1,1916</v>
      </c>
      <c r="F20" s="18" t="s">
        <v>1459</v>
      </c>
      <c r="G20" s="25" t="s">
        <v>260</v>
      </c>
      <c r="H20" s="25" t="s">
        <v>261</v>
      </c>
      <c r="I20" s="25" t="s">
        <v>253</v>
      </c>
      <c r="J20" s="19"/>
      <c r="K20" s="25" t="s">
        <v>228</v>
      </c>
      <c r="L20" s="25" t="s">
        <v>235</v>
      </c>
      <c r="M20" s="25" t="s">
        <v>229</v>
      </c>
      <c r="N20" s="19"/>
      <c r="O20" s="24" t="s">
        <v>58</v>
      </c>
      <c r="P20" s="25" t="s">
        <v>58</v>
      </c>
      <c r="Q20" s="25" t="s">
        <v>59</v>
      </c>
      <c r="R20" s="19"/>
      <c r="S20" s="31" t="str">
        <f>"215,0"</f>
        <v>215,0</v>
      </c>
      <c r="T20" s="19" t="str">
        <f>"276,1771"</f>
        <v>276,1771</v>
      </c>
      <c r="U20" s="18" t="s">
        <v>282</v>
      </c>
    </row>
    <row r="21" spans="1:21">
      <c r="B21" s="5" t="s">
        <v>34</v>
      </c>
    </row>
    <row r="22" spans="1:21" ht="16">
      <c r="A22" s="61" t="s">
        <v>283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</row>
    <row r="23" spans="1:21">
      <c r="A23" s="17" t="s">
        <v>218</v>
      </c>
      <c r="B23" s="16" t="s">
        <v>284</v>
      </c>
      <c r="C23" s="16" t="s">
        <v>1297</v>
      </c>
      <c r="D23" s="16" t="s">
        <v>285</v>
      </c>
      <c r="E23" s="16" t="str">
        <f>"1,1386"</f>
        <v>1,1386</v>
      </c>
      <c r="F23" s="16" t="s">
        <v>1460</v>
      </c>
      <c r="G23" s="23" t="s">
        <v>59</v>
      </c>
      <c r="H23" s="23" t="s">
        <v>47</v>
      </c>
      <c r="I23" s="22" t="s">
        <v>286</v>
      </c>
      <c r="J23" s="17"/>
      <c r="K23" s="23" t="s">
        <v>229</v>
      </c>
      <c r="L23" s="22" t="s">
        <v>254</v>
      </c>
      <c r="M23" s="22" t="s">
        <v>254</v>
      </c>
      <c r="N23" s="17"/>
      <c r="O23" s="22" t="s">
        <v>98</v>
      </c>
      <c r="P23" s="22" t="s">
        <v>98</v>
      </c>
      <c r="Q23" s="22" t="s">
        <v>98</v>
      </c>
      <c r="R23" s="17"/>
      <c r="S23" s="29">
        <v>0</v>
      </c>
      <c r="T23" s="17" t="str">
        <f>"0,0000"</f>
        <v>0,0000</v>
      </c>
      <c r="U23" s="16" t="s">
        <v>287</v>
      </c>
    </row>
    <row r="24" spans="1:21">
      <c r="A24" s="21" t="s">
        <v>33</v>
      </c>
      <c r="B24" s="20" t="s">
        <v>288</v>
      </c>
      <c r="C24" s="20" t="s">
        <v>289</v>
      </c>
      <c r="D24" s="20" t="s">
        <v>290</v>
      </c>
      <c r="E24" s="20" t="str">
        <f>"1,1281"</f>
        <v>1,1281</v>
      </c>
      <c r="F24" s="20" t="s">
        <v>1464</v>
      </c>
      <c r="G24" s="26" t="s">
        <v>261</v>
      </c>
      <c r="H24" s="26" t="s">
        <v>253</v>
      </c>
      <c r="I24" s="26" t="s">
        <v>275</v>
      </c>
      <c r="J24" s="21"/>
      <c r="K24" s="27" t="s">
        <v>228</v>
      </c>
      <c r="L24" s="26" t="s">
        <v>228</v>
      </c>
      <c r="M24" s="27" t="s">
        <v>235</v>
      </c>
      <c r="N24" s="21"/>
      <c r="O24" s="26" t="s">
        <v>98</v>
      </c>
      <c r="P24" s="26" t="s">
        <v>47</v>
      </c>
      <c r="Q24" s="26" t="s">
        <v>286</v>
      </c>
      <c r="R24" s="21"/>
      <c r="S24" s="30" t="str">
        <f>"225,0"</f>
        <v>225,0</v>
      </c>
      <c r="T24" s="21" t="str">
        <f>"253,8225"</f>
        <v>253,8225</v>
      </c>
      <c r="U24" s="20" t="s">
        <v>291</v>
      </c>
    </row>
    <row r="25" spans="1:21">
      <c r="A25" s="21" t="s">
        <v>219</v>
      </c>
      <c r="B25" s="20" t="s">
        <v>292</v>
      </c>
      <c r="C25" s="20" t="s">
        <v>293</v>
      </c>
      <c r="D25" s="20" t="s">
        <v>294</v>
      </c>
      <c r="E25" s="20" t="str">
        <f>"1,1192"</f>
        <v>1,1192</v>
      </c>
      <c r="F25" s="20" t="s">
        <v>1463</v>
      </c>
      <c r="G25" s="26" t="s">
        <v>295</v>
      </c>
      <c r="H25" s="27" t="s">
        <v>253</v>
      </c>
      <c r="I25" s="26" t="s">
        <v>253</v>
      </c>
      <c r="J25" s="21"/>
      <c r="K25" s="26" t="s">
        <v>235</v>
      </c>
      <c r="L25" s="26" t="s">
        <v>241</v>
      </c>
      <c r="M25" s="27" t="s">
        <v>254</v>
      </c>
      <c r="N25" s="21"/>
      <c r="O25" s="26" t="s">
        <v>253</v>
      </c>
      <c r="P25" s="26" t="s">
        <v>234</v>
      </c>
      <c r="Q25" s="27" t="s">
        <v>58</v>
      </c>
      <c r="R25" s="21"/>
      <c r="S25" s="30" t="str">
        <f>"205,0"</f>
        <v>205,0</v>
      </c>
      <c r="T25" s="21" t="str">
        <f>"229,4360"</f>
        <v>229,4360</v>
      </c>
      <c r="U25" s="20" t="s">
        <v>1439</v>
      </c>
    </row>
    <row r="26" spans="1:21">
      <c r="A26" s="21" t="s">
        <v>33</v>
      </c>
      <c r="B26" s="20" t="s">
        <v>296</v>
      </c>
      <c r="C26" s="20" t="s">
        <v>1298</v>
      </c>
      <c r="D26" s="20" t="s">
        <v>297</v>
      </c>
      <c r="E26" s="20" t="str">
        <f>"1,1541"</f>
        <v>1,1541</v>
      </c>
      <c r="F26" s="20" t="s">
        <v>1579</v>
      </c>
      <c r="G26" s="27" t="s">
        <v>79</v>
      </c>
      <c r="H26" s="26" t="s">
        <v>79</v>
      </c>
      <c r="I26" s="26" t="s">
        <v>298</v>
      </c>
      <c r="J26" s="21"/>
      <c r="K26" s="26" t="s">
        <v>261</v>
      </c>
      <c r="L26" s="26" t="s">
        <v>262</v>
      </c>
      <c r="M26" s="27" t="s">
        <v>253</v>
      </c>
      <c r="N26" s="21"/>
      <c r="O26" s="27" t="s">
        <v>123</v>
      </c>
      <c r="P26" s="26" t="s">
        <v>61</v>
      </c>
      <c r="Q26" s="26" t="s">
        <v>124</v>
      </c>
      <c r="R26" s="21"/>
      <c r="S26" s="30" t="str">
        <f>"347,5"</f>
        <v>347,5</v>
      </c>
      <c r="T26" s="21" t="str">
        <f>"401,0497"</f>
        <v>401,0497</v>
      </c>
      <c r="U26" s="20"/>
    </row>
    <row r="27" spans="1:21">
      <c r="A27" s="19" t="s">
        <v>33</v>
      </c>
      <c r="B27" s="18" t="s">
        <v>299</v>
      </c>
      <c r="C27" s="18" t="s">
        <v>1299</v>
      </c>
      <c r="D27" s="18" t="s">
        <v>300</v>
      </c>
      <c r="E27" s="18" t="str">
        <f>"1,1207"</f>
        <v>1,1207</v>
      </c>
      <c r="F27" s="18" t="s">
        <v>1459</v>
      </c>
      <c r="G27" s="24" t="s">
        <v>253</v>
      </c>
      <c r="H27" s="25" t="s">
        <v>247</v>
      </c>
      <c r="I27" s="24" t="s">
        <v>59</v>
      </c>
      <c r="J27" s="19"/>
      <c r="K27" s="25" t="s">
        <v>301</v>
      </c>
      <c r="L27" s="25" t="s">
        <v>228</v>
      </c>
      <c r="M27" s="24" t="s">
        <v>235</v>
      </c>
      <c r="N27" s="19"/>
      <c r="O27" s="25" t="s">
        <v>261</v>
      </c>
      <c r="P27" s="25" t="s">
        <v>247</v>
      </c>
      <c r="Q27" s="25" t="s">
        <v>58</v>
      </c>
      <c r="R27" s="19"/>
      <c r="S27" s="31" t="str">
        <f>"210,0"</f>
        <v>210,0</v>
      </c>
      <c r="T27" s="19" t="str">
        <f>"253,7041"</f>
        <v>253,7041</v>
      </c>
      <c r="U27" s="18"/>
    </row>
    <row r="28" spans="1:21">
      <c r="B28" s="5" t="s">
        <v>34</v>
      </c>
    </row>
    <row r="29" spans="1:21" ht="16">
      <c r="A29" s="61" t="s">
        <v>51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</row>
    <row r="30" spans="1:21">
      <c r="A30" s="8" t="s">
        <v>33</v>
      </c>
      <c r="B30" s="7" t="s">
        <v>302</v>
      </c>
      <c r="C30" s="7" t="s">
        <v>303</v>
      </c>
      <c r="D30" s="7" t="s">
        <v>304</v>
      </c>
      <c r="E30" s="7" t="str">
        <f>"1,0362"</f>
        <v>1,0362</v>
      </c>
      <c r="F30" s="7" t="s">
        <v>1465</v>
      </c>
      <c r="G30" s="15" t="s">
        <v>81</v>
      </c>
      <c r="H30" s="14" t="s">
        <v>55</v>
      </c>
      <c r="I30" s="15" t="s">
        <v>55</v>
      </c>
      <c r="J30" s="8"/>
      <c r="K30" s="15" t="s">
        <v>271</v>
      </c>
      <c r="L30" s="15" t="s">
        <v>295</v>
      </c>
      <c r="M30" s="14" t="s">
        <v>262</v>
      </c>
      <c r="N30" s="8"/>
      <c r="O30" s="15" t="s">
        <v>81</v>
      </c>
      <c r="P30" s="15" t="s">
        <v>55</v>
      </c>
      <c r="Q30" s="14" t="s">
        <v>57</v>
      </c>
      <c r="R30" s="8"/>
      <c r="S30" s="32" t="str">
        <f>"337,5"</f>
        <v>337,5</v>
      </c>
      <c r="T30" s="8" t="str">
        <f>"349,7175"</f>
        <v>349,7175</v>
      </c>
      <c r="U30" s="7"/>
    </row>
    <row r="31" spans="1:21">
      <c r="B31" s="5" t="s">
        <v>34</v>
      </c>
    </row>
    <row r="32" spans="1:21" ht="16">
      <c r="A32" s="61" t="s">
        <v>73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</row>
    <row r="33" spans="1:21">
      <c r="A33" s="17" t="s">
        <v>33</v>
      </c>
      <c r="B33" s="16" t="s">
        <v>305</v>
      </c>
      <c r="C33" s="16" t="s">
        <v>306</v>
      </c>
      <c r="D33" s="16" t="s">
        <v>307</v>
      </c>
      <c r="E33" s="16" t="str">
        <f>"0,9587"</f>
        <v>0,9587</v>
      </c>
      <c r="F33" s="16" t="s">
        <v>1459</v>
      </c>
      <c r="G33" s="22" t="s">
        <v>80</v>
      </c>
      <c r="H33" s="22" t="s">
        <v>80</v>
      </c>
      <c r="I33" s="23" t="s">
        <v>80</v>
      </c>
      <c r="J33" s="17"/>
      <c r="K33" s="23" t="s">
        <v>48</v>
      </c>
      <c r="L33" s="23" t="s">
        <v>270</v>
      </c>
      <c r="M33" s="22" t="s">
        <v>260</v>
      </c>
      <c r="N33" s="17"/>
      <c r="O33" s="23" t="s">
        <v>55</v>
      </c>
      <c r="P33" s="23" t="s">
        <v>60</v>
      </c>
      <c r="Q33" s="22" t="s">
        <v>61</v>
      </c>
      <c r="R33" s="17"/>
      <c r="S33" s="29" t="str">
        <f>"330,0"</f>
        <v>330,0</v>
      </c>
      <c r="T33" s="17" t="str">
        <f>"316,3710"</f>
        <v>316,3710</v>
      </c>
      <c r="U33" s="16" t="s">
        <v>308</v>
      </c>
    </row>
    <row r="34" spans="1:21">
      <c r="A34" s="21" t="s">
        <v>219</v>
      </c>
      <c r="B34" s="20" t="s">
        <v>309</v>
      </c>
      <c r="C34" s="20" t="s">
        <v>310</v>
      </c>
      <c r="D34" s="20" t="s">
        <v>311</v>
      </c>
      <c r="E34" s="20" t="str">
        <f>"0,9948"</f>
        <v>0,9948</v>
      </c>
      <c r="F34" s="20" t="s">
        <v>1466</v>
      </c>
      <c r="G34" s="27" t="s">
        <v>182</v>
      </c>
      <c r="H34" s="26" t="s">
        <v>182</v>
      </c>
      <c r="I34" s="27" t="s">
        <v>79</v>
      </c>
      <c r="J34" s="21"/>
      <c r="K34" s="26" t="s">
        <v>261</v>
      </c>
      <c r="L34" s="27" t="s">
        <v>253</v>
      </c>
      <c r="M34" s="27" t="s">
        <v>253</v>
      </c>
      <c r="N34" s="21"/>
      <c r="O34" s="27" t="s">
        <v>98</v>
      </c>
      <c r="P34" s="26" t="s">
        <v>99</v>
      </c>
      <c r="Q34" s="26" t="s">
        <v>182</v>
      </c>
      <c r="R34" s="21"/>
      <c r="S34" s="30" t="str">
        <f>"300,0"</f>
        <v>300,0</v>
      </c>
      <c r="T34" s="21" t="str">
        <f>"298,4400"</f>
        <v>298,4400</v>
      </c>
      <c r="U34" s="20" t="s">
        <v>312</v>
      </c>
    </row>
    <row r="35" spans="1:21">
      <c r="A35" s="19" t="s">
        <v>220</v>
      </c>
      <c r="B35" s="18" t="s">
        <v>313</v>
      </c>
      <c r="C35" s="18" t="s">
        <v>314</v>
      </c>
      <c r="D35" s="18" t="s">
        <v>315</v>
      </c>
      <c r="E35" s="18" t="str">
        <f>"0,9843"</f>
        <v>0,9843</v>
      </c>
      <c r="F35" s="18" t="s">
        <v>1459</v>
      </c>
      <c r="G35" s="25" t="s">
        <v>271</v>
      </c>
      <c r="H35" s="25" t="s">
        <v>295</v>
      </c>
      <c r="I35" s="25" t="s">
        <v>262</v>
      </c>
      <c r="J35" s="19"/>
      <c r="K35" s="24" t="s">
        <v>229</v>
      </c>
      <c r="L35" s="25" t="s">
        <v>229</v>
      </c>
      <c r="M35" s="24" t="s">
        <v>254</v>
      </c>
      <c r="N35" s="19"/>
      <c r="O35" s="25" t="s">
        <v>275</v>
      </c>
      <c r="P35" s="25" t="s">
        <v>247</v>
      </c>
      <c r="Q35" s="24" t="s">
        <v>226</v>
      </c>
      <c r="R35" s="19"/>
      <c r="S35" s="31" t="str">
        <f>"197,5"</f>
        <v>197,5</v>
      </c>
      <c r="T35" s="19" t="str">
        <f>"194,3993"</f>
        <v>194,3993</v>
      </c>
      <c r="U35" s="18"/>
    </row>
    <row r="36" spans="1:21">
      <c r="B36" s="5" t="s">
        <v>34</v>
      </c>
    </row>
    <row r="37" spans="1:21" ht="16">
      <c r="A37" s="61" t="s">
        <v>243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</row>
    <row r="38" spans="1:21">
      <c r="A38" s="17" t="s">
        <v>33</v>
      </c>
      <c r="B38" s="16" t="s">
        <v>316</v>
      </c>
      <c r="C38" s="16" t="s">
        <v>317</v>
      </c>
      <c r="D38" s="16" t="s">
        <v>318</v>
      </c>
      <c r="E38" s="16" t="str">
        <f>"1,0058"</f>
        <v>1,0058</v>
      </c>
      <c r="F38" s="16" t="s">
        <v>1459</v>
      </c>
      <c r="G38" s="23" t="s">
        <v>262</v>
      </c>
      <c r="H38" s="23" t="s">
        <v>275</v>
      </c>
      <c r="I38" s="23" t="s">
        <v>234</v>
      </c>
      <c r="J38" s="17"/>
      <c r="K38" s="23" t="s">
        <v>235</v>
      </c>
      <c r="L38" s="23" t="s">
        <v>241</v>
      </c>
      <c r="M38" s="22" t="s">
        <v>254</v>
      </c>
      <c r="N38" s="17"/>
      <c r="O38" s="23" t="s">
        <v>226</v>
      </c>
      <c r="P38" s="23" t="s">
        <v>227</v>
      </c>
      <c r="Q38" s="22" t="s">
        <v>236</v>
      </c>
      <c r="R38" s="17"/>
      <c r="S38" s="29" t="str">
        <f>"222,5"</f>
        <v>222,5</v>
      </c>
      <c r="T38" s="17" t="str">
        <f>"223,7905"</f>
        <v>223,7905</v>
      </c>
      <c r="U38" s="16" t="s">
        <v>1440</v>
      </c>
    </row>
    <row r="39" spans="1:21">
      <c r="A39" s="19" t="s">
        <v>33</v>
      </c>
      <c r="B39" s="18" t="s">
        <v>319</v>
      </c>
      <c r="C39" s="18" t="s">
        <v>320</v>
      </c>
      <c r="D39" s="18" t="s">
        <v>321</v>
      </c>
      <c r="E39" s="18" t="str">
        <f>"1,0653"</f>
        <v>1,0653</v>
      </c>
      <c r="F39" s="18" t="s">
        <v>1459</v>
      </c>
      <c r="G39" s="25" t="s">
        <v>260</v>
      </c>
      <c r="H39" s="25" t="s">
        <v>261</v>
      </c>
      <c r="I39" s="25" t="s">
        <v>253</v>
      </c>
      <c r="J39" s="19"/>
      <c r="K39" s="25" t="s">
        <v>229</v>
      </c>
      <c r="L39" s="25" t="s">
        <v>254</v>
      </c>
      <c r="M39" s="24" t="s">
        <v>255</v>
      </c>
      <c r="N39" s="19"/>
      <c r="O39" s="25" t="s">
        <v>247</v>
      </c>
      <c r="P39" s="25" t="s">
        <v>58</v>
      </c>
      <c r="Q39" s="25" t="s">
        <v>227</v>
      </c>
      <c r="R39" s="19"/>
      <c r="S39" s="31" t="str">
        <f>"217,5"</f>
        <v>217,5</v>
      </c>
      <c r="T39" s="19" t="str">
        <f>"231,7027"</f>
        <v>231,7027</v>
      </c>
      <c r="U39" s="18" t="s">
        <v>337</v>
      </c>
    </row>
    <row r="40" spans="1:21">
      <c r="B40" s="5" t="s">
        <v>34</v>
      </c>
    </row>
    <row r="41" spans="1:21" ht="16">
      <c r="A41" s="61" t="s">
        <v>73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</row>
    <row r="42" spans="1:21">
      <c r="A42" s="17" t="s">
        <v>33</v>
      </c>
      <c r="B42" s="16" t="s">
        <v>322</v>
      </c>
      <c r="C42" s="16" t="s">
        <v>323</v>
      </c>
      <c r="D42" s="16" t="s">
        <v>324</v>
      </c>
      <c r="E42" s="16" t="str">
        <f>"0,7132"</f>
        <v>0,7132</v>
      </c>
      <c r="F42" s="16" t="s">
        <v>1467</v>
      </c>
      <c r="G42" s="23" t="s">
        <v>40</v>
      </c>
      <c r="H42" s="22" t="s">
        <v>41</v>
      </c>
      <c r="I42" s="22" t="s">
        <v>41</v>
      </c>
      <c r="J42" s="17"/>
      <c r="K42" s="23" t="s">
        <v>236</v>
      </c>
      <c r="L42" s="23" t="s">
        <v>67</v>
      </c>
      <c r="M42" s="23" t="s">
        <v>286</v>
      </c>
      <c r="N42" s="17"/>
      <c r="O42" s="23" t="s">
        <v>41</v>
      </c>
      <c r="P42" s="22" t="s">
        <v>187</v>
      </c>
      <c r="Q42" s="22" t="s">
        <v>187</v>
      </c>
      <c r="R42" s="17"/>
      <c r="S42" s="29" t="str">
        <f>"427,5"</f>
        <v>427,5</v>
      </c>
      <c r="T42" s="17" t="str">
        <f>"304,8930"</f>
        <v>304,8930</v>
      </c>
      <c r="U42" s="16"/>
    </row>
    <row r="43" spans="1:21">
      <c r="A43" s="21" t="s">
        <v>33</v>
      </c>
      <c r="B43" s="20" t="s">
        <v>325</v>
      </c>
      <c r="C43" s="20" t="s">
        <v>326</v>
      </c>
      <c r="D43" s="20" t="s">
        <v>327</v>
      </c>
      <c r="E43" s="20" t="str">
        <f>"0,7337"</f>
        <v>0,7337</v>
      </c>
      <c r="F43" s="20" t="s">
        <v>1468</v>
      </c>
      <c r="G43" s="26" t="s">
        <v>61</v>
      </c>
      <c r="H43" s="26" t="s">
        <v>18</v>
      </c>
      <c r="I43" s="26" t="s">
        <v>19</v>
      </c>
      <c r="J43" s="21"/>
      <c r="K43" s="26" t="s">
        <v>100</v>
      </c>
      <c r="L43" s="26" t="s">
        <v>328</v>
      </c>
      <c r="M43" s="26" t="s">
        <v>79</v>
      </c>
      <c r="N43" s="21"/>
      <c r="O43" s="26" t="s">
        <v>41</v>
      </c>
      <c r="P43" s="26" t="s">
        <v>187</v>
      </c>
      <c r="Q43" s="27" t="s">
        <v>68</v>
      </c>
      <c r="R43" s="21"/>
      <c r="S43" s="30" t="str">
        <f>"465,0"</f>
        <v>465,0</v>
      </c>
      <c r="T43" s="21" t="str">
        <f>"341,1705"</f>
        <v>341,1705</v>
      </c>
      <c r="U43" s="20"/>
    </row>
    <row r="44" spans="1:21">
      <c r="A44" s="21" t="s">
        <v>218</v>
      </c>
      <c r="B44" s="20" t="s">
        <v>329</v>
      </c>
      <c r="C44" s="20" t="s">
        <v>330</v>
      </c>
      <c r="D44" s="20" t="s">
        <v>331</v>
      </c>
      <c r="E44" s="20" t="str">
        <f>"0,7152"</f>
        <v>0,7152</v>
      </c>
      <c r="F44" s="20" t="s">
        <v>1459</v>
      </c>
      <c r="G44" s="27" t="s">
        <v>40</v>
      </c>
      <c r="H44" s="27" t="s">
        <v>18</v>
      </c>
      <c r="I44" s="27" t="s">
        <v>128</v>
      </c>
      <c r="J44" s="21"/>
      <c r="K44" s="27"/>
      <c r="L44" s="21"/>
      <c r="M44" s="21"/>
      <c r="N44" s="21"/>
      <c r="O44" s="27"/>
      <c r="P44" s="21"/>
      <c r="Q44" s="21"/>
      <c r="R44" s="21"/>
      <c r="S44" s="30">
        <v>0</v>
      </c>
      <c r="T44" s="21" t="str">
        <f>"0,0000"</f>
        <v>0,0000</v>
      </c>
      <c r="U44" s="20" t="s">
        <v>230</v>
      </c>
    </row>
    <row r="45" spans="1:21">
      <c r="A45" s="19" t="s">
        <v>218</v>
      </c>
      <c r="B45" s="18" t="s">
        <v>332</v>
      </c>
      <c r="C45" s="18" t="s">
        <v>1300</v>
      </c>
      <c r="D45" s="18" t="s">
        <v>333</v>
      </c>
      <c r="E45" s="18" t="str">
        <f>"0,7173"</f>
        <v>0,7173</v>
      </c>
      <c r="F45" s="18" t="s">
        <v>1459</v>
      </c>
      <c r="G45" s="24" t="s">
        <v>79</v>
      </c>
      <c r="H45" s="24" t="s">
        <v>79</v>
      </c>
      <c r="I45" s="24" t="s">
        <v>79</v>
      </c>
      <c r="J45" s="19"/>
      <c r="K45" s="24"/>
      <c r="L45" s="19"/>
      <c r="M45" s="19"/>
      <c r="N45" s="19"/>
      <c r="O45" s="24"/>
      <c r="P45" s="19"/>
      <c r="Q45" s="19"/>
      <c r="R45" s="19"/>
      <c r="S45" s="31">
        <v>0</v>
      </c>
      <c r="T45" s="19" t="str">
        <f>"0,0000"</f>
        <v>0,0000</v>
      </c>
      <c r="U45" s="18"/>
    </row>
    <row r="46" spans="1:21">
      <c r="B46" s="5" t="s">
        <v>34</v>
      </c>
    </row>
    <row r="47" spans="1:21" ht="16">
      <c r="A47" s="61" t="s">
        <v>63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</row>
    <row r="48" spans="1:21">
      <c r="A48" s="17" t="s">
        <v>33</v>
      </c>
      <c r="B48" s="16" t="s">
        <v>334</v>
      </c>
      <c r="C48" s="16" t="s">
        <v>335</v>
      </c>
      <c r="D48" s="16" t="s">
        <v>336</v>
      </c>
      <c r="E48" s="16" t="str">
        <f>"0,6769"</f>
        <v>0,6769</v>
      </c>
      <c r="F48" s="16" t="s">
        <v>1469</v>
      </c>
      <c r="G48" s="23" t="s">
        <v>70</v>
      </c>
      <c r="H48" s="22" t="s">
        <v>87</v>
      </c>
      <c r="I48" s="23" t="s">
        <v>87</v>
      </c>
      <c r="J48" s="17"/>
      <c r="K48" s="23" t="s">
        <v>79</v>
      </c>
      <c r="L48" s="23" t="s">
        <v>49</v>
      </c>
      <c r="M48" s="22" t="s">
        <v>89</v>
      </c>
      <c r="N48" s="17"/>
      <c r="O48" s="23" t="s">
        <v>105</v>
      </c>
      <c r="P48" s="23" t="s">
        <v>38</v>
      </c>
      <c r="Q48" s="22" t="s">
        <v>179</v>
      </c>
      <c r="R48" s="17"/>
      <c r="S48" s="29" t="str">
        <f>"560,0"</f>
        <v>560,0</v>
      </c>
      <c r="T48" s="17" t="str">
        <f>"379,0640"</f>
        <v>379,0640</v>
      </c>
      <c r="U48" s="16" t="s">
        <v>337</v>
      </c>
    </row>
    <row r="49" spans="1:21">
      <c r="A49" s="21" t="s">
        <v>219</v>
      </c>
      <c r="B49" s="20" t="s">
        <v>338</v>
      </c>
      <c r="C49" s="20" t="s">
        <v>339</v>
      </c>
      <c r="D49" s="20" t="s">
        <v>340</v>
      </c>
      <c r="E49" s="20" t="str">
        <f>"0,6699"</f>
        <v>0,6699</v>
      </c>
      <c r="F49" s="20" t="s">
        <v>1459</v>
      </c>
      <c r="G49" s="27" t="s">
        <v>68</v>
      </c>
      <c r="H49" s="27" t="s">
        <v>68</v>
      </c>
      <c r="I49" s="26" t="s">
        <v>68</v>
      </c>
      <c r="J49" s="21"/>
      <c r="K49" s="26" t="s">
        <v>56</v>
      </c>
      <c r="L49" s="26" t="s">
        <v>60</v>
      </c>
      <c r="M49" s="27" t="s">
        <v>123</v>
      </c>
      <c r="N49" s="21"/>
      <c r="O49" s="26" t="s">
        <v>69</v>
      </c>
      <c r="P49" s="26" t="s">
        <v>87</v>
      </c>
      <c r="Q49" s="27" t="s">
        <v>104</v>
      </c>
      <c r="R49" s="21"/>
      <c r="S49" s="30" t="str">
        <f>"530,0"</f>
        <v>530,0</v>
      </c>
      <c r="T49" s="21" t="str">
        <f>"355,0470"</f>
        <v>355,0470</v>
      </c>
      <c r="U49" s="20"/>
    </row>
    <row r="50" spans="1:21">
      <c r="A50" s="21" t="s">
        <v>220</v>
      </c>
      <c r="B50" s="20" t="s">
        <v>341</v>
      </c>
      <c r="C50" s="20" t="s">
        <v>342</v>
      </c>
      <c r="D50" s="20" t="s">
        <v>343</v>
      </c>
      <c r="E50" s="20" t="str">
        <f>"0,6981"</f>
        <v>0,6981</v>
      </c>
      <c r="F50" s="20" t="s">
        <v>1463</v>
      </c>
      <c r="G50" s="26" t="s">
        <v>61</v>
      </c>
      <c r="H50" s="26" t="s">
        <v>18</v>
      </c>
      <c r="I50" s="26" t="s">
        <v>19</v>
      </c>
      <c r="J50" s="21"/>
      <c r="K50" s="26" t="s">
        <v>81</v>
      </c>
      <c r="L50" s="26" t="s">
        <v>49</v>
      </c>
      <c r="M50" s="27" t="s">
        <v>55</v>
      </c>
      <c r="N50" s="21"/>
      <c r="O50" s="26" t="s">
        <v>77</v>
      </c>
      <c r="P50" s="26" t="s">
        <v>344</v>
      </c>
      <c r="Q50" s="27" t="s">
        <v>78</v>
      </c>
      <c r="R50" s="21"/>
      <c r="S50" s="30" t="str">
        <f>"492,5"</f>
        <v>492,5</v>
      </c>
      <c r="T50" s="21" t="str">
        <f>"343,8142"</f>
        <v>343,8142</v>
      </c>
      <c r="U50" s="20" t="s">
        <v>1439</v>
      </c>
    </row>
    <row r="51" spans="1:21">
      <c r="A51" s="21" t="s">
        <v>221</v>
      </c>
      <c r="B51" s="20" t="s">
        <v>345</v>
      </c>
      <c r="C51" s="20" t="s">
        <v>346</v>
      </c>
      <c r="D51" s="20" t="s">
        <v>347</v>
      </c>
      <c r="E51" s="20" t="str">
        <f>"0,6860"</f>
        <v>0,6860</v>
      </c>
      <c r="F51" s="20" t="s">
        <v>1580</v>
      </c>
      <c r="G51" s="26" t="s">
        <v>40</v>
      </c>
      <c r="H51" s="27" t="s">
        <v>18</v>
      </c>
      <c r="I51" s="26" t="s">
        <v>41</v>
      </c>
      <c r="J51" s="21"/>
      <c r="K51" s="26" t="s">
        <v>79</v>
      </c>
      <c r="L51" s="26" t="s">
        <v>80</v>
      </c>
      <c r="M51" s="26" t="s">
        <v>49</v>
      </c>
      <c r="N51" s="21"/>
      <c r="O51" s="26" t="s">
        <v>187</v>
      </c>
      <c r="P51" s="26" t="s">
        <v>68</v>
      </c>
      <c r="Q51" s="26" t="s">
        <v>69</v>
      </c>
      <c r="R51" s="21"/>
      <c r="S51" s="30" t="str">
        <f>"485,0"</f>
        <v>485,0</v>
      </c>
      <c r="T51" s="21" t="str">
        <f>"332,7100"</f>
        <v>332,7100</v>
      </c>
      <c r="U51" s="20"/>
    </row>
    <row r="52" spans="1:21">
      <c r="A52" s="19" t="s">
        <v>33</v>
      </c>
      <c r="B52" s="18" t="s">
        <v>348</v>
      </c>
      <c r="C52" s="18" t="s">
        <v>1301</v>
      </c>
      <c r="D52" s="18" t="s">
        <v>349</v>
      </c>
      <c r="E52" s="18" t="str">
        <f>"0,6969"</f>
        <v>0,6969</v>
      </c>
      <c r="F52" s="18" t="s">
        <v>1459</v>
      </c>
      <c r="G52" s="24" t="s">
        <v>55</v>
      </c>
      <c r="H52" s="25" t="s">
        <v>55</v>
      </c>
      <c r="I52" s="24" t="s">
        <v>60</v>
      </c>
      <c r="J52" s="19"/>
      <c r="K52" s="25" t="s">
        <v>47</v>
      </c>
      <c r="L52" s="25" t="s">
        <v>99</v>
      </c>
      <c r="M52" s="24" t="s">
        <v>100</v>
      </c>
      <c r="N52" s="19"/>
      <c r="O52" s="25" t="s">
        <v>41</v>
      </c>
      <c r="P52" s="25" t="s">
        <v>19</v>
      </c>
      <c r="Q52" s="25" t="s">
        <v>187</v>
      </c>
      <c r="R52" s="19"/>
      <c r="S52" s="31" t="str">
        <f>"420,0"</f>
        <v>420,0</v>
      </c>
      <c r="T52" s="19" t="str">
        <f>"292,6980"</f>
        <v>292,6980</v>
      </c>
      <c r="U52" s="18" t="s">
        <v>350</v>
      </c>
    </row>
    <row r="53" spans="1:21">
      <c r="B53" s="5" t="s">
        <v>34</v>
      </c>
    </row>
    <row r="54" spans="1:21" ht="16">
      <c r="A54" s="61" t="s">
        <v>14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</row>
    <row r="55" spans="1:21">
      <c r="A55" s="17" t="s">
        <v>33</v>
      </c>
      <c r="B55" s="16" t="s">
        <v>351</v>
      </c>
      <c r="C55" s="16" t="s">
        <v>352</v>
      </c>
      <c r="D55" s="16" t="s">
        <v>353</v>
      </c>
      <c r="E55" s="16" t="str">
        <f>"0,6511"</f>
        <v>0,6511</v>
      </c>
      <c r="F55" s="16" t="s">
        <v>1462</v>
      </c>
      <c r="G55" s="22" t="s">
        <v>55</v>
      </c>
      <c r="H55" s="23" t="s">
        <v>55</v>
      </c>
      <c r="I55" s="22" t="s">
        <v>60</v>
      </c>
      <c r="J55" s="17"/>
      <c r="K55" s="23" t="s">
        <v>98</v>
      </c>
      <c r="L55" s="22" t="s">
        <v>47</v>
      </c>
      <c r="M55" s="22" t="s">
        <v>286</v>
      </c>
      <c r="N55" s="17"/>
      <c r="O55" s="23" t="s">
        <v>56</v>
      </c>
      <c r="P55" s="23" t="s">
        <v>61</v>
      </c>
      <c r="Q55" s="23" t="s">
        <v>41</v>
      </c>
      <c r="R55" s="17"/>
      <c r="S55" s="29" t="str">
        <f>"400,0"</f>
        <v>400,0</v>
      </c>
      <c r="T55" s="17" t="str">
        <f>"260,4400"</f>
        <v>260,4400</v>
      </c>
      <c r="U55" s="16"/>
    </row>
    <row r="56" spans="1:21">
      <c r="A56" s="21" t="s">
        <v>33</v>
      </c>
      <c r="B56" s="20" t="s">
        <v>354</v>
      </c>
      <c r="C56" s="20" t="s">
        <v>1302</v>
      </c>
      <c r="D56" s="20" t="s">
        <v>355</v>
      </c>
      <c r="E56" s="20" t="str">
        <f>"0,6398"</f>
        <v>0,6398</v>
      </c>
      <c r="F56" s="20" t="s">
        <v>1470</v>
      </c>
      <c r="G56" s="26" t="s">
        <v>19</v>
      </c>
      <c r="H56" s="26" t="s">
        <v>77</v>
      </c>
      <c r="I56" s="26" t="s">
        <v>68</v>
      </c>
      <c r="J56" s="21"/>
      <c r="K56" s="26" t="s">
        <v>356</v>
      </c>
      <c r="L56" s="26" t="s">
        <v>60</v>
      </c>
      <c r="M56" s="26" t="s">
        <v>61</v>
      </c>
      <c r="N56" s="21"/>
      <c r="O56" s="26" t="s">
        <v>104</v>
      </c>
      <c r="P56" s="27" t="s">
        <v>106</v>
      </c>
      <c r="Q56" s="26" t="s">
        <v>106</v>
      </c>
      <c r="R56" s="21"/>
      <c r="S56" s="30" t="str">
        <f>"560,0"</f>
        <v>560,0</v>
      </c>
      <c r="T56" s="21" t="str">
        <f>"358,2880"</f>
        <v>358,2880</v>
      </c>
      <c r="U56" s="20"/>
    </row>
    <row r="57" spans="1:21">
      <c r="A57" s="21" t="s">
        <v>33</v>
      </c>
      <c r="B57" s="20" t="s">
        <v>357</v>
      </c>
      <c r="C57" s="20" t="s">
        <v>358</v>
      </c>
      <c r="D57" s="20" t="s">
        <v>359</v>
      </c>
      <c r="E57" s="20" t="str">
        <f>"0,6421"</f>
        <v>0,6421</v>
      </c>
      <c r="F57" s="20" t="s">
        <v>1471</v>
      </c>
      <c r="G57" s="26" t="s">
        <v>344</v>
      </c>
      <c r="H57" s="26" t="s">
        <v>87</v>
      </c>
      <c r="I57" s="26" t="s">
        <v>88</v>
      </c>
      <c r="J57" s="21"/>
      <c r="K57" s="26" t="s">
        <v>60</v>
      </c>
      <c r="L57" s="26" t="s">
        <v>61</v>
      </c>
      <c r="M57" s="26" t="s">
        <v>40</v>
      </c>
      <c r="N57" s="21"/>
      <c r="O57" s="26" t="s">
        <v>105</v>
      </c>
      <c r="P57" s="27" t="s">
        <v>179</v>
      </c>
      <c r="Q57" s="26" t="s">
        <v>179</v>
      </c>
      <c r="R57" s="21"/>
      <c r="S57" s="30" t="str">
        <f>"597,5"</f>
        <v>597,5</v>
      </c>
      <c r="T57" s="21" t="str">
        <f>"383,6547"</f>
        <v>383,6547</v>
      </c>
      <c r="U57" s="20" t="s">
        <v>360</v>
      </c>
    </row>
    <row r="58" spans="1:21">
      <c r="A58" s="21" t="s">
        <v>219</v>
      </c>
      <c r="B58" s="20" t="s">
        <v>361</v>
      </c>
      <c r="C58" s="20" t="s">
        <v>362</v>
      </c>
      <c r="D58" s="20" t="s">
        <v>363</v>
      </c>
      <c r="E58" s="20" t="str">
        <f>"0,6491"</f>
        <v>0,6491</v>
      </c>
      <c r="F58" s="20" t="s">
        <v>1472</v>
      </c>
      <c r="G58" s="27" t="s">
        <v>68</v>
      </c>
      <c r="H58" s="26" t="s">
        <v>68</v>
      </c>
      <c r="I58" s="26" t="s">
        <v>70</v>
      </c>
      <c r="J58" s="21"/>
      <c r="K58" s="26" t="s">
        <v>57</v>
      </c>
      <c r="L58" s="26" t="s">
        <v>123</v>
      </c>
      <c r="M58" s="26" t="s">
        <v>61</v>
      </c>
      <c r="N58" s="21"/>
      <c r="O58" s="26" t="s">
        <v>17</v>
      </c>
      <c r="P58" s="26" t="s">
        <v>39</v>
      </c>
      <c r="Q58" s="21"/>
      <c r="R58" s="21"/>
      <c r="S58" s="30" t="str">
        <f>"595,0"</f>
        <v>595,0</v>
      </c>
      <c r="T58" s="21" t="str">
        <f>"386,2145"</f>
        <v>386,2145</v>
      </c>
      <c r="U58" s="20"/>
    </row>
    <row r="59" spans="1:21">
      <c r="A59" s="21" t="s">
        <v>220</v>
      </c>
      <c r="B59" s="20" t="s">
        <v>364</v>
      </c>
      <c r="C59" s="20" t="s">
        <v>365</v>
      </c>
      <c r="D59" s="20" t="s">
        <v>366</v>
      </c>
      <c r="E59" s="20" t="str">
        <f>"0,6410"</f>
        <v>0,6410</v>
      </c>
      <c r="F59" s="20" t="s">
        <v>1473</v>
      </c>
      <c r="G59" s="27" t="s">
        <v>78</v>
      </c>
      <c r="H59" s="27" t="s">
        <v>78</v>
      </c>
      <c r="I59" s="26" t="s">
        <v>78</v>
      </c>
      <c r="J59" s="21"/>
      <c r="K59" s="26" t="s">
        <v>49</v>
      </c>
      <c r="L59" s="26" t="s">
        <v>356</v>
      </c>
      <c r="M59" s="27" t="s">
        <v>57</v>
      </c>
      <c r="N59" s="21"/>
      <c r="O59" s="26" t="s">
        <v>105</v>
      </c>
      <c r="P59" s="27" t="s">
        <v>17</v>
      </c>
      <c r="Q59" s="26" t="s">
        <v>17</v>
      </c>
      <c r="R59" s="21"/>
      <c r="S59" s="30" t="str">
        <f>"580,0"</f>
        <v>580,0</v>
      </c>
      <c r="T59" s="21" t="str">
        <f>"371,7800"</f>
        <v>371,7800</v>
      </c>
      <c r="U59" s="20"/>
    </row>
    <row r="60" spans="1:21">
      <c r="A60" s="21" t="s">
        <v>221</v>
      </c>
      <c r="B60" s="20" t="s">
        <v>367</v>
      </c>
      <c r="C60" s="20" t="s">
        <v>368</v>
      </c>
      <c r="D60" s="20" t="s">
        <v>355</v>
      </c>
      <c r="E60" s="20" t="str">
        <f>"0,6398"</f>
        <v>0,6398</v>
      </c>
      <c r="F60" s="20" t="s">
        <v>1474</v>
      </c>
      <c r="G60" s="26" t="s">
        <v>19</v>
      </c>
      <c r="H60" s="26" t="s">
        <v>77</v>
      </c>
      <c r="I60" s="27" t="s">
        <v>69</v>
      </c>
      <c r="J60" s="21"/>
      <c r="K60" s="26" t="s">
        <v>18</v>
      </c>
      <c r="L60" s="27" t="s">
        <v>19</v>
      </c>
      <c r="M60" s="27" t="s">
        <v>19</v>
      </c>
      <c r="N60" s="21"/>
      <c r="O60" s="26" t="s">
        <v>105</v>
      </c>
      <c r="P60" s="26" t="s">
        <v>122</v>
      </c>
      <c r="Q60" s="27" t="s">
        <v>17</v>
      </c>
      <c r="R60" s="21"/>
      <c r="S60" s="30" t="str">
        <f>"575,0"</f>
        <v>575,0</v>
      </c>
      <c r="T60" s="21" t="str">
        <f>"367,8850"</f>
        <v>367,8850</v>
      </c>
      <c r="U60" s="20"/>
    </row>
    <row r="61" spans="1:21">
      <c r="A61" s="21" t="s">
        <v>405</v>
      </c>
      <c r="B61" s="20" t="s">
        <v>369</v>
      </c>
      <c r="C61" s="20" t="s">
        <v>370</v>
      </c>
      <c r="D61" s="20" t="s">
        <v>366</v>
      </c>
      <c r="E61" s="20" t="str">
        <f>"0,6410"</f>
        <v>0,6410</v>
      </c>
      <c r="F61" s="20" t="s">
        <v>1474</v>
      </c>
      <c r="G61" s="26" t="s">
        <v>18</v>
      </c>
      <c r="H61" s="27" t="s">
        <v>19</v>
      </c>
      <c r="I61" s="27" t="s">
        <v>19</v>
      </c>
      <c r="J61" s="21"/>
      <c r="K61" s="26" t="s">
        <v>60</v>
      </c>
      <c r="L61" s="27" t="s">
        <v>124</v>
      </c>
      <c r="M61" s="27" t="s">
        <v>124</v>
      </c>
      <c r="N61" s="21"/>
      <c r="O61" s="26" t="s">
        <v>88</v>
      </c>
      <c r="P61" s="26" t="s">
        <v>105</v>
      </c>
      <c r="Q61" s="27" t="s">
        <v>38</v>
      </c>
      <c r="R61" s="21"/>
      <c r="S61" s="30" t="str">
        <f>"525,0"</f>
        <v>525,0</v>
      </c>
      <c r="T61" s="21" t="str">
        <f>"336,5250"</f>
        <v>336,5250</v>
      </c>
      <c r="U61" s="20"/>
    </row>
    <row r="62" spans="1:21">
      <c r="A62" s="21" t="s">
        <v>406</v>
      </c>
      <c r="B62" s="20" t="s">
        <v>371</v>
      </c>
      <c r="C62" s="20" t="s">
        <v>372</v>
      </c>
      <c r="D62" s="20" t="s">
        <v>373</v>
      </c>
      <c r="E62" s="20" t="str">
        <f>"0,6463"</f>
        <v>0,6463</v>
      </c>
      <c r="F62" s="20" t="s">
        <v>1475</v>
      </c>
      <c r="G62" s="26" t="s">
        <v>19</v>
      </c>
      <c r="H62" s="27" t="s">
        <v>77</v>
      </c>
      <c r="I62" s="27" t="s">
        <v>77</v>
      </c>
      <c r="J62" s="21"/>
      <c r="K62" s="26" t="s">
        <v>99</v>
      </c>
      <c r="L62" s="26" t="s">
        <v>80</v>
      </c>
      <c r="M62" s="27" t="s">
        <v>55</v>
      </c>
      <c r="N62" s="21"/>
      <c r="O62" s="26" t="s">
        <v>105</v>
      </c>
      <c r="P62" s="27" t="s">
        <v>94</v>
      </c>
      <c r="Q62" s="27" t="s">
        <v>94</v>
      </c>
      <c r="R62" s="21"/>
      <c r="S62" s="30" t="str">
        <f>"515,0"</f>
        <v>515,0</v>
      </c>
      <c r="T62" s="21" t="str">
        <f>"332,8445"</f>
        <v>332,8445</v>
      </c>
      <c r="U62" s="20"/>
    </row>
    <row r="63" spans="1:21">
      <c r="A63" s="19" t="s">
        <v>33</v>
      </c>
      <c r="B63" s="18" t="s">
        <v>374</v>
      </c>
      <c r="C63" s="18" t="s">
        <v>1303</v>
      </c>
      <c r="D63" s="18" t="s">
        <v>121</v>
      </c>
      <c r="E63" s="18" t="str">
        <f>"0,6499"</f>
        <v>0,6499</v>
      </c>
      <c r="F63" s="18" t="s">
        <v>1459</v>
      </c>
      <c r="G63" s="25" t="s">
        <v>61</v>
      </c>
      <c r="H63" s="24" t="s">
        <v>19</v>
      </c>
      <c r="I63" s="24" t="s">
        <v>19</v>
      </c>
      <c r="J63" s="19"/>
      <c r="K63" s="25" t="s">
        <v>59</v>
      </c>
      <c r="L63" s="25" t="s">
        <v>98</v>
      </c>
      <c r="M63" s="24" t="s">
        <v>286</v>
      </c>
      <c r="N63" s="19"/>
      <c r="O63" s="25" t="s">
        <v>69</v>
      </c>
      <c r="P63" s="24" t="s">
        <v>87</v>
      </c>
      <c r="Q63" s="25" t="s">
        <v>88</v>
      </c>
      <c r="R63" s="19"/>
      <c r="S63" s="31" t="str">
        <f>"455,0"</f>
        <v>455,0</v>
      </c>
      <c r="T63" s="19" t="str">
        <f>"295,7045"</f>
        <v>295,7045</v>
      </c>
      <c r="U63" s="18"/>
    </row>
    <row r="64" spans="1:21">
      <c r="B64" s="5" t="s">
        <v>34</v>
      </c>
    </row>
    <row r="65" spans="1:21" ht="16">
      <c r="A65" s="61" t="s">
        <v>130</v>
      </c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</row>
    <row r="66" spans="1:21">
      <c r="A66" s="17" t="s">
        <v>33</v>
      </c>
      <c r="B66" s="16" t="s">
        <v>375</v>
      </c>
      <c r="C66" s="16" t="s">
        <v>376</v>
      </c>
      <c r="D66" s="16" t="s">
        <v>377</v>
      </c>
      <c r="E66" s="16" t="str">
        <f>"0,6111"</f>
        <v>0,6111</v>
      </c>
      <c r="F66" s="16" t="s">
        <v>1459</v>
      </c>
      <c r="G66" s="23" t="s">
        <v>105</v>
      </c>
      <c r="H66" s="22" t="s">
        <v>17</v>
      </c>
      <c r="I66" s="23" t="s">
        <v>17</v>
      </c>
      <c r="J66" s="17"/>
      <c r="K66" s="23" t="s">
        <v>187</v>
      </c>
      <c r="L66" s="23" t="s">
        <v>68</v>
      </c>
      <c r="M66" s="22" t="s">
        <v>69</v>
      </c>
      <c r="N66" s="17"/>
      <c r="O66" s="23" t="s">
        <v>39</v>
      </c>
      <c r="P66" s="23" t="s">
        <v>143</v>
      </c>
      <c r="Q66" s="22" t="s">
        <v>133</v>
      </c>
      <c r="R66" s="17"/>
      <c r="S66" s="29" t="str">
        <f>"695,0"</f>
        <v>695,0</v>
      </c>
      <c r="T66" s="17" t="str">
        <f>"424,7145"</f>
        <v>424,7145</v>
      </c>
      <c r="U66" s="16" t="s">
        <v>378</v>
      </c>
    </row>
    <row r="67" spans="1:21">
      <c r="A67" s="21" t="s">
        <v>219</v>
      </c>
      <c r="B67" s="20" t="s">
        <v>379</v>
      </c>
      <c r="C67" s="20" t="s">
        <v>380</v>
      </c>
      <c r="D67" s="20" t="s">
        <v>381</v>
      </c>
      <c r="E67" s="20" t="str">
        <f>"0,6260"</f>
        <v>0,6260</v>
      </c>
      <c r="F67" s="20" t="s">
        <v>1476</v>
      </c>
      <c r="G67" s="26" t="s">
        <v>18</v>
      </c>
      <c r="H67" s="26" t="s">
        <v>187</v>
      </c>
      <c r="I67" s="27" t="s">
        <v>68</v>
      </c>
      <c r="J67" s="21"/>
      <c r="K67" s="26" t="s">
        <v>79</v>
      </c>
      <c r="L67" s="26" t="s">
        <v>81</v>
      </c>
      <c r="M67" s="27" t="s">
        <v>55</v>
      </c>
      <c r="N67" s="21"/>
      <c r="O67" s="26" t="s">
        <v>87</v>
      </c>
      <c r="P67" s="26" t="s">
        <v>127</v>
      </c>
      <c r="Q67" s="26" t="s">
        <v>38</v>
      </c>
      <c r="R67" s="21"/>
      <c r="S67" s="30" t="str">
        <f>"532,5"</f>
        <v>532,5</v>
      </c>
      <c r="T67" s="21" t="str">
        <f>"333,3450"</f>
        <v>333,3450</v>
      </c>
      <c r="U67" s="20" t="s">
        <v>382</v>
      </c>
    </row>
    <row r="68" spans="1:21">
      <c r="A68" s="19" t="s">
        <v>33</v>
      </c>
      <c r="B68" s="18" t="s">
        <v>383</v>
      </c>
      <c r="C68" s="18" t="s">
        <v>1304</v>
      </c>
      <c r="D68" s="18" t="s">
        <v>384</v>
      </c>
      <c r="E68" s="18" t="str">
        <f>"0,6152"</f>
        <v>0,6152</v>
      </c>
      <c r="F68" s="18" t="s">
        <v>1476</v>
      </c>
      <c r="G68" s="25" t="s">
        <v>18</v>
      </c>
      <c r="H68" s="25" t="s">
        <v>187</v>
      </c>
      <c r="I68" s="24" t="s">
        <v>20</v>
      </c>
      <c r="J68" s="19"/>
      <c r="K68" s="25" t="s">
        <v>49</v>
      </c>
      <c r="L68" s="25" t="s">
        <v>356</v>
      </c>
      <c r="M68" s="25" t="s">
        <v>57</v>
      </c>
      <c r="N68" s="19"/>
      <c r="O68" s="25" t="s">
        <v>77</v>
      </c>
      <c r="P68" s="25" t="s">
        <v>70</v>
      </c>
      <c r="Q68" s="25" t="s">
        <v>104</v>
      </c>
      <c r="R68" s="19"/>
      <c r="S68" s="31" t="str">
        <f>"527,5"</f>
        <v>527,5</v>
      </c>
      <c r="T68" s="19" t="str">
        <f>"329,0612"</f>
        <v>329,0612</v>
      </c>
      <c r="U68" s="18" t="s">
        <v>382</v>
      </c>
    </row>
    <row r="69" spans="1:21">
      <c r="B69" s="5" t="s">
        <v>34</v>
      </c>
    </row>
    <row r="70" spans="1:21" ht="16">
      <c r="A70" s="61" t="s">
        <v>35</v>
      </c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</row>
    <row r="71" spans="1:21">
      <c r="A71" s="8" t="s">
        <v>33</v>
      </c>
      <c r="B71" s="7" t="s">
        <v>180</v>
      </c>
      <c r="C71" s="7" t="s">
        <v>385</v>
      </c>
      <c r="D71" s="7" t="s">
        <v>181</v>
      </c>
      <c r="E71" s="7" t="str">
        <f>"0,6044"</f>
        <v>0,6044</v>
      </c>
      <c r="F71" s="7" t="s">
        <v>1587</v>
      </c>
      <c r="G71" s="14" t="s">
        <v>99</v>
      </c>
      <c r="H71" s="15" t="s">
        <v>182</v>
      </c>
      <c r="I71" s="14" t="s">
        <v>80</v>
      </c>
      <c r="J71" s="8"/>
      <c r="K71" s="15" t="s">
        <v>55</v>
      </c>
      <c r="L71" s="15" t="s">
        <v>57</v>
      </c>
      <c r="M71" s="14" t="s">
        <v>123</v>
      </c>
      <c r="N71" s="8"/>
      <c r="O71" s="15" t="s">
        <v>56</v>
      </c>
      <c r="P71" s="15" t="s">
        <v>61</v>
      </c>
      <c r="Q71" s="14" t="s">
        <v>19</v>
      </c>
      <c r="R71" s="8"/>
      <c r="S71" s="32" t="str">
        <f>"407,5"</f>
        <v>407,5</v>
      </c>
      <c r="T71" s="8" t="str">
        <f>"246,2930"</f>
        <v>246,2930</v>
      </c>
      <c r="U71" s="7" t="s">
        <v>183</v>
      </c>
    </row>
    <row r="72" spans="1:21">
      <c r="B72" s="5" t="s">
        <v>34</v>
      </c>
    </row>
    <row r="73" spans="1:21" ht="16">
      <c r="A73" s="61" t="s">
        <v>184</v>
      </c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</row>
    <row r="74" spans="1:21">
      <c r="A74" s="17" t="s">
        <v>218</v>
      </c>
      <c r="B74" s="16" t="s">
        <v>386</v>
      </c>
      <c r="C74" s="16" t="s">
        <v>1305</v>
      </c>
      <c r="D74" s="16" t="s">
        <v>387</v>
      </c>
      <c r="E74" s="16" t="str">
        <f>"0,5772"</f>
        <v>0,5772</v>
      </c>
      <c r="F74" s="16" t="s">
        <v>1477</v>
      </c>
      <c r="G74" s="22" t="s">
        <v>105</v>
      </c>
      <c r="H74" s="22" t="s">
        <v>105</v>
      </c>
      <c r="I74" s="22" t="s">
        <v>105</v>
      </c>
      <c r="J74" s="17"/>
      <c r="K74" s="22"/>
      <c r="L74" s="17"/>
      <c r="M74" s="17"/>
      <c r="N74" s="17"/>
      <c r="O74" s="22"/>
      <c r="P74" s="22"/>
      <c r="Q74" s="17"/>
      <c r="R74" s="17"/>
      <c r="S74" s="29">
        <v>0</v>
      </c>
      <c r="T74" s="17" t="str">
        <f>"0,0000"</f>
        <v>0,0000</v>
      </c>
      <c r="U74" s="16" t="s">
        <v>1441</v>
      </c>
    </row>
    <row r="75" spans="1:21">
      <c r="A75" s="19" t="s">
        <v>33</v>
      </c>
      <c r="B75" s="18" t="s">
        <v>388</v>
      </c>
      <c r="C75" s="18" t="s">
        <v>389</v>
      </c>
      <c r="D75" s="18" t="s">
        <v>390</v>
      </c>
      <c r="E75" s="18" t="str">
        <f>"0,5793"</f>
        <v>0,5793</v>
      </c>
      <c r="F75" s="18" t="s">
        <v>1459</v>
      </c>
      <c r="G75" s="25" t="s">
        <v>87</v>
      </c>
      <c r="H75" s="24" t="s">
        <v>127</v>
      </c>
      <c r="I75" s="25" t="s">
        <v>105</v>
      </c>
      <c r="J75" s="19"/>
      <c r="K75" s="25" t="s">
        <v>60</v>
      </c>
      <c r="L75" s="24" t="s">
        <v>40</v>
      </c>
      <c r="M75" s="25" t="s">
        <v>113</v>
      </c>
      <c r="N75" s="19"/>
      <c r="O75" s="25" t="s">
        <v>105</v>
      </c>
      <c r="P75" s="25" t="s">
        <v>122</v>
      </c>
      <c r="Q75" s="25" t="s">
        <v>17</v>
      </c>
      <c r="R75" s="19"/>
      <c r="S75" s="31" t="str">
        <f>"617,5"</f>
        <v>617,5</v>
      </c>
      <c r="T75" s="19" t="str">
        <f>"357,7177"</f>
        <v>357,7177</v>
      </c>
      <c r="U75" s="18"/>
    </row>
    <row r="76" spans="1:21">
      <c r="B76" s="5" t="s">
        <v>34</v>
      </c>
    </row>
    <row r="79" spans="1:21" ht="18">
      <c r="B79" s="9" t="s">
        <v>24</v>
      </c>
      <c r="C79" s="9"/>
    </row>
    <row r="80" spans="1:21" ht="16">
      <c r="B80" s="10" t="s">
        <v>205</v>
      </c>
      <c r="C80" s="10"/>
    </row>
    <row r="81" spans="2:6" ht="14">
      <c r="B81" s="11"/>
      <c r="C81" s="12" t="s">
        <v>207</v>
      </c>
    </row>
    <row r="82" spans="2:6" ht="14">
      <c r="B82" s="13" t="s">
        <v>27</v>
      </c>
      <c r="C82" s="13" t="s">
        <v>28</v>
      </c>
      <c r="D82" s="13" t="s">
        <v>1437</v>
      </c>
      <c r="E82" s="13" t="s">
        <v>30</v>
      </c>
      <c r="F82" s="13" t="s">
        <v>31</v>
      </c>
    </row>
    <row r="83" spans="2:6">
      <c r="B83" s="5" t="s">
        <v>266</v>
      </c>
      <c r="C83" s="5" t="s">
        <v>207</v>
      </c>
      <c r="D83" s="6" t="s">
        <v>391</v>
      </c>
      <c r="E83" s="6" t="s">
        <v>151</v>
      </c>
      <c r="F83" s="6" t="s">
        <v>392</v>
      </c>
    </row>
    <row r="84" spans="2:6">
      <c r="B84" s="5" t="s">
        <v>302</v>
      </c>
      <c r="C84" s="5" t="s">
        <v>207</v>
      </c>
      <c r="D84" s="6" t="s">
        <v>208</v>
      </c>
      <c r="E84" s="6" t="s">
        <v>393</v>
      </c>
      <c r="F84" s="6" t="s">
        <v>394</v>
      </c>
    </row>
    <row r="85" spans="2:6">
      <c r="B85" s="5" t="s">
        <v>305</v>
      </c>
      <c r="C85" s="5" t="s">
        <v>207</v>
      </c>
      <c r="D85" s="6" t="s">
        <v>395</v>
      </c>
      <c r="E85" s="6" t="s">
        <v>137</v>
      </c>
      <c r="F85" s="6" t="s">
        <v>396</v>
      </c>
    </row>
    <row r="87" spans="2:6" ht="16">
      <c r="B87" s="10" t="s">
        <v>25</v>
      </c>
      <c r="C87" s="10"/>
    </row>
    <row r="88" spans="2:6" ht="14">
      <c r="B88" s="11"/>
      <c r="C88" s="12" t="s">
        <v>207</v>
      </c>
    </row>
    <row r="89" spans="2:6" ht="14">
      <c r="B89" s="13" t="s">
        <v>27</v>
      </c>
      <c r="C89" s="13" t="s">
        <v>28</v>
      </c>
      <c r="D89" s="13" t="s">
        <v>1437</v>
      </c>
      <c r="E89" s="13" t="s">
        <v>30</v>
      </c>
      <c r="F89" s="13" t="s">
        <v>31</v>
      </c>
    </row>
    <row r="90" spans="2:6">
      <c r="B90" s="5" t="s">
        <v>375</v>
      </c>
      <c r="C90" s="5" t="s">
        <v>207</v>
      </c>
      <c r="D90" s="6" t="s">
        <v>209</v>
      </c>
      <c r="E90" s="6" t="s">
        <v>399</v>
      </c>
      <c r="F90" s="6" t="s">
        <v>400</v>
      </c>
    </row>
    <row r="91" spans="2:6">
      <c r="B91" s="5" t="s">
        <v>361</v>
      </c>
      <c r="C91" s="5" t="s">
        <v>207</v>
      </c>
      <c r="D91" s="6" t="s">
        <v>32</v>
      </c>
      <c r="E91" s="6" t="s">
        <v>401</v>
      </c>
      <c r="F91" s="6" t="s">
        <v>402</v>
      </c>
    </row>
    <row r="92" spans="2:6">
      <c r="B92" s="5" t="s">
        <v>357</v>
      </c>
      <c r="C92" s="5" t="s">
        <v>207</v>
      </c>
      <c r="D92" s="6" t="s">
        <v>32</v>
      </c>
      <c r="E92" s="6" t="s">
        <v>403</v>
      </c>
      <c r="F92" s="6" t="s">
        <v>404</v>
      </c>
    </row>
    <row r="93" spans="2:6">
      <c r="B93" s="5" t="s">
        <v>34</v>
      </c>
    </row>
    <row r="94" spans="2:6">
      <c r="B94" s="5" t="s">
        <v>34</v>
      </c>
    </row>
  </sheetData>
  <mergeCells count="26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  <mergeCell ref="A5:R5"/>
    <mergeCell ref="B3:B4"/>
    <mergeCell ref="A73:R73"/>
    <mergeCell ref="A10:R10"/>
    <mergeCell ref="A16:R16"/>
    <mergeCell ref="A22:R22"/>
    <mergeCell ref="A29:R29"/>
    <mergeCell ref="A32:R32"/>
    <mergeCell ref="A37:R37"/>
    <mergeCell ref="A41:R41"/>
    <mergeCell ref="A47:R47"/>
    <mergeCell ref="A54:R54"/>
    <mergeCell ref="A65:R65"/>
    <mergeCell ref="A70:R7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M11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66406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.1640625" style="5" customWidth="1"/>
    <col min="14" max="16384" width="9.1640625" style="3"/>
  </cols>
  <sheetData>
    <row r="1" spans="1:13" s="2" customFormat="1" ht="29" customHeight="1">
      <c r="A1" s="62" t="s">
        <v>1260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3" s="1" customFormat="1" ht="12.75" customHeight="1">
      <c r="A3" s="70" t="s">
        <v>1458</v>
      </c>
      <c r="B3" s="59" t="s">
        <v>0</v>
      </c>
      <c r="C3" s="72" t="s">
        <v>5</v>
      </c>
      <c r="D3" s="72" t="s">
        <v>8</v>
      </c>
      <c r="E3" s="74" t="s">
        <v>9</v>
      </c>
      <c r="F3" s="74" t="s">
        <v>10</v>
      </c>
      <c r="G3" s="74" t="s">
        <v>11</v>
      </c>
      <c r="H3" s="74"/>
      <c r="I3" s="74"/>
      <c r="J3" s="74"/>
      <c r="K3" s="74" t="s">
        <v>601</v>
      </c>
      <c r="L3" s="74" t="s">
        <v>3</v>
      </c>
      <c r="M3" s="77" t="s">
        <v>2</v>
      </c>
    </row>
    <row r="4" spans="1:13" s="1" customFormat="1" ht="21" customHeight="1" thickBot="1">
      <c r="A4" s="71"/>
      <c r="B4" s="60"/>
      <c r="C4" s="73"/>
      <c r="D4" s="73"/>
      <c r="E4" s="73"/>
      <c r="F4" s="73"/>
      <c r="G4" s="4">
        <v>1</v>
      </c>
      <c r="H4" s="4">
        <v>2</v>
      </c>
      <c r="I4" s="4">
        <v>3</v>
      </c>
      <c r="J4" s="4" t="s">
        <v>4</v>
      </c>
      <c r="K4" s="73"/>
      <c r="L4" s="73"/>
      <c r="M4" s="78"/>
    </row>
    <row r="5" spans="1:13" ht="16">
      <c r="A5" s="57" t="s">
        <v>35</v>
      </c>
      <c r="B5" s="57"/>
      <c r="C5" s="58"/>
      <c r="D5" s="58"/>
      <c r="E5" s="58"/>
      <c r="F5" s="58"/>
      <c r="G5" s="58"/>
      <c r="H5" s="58"/>
      <c r="I5" s="58"/>
      <c r="J5" s="58"/>
    </row>
    <row r="6" spans="1:13">
      <c r="A6" s="8" t="s">
        <v>33</v>
      </c>
      <c r="B6" s="7" t="s">
        <v>180</v>
      </c>
      <c r="C6" s="7" t="s">
        <v>385</v>
      </c>
      <c r="D6" s="7" t="s">
        <v>181</v>
      </c>
      <c r="E6" s="7" t="str">
        <f>"0,6044"</f>
        <v>0,6044</v>
      </c>
      <c r="F6" s="7" t="s">
        <v>1587</v>
      </c>
      <c r="G6" s="14" t="s">
        <v>99</v>
      </c>
      <c r="H6" s="15" t="s">
        <v>182</v>
      </c>
      <c r="I6" s="14" t="s">
        <v>80</v>
      </c>
      <c r="J6" s="8"/>
      <c r="K6" s="8" t="str">
        <f>"115,0"</f>
        <v>115,0</v>
      </c>
      <c r="L6" s="8" t="str">
        <f>"69,5060"</f>
        <v>69,5060</v>
      </c>
      <c r="M6" s="7" t="s">
        <v>183</v>
      </c>
    </row>
    <row r="7" spans="1:13">
      <c r="B7" s="5" t="s">
        <v>34</v>
      </c>
    </row>
    <row r="8" spans="1:13" ht="16">
      <c r="A8" s="61" t="s">
        <v>184</v>
      </c>
      <c r="B8" s="61"/>
      <c r="C8" s="61"/>
      <c r="D8" s="61"/>
      <c r="E8" s="61"/>
      <c r="F8" s="61"/>
      <c r="G8" s="61"/>
      <c r="H8" s="61"/>
      <c r="I8" s="61"/>
      <c r="J8" s="61"/>
    </row>
    <row r="9" spans="1:13">
      <c r="A9" s="8" t="s">
        <v>33</v>
      </c>
      <c r="B9" s="7" t="s">
        <v>189</v>
      </c>
      <c r="C9" s="7" t="s">
        <v>190</v>
      </c>
      <c r="D9" s="7" t="s">
        <v>191</v>
      </c>
      <c r="E9" s="7" t="str">
        <f>"0,5701"</f>
        <v>0,5701</v>
      </c>
      <c r="F9" s="7" t="s">
        <v>1495</v>
      </c>
      <c r="G9" s="15" t="s">
        <v>137</v>
      </c>
      <c r="H9" s="15" t="s">
        <v>192</v>
      </c>
      <c r="I9" s="15" t="s">
        <v>193</v>
      </c>
      <c r="J9" s="8"/>
      <c r="K9" s="8" t="str">
        <f>"360,0"</f>
        <v>360,0</v>
      </c>
      <c r="L9" s="8" t="str">
        <f>"205,2360"</f>
        <v>205,2360</v>
      </c>
      <c r="M9" s="7"/>
    </row>
    <row r="10" spans="1:13">
      <c r="B10" s="5" t="s">
        <v>34</v>
      </c>
    </row>
    <row r="11" spans="1:13">
      <c r="B11" s="5" t="s">
        <v>34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33203125" style="5" bestFit="1" customWidth="1"/>
    <col min="3" max="3" width="26.33203125" style="5" bestFit="1" customWidth="1"/>
    <col min="4" max="4" width="15.5" style="5" bestFit="1" customWidth="1"/>
    <col min="5" max="5" width="9" style="5" customWidth="1"/>
    <col min="6" max="6" width="15.5" style="5" bestFit="1" customWidth="1"/>
    <col min="7" max="9" width="5.5" style="6" customWidth="1"/>
    <col min="10" max="10" width="4.83203125" style="6" customWidth="1"/>
    <col min="11" max="11" width="10.5" style="28" bestFit="1" customWidth="1"/>
    <col min="12" max="12" width="9.1640625" style="6" customWidth="1"/>
    <col min="13" max="13" width="19.1640625" style="5" customWidth="1"/>
    <col min="14" max="16384" width="9.1640625" style="3"/>
  </cols>
  <sheetData>
    <row r="1" spans="1:13" s="2" customFormat="1" ht="29" customHeight="1">
      <c r="A1" s="62" t="s">
        <v>1261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3" s="1" customFormat="1" ht="12.75" customHeight="1">
      <c r="A3" s="70" t="s">
        <v>1458</v>
      </c>
      <c r="B3" s="59" t="s">
        <v>0</v>
      </c>
      <c r="C3" s="72" t="s">
        <v>5</v>
      </c>
      <c r="D3" s="72" t="s">
        <v>8</v>
      </c>
      <c r="E3" s="74" t="s">
        <v>9</v>
      </c>
      <c r="F3" s="74" t="s">
        <v>10</v>
      </c>
      <c r="G3" s="74" t="s">
        <v>11</v>
      </c>
      <c r="H3" s="74"/>
      <c r="I3" s="74"/>
      <c r="J3" s="74"/>
      <c r="K3" s="75" t="s">
        <v>601</v>
      </c>
      <c r="L3" s="74" t="s">
        <v>3</v>
      </c>
      <c r="M3" s="77" t="s">
        <v>2</v>
      </c>
    </row>
    <row r="4" spans="1:13" s="1" customFormat="1" ht="21" customHeight="1" thickBot="1">
      <c r="A4" s="71"/>
      <c r="B4" s="60"/>
      <c r="C4" s="73"/>
      <c r="D4" s="73"/>
      <c r="E4" s="73"/>
      <c r="F4" s="73"/>
      <c r="G4" s="4">
        <v>1</v>
      </c>
      <c r="H4" s="4">
        <v>2</v>
      </c>
      <c r="I4" s="4">
        <v>3</v>
      </c>
      <c r="J4" s="4" t="s">
        <v>4</v>
      </c>
      <c r="K4" s="76"/>
      <c r="L4" s="73"/>
      <c r="M4" s="78"/>
    </row>
    <row r="5" spans="1:13" ht="16">
      <c r="A5" s="57" t="s">
        <v>63</v>
      </c>
      <c r="B5" s="57"/>
      <c r="C5" s="58"/>
      <c r="D5" s="58"/>
      <c r="E5" s="58"/>
      <c r="F5" s="58"/>
      <c r="G5" s="58"/>
      <c r="H5" s="58"/>
      <c r="I5" s="58"/>
      <c r="J5" s="58"/>
    </row>
    <row r="6" spans="1:13">
      <c r="A6" s="8" t="s">
        <v>218</v>
      </c>
      <c r="B6" s="7" t="s">
        <v>448</v>
      </c>
      <c r="C6" s="7" t="s">
        <v>449</v>
      </c>
      <c r="D6" s="7" t="s">
        <v>450</v>
      </c>
      <c r="E6" s="7" t="str">
        <f>"0,6764"</f>
        <v>0,6764</v>
      </c>
      <c r="F6" s="7" t="s">
        <v>1588</v>
      </c>
      <c r="G6" s="14" t="s">
        <v>105</v>
      </c>
      <c r="H6" s="14" t="s">
        <v>105</v>
      </c>
      <c r="I6" s="14" t="s">
        <v>105</v>
      </c>
      <c r="J6" s="8"/>
      <c r="K6" s="32">
        <v>0</v>
      </c>
      <c r="L6" s="8" t="str">
        <f>"0,0000"</f>
        <v>0,0000</v>
      </c>
      <c r="M6" s="7"/>
    </row>
    <row r="7" spans="1:13">
      <c r="B7" s="5" t="s">
        <v>34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3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0.6640625" style="5" customWidth="1"/>
    <col min="7" max="9" width="5.5" style="6" customWidth="1"/>
    <col min="10" max="10" width="4.83203125" style="6" customWidth="1"/>
    <col min="11" max="11" width="11.1640625" style="6" customWidth="1"/>
    <col min="12" max="12" width="8.5" style="6" bestFit="1" customWidth="1"/>
    <col min="13" max="13" width="19.33203125" style="5" customWidth="1"/>
    <col min="14" max="16384" width="9.1640625" style="3"/>
  </cols>
  <sheetData>
    <row r="1" spans="1:13" s="2" customFormat="1" ht="29" customHeight="1">
      <c r="A1" s="62" t="s">
        <v>1262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3" s="1" customFormat="1" ht="12.75" customHeight="1">
      <c r="A3" s="70" t="s">
        <v>1458</v>
      </c>
      <c r="B3" s="59" t="s">
        <v>0</v>
      </c>
      <c r="C3" s="72" t="s">
        <v>5</v>
      </c>
      <c r="D3" s="72" t="s">
        <v>8</v>
      </c>
      <c r="E3" s="74" t="s">
        <v>9</v>
      </c>
      <c r="F3" s="74" t="s">
        <v>10</v>
      </c>
      <c r="G3" s="74" t="s">
        <v>11</v>
      </c>
      <c r="H3" s="74"/>
      <c r="I3" s="74"/>
      <c r="J3" s="74"/>
      <c r="K3" s="74" t="s">
        <v>601</v>
      </c>
      <c r="L3" s="74" t="s">
        <v>3</v>
      </c>
      <c r="M3" s="77" t="s">
        <v>2</v>
      </c>
    </row>
    <row r="4" spans="1:13" s="1" customFormat="1" ht="21" customHeight="1" thickBot="1">
      <c r="A4" s="71"/>
      <c r="B4" s="60"/>
      <c r="C4" s="73"/>
      <c r="D4" s="73"/>
      <c r="E4" s="73"/>
      <c r="F4" s="73"/>
      <c r="G4" s="4">
        <v>1</v>
      </c>
      <c r="H4" s="4">
        <v>2</v>
      </c>
      <c r="I4" s="4">
        <v>3</v>
      </c>
      <c r="J4" s="4" t="s">
        <v>4</v>
      </c>
      <c r="K4" s="73"/>
      <c r="L4" s="73"/>
      <c r="M4" s="78"/>
    </row>
    <row r="5" spans="1:13" ht="16">
      <c r="A5" s="57" t="s">
        <v>130</v>
      </c>
      <c r="B5" s="57"/>
      <c r="C5" s="58"/>
      <c r="D5" s="58"/>
      <c r="E5" s="58"/>
      <c r="F5" s="58"/>
      <c r="G5" s="58"/>
      <c r="H5" s="58"/>
      <c r="I5" s="58"/>
      <c r="J5" s="58"/>
    </row>
    <row r="6" spans="1:13">
      <c r="A6" s="8" t="s">
        <v>33</v>
      </c>
      <c r="B6" s="7" t="s">
        <v>421</v>
      </c>
      <c r="C6" s="7" t="s">
        <v>422</v>
      </c>
      <c r="D6" s="7" t="s">
        <v>423</v>
      </c>
      <c r="E6" s="7" t="str">
        <f>"0,6106"</f>
        <v>0,6106</v>
      </c>
      <c r="F6" s="7" t="s">
        <v>1501</v>
      </c>
      <c r="G6" s="15" t="s">
        <v>82</v>
      </c>
      <c r="H6" s="15" t="s">
        <v>144</v>
      </c>
      <c r="I6" s="15" t="s">
        <v>202</v>
      </c>
      <c r="J6" s="8"/>
      <c r="K6" s="8" t="str">
        <f>"307,5"</f>
        <v>307,5</v>
      </c>
      <c r="L6" s="8" t="str">
        <f>"187,7595"</f>
        <v>187,7595</v>
      </c>
      <c r="M6" s="7" t="s">
        <v>115</v>
      </c>
    </row>
    <row r="7" spans="1:13">
      <c r="B7" s="5" t="s">
        <v>34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M142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3.5" style="5" bestFit="1" customWidth="1"/>
    <col min="3" max="3" width="28.5" style="5" bestFit="1" customWidth="1"/>
    <col min="4" max="4" width="21.5" style="5" bestFit="1" customWidth="1"/>
    <col min="5" max="5" width="13.1640625" style="5" customWidth="1"/>
    <col min="6" max="6" width="18.6640625" style="5" bestFit="1" customWidth="1"/>
    <col min="7" max="10" width="5.5" style="6" customWidth="1"/>
    <col min="11" max="11" width="10.5" style="28" bestFit="1" customWidth="1"/>
    <col min="12" max="12" width="8.5" style="6" bestFit="1" customWidth="1"/>
    <col min="13" max="13" width="24.1640625" style="5" bestFit="1" customWidth="1"/>
    <col min="14" max="16384" width="9.1640625" style="3"/>
  </cols>
  <sheetData>
    <row r="1" spans="1:13" s="2" customFormat="1" ht="29" customHeight="1">
      <c r="A1" s="62" t="s">
        <v>1263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3" s="1" customFormat="1" ht="12.75" customHeight="1">
      <c r="A3" s="70" t="s">
        <v>1458</v>
      </c>
      <c r="B3" s="59" t="s">
        <v>0</v>
      </c>
      <c r="C3" s="72" t="s">
        <v>5</v>
      </c>
      <c r="D3" s="72" t="s">
        <v>8</v>
      </c>
      <c r="E3" s="74" t="s">
        <v>9</v>
      </c>
      <c r="F3" s="74" t="s">
        <v>10</v>
      </c>
      <c r="G3" s="74" t="s">
        <v>12</v>
      </c>
      <c r="H3" s="74"/>
      <c r="I3" s="74"/>
      <c r="J3" s="74"/>
      <c r="K3" s="75" t="s">
        <v>601</v>
      </c>
      <c r="L3" s="74" t="s">
        <v>3</v>
      </c>
      <c r="M3" s="77" t="s">
        <v>2</v>
      </c>
    </row>
    <row r="4" spans="1:13" s="1" customFormat="1" ht="21" customHeight="1" thickBot="1">
      <c r="A4" s="71"/>
      <c r="B4" s="60"/>
      <c r="C4" s="73"/>
      <c r="D4" s="73"/>
      <c r="E4" s="73"/>
      <c r="F4" s="73"/>
      <c r="G4" s="4">
        <v>1</v>
      </c>
      <c r="H4" s="4">
        <v>2</v>
      </c>
      <c r="I4" s="4">
        <v>3</v>
      </c>
      <c r="J4" s="4" t="s">
        <v>4</v>
      </c>
      <c r="K4" s="76"/>
      <c r="L4" s="73"/>
      <c r="M4" s="78"/>
    </row>
    <row r="5" spans="1:13" ht="16">
      <c r="A5" s="57" t="s">
        <v>222</v>
      </c>
      <c r="B5" s="57"/>
      <c r="C5" s="58"/>
      <c r="D5" s="58"/>
      <c r="E5" s="58"/>
      <c r="F5" s="58"/>
      <c r="G5" s="58"/>
      <c r="H5" s="58"/>
      <c r="I5" s="58"/>
      <c r="J5" s="58"/>
    </row>
    <row r="6" spans="1:13">
      <c r="A6" s="8" t="s">
        <v>33</v>
      </c>
      <c r="B6" s="7" t="s">
        <v>603</v>
      </c>
      <c r="C6" s="7" t="s">
        <v>604</v>
      </c>
      <c r="D6" s="7" t="s">
        <v>605</v>
      </c>
      <c r="E6" s="7" t="str">
        <f>"1,3490"</f>
        <v>1,3490</v>
      </c>
      <c r="F6" s="7" t="s">
        <v>1485</v>
      </c>
      <c r="G6" s="15" t="s">
        <v>253</v>
      </c>
      <c r="H6" s="15" t="s">
        <v>247</v>
      </c>
      <c r="I6" s="14" t="s">
        <v>234</v>
      </c>
      <c r="J6" s="8"/>
      <c r="K6" s="32" t="str">
        <f>"80,0"</f>
        <v>80,0</v>
      </c>
      <c r="L6" s="8" t="str">
        <f>"107,9200"</f>
        <v>107,9200</v>
      </c>
      <c r="M6" s="7" t="s">
        <v>606</v>
      </c>
    </row>
    <row r="7" spans="1:13">
      <c r="B7" s="5" t="s">
        <v>34</v>
      </c>
    </row>
    <row r="8" spans="1:13" ht="16">
      <c r="A8" s="61" t="s">
        <v>243</v>
      </c>
      <c r="B8" s="61"/>
      <c r="C8" s="61"/>
      <c r="D8" s="61"/>
      <c r="E8" s="61"/>
      <c r="F8" s="61"/>
      <c r="G8" s="61"/>
      <c r="H8" s="61"/>
      <c r="I8" s="61"/>
      <c r="J8" s="61"/>
    </row>
    <row r="9" spans="1:13">
      <c r="A9" s="17" t="s">
        <v>33</v>
      </c>
      <c r="B9" s="16" t="s">
        <v>607</v>
      </c>
      <c r="C9" s="16" t="s">
        <v>608</v>
      </c>
      <c r="D9" s="16" t="s">
        <v>609</v>
      </c>
      <c r="E9" s="16" t="str">
        <f>"1,2522"</f>
        <v>1,2522</v>
      </c>
      <c r="F9" s="16" t="s">
        <v>1513</v>
      </c>
      <c r="G9" s="22" t="s">
        <v>295</v>
      </c>
      <c r="H9" s="23" t="s">
        <v>295</v>
      </c>
      <c r="I9" s="22" t="s">
        <v>261</v>
      </c>
      <c r="J9" s="17"/>
      <c r="K9" s="29" t="str">
        <f>"67,5"</f>
        <v>67,5</v>
      </c>
      <c r="L9" s="17" t="str">
        <f>"84,5235"</f>
        <v>84,5235</v>
      </c>
      <c r="M9" s="16"/>
    </row>
    <row r="10" spans="1:13">
      <c r="A10" s="19" t="s">
        <v>219</v>
      </c>
      <c r="B10" s="18" t="s">
        <v>610</v>
      </c>
      <c r="C10" s="18" t="s">
        <v>611</v>
      </c>
      <c r="D10" s="18" t="s">
        <v>265</v>
      </c>
      <c r="E10" s="18" t="str">
        <f>"1,2597"</f>
        <v>1,2597</v>
      </c>
      <c r="F10" s="18" t="s">
        <v>1512</v>
      </c>
      <c r="G10" s="24" t="s">
        <v>254</v>
      </c>
      <c r="H10" s="25" t="s">
        <v>254</v>
      </c>
      <c r="I10" s="25" t="s">
        <v>255</v>
      </c>
      <c r="J10" s="19"/>
      <c r="K10" s="31" t="str">
        <f>"52,5"</f>
        <v>52,5</v>
      </c>
      <c r="L10" s="19" t="str">
        <f>"66,1342"</f>
        <v>66,1342</v>
      </c>
      <c r="M10" s="18" t="s">
        <v>612</v>
      </c>
    </row>
    <row r="11" spans="1:13">
      <c r="B11" s="5" t="s">
        <v>34</v>
      </c>
    </row>
    <row r="12" spans="1:13" ht="16">
      <c r="A12" s="61" t="s">
        <v>43</v>
      </c>
      <c r="B12" s="61"/>
      <c r="C12" s="61"/>
      <c r="D12" s="61"/>
      <c r="E12" s="61"/>
      <c r="F12" s="61"/>
      <c r="G12" s="61"/>
      <c r="H12" s="61"/>
      <c r="I12" s="61"/>
      <c r="J12" s="61"/>
    </row>
    <row r="13" spans="1:13">
      <c r="A13" s="17" t="s">
        <v>33</v>
      </c>
      <c r="B13" s="16" t="s">
        <v>613</v>
      </c>
      <c r="C13" s="16" t="s">
        <v>614</v>
      </c>
      <c r="D13" s="16" t="s">
        <v>615</v>
      </c>
      <c r="E13" s="16" t="str">
        <f>"1,1900"</f>
        <v>1,1900</v>
      </c>
      <c r="F13" s="16" t="s">
        <v>1459</v>
      </c>
      <c r="G13" s="23" t="s">
        <v>48</v>
      </c>
      <c r="H13" s="22" t="s">
        <v>270</v>
      </c>
      <c r="I13" s="22" t="s">
        <v>270</v>
      </c>
      <c r="J13" s="17"/>
      <c r="K13" s="29" t="str">
        <f>"55,0"</f>
        <v>55,0</v>
      </c>
      <c r="L13" s="17" t="str">
        <f>"65,4500"</f>
        <v>65,4500</v>
      </c>
      <c r="M13" s="16" t="s">
        <v>440</v>
      </c>
    </row>
    <row r="14" spans="1:13">
      <c r="A14" s="19" t="s">
        <v>219</v>
      </c>
      <c r="B14" s="18" t="s">
        <v>616</v>
      </c>
      <c r="C14" s="18" t="s">
        <v>617</v>
      </c>
      <c r="D14" s="18" t="s">
        <v>618</v>
      </c>
      <c r="E14" s="18" t="str">
        <f>"1,1883"</f>
        <v>1,1883</v>
      </c>
      <c r="F14" s="18" t="s">
        <v>1511</v>
      </c>
      <c r="G14" s="24" t="s">
        <v>254</v>
      </c>
      <c r="H14" s="25" t="s">
        <v>254</v>
      </c>
      <c r="I14" s="24" t="s">
        <v>255</v>
      </c>
      <c r="J14" s="19"/>
      <c r="K14" s="31" t="str">
        <f>"50,0"</f>
        <v>50,0</v>
      </c>
      <c r="L14" s="19" t="str">
        <f>"59,4150"</f>
        <v>59,4150</v>
      </c>
      <c r="M14" s="18"/>
    </row>
    <row r="15" spans="1:13">
      <c r="B15" s="5" t="s">
        <v>34</v>
      </c>
    </row>
    <row r="16" spans="1:13" ht="16">
      <c r="A16" s="61" t="s">
        <v>283</v>
      </c>
      <c r="B16" s="61"/>
      <c r="C16" s="61"/>
      <c r="D16" s="61"/>
      <c r="E16" s="61"/>
      <c r="F16" s="61"/>
      <c r="G16" s="61"/>
      <c r="H16" s="61"/>
      <c r="I16" s="61"/>
      <c r="J16" s="61"/>
    </row>
    <row r="17" spans="1:13">
      <c r="A17" s="17" t="s">
        <v>33</v>
      </c>
      <c r="B17" s="16" t="s">
        <v>619</v>
      </c>
      <c r="C17" s="16" t="s">
        <v>620</v>
      </c>
      <c r="D17" s="16" t="s">
        <v>621</v>
      </c>
      <c r="E17" s="16" t="str">
        <f>"1,1295"</f>
        <v>1,1295</v>
      </c>
      <c r="F17" s="16" t="s">
        <v>1514</v>
      </c>
      <c r="G17" s="23" t="s">
        <v>270</v>
      </c>
      <c r="H17" s="23" t="s">
        <v>295</v>
      </c>
      <c r="I17" s="23" t="s">
        <v>261</v>
      </c>
      <c r="J17" s="17"/>
      <c r="K17" s="29" t="str">
        <f>"70,0"</f>
        <v>70,0</v>
      </c>
      <c r="L17" s="17" t="str">
        <f>"79,0650"</f>
        <v>79,0650</v>
      </c>
      <c r="M17" s="16"/>
    </row>
    <row r="18" spans="1:13">
      <c r="A18" s="21" t="s">
        <v>219</v>
      </c>
      <c r="B18" s="20" t="s">
        <v>622</v>
      </c>
      <c r="C18" s="20" t="s">
        <v>623</v>
      </c>
      <c r="D18" s="20" t="s">
        <v>624</v>
      </c>
      <c r="E18" s="20" t="str">
        <f>"1,1251"</f>
        <v>1,1251</v>
      </c>
      <c r="F18" s="20" t="s">
        <v>1459</v>
      </c>
      <c r="G18" s="26" t="s">
        <v>270</v>
      </c>
      <c r="H18" s="26" t="s">
        <v>271</v>
      </c>
      <c r="I18" s="27" t="s">
        <v>260</v>
      </c>
      <c r="J18" s="21"/>
      <c r="K18" s="30" t="str">
        <f>"62,5"</f>
        <v>62,5</v>
      </c>
      <c r="L18" s="21" t="str">
        <f>"70,3188"</f>
        <v>70,3188</v>
      </c>
      <c r="M18" s="20" t="s">
        <v>625</v>
      </c>
    </row>
    <row r="19" spans="1:13">
      <c r="A19" s="19" t="s">
        <v>33</v>
      </c>
      <c r="B19" s="18" t="s">
        <v>296</v>
      </c>
      <c r="C19" s="18" t="s">
        <v>1298</v>
      </c>
      <c r="D19" s="18" t="s">
        <v>297</v>
      </c>
      <c r="E19" s="18" t="str">
        <f>"1,1541"</f>
        <v>1,1541</v>
      </c>
      <c r="F19" s="18" t="s">
        <v>1579</v>
      </c>
      <c r="G19" s="25" t="s">
        <v>261</v>
      </c>
      <c r="H19" s="25" t="s">
        <v>262</v>
      </c>
      <c r="I19" s="24" t="s">
        <v>253</v>
      </c>
      <c r="J19" s="19"/>
      <c r="K19" s="31" t="str">
        <f>"72,5"</f>
        <v>72,5</v>
      </c>
      <c r="L19" s="19" t="str">
        <f>"83,6722"</f>
        <v>83,6722</v>
      </c>
      <c r="M19" s="18"/>
    </row>
    <row r="20" spans="1:13">
      <c r="B20" s="5" t="s">
        <v>34</v>
      </c>
    </row>
    <row r="21" spans="1:13" ht="16">
      <c r="A21" s="61" t="s">
        <v>51</v>
      </c>
      <c r="B21" s="61"/>
      <c r="C21" s="61"/>
      <c r="D21" s="61"/>
      <c r="E21" s="61"/>
      <c r="F21" s="61"/>
      <c r="G21" s="61"/>
      <c r="H21" s="61"/>
      <c r="I21" s="61"/>
      <c r="J21" s="61"/>
    </row>
    <row r="22" spans="1:13">
      <c r="A22" s="17" t="s">
        <v>33</v>
      </c>
      <c r="B22" s="16" t="s">
        <v>626</v>
      </c>
      <c r="C22" s="16" t="s">
        <v>627</v>
      </c>
      <c r="D22" s="16" t="s">
        <v>628</v>
      </c>
      <c r="E22" s="16" t="str">
        <f>"1,0294"</f>
        <v>1,0294</v>
      </c>
      <c r="F22" s="16" t="s">
        <v>1459</v>
      </c>
      <c r="G22" s="23" t="s">
        <v>98</v>
      </c>
      <c r="H22" s="23" t="s">
        <v>286</v>
      </c>
      <c r="I22" s="23" t="s">
        <v>99</v>
      </c>
      <c r="J22" s="17"/>
      <c r="K22" s="29" t="str">
        <f>"110,0"</f>
        <v>110,0</v>
      </c>
      <c r="L22" s="17" t="str">
        <f>"113,2340"</f>
        <v>113,2340</v>
      </c>
      <c r="M22" s="16" t="s">
        <v>629</v>
      </c>
    </row>
    <row r="23" spans="1:13">
      <c r="A23" s="21" t="s">
        <v>219</v>
      </c>
      <c r="B23" s="20" t="s">
        <v>630</v>
      </c>
      <c r="C23" s="20" t="s">
        <v>631</v>
      </c>
      <c r="D23" s="20" t="s">
        <v>632</v>
      </c>
      <c r="E23" s="20" t="str">
        <f>"1,0339"</f>
        <v>1,0339</v>
      </c>
      <c r="F23" s="20" t="s">
        <v>1515</v>
      </c>
      <c r="G23" s="26" t="s">
        <v>260</v>
      </c>
      <c r="H23" s="27" t="s">
        <v>261</v>
      </c>
      <c r="I23" s="27" t="s">
        <v>261</v>
      </c>
      <c r="J23" s="21"/>
      <c r="K23" s="30" t="str">
        <f>"65,0"</f>
        <v>65,0</v>
      </c>
      <c r="L23" s="21" t="str">
        <f>"67,2035"</f>
        <v>67,2035</v>
      </c>
      <c r="M23" s="20"/>
    </row>
    <row r="24" spans="1:13">
      <c r="A24" s="19" t="s">
        <v>33</v>
      </c>
      <c r="B24" s="18" t="s">
        <v>633</v>
      </c>
      <c r="C24" s="18" t="s">
        <v>1327</v>
      </c>
      <c r="D24" s="18" t="s">
        <v>304</v>
      </c>
      <c r="E24" s="18" t="str">
        <f>"1,0362"</f>
        <v>1,0362</v>
      </c>
      <c r="F24" s="18" t="s">
        <v>1514</v>
      </c>
      <c r="G24" s="25" t="s">
        <v>253</v>
      </c>
      <c r="H24" s="24" t="s">
        <v>247</v>
      </c>
      <c r="I24" s="25" t="s">
        <v>247</v>
      </c>
      <c r="J24" s="19"/>
      <c r="K24" s="31" t="str">
        <f>"80,0"</f>
        <v>80,0</v>
      </c>
      <c r="L24" s="19" t="str">
        <f>"87,8698"</f>
        <v>87,8698</v>
      </c>
      <c r="M24" s="18" t="s">
        <v>634</v>
      </c>
    </row>
    <row r="25" spans="1:13">
      <c r="B25" s="5" t="s">
        <v>34</v>
      </c>
    </row>
    <row r="26" spans="1:13" ht="16">
      <c r="A26" s="61" t="s">
        <v>73</v>
      </c>
      <c r="B26" s="61"/>
      <c r="C26" s="61"/>
      <c r="D26" s="61"/>
      <c r="E26" s="61"/>
      <c r="F26" s="61"/>
      <c r="G26" s="61"/>
      <c r="H26" s="61"/>
      <c r="I26" s="61"/>
      <c r="J26" s="61"/>
    </row>
    <row r="27" spans="1:13">
      <c r="A27" s="8" t="s">
        <v>33</v>
      </c>
      <c r="B27" s="7" t="s">
        <v>635</v>
      </c>
      <c r="C27" s="7" t="s">
        <v>636</v>
      </c>
      <c r="D27" s="7" t="s">
        <v>637</v>
      </c>
      <c r="E27" s="7" t="str">
        <f>"0,9910"</f>
        <v>0,9910</v>
      </c>
      <c r="F27" s="7" t="s">
        <v>1459</v>
      </c>
      <c r="G27" s="15" t="s">
        <v>270</v>
      </c>
      <c r="H27" s="15" t="s">
        <v>260</v>
      </c>
      <c r="I27" s="14" t="s">
        <v>261</v>
      </c>
      <c r="J27" s="8"/>
      <c r="K27" s="32" t="str">
        <f>"65,0"</f>
        <v>65,0</v>
      </c>
      <c r="L27" s="8" t="str">
        <f>"64,4150"</f>
        <v>64,4150</v>
      </c>
      <c r="M27" s="7" t="s">
        <v>495</v>
      </c>
    </row>
    <row r="28" spans="1:13">
      <c r="B28" s="5" t="s">
        <v>34</v>
      </c>
    </row>
    <row r="29" spans="1:13" ht="16">
      <c r="A29" s="61" t="s">
        <v>51</v>
      </c>
      <c r="B29" s="61"/>
      <c r="C29" s="61"/>
      <c r="D29" s="61"/>
      <c r="E29" s="61"/>
      <c r="F29" s="61"/>
      <c r="G29" s="61"/>
      <c r="H29" s="61"/>
      <c r="I29" s="61"/>
      <c r="J29" s="61"/>
    </row>
    <row r="30" spans="1:13">
      <c r="A30" s="17" t="s">
        <v>33</v>
      </c>
      <c r="B30" s="16" t="s">
        <v>638</v>
      </c>
      <c r="C30" s="16" t="s">
        <v>1328</v>
      </c>
      <c r="D30" s="16" t="s">
        <v>484</v>
      </c>
      <c r="E30" s="16" t="str">
        <f>"0,7766"</f>
        <v>0,7766</v>
      </c>
      <c r="F30" s="16" t="s">
        <v>1459</v>
      </c>
      <c r="G30" s="23" t="s">
        <v>113</v>
      </c>
      <c r="H30" s="22" t="s">
        <v>41</v>
      </c>
      <c r="I30" s="22" t="s">
        <v>41</v>
      </c>
      <c r="J30" s="17"/>
      <c r="K30" s="29" t="str">
        <f>"157,5"</f>
        <v>157,5</v>
      </c>
      <c r="L30" s="17" t="str">
        <f>"122,3145"</f>
        <v>122,3145</v>
      </c>
      <c r="M30" s="16" t="s">
        <v>1250</v>
      </c>
    </row>
    <row r="31" spans="1:13">
      <c r="A31" s="21" t="s">
        <v>33</v>
      </c>
      <c r="B31" s="20" t="s">
        <v>638</v>
      </c>
      <c r="C31" s="20" t="s">
        <v>639</v>
      </c>
      <c r="D31" s="20" t="s">
        <v>484</v>
      </c>
      <c r="E31" s="20" t="str">
        <f>"0,7766"</f>
        <v>0,7766</v>
      </c>
      <c r="F31" s="20" t="s">
        <v>1459</v>
      </c>
      <c r="G31" s="26" t="s">
        <v>113</v>
      </c>
      <c r="H31" s="27" t="s">
        <v>41</v>
      </c>
      <c r="I31" s="27" t="s">
        <v>41</v>
      </c>
      <c r="J31" s="21"/>
      <c r="K31" s="30" t="str">
        <f>"157,5"</f>
        <v>157,5</v>
      </c>
      <c r="L31" s="21" t="str">
        <f>"122,3145"</f>
        <v>122,3145</v>
      </c>
      <c r="M31" s="20" t="s">
        <v>1250</v>
      </c>
    </row>
    <row r="32" spans="1:13">
      <c r="A32" s="21" t="s">
        <v>219</v>
      </c>
      <c r="B32" s="20" t="s">
        <v>640</v>
      </c>
      <c r="C32" s="20" t="s">
        <v>641</v>
      </c>
      <c r="D32" s="20" t="s">
        <v>642</v>
      </c>
      <c r="E32" s="20" t="str">
        <f>"0,8004"</f>
        <v>0,8004</v>
      </c>
      <c r="F32" s="20" t="s">
        <v>1459</v>
      </c>
      <c r="G32" s="26" t="s">
        <v>226</v>
      </c>
      <c r="H32" s="26" t="s">
        <v>59</v>
      </c>
      <c r="I32" s="27" t="s">
        <v>47</v>
      </c>
      <c r="J32" s="21"/>
      <c r="K32" s="30" t="str">
        <f>"95,0"</f>
        <v>95,0</v>
      </c>
      <c r="L32" s="21" t="str">
        <f>"76,0380"</f>
        <v>76,0380</v>
      </c>
      <c r="M32" s="20" t="s">
        <v>1443</v>
      </c>
    </row>
    <row r="33" spans="1:13">
      <c r="A33" s="19" t="s">
        <v>33</v>
      </c>
      <c r="B33" s="18" t="s">
        <v>483</v>
      </c>
      <c r="C33" s="18" t="s">
        <v>1329</v>
      </c>
      <c r="D33" s="18" t="s">
        <v>484</v>
      </c>
      <c r="E33" s="18" t="str">
        <f>"0,7766"</f>
        <v>0,7766</v>
      </c>
      <c r="F33" s="18" t="s">
        <v>1459</v>
      </c>
      <c r="G33" s="25" t="s">
        <v>47</v>
      </c>
      <c r="H33" s="25" t="s">
        <v>100</v>
      </c>
      <c r="I33" s="19"/>
      <c r="J33" s="19"/>
      <c r="K33" s="31" t="str">
        <f>"112,5"</f>
        <v>112,5</v>
      </c>
      <c r="L33" s="19" t="str">
        <f>"94,1822"</f>
        <v>94,1822</v>
      </c>
      <c r="M33" s="18"/>
    </row>
    <row r="34" spans="1:13">
      <c r="B34" s="5" t="s">
        <v>34</v>
      </c>
    </row>
    <row r="35" spans="1:13" ht="16">
      <c r="A35" s="61" t="s">
        <v>73</v>
      </c>
      <c r="B35" s="61"/>
      <c r="C35" s="61"/>
      <c r="D35" s="61"/>
      <c r="E35" s="61"/>
      <c r="F35" s="61"/>
      <c r="G35" s="61"/>
      <c r="H35" s="61"/>
      <c r="I35" s="61"/>
      <c r="J35" s="61"/>
    </row>
    <row r="36" spans="1:13">
      <c r="A36" s="17" t="s">
        <v>33</v>
      </c>
      <c r="B36" s="16" t="s">
        <v>643</v>
      </c>
      <c r="C36" s="16" t="s">
        <v>644</v>
      </c>
      <c r="D36" s="16" t="s">
        <v>645</v>
      </c>
      <c r="E36" s="16" t="str">
        <f>"0,7221"</f>
        <v>0,7221</v>
      </c>
      <c r="F36" s="16" t="s">
        <v>1474</v>
      </c>
      <c r="G36" s="23" t="s">
        <v>47</v>
      </c>
      <c r="H36" s="23" t="s">
        <v>328</v>
      </c>
      <c r="I36" s="23" t="s">
        <v>80</v>
      </c>
      <c r="J36" s="17"/>
      <c r="K36" s="29" t="str">
        <f>"125,0"</f>
        <v>125,0</v>
      </c>
      <c r="L36" s="17" t="str">
        <f>"90,2625"</f>
        <v>90,2625</v>
      </c>
      <c r="M36" s="16" t="s">
        <v>646</v>
      </c>
    </row>
    <row r="37" spans="1:13">
      <c r="A37" s="21" t="s">
        <v>33</v>
      </c>
      <c r="B37" s="20" t="s">
        <v>647</v>
      </c>
      <c r="C37" s="20" t="s">
        <v>1330</v>
      </c>
      <c r="D37" s="20" t="s">
        <v>645</v>
      </c>
      <c r="E37" s="20" t="str">
        <f>"0,7221"</f>
        <v>0,7221</v>
      </c>
      <c r="F37" s="20" t="s">
        <v>1459</v>
      </c>
      <c r="G37" s="26" t="s">
        <v>99</v>
      </c>
      <c r="H37" s="27" t="s">
        <v>328</v>
      </c>
      <c r="I37" s="27" t="s">
        <v>328</v>
      </c>
      <c r="J37" s="21"/>
      <c r="K37" s="30" t="str">
        <f>"110,0"</f>
        <v>110,0</v>
      </c>
      <c r="L37" s="21" t="str">
        <f>"79,4310"</f>
        <v>79,4310</v>
      </c>
      <c r="M37" s="20"/>
    </row>
    <row r="38" spans="1:13">
      <c r="A38" s="21" t="s">
        <v>33</v>
      </c>
      <c r="B38" s="20" t="s">
        <v>648</v>
      </c>
      <c r="C38" s="20" t="s">
        <v>649</v>
      </c>
      <c r="D38" s="20" t="s">
        <v>650</v>
      </c>
      <c r="E38" s="20" t="str">
        <f>"0,7146"</f>
        <v>0,7146</v>
      </c>
      <c r="F38" s="20" t="s">
        <v>1516</v>
      </c>
      <c r="G38" s="26" t="s">
        <v>49</v>
      </c>
      <c r="H38" s="26" t="s">
        <v>55</v>
      </c>
      <c r="I38" s="26" t="s">
        <v>56</v>
      </c>
      <c r="J38" s="21"/>
      <c r="K38" s="30" t="str">
        <f>"140,0"</f>
        <v>140,0</v>
      </c>
      <c r="L38" s="21" t="str">
        <f>"100,0440"</f>
        <v>100,0440</v>
      </c>
      <c r="M38" s="20"/>
    </row>
    <row r="39" spans="1:13">
      <c r="A39" s="21" t="s">
        <v>219</v>
      </c>
      <c r="B39" s="20" t="s">
        <v>651</v>
      </c>
      <c r="C39" s="20" t="s">
        <v>652</v>
      </c>
      <c r="D39" s="20" t="s">
        <v>331</v>
      </c>
      <c r="E39" s="20" t="str">
        <f>"0,7152"</f>
        <v>0,7152</v>
      </c>
      <c r="F39" s="20" t="s">
        <v>1472</v>
      </c>
      <c r="G39" s="26" t="s">
        <v>49</v>
      </c>
      <c r="H39" s="27" t="s">
        <v>55</v>
      </c>
      <c r="I39" s="27" t="s">
        <v>55</v>
      </c>
      <c r="J39" s="21"/>
      <c r="K39" s="30" t="str">
        <f>"130,0"</f>
        <v>130,0</v>
      </c>
      <c r="L39" s="21" t="str">
        <f>"92,9760"</f>
        <v>92,9760</v>
      </c>
      <c r="M39" s="20"/>
    </row>
    <row r="40" spans="1:13">
      <c r="A40" s="21" t="s">
        <v>220</v>
      </c>
      <c r="B40" s="20" t="s">
        <v>653</v>
      </c>
      <c r="C40" s="20" t="s">
        <v>654</v>
      </c>
      <c r="D40" s="20" t="s">
        <v>492</v>
      </c>
      <c r="E40" s="20" t="str">
        <f>"0,7179"</f>
        <v>0,7179</v>
      </c>
      <c r="F40" s="20" t="s">
        <v>1517</v>
      </c>
      <c r="G40" s="26" t="s">
        <v>298</v>
      </c>
      <c r="H40" s="26" t="s">
        <v>80</v>
      </c>
      <c r="I40" s="27" t="s">
        <v>81</v>
      </c>
      <c r="J40" s="21"/>
      <c r="K40" s="30" t="str">
        <f>"125,0"</f>
        <v>125,0</v>
      </c>
      <c r="L40" s="21" t="str">
        <f>"89,7375"</f>
        <v>89,7375</v>
      </c>
      <c r="M40" s="20" t="s">
        <v>655</v>
      </c>
    </row>
    <row r="41" spans="1:13">
      <c r="A41" s="21" t="s">
        <v>218</v>
      </c>
      <c r="B41" s="20" t="s">
        <v>656</v>
      </c>
      <c r="C41" s="20" t="s">
        <v>657</v>
      </c>
      <c r="D41" s="20" t="s">
        <v>658</v>
      </c>
      <c r="E41" s="20" t="str">
        <f>"0,7207"</f>
        <v>0,7207</v>
      </c>
      <c r="F41" s="20" t="s">
        <v>1518</v>
      </c>
      <c r="G41" s="27" t="s">
        <v>55</v>
      </c>
      <c r="H41" s="27" t="s">
        <v>55</v>
      </c>
      <c r="I41" s="27" t="s">
        <v>55</v>
      </c>
      <c r="J41" s="21"/>
      <c r="K41" s="30">
        <v>0</v>
      </c>
      <c r="L41" s="21" t="str">
        <f>"0,0000"</f>
        <v>0,0000</v>
      </c>
      <c r="M41" s="20"/>
    </row>
    <row r="42" spans="1:13">
      <c r="A42" s="19" t="s">
        <v>33</v>
      </c>
      <c r="B42" s="18" t="s">
        <v>659</v>
      </c>
      <c r="C42" s="18" t="s">
        <v>1331</v>
      </c>
      <c r="D42" s="18" t="s">
        <v>492</v>
      </c>
      <c r="E42" s="18" t="str">
        <f>"0,7179"</f>
        <v>0,7179</v>
      </c>
      <c r="F42" s="18" t="s">
        <v>1519</v>
      </c>
      <c r="G42" s="25" t="s">
        <v>100</v>
      </c>
      <c r="H42" s="25" t="s">
        <v>328</v>
      </c>
      <c r="I42" s="25" t="s">
        <v>79</v>
      </c>
      <c r="J42" s="19"/>
      <c r="K42" s="31" t="str">
        <f>"120,0"</f>
        <v>120,0</v>
      </c>
      <c r="L42" s="19" t="str">
        <f>"87,3541"</f>
        <v>87,3541</v>
      </c>
      <c r="M42" s="18"/>
    </row>
    <row r="43" spans="1:13">
      <c r="B43" s="5" t="s">
        <v>34</v>
      </c>
    </row>
    <row r="44" spans="1:13" ht="16">
      <c r="A44" s="61" t="s">
        <v>63</v>
      </c>
      <c r="B44" s="61"/>
      <c r="C44" s="61"/>
      <c r="D44" s="61"/>
      <c r="E44" s="61"/>
      <c r="F44" s="61"/>
      <c r="G44" s="61"/>
      <c r="H44" s="61"/>
      <c r="I44" s="61"/>
      <c r="J44" s="61"/>
    </row>
    <row r="45" spans="1:13">
      <c r="A45" s="17" t="s">
        <v>33</v>
      </c>
      <c r="B45" s="16" t="s">
        <v>660</v>
      </c>
      <c r="C45" s="16" t="s">
        <v>661</v>
      </c>
      <c r="D45" s="16" t="s">
        <v>662</v>
      </c>
      <c r="E45" s="16" t="str">
        <f>"0,6811"</f>
        <v>0,6811</v>
      </c>
      <c r="F45" s="16" t="s">
        <v>1584</v>
      </c>
      <c r="G45" s="23" t="s">
        <v>227</v>
      </c>
      <c r="H45" s="23" t="s">
        <v>59</v>
      </c>
      <c r="I45" s="23" t="s">
        <v>236</v>
      </c>
      <c r="J45" s="17"/>
      <c r="K45" s="29" t="str">
        <f>"97,5"</f>
        <v>97,5</v>
      </c>
      <c r="L45" s="17" t="str">
        <f>"66,4073"</f>
        <v>66,4073</v>
      </c>
      <c r="M45" s="16" t="s">
        <v>1245</v>
      </c>
    </row>
    <row r="46" spans="1:13">
      <c r="A46" s="21" t="s">
        <v>33</v>
      </c>
      <c r="B46" s="20" t="s">
        <v>663</v>
      </c>
      <c r="C46" s="20" t="s">
        <v>1332</v>
      </c>
      <c r="D46" s="20" t="s">
        <v>664</v>
      </c>
      <c r="E46" s="20" t="str">
        <f>"0,6759"</f>
        <v>0,6759</v>
      </c>
      <c r="F46" s="20" t="s">
        <v>1459</v>
      </c>
      <c r="G46" s="26" t="s">
        <v>59</v>
      </c>
      <c r="H46" s="27" t="s">
        <v>98</v>
      </c>
      <c r="I46" s="27" t="s">
        <v>98</v>
      </c>
      <c r="J46" s="21"/>
      <c r="K46" s="30" t="str">
        <f>"95,0"</f>
        <v>95,0</v>
      </c>
      <c r="L46" s="21" t="str">
        <f>"64,2105"</f>
        <v>64,2105</v>
      </c>
      <c r="M46" s="20" t="s">
        <v>665</v>
      </c>
    </row>
    <row r="47" spans="1:13">
      <c r="A47" s="21" t="s">
        <v>33</v>
      </c>
      <c r="B47" s="20" t="s">
        <v>666</v>
      </c>
      <c r="C47" s="20" t="s">
        <v>667</v>
      </c>
      <c r="D47" s="20" t="s">
        <v>668</v>
      </c>
      <c r="E47" s="20" t="str">
        <f>"0,6754"</f>
        <v>0,6754</v>
      </c>
      <c r="F47" s="20" t="s">
        <v>1520</v>
      </c>
      <c r="G47" s="26" t="s">
        <v>61</v>
      </c>
      <c r="H47" s="26" t="s">
        <v>113</v>
      </c>
      <c r="I47" s="27" t="s">
        <v>41</v>
      </c>
      <c r="J47" s="21"/>
      <c r="K47" s="30" t="str">
        <f>"157,5"</f>
        <v>157,5</v>
      </c>
      <c r="L47" s="21" t="str">
        <f>"106,3755"</f>
        <v>106,3755</v>
      </c>
      <c r="M47" s="20"/>
    </row>
    <row r="48" spans="1:13">
      <c r="A48" s="21" t="s">
        <v>219</v>
      </c>
      <c r="B48" s="20" t="s">
        <v>669</v>
      </c>
      <c r="C48" s="20" t="s">
        <v>670</v>
      </c>
      <c r="D48" s="20" t="s">
        <v>671</v>
      </c>
      <c r="E48" s="20" t="str">
        <f>"0,6916"</f>
        <v>0,6916</v>
      </c>
      <c r="F48" s="20" t="s">
        <v>1521</v>
      </c>
      <c r="G48" s="27" t="s">
        <v>61</v>
      </c>
      <c r="H48" s="26" t="s">
        <v>40</v>
      </c>
      <c r="I48" s="27" t="s">
        <v>41</v>
      </c>
      <c r="J48" s="21"/>
      <c r="K48" s="30" t="str">
        <f>"155,0"</f>
        <v>155,0</v>
      </c>
      <c r="L48" s="21" t="str">
        <f>"107,1980"</f>
        <v>107,1980</v>
      </c>
      <c r="M48" s="20"/>
    </row>
    <row r="49" spans="1:13">
      <c r="A49" s="21" t="s">
        <v>220</v>
      </c>
      <c r="B49" s="20" t="s">
        <v>672</v>
      </c>
      <c r="C49" s="20" t="s">
        <v>673</v>
      </c>
      <c r="D49" s="20" t="s">
        <v>416</v>
      </c>
      <c r="E49" s="20" t="str">
        <f>"0,6779"</f>
        <v>0,6779</v>
      </c>
      <c r="F49" s="20" t="s">
        <v>1522</v>
      </c>
      <c r="G49" s="26" t="s">
        <v>57</v>
      </c>
      <c r="H49" s="27" t="s">
        <v>123</v>
      </c>
      <c r="I49" s="27" t="s">
        <v>123</v>
      </c>
      <c r="J49" s="21"/>
      <c r="K49" s="30" t="str">
        <f>"142,5"</f>
        <v>142,5</v>
      </c>
      <c r="L49" s="21" t="str">
        <f>"96,6008"</f>
        <v>96,6008</v>
      </c>
      <c r="M49" s="20"/>
    </row>
    <row r="50" spans="1:13">
      <c r="A50" s="21" t="s">
        <v>221</v>
      </c>
      <c r="B50" s="20" t="s">
        <v>674</v>
      </c>
      <c r="C50" s="20" t="s">
        <v>675</v>
      </c>
      <c r="D50" s="20" t="s">
        <v>450</v>
      </c>
      <c r="E50" s="20" t="str">
        <f>"0,6764"</f>
        <v>0,6764</v>
      </c>
      <c r="F50" s="20" t="s">
        <v>1523</v>
      </c>
      <c r="G50" s="26" t="s">
        <v>81</v>
      </c>
      <c r="H50" s="26" t="s">
        <v>55</v>
      </c>
      <c r="I50" s="27" t="s">
        <v>56</v>
      </c>
      <c r="J50" s="21"/>
      <c r="K50" s="30" t="str">
        <f>"135,0"</f>
        <v>135,0</v>
      </c>
      <c r="L50" s="21" t="str">
        <f>"91,3140"</f>
        <v>91,3140</v>
      </c>
      <c r="M50" s="20" t="s">
        <v>676</v>
      </c>
    </row>
    <row r="51" spans="1:13">
      <c r="A51" s="21" t="s">
        <v>33</v>
      </c>
      <c r="B51" s="20" t="s">
        <v>677</v>
      </c>
      <c r="C51" s="20" t="s">
        <v>1333</v>
      </c>
      <c r="D51" s="20" t="s">
        <v>678</v>
      </c>
      <c r="E51" s="20" t="str">
        <f>"0,6854"</f>
        <v>0,6854</v>
      </c>
      <c r="F51" s="20" t="s">
        <v>1459</v>
      </c>
      <c r="G51" s="27" t="s">
        <v>81</v>
      </c>
      <c r="H51" s="27" t="s">
        <v>81</v>
      </c>
      <c r="I51" s="26" t="s">
        <v>81</v>
      </c>
      <c r="J51" s="21"/>
      <c r="K51" s="30" t="str">
        <f>"127,5"</f>
        <v>127,5</v>
      </c>
      <c r="L51" s="21" t="str">
        <f>"88,6119"</f>
        <v>88,6119</v>
      </c>
      <c r="M51" s="20"/>
    </row>
    <row r="52" spans="1:13">
      <c r="A52" s="19" t="s">
        <v>219</v>
      </c>
      <c r="B52" s="18" t="s">
        <v>679</v>
      </c>
      <c r="C52" s="18" t="s">
        <v>1334</v>
      </c>
      <c r="D52" s="18" t="s">
        <v>680</v>
      </c>
      <c r="E52" s="18" t="str">
        <f>"0,6951"</f>
        <v>0,6951</v>
      </c>
      <c r="F52" s="18" t="s">
        <v>1524</v>
      </c>
      <c r="G52" s="25" t="s">
        <v>99</v>
      </c>
      <c r="H52" s="19"/>
      <c r="I52" s="19"/>
      <c r="J52" s="19"/>
      <c r="K52" s="31" t="str">
        <f>"110,0"</f>
        <v>110,0</v>
      </c>
      <c r="L52" s="19" t="str">
        <f>"76,8433"</f>
        <v>76,8433</v>
      </c>
      <c r="M52" s="18" t="s">
        <v>681</v>
      </c>
    </row>
    <row r="53" spans="1:13">
      <c r="B53" s="5" t="s">
        <v>34</v>
      </c>
    </row>
    <row r="54" spans="1:13" ht="16">
      <c r="A54" s="61" t="s">
        <v>14</v>
      </c>
      <c r="B54" s="61"/>
      <c r="C54" s="61"/>
      <c r="D54" s="61"/>
      <c r="E54" s="61"/>
      <c r="F54" s="61"/>
      <c r="G54" s="61"/>
      <c r="H54" s="61"/>
      <c r="I54" s="61"/>
      <c r="J54" s="61"/>
    </row>
    <row r="55" spans="1:13">
      <c r="A55" s="17" t="s">
        <v>33</v>
      </c>
      <c r="B55" s="16" t="s">
        <v>682</v>
      </c>
      <c r="C55" s="16" t="s">
        <v>683</v>
      </c>
      <c r="D55" s="16" t="s">
        <v>517</v>
      </c>
      <c r="E55" s="16" t="str">
        <f>"0,6402"</f>
        <v>0,6402</v>
      </c>
      <c r="F55" s="16" t="s">
        <v>1502</v>
      </c>
      <c r="G55" s="22" t="s">
        <v>69</v>
      </c>
      <c r="H55" s="22" t="s">
        <v>69</v>
      </c>
      <c r="I55" s="23" t="s">
        <v>69</v>
      </c>
      <c r="J55" s="17"/>
      <c r="K55" s="29" t="str">
        <f>"190,0"</f>
        <v>190,0</v>
      </c>
      <c r="L55" s="17" t="str">
        <f>"121,6380"</f>
        <v>121,6380</v>
      </c>
      <c r="M55" s="16" t="s">
        <v>684</v>
      </c>
    </row>
    <row r="56" spans="1:13">
      <c r="A56" s="21" t="s">
        <v>219</v>
      </c>
      <c r="B56" s="20" t="s">
        <v>685</v>
      </c>
      <c r="C56" s="20" t="s">
        <v>686</v>
      </c>
      <c r="D56" s="20" t="s">
        <v>456</v>
      </c>
      <c r="E56" s="20" t="str">
        <f>"0,6455"</f>
        <v>0,6455</v>
      </c>
      <c r="F56" s="20" t="s">
        <v>1486</v>
      </c>
      <c r="G56" s="26" t="s">
        <v>124</v>
      </c>
      <c r="H56" s="26" t="s">
        <v>113</v>
      </c>
      <c r="I56" s="26" t="s">
        <v>128</v>
      </c>
      <c r="J56" s="21"/>
      <c r="K56" s="30" t="str">
        <f>"162,5"</f>
        <v>162,5</v>
      </c>
      <c r="L56" s="21" t="str">
        <f>"104,8938"</f>
        <v>104,8938</v>
      </c>
      <c r="M56" s="20"/>
    </row>
    <row r="57" spans="1:13">
      <c r="A57" s="21" t="s">
        <v>220</v>
      </c>
      <c r="B57" s="20" t="s">
        <v>367</v>
      </c>
      <c r="C57" s="20" t="s">
        <v>368</v>
      </c>
      <c r="D57" s="20" t="s">
        <v>355</v>
      </c>
      <c r="E57" s="20" t="str">
        <f>"0,6398"</f>
        <v>0,6398</v>
      </c>
      <c r="F57" s="20" t="s">
        <v>1474</v>
      </c>
      <c r="G57" s="26" t="s">
        <v>18</v>
      </c>
      <c r="H57" s="27" t="s">
        <v>19</v>
      </c>
      <c r="I57" s="27" t="s">
        <v>19</v>
      </c>
      <c r="J57" s="21"/>
      <c r="K57" s="30" t="str">
        <f>"160,0"</f>
        <v>160,0</v>
      </c>
      <c r="L57" s="21" t="str">
        <f>"102,3680"</f>
        <v>102,3680</v>
      </c>
      <c r="M57" s="20"/>
    </row>
    <row r="58" spans="1:13">
      <c r="A58" s="21" t="s">
        <v>221</v>
      </c>
      <c r="B58" s="20" t="s">
        <v>687</v>
      </c>
      <c r="C58" s="20" t="s">
        <v>688</v>
      </c>
      <c r="D58" s="20" t="s">
        <v>689</v>
      </c>
      <c r="E58" s="20" t="str">
        <f>"0,6406"</f>
        <v>0,6406</v>
      </c>
      <c r="F58" s="20" t="s">
        <v>1513</v>
      </c>
      <c r="G58" s="27" t="s">
        <v>124</v>
      </c>
      <c r="H58" s="26" t="s">
        <v>124</v>
      </c>
      <c r="I58" s="27" t="s">
        <v>18</v>
      </c>
      <c r="J58" s="21"/>
      <c r="K58" s="30" t="str">
        <f>"152,5"</f>
        <v>152,5</v>
      </c>
      <c r="L58" s="21" t="str">
        <f>"97,6915"</f>
        <v>97,6915</v>
      </c>
      <c r="M58" s="20"/>
    </row>
    <row r="59" spans="1:13">
      <c r="A59" s="21" t="s">
        <v>405</v>
      </c>
      <c r="B59" s="20" t="s">
        <v>690</v>
      </c>
      <c r="C59" s="20" t="s">
        <v>691</v>
      </c>
      <c r="D59" s="20" t="s">
        <v>692</v>
      </c>
      <c r="E59" s="20" t="str">
        <f>"0,6475"</f>
        <v>0,6475</v>
      </c>
      <c r="F59" s="20" t="s">
        <v>1520</v>
      </c>
      <c r="G59" s="27" t="s">
        <v>60</v>
      </c>
      <c r="H59" s="27" t="s">
        <v>60</v>
      </c>
      <c r="I59" s="26" t="s">
        <v>60</v>
      </c>
      <c r="J59" s="21"/>
      <c r="K59" s="30" t="str">
        <f>"145,0"</f>
        <v>145,0</v>
      </c>
      <c r="L59" s="21" t="str">
        <f>"93,8875"</f>
        <v>93,8875</v>
      </c>
      <c r="M59" s="20" t="s">
        <v>693</v>
      </c>
    </row>
    <row r="60" spans="1:13">
      <c r="A60" s="21" t="s">
        <v>406</v>
      </c>
      <c r="B60" s="20" t="s">
        <v>369</v>
      </c>
      <c r="C60" s="20" t="s">
        <v>370</v>
      </c>
      <c r="D60" s="20" t="s">
        <v>366</v>
      </c>
      <c r="E60" s="20" t="str">
        <f>"0,6410"</f>
        <v>0,6410</v>
      </c>
      <c r="F60" s="20" t="s">
        <v>1474</v>
      </c>
      <c r="G60" s="26" t="s">
        <v>60</v>
      </c>
      <c r="H60" s="27" t="s">
        <v>124</v>
      </c>
      <c r="I60" s="27" t="s">
        <v>124</v>
      </c>
      <c r="J60" s="21"/>
      <c r="K60" s="30" t="str">
        <f>"145,0"</f>
        <v>145,0</v>
      </c>
      <c r="L60" s="21" t="str">
        <f>"92,9450"</f>
        <v>92,9450</v>
      </c>
      <c r="M60" s="20"/>
    </row>
    <row r="61" spans="1:13">
      <c r="A61" s="21" t="s">
        <v>602</v>
      </c>
      <c r="B61" s="20" t="s">
        <v>694</v>
      </c>
      <c r="C61" s="20" t="s">
        <v>695</v>
      </c>
      <c r="D61" s="20" t="s">
        <v>126</v>
      </c>
      <c r="E61" s="20" t="str">
        <f>"0,6424"</f>
        <v>0,6424</v>
      </c>
      <c r="F61" s="20" t="s">
        <v>1517</v>
      </c>
      <c r="G61" s="26" t="s">
        <v>56</v>
      </c>
      <c r="H61" s="27" t="s">
        <v>124</v>
      </c>
      <c r="I61" s="27" t="s">
        <v>124</v>
      </c>
      <c r="J61" s="21"/>
      <c r="K61" s="30" t="str">
        <f>"140,0"</f>
        <v>140,0</v>
      </c>
      <c r="L61" s="21" t="str">
        <f>"89,9360"</f>
        <v>89,9360</v>
      </c>
      <c r="M61" s="20" t="s">
        <v>696</v>
      </c>
    </row>
    <row r="62" spans="1:13">
      <c r="A62" s="21" t="s">
        <v>823</v>
      </c>
      <c r="B62" s="20" t="s">
        <v>697</v>
      </c>
      <c r="C62" s="20" t="s">
        <v>698</v>
      </c>
      <c r="D62" s="20" t="s">
        <v>699</v>
      </c>
      <c r="E62" s="20" t="str">
        <f>"0,6428"</f>
        <v>0,6428</v>
      </c>
      <c r="F62" s="20" t="s">
        <v>1464</v>
      </c>
      <c r="G62" s="26" t="s">
        <v>80</v>
      </c>
      <c r="H62" s="26" t="s">
        <v>89</v>
      </c>
      <c r="I62" s="26" t="s">
        <v>356</v>
      </c>
      <c r="J62" s="21"/>
      <c r="K62" s="30" t="str">
        <f>"137,5"</f>
        <v>137,5</v>
      </c>
      <c r="L62" s="21" t="str">
        <f>"88,3850"</f>
        <v>88,3850</v>
      </c>
      <c r="M62" s="20"/>
    </row>
    <row r="63" spans="1:13">
      <c r="A63" s="21" t="s">
        <v>824</v>
      </c>
      <c r="B63" s="20" t="s">
        <v>700</v>
      </c>
      <c r="C63" s="20" t="s">
        <v>701</v>
      </c>
      <c r="D63" s="20" t="s">
        <v>702</v>
      </c>
      <c r="E63" s="20" t="str">
        <f>"0,6479"</f>
        <v>0,6479</v>
      </c>
      <c r="F63" s="20" t="s">
        <v>1491</v>
      </c>
      <c r="G63" s="27" t="s">
        <v>89</v>
      </c>
      <c r="H63" s="26" t="s">
        <v>89</v>
      </c>
      <c r="I63" s="27" t="s">
        <v>55</v>
      </c>
      <c r="J63" s="21"/>
      <c r="K63" s="30" t="str">
        <f>"132,5"</f>
        <v>132,5</v>
      </c>
      <c r="L63" s="21" t="str">
        <f>"85,8467"</f>
        <v>85,8467</v>
      </c>
      <c r="M63" s="20"/>
    </row>
    <row r="64" spans="1:13">
      <c r="A64" s="21" t="s">
        <v>825</v>
      </c>
      <c r="B64" s="20" t="s">
        <v>703</v>
      </c>
      <c r="C64" s="20" t="s">
        <v>704</v>
      </c>
      <c r="D64" s="20" t="s">
        <v>705</v>
      </c>
      <c r="E64" s="20" t="str">
        <f>"0,6440"</f>
        <v>0,6440</v>
      </c>
      <c r="F64" s="20" t="s">
        <v>1525</v>
      </c>
      <c r="G64" s="27" t="s">
        <v>80</v>
      </c>
      <c r="H64" s="27" t="s">
        <v>89</v>
      </c>
      <c r="I64" s="26" t="s">
        <v>89</v>
      </c>
      <c r="J64" s="21"/>
      <c r="K64" s="30" t="str">
        <f>"132,5"</f>
        <v>132,5</v>
      </c>
      <c r="L64" s="21" t="str">
        <f>"85,3300"</f>
        <v>85,3300</v>
      </c>
      <c r="M64" s="20"/>
    </row>
    <row r="65" spans="1:13">
      <c r="A65" s="21" t="s">
        <v>826</v>
      </c>
      <c r="B65" s="20" t="s">
        <v>706</v>
      </c>
      <c r="C65" s="20" t="s">
        <v>707</v>
      </c>
      <c r="D65" s="20" t="s">
        <v>103</v>
      </c>
      <c r="E65" s="20" t="str">
        <f>"0,6417"</f>
        <v>0,6417</v>
      </c>
      <c r="F65" s="20" t="s">
        <v>1511</v>
      </c>
      <c r="G65" s="26" t="s">
        <v>81</v>
      </c>
      <c r="H65" s="27" t="s">
        <v>89</v>
      </c>
      <c r="I65" s="27" t="s">
        <v>89</v>
      </c>
      <c r="J65" s="21"/>
      <c r="K65" s="30" t="str">
        <f>"127,5"</f>
        <v>127,5</v>
      </c>
      <c r="L65" s="21" t="str">
        <f>"81,8168"</f>
        <v>81,8168</v>
      </c>
      <c r="M65" s="20" t="s">
        <v>708</v>
      </c>
    </row>
    <row r="66" spans="1:13">
      <c r="A66" s="21" t="s">
        <v>33</v>
      </c>
      <c r="B66" s="20" t="s">
        <v>709</v>
      </c>
      <c r="C66" s="20" t="s">
        <v>1335</v>
      </c>
      <c r="D66" s="20" t="s">
        <v>353</v>
      </c>
      <c r="E66" s="20" t="str">
        <f>"0,6511"</f>
        <v>0,6511</v>
      </c>
      <c r="F66" s="20" t="s">
        <v>1526</v>
      </c>
      <c r="G66" s="26" t="s">
        <v>18</v>
      </c>
      <c r="H66" s="27" t="s">
        <v>41</v>
      </c>
      <c r="I66" s="27" t="s">
        <v>41</v>
      </c>
      <c r="J66" s="21"/>
      <c r="K66" s="30" t="str">
        <f>"160,0"</f>
        <v>160,0</v>
      </c>
      <c r="L66" s="21" t="str">
        <f>"104,6969"</f>
        <v>104,6969</v>
      </c>
      <c r="M66" s="20"/>
    </row>
    <row r="67" spans="1:13">
      <c r="A67" s="21" t="s">
        <v>33</v>
      </c>
      <c r="B67" s="20" t="s">
        <v>710</v>
      </c>
      <c r="C67" s="20" t="s">
        <v>1336</v>
      </c>
      <c r="D67" s="20" t="s">
        <v>711</v>
      </c>
      <c r="E67" s="20" t="str">
        <f>"0,6432"</f>
        <v>0,6432</v>
      </c>
      <c r="F67" s="20" t="s">
        <v>1486</v>
      </c>
      <c r="G67" s="26" t="s">
        <v>55</v>
      </c>
      <c r="H67" s="27" t="s">
        <v>56</v>
      </c>
      <c r="I67" s="26" t="s">
        <v>56</v>
      </c>
      <c r="J67" s="21"/>
      <c r="K67" s="30" t="str">
        <f>"140,0"</f>
        <v>140,0</v>
      </c>
      <c r="L67" s="21" t="str">
        <f>"98,6926"</f>
        <v>98,6926</v>
      </c>
      <c r="M67" s="20"/>
    </row>
    <row r="68" spans="1:13">
      <c r="A68" s="21" t="s">
        <v>33</v>
      </c>
      <c r="B68" s="20" t="s">
        <v>712</v>
      </c>
      <c r="C68" s="20" t="s">
        <v>1337</v>
      </c>
      <c r="D68" s="20" t="s">
        <v>713</v>
      </c>
      <c r="E68" s="20" t="str">
        <f>"0,6471"</f>
        <v>0,6471</v>
      </c>
      <c r="F68" s="20" t="s">
        <v>1584</v>
      </c>
      <c r="G68" s="27" t="s">
        <v>98</v>
      </c>
      <c r="H68" s="26" t="s">
        <v>98</v>
      </c>
      <c r="I68" s="26" t="s">
        <v>67</v>
      </c>
      <c r="J68" s="21"/>
      <c r="K68" s="30" t="str">
        <f>"102,5"</f>
        <v>102,5</v>
      </c>
      <c r="L68" s="21" t="str">
        <f>"86,0271"</f>
        <v>86,0271</v>
      </c>
      <c r="M68" s="20"/>
    </row>
    <row r="69" spans="1:13">
      <c r="A69" s="19" t="s">
        <v>33</v>
      </c>
      <c r="B69" s="18" t="s">
        <v>714</v>
      </c>
      <c r="C69" s="18" t="s">
        <v>1338</v>
      </c>
      <c r="D69" s="18" t="s">
        <v>121</v>
      </c>
      <c r="E69" s="18" t="str">
        <f>"0,6499"</f>
        <v>0,6499</v>
      </c>
      <c r="F69" s="18" t="s">
        <v>1459</v>
      </c>
      <c r="G69" s="25" t="s">
        <v>80</v>
      </c>
      <c r="H69" s="25" t="s">
        <v>49</v>
      </c>
      <c r="I69" s="25" t="s">
        <v>89</v>
      </c>
      <c r="J69" s="19"/>
      <c r="K69" s="31" t="str">
        <f>"132,5"</f>
        <v>132,5</v>
      </c>
      <c r="L69" s="19" t="str">
        <f>"124,0009"</f>
        <v>124,0009</v>
      </c>
      <c r="M69" s="18" t="s">
        <v>715</v>
      </c>
    </row>
    <row r="70" spans="1:13">
      <c r="B70" s="5" t="s">
        <v>34</v>
      </c>
    </row>
    <row r="71" spans="1:13" ht="16">
      <c r="A71" s="61" t="s">
        <v>130</v>
      </c>
      <c r="B71" s="61"/>
      <c r="C71" s="61"/>
      <c r="D71" s="61"/>
      <c r="E71" s="61"/>
      <c r="F71" s="61"/>
      <c r="G71" s="61"/>
      <c r="H71" s="61"/>
      <c r="I71" s="61"/>
      <c r="J71" s="61"/>
    </row>
    <row r="72" spans="1:13">
      <c r="A72" s="17" t="s">
        <v>33</v>
      </c>
      <c r="B72" s="16" t="s">
        <v>716</v>
      </c>
      <c r="C72" s="16" t="s">
        <v>717</v>
      </c>
      <c r="D72" s="16" t="s">
        <v>718</v>
      </c>
      <c r="E72" s="16" t="str">
        <f>"0,6373"</f>
        <v>0,6373</v>
      </c>
      <c r="F72" s="33" t="s">
        <v>1464</v>
      </c>
      <c r="G72" s="39" t="s">
        <v>262</v>
      </c>
      <c r="H72" s="23" t="s">
        <v>275</v>
      </c>
      <c r="I72" s="40" t="s">
        <v>247</v>
      </c>
      <c r="J72" s="36"/>
      <c r="K72" s="29" t="str">
        <f>"80,0"</f>
        <v>80,0</v>
      </c>
      <c r="L72" s="17" t="str">
        <f>"50,9840"</f>
        <v>50,9840</v>
      </c>
      <c r="M72" s="16"/>
    </row>
    <row r="73" spans="1:13">
      <c r="A73" s="21" t="s">
        <v>33</v>
      </c>
      <c r="B73" s="20" t="s">
        <v>719</v>
      </c>
      <c r="C73" s="20" t="s">
        <v>720</v>
      </c>
      <c r="D73" s="20" t="s">
        <v>721</v>
      </c>
      <c r="E73" s="20" t="str">
        <f>"0,6169"</f>
        <v>0,6169</v>
      </c>
      <c r="F73" s="34" t="s">
        <v>1527</v>
      </c>
      <c r="G73" s="41" t="s">
        <v>87</v>
      </c>
      <c r="H73" s="27" t="s">
        <v>90</v>
      </c>
      <c r="I73" s="42" t="s">
        <v>90</v>
      </c>
      <c r="J73" s="37"/>
      <c r="K73" s="30" t="str">
        <f>"200,0"</f>
        <v>200,0</v>
      </c>
      <c r="L73" s="21" t="str">
        <f>"123,3800"</f>
        <v>123,3800</v>
      </c>
      <c r="M73" s="20" t="s">
        <v>722</v>
      </c>
    </row>
    <row r="74" spans="1:13">
      <c r="A74" s="21" t="s">
        <v>219</v>
      </c>
      <c r="B74" s="20" t="s">
        <v>375</v>
      </c>
      <c r="C74" s="20" t="s">
        <v>376</v>
      </c>
      <c r="D74" s="20" t="s">
        <v>377</v>
      </c>
      <c r="E74" s="20" t="str">
        <f>"0,6111"</f>
        <v>0,6111</v>
      </c>
      <c r="F74" s="34" t="s">
        <v>1459</v>
      </c>
      <c r="G74" s="41" t="s">
        <v>187</v>
      </c>
      <c r="H74" s="26" t="s">
        <v>68</v>
      </c>
      <c r="I74" s="42" t="s">
        <v>69</v>
      </c>
      <c r="J74" s="37"/>
      <c r="K74" s="30" t="str">
        <f>"185,0"</f>
        <v>185,0</v>
      </c>
      <c r="L74" s="21" t="str">
        <f>"113,0535"</f>
        <v>113,0535</v>
      </c>
      <c r="M74" s="20" t="s">
        <v>378</v>
      </c>
    </row>
    <row r="75" spans="1:13">
      <c r="A75" s="21" t="s">
        <v>220</v>
      </c>
      <c r="B75" s="20" t="s">
        <v>723</v>
      </c>
      <c r="C75" s="20" t="s">
        <v>724</v>
      </c>
      <c r="D75" s="20" t="s">
        <v>725</v>
      </c>
      <c r="E75" s="20" t="str">
        <f>"0,6188"</f>
        <v>0,6188</v>
      </c>
      <c r="F75" s="34" t="s">
        <v>1461</v>
      </c>
      <c r="G75" s="41" t="s">
        <v>41</v>
      </c>
      <c r="H75" s="26" t="s">
        <v>187</v>
      </c>
      <c r="I75" s="42" t="s">
        <v>68</v>
      </c>
      <c r="J75" s="37"/>
      <c r="K75" s="30" t="str">
        <f>"175,0"</f>
        <v>175,0</v>
      </c>
      <c r="L75" s="21" t="str">
        <f>"108,2900"</f>
        <v>108,2900</v>
      </c>
      <c r="M75" s="20"/>
    </row>
    <row r="76" spans="1:13">
      <c r="A76" s="21" t="s">
        <v>221</v>
      </c>
      <c r="B76" s="20" t="s">
        <v>726</v>
      </c>
      <c r="C76" s="20" t="s">
        <v>727</v>
      </c>
      <c r="D76" s="20" t="s">
        <v>728</v>
      </c>
      <c r="E76" s="20" t="str">
        <f>"0,6098"</f>
        <v>0,6098</v>
      </c>
      <c r="F76" s="34" t="s">
        <v>1528</v>
      </c>
      <c r="G76" s="41" t="s">
        <v>61</v>
      </c>
      <c r="H76" s="26" t="s">
        <v>128</v>
      </c>
      <c r="I76" s="42" t="s">
        <v>187</v>
      </c>
      <c r="J76" s="37"/>
      <c r="K76" s="30" t="str">
        <f>"162,5"</f>
        <v>162,5</v>
      </c>
      <c r="L76" s="21" t="str">
        <f>"99,0925"</f>
        <v>99,0925</v>
      </c>
      <c r="M76" s="20"/>
    </row>
    <row r="77" spans="1:13">
      <c r="A77" s="21" t="s">
        <v>405</v>
      </c>
      <c r="B77" s="20" t="s">
        <v>1444</v>
      </c>
      <c r="C77" s="20" t="s">
        <v>729</v>
      </c>
      <c r="D77" s="20" t="s">
        <v>730</v>
      </c>
      <c r="E77" s="20" t="str">
        <f>"0,6134"</f>
        <v>0,6134</v>
      </c>
      <c r="F77" s="34" t="s">
        <v>1529</v>
      </c>
      <c r="G77" s="41" t="s">
        <v>56</v>
      </c>
      <c r="H77" s="26" t="s">
        <v>61</v>
      </c>
      <c r="I77" s="42" t="s">
        <v>128</v>
      </c>
      <c r="J77" s="37"/>
      <c r="K77" s="30" t="str">
        <f>"150,0"</f>
        <v>150,0</v>
      </c>
      <c r="L77" s="21" t="str">
        <f>"92,0100"</f>
        <v>92,0100</v>
      </c>
      <c r="M77" s="20" t="s">
        <v>1445</v>
      </c>
    </row>
    <row r="78" spans="1:13">
      <c r="A78" s="21" t="s">
        <v>406</v>
      </c>
      <c r="B78" s="20" t="s">
        <v>731</v>
      </c>
      <c r="C78" s="20" t="s">
        <v>732</v>
      </c>
      <c r="D78" s="20" t="s">
        <v>733</v>
      </c>
      <c r="E78" s="20" t="str">
        <f>"0,6123"</f>
        <v>0,6123</v>
      </c>
      <c r="F78" s="34" t="s">
        <v>1459</v>
      </c>
      <c r="G78" s="43" t="s">
        <v>60</v>
      </c>
      <c r="H78" s="26" t="s">
        <v>60</v>
      </c>
      <c r="I78" s="42" t="s">
        <v>61</v>
      </c>
      <c r="J78" s="37"/>
      <c r="K78" s="30" t="str">
        <f>"145,0"</f>
        <v>145,0</v>
      </c>
      <c r="L78" s="21" t="str">
        <f>"88,7835"</f>
        <v>88,7835</v>
      </c>
      <c r="M78" s="20"/>
    </row>
    <row r="79" spans="1:13">
      <c r="A79" s="21" t="s">
        <v>218</v>
      </c>
      <c r="B79" s="20" t="s">
        <v>734</v>
      </c>
      <c r="C79" s="20" t="s">
        <v>735</v>
      </c>
      <c r="D79" s="20" t="s">
        <v>423</v>
      </c>
      <c r="E79" s="20" t="str">
        <f>"0,6106"</f>
        <v>0,6106</v>
      </c>
      <c r="F79" s="34" t="s">
        <v>1460</v>
      </c>
      <c r="G79" s="43" t="s">
        <v>187</v>
      </c>
      <c r="H79" s="27" t="s">
        <v>68</v>
      </c>
      <c r="I79" s="42" t="s">
        <v>68</v>
      </c>
      <c r="J79" s="37"/>
      <c r="K79" s="30">
        <v>0</v>
      </c>
      <c r="L79" s="21" t="str">
        <f>"0,0000"</f>
        <v>0,0000</v>
      </c>
      <c r="M79" s="20" t="s">
        <v>242</v>
      </c>
    </row>
    <row r="80" spans="1:13">
      <c r="A80" s="21" t="s">
        <v>33</v>
      </c>
      <c r="B80" s="20" t="s">
        <v>736</v>
      </c>
      <c r="C80" s="20" t="s">
        <v>1339</v>
      </c>
      <c r="D80" s="20" t="s">
        <v>737</v>
      </c>
      <c r="E80" s="20" t="str">
        <f>"0,6150"</f>
        <v>0,6150</v>
      </c>
      <c r="F80" s="34" t="s">
        <v>1474</v>
      </c>
      <c r="G80" s="41" t="s">
        <v>187</v>
      </c>
      <c r="H80" s="27" t="s">
        <v>77</v>
      </c>
      <c r="I80" s="42" t="s">
        <v>77</v>
      </c>
      <c r="J80" s="37"/>
      <c r="K80" s="30" t="str">
        <f>"175,0"</f>
        <v>175,0</v>
      </c>
      <c r="L80" s="21" t="str">
        <f>"107,6250"</f>
        <v>107,6250</v>
      </c>
      <c r="M80" s="20"/>
    </row>
    <row r="81" spans="1:13">
      <c r="A81" s="21" t="s">
        <v>219</v>
      </c>
      <c r="B81" s="20" t="s">
        <v>738</v>
      </c>
      <c r="C81" s="20" t="s">
        <v>1340</v>
      </c>
      <c r="D81" s="20" t="s">
        <v>739</v>
      </c>
      <c r="E81" s="20" t="str">
        <f>"0,6250"</f>
        <v>0,6250</v>
      </c>
      <c r="F81" s="34" t="s">
        <v>1530</v>
      </c>
      <c r="G81" s="41" t="s">
        <v>41</v>
      </c>
      <c r="H81" s="27" t="s">
        <v>19</v>
      </c>
      <c r="I81" s="44" t="s">
        <v>19</v>
      </c>
      <c r="J81" s="37"/>
      <c r="K81" s="30" t="str">
        <f>"170,0"</f>
        <v>170,0</v>
      </c>
      <c r="L81" s="21" t="str">
        <f>"110,9250"</f>
        <v>110,9250</v>
      </c>
      <c r="M81" s="20" t="s">
        <v>740</v>
      </c>
    </row>
    <row r="82" spans="1:13">
      <c r="A82" s="21" t="s">
        <v>220</v>
      </c>
      <c r="B82" s="20" t="s">
        <v>741</v>
      </c>
      <c r="C82" s="20" t="s">
        <v>1341</v>
      </c>
      <c r="D82" s="20" t="s">
        <v>739</v>
      </c>
      <c r="E82" s="20" t="str">
        <f>"0,6250"</f>
        <v>0,6250</v>
      </c>
      <c r="F82" s="34" t="s">
        <v>1524</v>
      </c>
      <c r="G82" s="41" t="s">
        <v>124</v>
      </c>
      <c r="H82" s="26" t="s">
        <v>18</v>
      </c>
      <c r="I82" s="44" t="s">
        <v>128</v>
      </c>
      <c r="J82" s="37"/>
      <c r="K82" s="30" t="str">
        <f>"162,5"</f>
        <v>162,5</v>
      </c>
      <c r="L82" s="21" t="str">
        <f>"104,4063"</f>
        <v>104,4063</v>
      </c>
      <c r="M82" s="20"/>
    </row>
    <row r="83" spans="1:13">
      <c r="A83" s="21" t="s">
        <v>221</v>
      </c>
      <c r="B83" s="20" t="s">
        <v>742</v>
      </c>
      <c r="C83" s="20" t="s">
        <v>1342</v>
      </c>
      <c r="D83" s="20" t="s">
        <v>725</v>
      </c>
      <c r="E83" s="20" t="str">
        <f>"0,6188"</f>
        <v>0,6188</v>
      </c>
      <c r="F83" s="34" t="s">
        <v>1459</v>
      </c>
      <c r="G83" s="41" t="s">
        <v>40</v>
      </c>
      <c r="H83" s="26" t="s">
        <v>128</v>
      </c>
      <c r="I83" s="42" t="s">
        <v>19</v>
      </c>
      <c r="J83" s="37"/>
      <c r="K83" s="30" t="str">
        <f>"162,5"</f>
        <v>162,5</v>
      </c>
      <c r="L83" s="21" t="str">
        <f>"103,3705"</f>
        <v>103,3705</v>
      </c>
      <c r="M83" s="20" t="s">
        <v>743</v>
      </c>
    </row>
    <row r="84" spans="1:13">
      <c r="A84" s="21" t="s">
        <v>405</v>
      </c>
      <c r="B84" s="20" t="s">
        <v>744</v>
      </c>
      <c r="C84" s="20" t="s">
        <v>1343</v>
      </c>
      <c r="D84" s="20" t="s">
        <v>535</v>
      </c>
      <c r="E84" s="20" t="str">
        <f>"0,6116"</f>
        <v>0,6116</v>
      </c>
      <c r="F84" s="34" t="s">
        <v>1484</v>
      </c>
      <c r="G84" s="41" t="s">
        <v>124</v>
      </c>
      <c r="H84" s="26" t="s">
        <v>128</v>
      </c>
      <c r="I84" s="42" t="s">
        <v>41</v>
      </c>
      <c r="J84" s="37"/>
      <c r="K84" s="30" t="str">
        <f>"162,5"</f>
        <v>162,5</v>
      </c>
      <c r="L84" s="21" t="str">
        <f>"99,8819"</f>
        <v>99,8819</v>
      </c>
      <c r="M84" s="20" t="s">
        <v>745</v>
      </c>
    </row>
    <row r="85" spans="1:13">
      <c r="A85" s="21" t="s">
        <v>33</v>
      </c>
      <c r="B85" s="20" t="s">
        <v>746</v>
      </c>
      <c r="C85" s="20" t="s">
        <v>1344</v>
      </c>
      <c r="D85" s="20" t="s">
        <v>155</v>
      </c>
      <c r="E85" s="20" t="str">
        <f>"0,6113"</f>
        <v>0,6113</v>
      </c>
      <c r="F85" s="34" t="s">
        <v>1531</v>
      </c>
      <c r="G85" s="41" t="s">
        <v>20</v>
      </c>
      <c r="H85" s="27" t="s">
        <v>70</v>
      </c>
      <c r="I85" s="44" t="s">
        <v>70</v>
      </c>
      <c r="J85" s="37"/>
      <c r="K85" s="30" t="str">
        <f>"195,0"</f>
        <v>195,0</v>
      </c>
      <c r="L85" s="21" t="str">
        <f>"134,9384"</f>
        <v>134,9384</v>
      </c>
      <c r="M85" s="20"/>
    </row>
    <row r="86" spans="1:13">
      <c r="A86" s="19" t="s">
        <v>33</v>
      </c>
      <c r="B86" s="18" t="s">
        <v>747</v>
      </c>
      <c r="C86" s="18" t="s">
        <v>1345</v>
      </c>
      <c r="D86" s="18" t="s">
        <v>748</v>
      </c>
      <c r="E86" s="18" t="str">
        <f>"0,6266"</f>
        <v>0,6266</v>
      </c>
      <c r="F86" s="35" t="s">
        <v>1459</v>
      </c>
      <c r="G86" s="45" t="s">
        <v>124</v>
      </c>
      <c r="H86" s="25" t="s">
        <v>113</v>
      </c>
      <c r="I86" s="46" t="s">
        <v>18</v>
      </c>
      <c r="J86" s="38"/>
      <c r="K86" s="31" t="str">
        <f>"157,5"</f>
        <v>157,5</v>
      </c>
      <c r="L86" s="19" t="str">
        <f>"128,0003"</f>
        <v>128,0003</v>
      </c>
      <c r="M86" s="18"/>
    </row>
    <row r="87" spans="1:13">
      <c r="B87" s="5" t="s">
        <v>34</v>
      </c>
    </row>
    <row r="88" spans="1:13" ht="16">
      <c r="A88" s="61" t="s">
        <v>35</v>
      </c>
      <c r="B88" s="61"/>
      <c r="C88" s="61"/>
      <c r="D88" s="61"/>
      <c r="E88" s="61"/>
      <c r="F88" s="61"/>
      <c r="G88" s="61"/>
      <c r="H88" s="61"/>
      <c r="I88" s="61"/>
      <c r="J88" s="61"/>
    </row>
    <row r="89" spans="1:13">
      <c r="A89" s="17" t="s">
        <v>33</v>
      </c>
      <c r="B89" s="16" t="s">
        <v>749</v>
      </c>
      <c r="C89" s="16" t="s">
        <v>1346</v>
      </c>
      <c r="D89" s="16" t="s">
        <v>750</v>
      </c>
      <c r="E89" s="16" t="str">
        <f>"0,6028"</f>
        <v>0,6028</v>
      </c>
      <c r="F89" s="16" t="s">
        <v>1491</v>
      </c>
      <c r="G89" s="23" t="s">
        <v>18</v>
      </c>
      <c r="H89" s="23" t="s">
        <v>19</v>
      </c>
      <c r="I89" s="22" t="s">
        <v>187</v>
      </c>
      <c r="J89" s="17"/>
      <c r="K89" s="29" t="str">
        <f>"170,0"</f>
        <v>170,0</v>
      </c>
      <c r="L89" s="17" t="str">
        <f>"102,4760"</f>
        <v>102,4760</v>
      </c>
      <c r="M89" s="16" t="s">
        <v>204</v>
      </c>
    </row>
    <row r="90" spans="1:13">
      <c r="A90" s="21" t="s">
        <v>33</v>
      </c>
      <c r="B90" s="20" t="s">
        <v>751</v>
      </c>
      <c r="C90" s="20" t="s">
        <v>752</v>
      </c>
      <c r="D90" s="20" t="s">
        <v>753</v>
      </c>
      <c r="E90" s="20" t="str">
        <f>"0,6055"</f>
        <v>0,6055</v>
      </c>
      <c r="F90" s="20" t="s">
        <v>1532</v>
      </c>
      <c r="G90" s="26" t="s">
        <v>70</v>
      </c>
      <c r="H90" s="26" t="s">
        <v>88</v>
      </c>
      <c r="I90" s="27" t="s">
        <v>127</v>
      </c>
      <c r="J90" s="21"/>
      <c r="K90" s="30" t="str">
        <f>"205,0"</f>
        <v>205,0</v>
      </c>
      <c r="L90" s="21" t="str">
        <f>"124,1275"</f>
        <v>124,1275</v>
      </c>
      <c r="M90" s="20" t="s">
        <v>440</v>
      </c>
    </row>
    <row r="91" spans="1:13">
      <c r="A91" s="21" t="s">
        <v>219</v>
      </c>
      <c r="B91" s="20" t="s">
        <v>754</v>
      </c>
      <c r="C91" s="20" t="s">
        <v>755</v>
      </c>
      <c r="D91" s="20" t="s">
        <v>756</v>
      </c>
      <c r="E91" s="20" t="str">
        <f>"0,5903"</f>
        <v>0,5903</v>
      </c>
      <c r="F91" s="20" t="s">
        <v>1485</v>
      </c>
      <c r="G91" s="26" t="s">
        <v>68</v>
      </c>
      <c r="H91" s="26" t="s">
        <v>70</v>
      </c>
      <c r="I91" s="27" t="s">
        <v>757</v>
      </c>
      <c r="J91" s="21"/>
      <c r="K91" s="30" t="str">
        <f>"195,0"</f>
        <v>195,0</v>
      </c>
      <c r="L91" s="21" t="str">
        <f>"115,1085"</f>
        <v>115,1085</v>
      </c>
      <c r="M91" s="20"/>
    </row>
    <row r="92" spans="1:13">
      <c r="A92" s="21" t="s">
        <v>220</v>
      </c>
      <c r="B92" s="20" t="s">
        <v>758</v>
      </c>
      <c r="C92" s="20" t="s">
        <v>759</v>
      </c>
      <c r="D92" s="20" t="s">
        <v>554</v>
      </c>
      <c r="E92" s="20" t="str">
        <f>"0,5988"</f>
        <v>0,5988</v>
      </c>
      <c r="F92" s="20" t="s">
        <v>1459</v>
      </c>
      <c r="G92" s="26" t="s">
        <v>41</v>
      </c>
      <c r="H92" s="26" t="s">
        <v>187</v>
      </c>
      <c r="I92" s="26" t="s">
        <v>439</v>
      </c>
      <c r="J92" s="21"/>
      <c r="K92" s="30" t="str">
        <f>"177,5"</f>
        <v>177,5</v>
      </c>
      <c r="L92" s="21" t="str">
        <f>"106,2870"</f>
        <v>106,2870</v>
      </c>
      <c r="M92" s="20"/>
    </row>
    <row r="93" spans="1:13">
      <c r="A93" s="21" t="s">
        <v>221</v>
      </c>
      <c r="B93" s="20" t="s">
        <v>760</v>
      </c>
      <c r="C93" s="20" t="s">
        <v>761</v>
      </c>
      <c r="D93" s="20" t="s">
        <v>762</v>
      </c>
      <c r="E93" s="20" t="str">
        <f>"0,5933"</f>
        <v>0,5933</v>
      </c>
      <c r="F93" s="20" t="s">
        <v>1533</v>
      </c>
      <c r="G93" s="26" t="s">
        <v>19</v>
      </c>
      <c r="H93" s="26" t="s">
        <v>187</v>
      </c>
      <c r="I93" s="27" t="s">
        <v>439</v>
      </c>
      <c r="J93" s="21"/>
      <c r="K93" s="30" t="str">
        <f>"175,0"</f>
        <v>175,0</v>
      </c>
      <c r="L93" s="21" t="str">
        <f>"103,8275"</f>
        <v>103,8275</v>
      </c>
      <c r="M93" s="20" t="s">
        <v>763</v>
      </c>
    </row>
    <row r="94" spans="1:13">
      <c r="A94" s="21" t="s">
        <v>405</v>
      </c>
      <c r="B94" s="20" t="s">
        <v>764</v>
      </c>
      <c r="C94" s="20" t="s">
        <v>765</v>
      </c>
      <c r="D94" s="20" t="s">
        <v>766</v>
      </c>
      <c r="E94" s="20" t="str">
        <f>"0,5994"</f>
        <v>0,5994</v>
      </c>
      <c r="F94" s="20" t="s">
        <v>1534</v>
      </c>
      <c r="G94" s="26" t="s">
        <v>40</v>
      </c>
      <c r="H94" s="26" t="s">
        <v>18</v>
      </c>
      <c r="I94" s="26" t="s">
        <v>41</v>
      </c>
      <c r="J94" s="21"/>
      <c r="K94" s="30" t="str">
        <f>"165,0"</f>
        <v>165,0</v>
      </c>
      <c r="L94" s="21" t="str">
        <f>"98,9010"</f>
        <v>98,9010</v>
      </c>
      <c r="M94" s="20"/>
    </row>
    <row r="95" spans="1:13">
      <c r="A95" s="21" t="s">
        <v>406</v>
      </c>
      <c r="B95" s="20" t="s">
        <v>767</v>
      </c>
      <c r="C95" s="20" t="s">
        <v>768</v>
      </c>
      <c r="D95" s="20" t="s">
        <v>769</v>
      </c>
      <c r="E95" s="20" t="str">
        <f>"0,5919"</f>
        <v>0,5919</v>
      </c>
      <c r="F95" s="20" t="s">
        <v>1520</v>
      </c>
      <c r="G95" s="26" t="s">
        <v>113</v>
      </c>
      <c r="H95" s="27" t="s">
        <v>107</v>
      </c>
      <c r="I95" s="27" t="s">
        <v>107</v>
      </c>
      <c r="J95" s="21"/>
      <c r="K95" s="30" t="str">
        <f>"157,5"</f>
        <v>157,5</v>
      </c>
      <c r="L95" s="21" t="str">
        <f>"93,2242"</f>
        <v>93,2242</v>
      </c>
      <c r="M95" s="20" t="s">
        <v>770</v>
      </c>
    </row>
    <row r="96" spans="1:13">
      <c r="A96" s="21" t="s">
        <v>602</v>
      </c>
      <c r="B96" s="20" t="s">
        <v>771</v>
      </c>
      <c r="C96" s="20" t="s">
        <v>772</v>
      </c>
      <c r="D96" s="20" t="s">
        <v>773</v>
      </c>
      <c r="E96" s="20" t="str">
        <f>"0,6039"</f>
        <v>0,6039</v>
      </c>
      <c r="F96" s="20" t="s">
        <v>1459</v>
      </c>
      <c r="G96" s="26" t="s">
        <v>123</v>
      </c>
      <c r="H96" s="26" t="s">
        <v>124</v>
      </c>
      <c r="I96" s="27" t="s">
        <v>113</v>
      </c>
      <c r="J96" s="21"/>
      <c r="K96" s="30" t="str">
        <f>"152,5"</f>
        <v>152,5</v>
      </c>
      <c r="L96" s="21" t="str">
        <f>"92,0948"</f>
        <v>92,0948</v>
      </c>
      <c r="M96" s="20" t="s">
        <v>774</v>
      </c>
    </row>
    <row r="97" spans="1:13">
      <c r="A97" s="21" t="s">
        <v>823</v>
      </c>
      <c r="B97" s="20" t="s">
        <v>775</v>
      </c>
      <c r="C97" s="20" t="s">
        <v>776</v>
      </c>
      <c r="D97" s="20" t="s">
        <v>429</v>
      </c>
      <c r="E97" s="20" t="str">
        <f>"0,5946"</f>
        <v>0,5946</v>
      </c>
      <c r="F97" s="20" t="s">
        <v>1459</v>
      </c>
      <c r="G97" s="26" t="s">
        <v>49</v>
      </c>
      <c r="H97" s="26" t="s">
        <v>56</v>
      </c>
      <c r="I97" s="27" t="s">
        <v>123</v>
      </c>
      <c r="J97" s="21"/>
      <c r="K97" s="30" t="str">
        <f>"140,0"</f>
        <v>140,0</v>
      </c>
      <c r="L97" s="21" t="str">
        <f>"83,2440"</f>
        <v>83,2440</v>
      </c>
      <c r="M97" s="20" t="s">
        <v>312</v>
      </c>
    </row>
    <row r="98" spans="1:13">
      <c r="A98" s="21" t="s">
        <v>33</v>
      </c>
      <c r="B98" s="20" t="s">
        <v>777</v>
      </c>
      <c r="C98" s="20" t="s">
        <v>1347</v>
      </c>
      <c r="D98" s="20" t="s">
        <v>778</v>
      </c>
      <c r="E98" s="20" t="str">
        <f>"0,5893"</f>
        <v>0,5893</v>
      </c>
      <c r="F98" s="20" t="s">
        <v>1477</v>
      </c>
      <c r="G98" s="26" t="s">
        <v>49</v>
      </c>
      <c r="H98" s="27" t="s">
        <v>123</v>
      </c>
      <c r="I98" s="27" t="s">
        <v>123</v>
      </c>
      <c r="J98" s="21"/>
      <c r="K98" s="30" t="str">
        <f>"130,0"</f>
        <v>130,0</v>
      </c>
      <c r="L98" s="21" t="str">
        <f>"76,9920"</f>
        <v>76,9920</v>
      </c>
      <c r="M98" s="20" t="s">
        <v>779</v>
      </c>
    </row>
    <row r="99" spans="1:13">
      <c r="A99" s="21" t="s">
        <v>33</v>
      </c>
      <c r="B99" s="20" t="s">
        <v>758</v>
      </c>
      <c r="C99" s="20" t="s">
        <v>1348</v>
      </c>
      <c r="D99" s="20" t="s">
        <v>554</v>
      </c>
      <c r="E99" s="20" t="str">
        <f>"0,5988"</f>
        <v>0,5988</v>
      </c>
      <c r="F99" s="20" t="s">
        <v>1459</v>
      </c>
      <c r="G99" s="26" t="s">
        <v>41</v>
      </c>
      <c r="H99" s="26" t="s">
        <v>187</v>
      </c>
      <c r="I99" s="26" t="s">
        <v>439</v>
      </c>
      <c r="J99" s="21"/>
      <c r="K99" s="30" t="str">
        <f>"177,5"</f>
        <v>177,5</v>
      </c>
      <c r="L99" s="21" t="str">
        <f>"114,5774"</f>
        <v>114,5774</v>
      </c>
      <c r="M99" s="20"/>
    </row>
    <row r="100" spans="1:13">
      <c r="A100" s="21" t="s">
        <v>219</v>
      </c>
      <c r="B100" s="20" t="s">
        <v>780</v>
      </c>
      <c r="C100" s="20" t="s">
        <v>1349</v>
      </c>
      <c r="D100" s="20" t="s">
        <v>781</v>
      </c>
      <c r="E100" s="20" t="str">
        <f>"0,6024"</f>
        <v>0,6024</v>
      </c>
      <c r="F100" s="20" t="s">
        <v>1459</v>
      </c>
      <c r="G100" s="26" t="s">
        <v>61</v>
      </c>
      <c r="H100" s="26" t="s">
        <v>40</v>
      </c>
      <c r="I100" s="27" t="s">
        <v>18</v>
      </c>
      <c r="J100" s="21"/>
      <c r="K100" s="30" t="str">
        <f>"155,0"</f>
        <v>155,0</v>
      </c>
      <c r="L100" s="21" t="str">
        <f>"104,0164"</f>
        <v>104,0164</v>
      </c>
      <c r="M100" s="20" t="s">
        <v>782</v>
      </c>
    </row>
    <row r="101" spans="1:13">
      <c r="A101" s="21" t="s">
        <v>33</v>
      </c>
      <c r="B101" s="20" t="s">
        <v>783</v>
      </c>
      <c r="C101" s="20" t="s">
        <v>1350</v>
      </c>
      <c r="D101" s="20" t="s">
        <v>784</v>
      </c>
      <c r="E101" s="20" t="str">
        <f>"0,5898"</f>
        <v>0,5898</v>
      </c>
      <c r="F101" s="20" t="s">
        <v>1459</v>
      </c>
      <c r="G101" s="26" t="s">
        <v>57</v>
      </c>
      <c r="H101" s="26" t="s">
        <v>123</v>
      </c>
      <c r="I101" s="21"/>
      <c r="J101" s="21"/>
      <c r="K101" s="30" t="str">
        <f>"147,5"</f>
        <v>147,5</v>
      </c>
      <c r="L101" s="21" t="str">
        <f>"100,0448"</f>
        <v>100,0448</v>
      </c>
      <c r="M101" s="20" t="s">
        <v>785</v>
      </c>
    </row>
    <row r="102" spans="1:13">
      <c r="A102" s="21" t="s">
        <v>219</v>
      </c>
      <c r="B102" s="20" t="s">
        <v>180</v>
      </c>
      <c r="C102" s="20" t="s">
        <v>1309</v>
      </c>
      <c r="D102" s="20" t="s">
        <v>181</v>
      </c>
      <c r="E102" s="20" t="str">
        <f>"0,6044"</f>
        <v>0,6044</v>
      </c>
      <c r="F102" s="20" t="s">
        <v>1587</v>
      </c>
      <c r="G102" s="26" t="s">
        <v>55</v>
      </c>
      <c r="H102" s="26" t="s">
        <v>57</v>
      </c>
      <c r="I102" s="27" t="s">
        <v>123</v>
      </c>
      <c r="J102" s="21"/>
      <c r="K102" s="30" t="str">
        <f>"142,5"</f>
        <v>142,5</v>
      </c>
      <c r="L102" s="21" t="str">
        <f>"99,0460"</f>
        <v>99,0460</v>
      </c>
      <c r="M102" s="20" t="s">
        <v>183</v>
      </c>
    </row>
    <row r="103" spans="1:13">
      <c r="A103" s="21" t="s">
        <v>33</v>
      </c>
      <c r="B103" s="20" t="s">
        <v>786</v>
      </c>
      <c r="C103" s="20" t="s">
        <v>1351</v>
      </c>
      <c r="D103" s="20" t="s">
        <v>173</v>
      </c>
      <c r="E103" s="20" t="str">
        <f>"0,5897"</f>
        <v>0,5897</v>
      </c>
      <c r="F103" s="20" t="s">
        <v>1535</v>
      </c>
      <c r="G103" s="26" t="s">
        <v>356</v>
      </c>
      <c r="H103" s="27" t="s">
        <v>60</v>
      </c>
      <c r="I103" s="27" t="s">
        <v>60</v>
      </c>
      <c r="J103" s="21"/>
      <c r="K103" s="30" t="str">
        <f>"137,5"</f>
        <v>137,5</v>
      </c>
      <c r="L103" s="21" t="str">
        <f>"116,7606"</f>
        <v>116,7606</v>
      </c>
      <c r="M103" s="20" t="s">
        <v>787</v>
      </c>
    </row>
    <row r="104" spans="1:13">
      <c r="A104" s="19" t="s">
        <v>33</v>
      </c>
      <c r="B104" s="18" t="s">
        <v>788</v>
      </c>
      <c r="C104" s="18" t="s">
        <v>1352</v>
      </c>
      <c r="D104" s="18" t="s">
        <v>429</v>
      </c>
      <c r="E104" s="18" t="str">
        <f>"0,5946"</f>
        <v>0,5946</v>
      </c>
      <c r="F104" s="18" t="s">
        <v>1526</v>
      </c>
      <c r="G104" s="25" t="s">
        <v>182</v>
      </c>
      <c r="H104" s="25" t="s">
        <v>79</v>
      </c>
      <c r="I104" s="25" t="s">
        <v>298</v>
      </c>
      <c r="J104" s="19"/>
      <c r="K104" s="31" t="str">
        <f>"122,5"</f>
        <v>122,5</v>
      </c>
      <c r="L104" s="19" t="str">
        <f>"129,6525"</f>
        <v>129,6525</v>
      </c>
      <c r="M104" s="18"/>
    </row>
    <row r="105" spans="1:13">
      <c r="B105" s="5" t="s">
        <v>34</v>
      </c>
    </row>
    <row r="106" spans="1:13" ht="16">
      <c r="A106" s="61" t="s">
        <v>184</v>
      </c>
      <c r="B106" s="61"/>
      <c r="C106" s="61"/>
      <c r="D106" s="61"/>
      <c r="E106" s="61"/>
      <c r="F106" s="61"/>
      <c r="G106" s="61"/>
      <c r="H106" s="61"/>
      <c r="I106" s="61"/>
      <c r="J106" s="61"/>
    </row>
    <row r="107" spans="1:13">
      <c r="A107" s="17" t="s">
        <v>33</v>
      </c>
      <c r="B107" s="16" t="s">
        <v>789</v>
      </c>
      <c r="C107" s="16" t="s">
        <v>790</v>
      </c>
      <c r="D107" s="16" t="s">
        <v>791</v>
      </c>
      <c r="E107" s="16" t="str">
        <f>"0,5801"</f>
        <v>0,5801</v>
      </c>
      <c r="F107" s="16" t="s">
        <v>1474</v>
      </c>
      <c r="G107" s="23" t="s">
        <v>68</v>
      </c>
      <c r="H107" s="23" t="s">
        <v>69</v>
      </c>
      <c r="I107" s="22" t="s">
        <v>78</v>
      </c>
      <c r="J107" s="17"/>
      <c r="K107" s="29" t="str">
        <f>"190,0"</f>
        <v>190,0</v>
      </c>
      <c r="L107" s="17" t="str">
        <f>"110,2190"</f>
        <v>110,2190</v>
      </c>
      <c r="M107" s="16"/>
    </row>
    <row r="108" spans="1:13">
      <c r="A108" s="21" t="s">
        <v>219</v>
      </c>
      <c r="B108" s="20" t="s">
        <v>792</v>
      </c>
      <c r="C108" s="20" t="s">
        <v>793</v>
      </c>
      <c r="D108" s="20" t="s">
        <v>794</v>
      </c>
      <c r="E108" s="20" t="str">
        <f>"0,5728"</f>
        <v>0,5728</v>
      </c>
      <c r="F108" s="20" t="s">
        <v>1464</v>
      </c>
      <c r="G108" s="26" t="s">
        <v>19</v>
      </c>
      <c r="H108" s="26" t="s">
        <v>439</v>
      </c>
      <c r="I108" s="26" t="s">
        <v>20</v>
      </c>
      <c r="J108" s="21"/>
      <c r="K108" s="30" t="str">
        <f>"182,5"</f>
        <v>182,5</v>
      </c>
      <c r="L108" s="21" t="str">
        <f>"104,5360"</f>
        <v>104,5360</v>
      </c>
      <c r="M108" s="20"/>
    </row>
    <row r="109" spans="1:13">
      <c r="A109" s="21" t="s">
        <v>220</v>
      </c>
      <c r="B109" s="20" t="s">
        <v>795</v>
      </c>
      <c r="C109" s="20" t="s">
        <v>796</v>
      </c>
      <c r="D109" s="20" t="s">
        <v>797</v>
      </c>
      <c r="E109" s="20" t="str">
        <f>"0,5744"</f>
        <v>0,5744</v>
      </c>
      <c r="F109" s="20" t="s">
        <v>1459</v>
      </c>
      <c r="G109" s="26" t="s">
        <v>40</v>
      </c>
      <c r="H109" s="26" t="s">
        <v>128</v>
      </c>
      <c r="I109" s="26" t="s">
        <v>107</v>
      </c>
      <c r="J109" s="21"/>
      <c r="K109" s="30" t="str">
        <f>"167,5"</f>
        <v>167,5</v>
      </c>
      <c r="L109" s="21" t="str">
        <f>"96,2120"</f>
        <v>96,2120</v>
      </c>
      <c r="M109" s="20"/>
    </row>
    <row r="110" spans="1:13">
      <c r="A110" s="21" t="s">
        <v>221</v>
      </c>
      <c r="B110" s="20" t="s">
        <v>798</v>
      </c>
      <c r="C110" s="20" t="s">
        <v>799</v>
      </c>
      <c r="D110" s="20" t="s">
        <v>800</v>
      </c>
      <c r="E110" s="20" t="str">
        <f>"0,5714"</f>
        <v>0,5714</v>
      </c>
      <c r="F110" s="20" t="s">
        <v>1529</v>
      </c>
      <c r="G110" s="27" t="s">
        <v>124</v>
      </c>
      <c r="H110" s="26" t="s">
        <v>124</v>
      </c>
      <c r="I110" s="27" t="s">
        <v>18</v>
      </c>
      <c r="J110" s="21"/>
      <c r="K110" s="30" t="str">
        <f>"152,5"</f>
        <v>152,5</v>
      </c>
      <c r="L110" s="21" t="str">
        <f>"87,1385"</f>
        <v>87,1385</v>
      </c>
      <c r="M110" s="20" t="s">
        <v>801</v>
      </c>
    </row>
    <row r="111" spans="1:13">
      <c r="A111" s="21" t="s">
        <v>218</v>
      </c>
      <c r="B111" s="20" t="s">
        <v>802</v>
      </c>
      <c r="C111" s="20" t="s">
        <v>803</v>
      </c>
      <c r="D111" s="20" t="s">
        <v>804</v>
      </c>
      <c r="E111" s="20" t="str">
        <f>"0,5723"</f>
        <v>0,5723</v>
      </c>
      <c r="F111" s="20" t="s">
        <v>1459</v>
      </c>
      <c r="G111" s="27" t="s">
        <v>88</v>
      </c>
      <c r="H111" s="27" t="s">
        <v>127</v>
      </c>
      <c r="I111" s="27" t="s">
        <v>127</v>
      </c>
      <c r="J111" s="21"/>
      <c r="K111" s="30">
        <v>0</v>
      </c>
      <c r="L111" s="21" t="str">
        <f>"0,0000"</f>
        <v>0,0000</v>
      </c>
      <c r="M111" s="20"/>
    </row>
    <row r="112" spans="1:13">
      <c r="A112" s="19" t="s">
        <v>218</v>
      </c>
      <c r="B112" s="18" t="s">
        <v>802</v>
      </c>
      <c r="C112" s="18" t="s">
        <v>1353</v>
      </c>
      <c r="D112" s="18" t="s">
        <v>804</v>
      </c>
      <c r="E112" s="18" t="str">
        <f>"0,5723"</f>
        <v>0,5723</v>
      </c>
      <c r="F112" s="18" t="s">
        <v>1459</v>
      </c>
      <c r="G112" s="24" t="s">
        <v>88</v>
      </c>
      <c r="H112" s="24" t="s">
        <v>127</v>
      </c>
      <c r="I112" s="24" t="s">
        <v>127</v>
      </c>
      <c r="J112" s="19"/>
      <c r="K112" s="31">
        <v>0</v>
      </c>
      <c r="L112" s="19" t="str">
        <f>"0,0000"</f>
        <v>0,0000</v>
      </c>
      <c r="M112" s="18"/>
    </row>
    <row r="113" spans="1:13">
      <c r="B113" s="5" t="s">
        <v>34</v>
      </c>
    </row>
    <row r="114" spans="1:13" ht="16">
      <c r="A114" s="61" t="s">
        <v>198</v>
      </c>
      <c r="B114" s="61"/>
      <c r="C114" s="61"/>
      <c r="D114" s="61"/>
      <c r="E114" s="61"/>
      <c r="F114" s="61"/>
      <c r="G114" s="61"/>
      <c r="H114" s="61"/>
      <c r="I114" s="61"/>
      <c r="J114" s="61"/>
    </row>
    <row r="115" spans="1:13">
      <c r="A115" s="17" t="s">
        <v>33</v>
      </c>
      <c r="B115" s="16" t="s">
        <v>805</v>
      </c>
      <c r="C115" s="16" t="s">
        <v>806</v>
      </c>
      <c r="D115" s="16" t="s">
        <v>807</v>
      </c>
      <c r="E115" s="16" t="str">
        <f>"0,5624"</f>
        <v>0,5624</v>
      </c>
      <c r="F115" s="16" t="s">
        <v>1459</v>
      </c>
      <c r="G115" s="23" t="s">
        <v>69</v>
      </c>
      <c r="H115" s="23" t="s">
        <v>87</v>
      </c>
      <c r="I115" s="23" t="s">
        <v>88</v>
      </c>
      <c r="J115" s="17"/>
      <c r="K115" s="29" t="str">
        <f>"205,0"</f>
        <v>205,0</v>
      </c>
      <c r="L115" s="17" t="str">
        <f>"115,2920"</f>
        <v>115,2920</v>
      </c>
      <c r="M115" s="16" t="s">
        <v>808</v>
      </c>
    </row>
    <row r="116" spans="1:13">
      <c r="A116" s="21" t="s">
        <v>33</v>
      </c>
      <c r="B116" s="20" t="s">
        <v>805</v>
      </c>
      <c r="C116" s="20" t="s">
        <v>1354</v>
      </c>
      <c r="D116" s="20" t="s">
        <v>807</v>
      </c>
      <c r="E116" s="20" t="str">
        <f>"0,5624"</f>
        <v>0,5624</v>
      </c>
      <c r="F116" s="20" t="s">
        <v>1459</v>
      </c>
      <c r="G116" s="26" t="s">
        <v>69</v>
      </c>
      <c r="H116" s="26" t="s">
        <v>87</v>
      </c>
      <c r="I116" s="26" t="s">
        <v>88</v>
      </c>
      <c r="J116" s="21"/>
      <c r="K116" s="30" t="str">
        <f>"205,0"</f>
        <v>205,0</v>
      </c>
      <c r="L116" s="21" t="str">
        <f>"116,9061"</f>
        <v>116,9061</v>
      </c>
      <c r="M116" s="20" t="s">
        <v>808</v>
      </c>
    </row>
    <row r="117" spans="1:13">
      <c r="A117" s="21" t="s">
        <v>219</v>
      </c>
      <c r="B117" s="20" t="s">
        <v>809</v>
      </c>
      <c r="C117" s="20" t="s">
        <v>1355</v>
      </c>
      <c r="D117" s="20" t="s">
        <v>810</v>
      </c>
      <c r="E117" s="20" t="str">
        <f>"0,5654"</f>
        <v>0,5654</v>
      </c>
      <c r="F117" s="20" t="s">
        <v>1536</v>
      </c>
      <c r="G117" s="26" t="s">
        <v>61</v>
      </c>
      <c r="H117" s="26" t="s">
        <v>113</v>
      </c>
      <c r="I117" s="26" t="s">
        <v>128</v>
      </c>
      <c r="J117" s="21"/>
      <c r="K117" s="30" t="str">
        <f>"162,5"</f>
        <v>162,5</v>
      </c>
      <c r="L117" s="21" t="str">
        <f>"93,1638"</f>
        <v>93,1638</v>
      </c>
      <c r="M117" s="20" t="s">
        <v>495</v>
      </c>
    </row>
    <row r="118" spans="1:13">
      <c r="A118" s="19" t="s">
        <v>33</v>
      </c>
      <c r="B118" s="18" t="s">
        <v>811</v>
      </c>
      <c r="C118" s="18" t="s">
        <v>1356</v>
      </c>
      <c r="D118" s="18" t="s">
        <v>812</v>
      </c>
      <c r="E118" s="18" t="str">
        <f>"0,5623"</f>
        <v>0,5623</v>
      </c>
      <c r="F118" s="18" t="s">
        <v>1459</v>
      </c>
      <c r="G118" s="25" t="s">
        <v>160</v>
      </c>
      <c r="H118" s="25" t="s">
        <v>439</v>
      </c>
      <c r="I118" s="25" t="s">
        <v>20</v>
      </c>
      <c r="J118" s="24" t="s">
        <v>68</v>
      </c>
      <c r="K118" s="31" t="str">
        <f>"182,5"</f>
        <v>182,5</v>
      </c>
      <c r="L118" s="19" t="str">
        <f>"133,0978"</f>
        <v>133,0978</v>
      </c>
      <c r="M118" s="18"/>
    </row>
    <row r="119" spans="1:13">
      <c r="B119" s="5" t="s">
        <v>34</v>
      </c>
    </row>
    <row r="122" spans="1:13" ht="18">
      <c r="B122" s="9" t="s">
        <v>24</v>
      </c>
      <c r="C122" s="9"/>
    </row>
    <row r="123" spans="1:13" ht="16">
      <c r="B123" s="10" t="s">
        <v>205</v>
      </c>
      <c r="C123" s="10"/>
    </row>
    <row r="124" spans="1:13" ht="14">
      <c r="B124" s="11"/>
      <c r="C124" s="12" t="s">
        <v>207</v>
      </c>
    </row>
    <row r="125" spans="1:13" ht="14">
      <c r="B125" s="13" t="s">
        <v>27</v>
      </c>
      <c r="C125" s="13" t="s">
        <v>28</v>
      </c>
      <c r="D125" s="13" t="s">
        <v>1437</v>
      </c>
      <c r="E125" s="13" t="s">
        <v>593</v>
      </c>
      <c r="F125" s="13" t="s">
        <v>31</v>
      </c>
    </row>
    <row r="126" spans="1:13">
      <c r="B126" s="5" t="s">
        <v>626</v>
      </c>
      <c r="C126" s="5" t="s">
        <v>207</v>
      </c>
      <c r="D126" s="6" t="s">
        <v>208</v>
      </c>
      <c r="E126" s="6" t="s">
        <v>99</v>
      </c>
      <c r="F126" s="6" t="s">
        <v>813</v>
      </c>
    </row>
    <row r="127" spans="1:13">
      <c r="B127" s="5" t="s">
        <v>603</v>
      </c>
      <c r="C127" s="5" t="s">
        <v>207</v>
      </c>
      <c r="D127" s="6" t="s">
        <v>814</v>
      </c>
      <c r="E127" s="6" t="s">
        <v>247</v>
      </c>
      <c r="F127" s="6" t="s">
        <v>815</v>
      </c>
    </row>
    <row r="128" spans="1:13">
      <c r="B128" s="5" t="s">
        <v>607</v>
      </c>
      <c r="C128" s="5" t="s">
        <v>207</v>
      </c>
      <c r="D128" s="6" t="s">
        <v>397</v>
      </c>
      <c r="E128" s="6" t="s">
        <v>295</v>
      </c>
      <c r="F128" s="6" t="s">
        <v>816</v>
      </c>
    </row>
    <row r="130" spans="2:6" ht="16">
      <c r="B130" s="10" t="s">
        <v>25</v>
      </c>
      <c r="C130" s="10"/>
    </row>
    <row r="131" spans="2:6" ht="14">
      <c r="B131" s="11"/>
      <c r="C131" s="12" t="s">
        <v>207</v>
      </c>
    </row>
    <row r="132" spans="2:6" ht="14">
      <c r="B132" s="13" t="s">
        <v>27</v>
      </c>
      <c r="C132" s="13" t="s">
        <v>28</v>
      </c>
      <c r="D132" s="13" t="s">
        <v>1437</v>
      </c>
      <c r="E132" s="13" t="s">
        <v>593</v>
      </c>
      <c r="F132" s="13" t="s">
        <v>31</v>
      </c>
    </row>
    <row r="133" spans="2:6">
      <c r="B133" s="5" t="s">
        <v>751</v>
      </c>
      <c r="C133" s="5" t="s">
        <v>207</v>
      </c>
      <c r="D133" s="6" t="s">
        <v>42</v>
      </c>
      <c r="E133" s="6" t="s">
        <v>88</v>
      </c>
      <c r="F133" s="6" t="s">
        <v>818</v>
      </c>
    </row>
    <row r="134" spans="2:6">
      <c r="B134" s="5" t="s">
        <v>719</v>
      </c>
      <c r="C134" s="5" t="s">
        <v>207</v>
      </c>
      <c r="D134" s="6" t="s">
        <v>209</v>
      </c>
      <c r="E134" s="6" t="s">
        <v>87</v>
      </c>
      <c r="F134" s="6" t="s">
        <v>819</v>
      </c>
    </row>
    <row r="135" spans="2:6">
      <c r="B135" s="5" t="s">
        <v>638</v>
      </c>
      <c r="C135" s="5" t="s">
        <v>207</v>
      </c>
      <c r="D135" s="6" t="s">
        <v>208</v>
      </c>
      <c r="E135" s="6" t="s">
        <v>113</v>
      </c>
      <c r="F135" s="6" t="s">
        <v>817</v>
      </c>
    </row>
    <row r="137" spans="2:6" ht="14">
      <c r="B137" s="11"/>
      <c r="C137" s="12" t="s">
        <v>26</v>
      </c>
    </row>
    <row r="138" spans="2:6" ht="14">
      <c r="B138" s="13" t="s">
        <v>27</v>
      </c>
      <c r="C138" s="13" t="s">
        <v>28</v>
      </c>
      <c r="D138" s="13" t="s">
        <v>1437</v>
      </c>
      <c r="E138" s="13" t="s">
        <v>593</v>
      </c>
      <c r="F138" s="13" t="s">
        <v>31</v>
      </c>
    </row>
    <row r="139" spans="2:6">
      <c r="B139" s="5" t="s">
        <v>746</v>
      </c>
      <c r="C139" s="5" t="s">
        <v>1357</v>
      </c>
      <c r="D139" s="6" t="s">
        <v>209</v>
      </c>
      <c r="E139" s="6" t="s">
        <v>70</v>
      </c>
      <c r="F139" s="6" t="s">
        <v>820</v>
      </c>
    </row>
    <row r="140" spans="2:6">
      <c r="B140" s="5" t="s">
        <v>811</v>
      </c>
      <c r="C140" s="5" t="s">
        <v>1358</v>
      </c>
      <c r="D140" s="6" t="s">
        <v>213</v>
      </c>
      <c r="E140" s="6" t="s">
        <v>20</v>
      </c>
      <c r="F140" s="6" t="s">
        <v>821</v>
      </c>
    </row>
    <row r="141" spans="2:6">
      <c r="B141" s="5" t="s">
        <v>788</v>
      </c>
      <c r="C141" s="5" t="s">
        <v>1359</v>
      </c>
      <c r="D141" s="6" t="s">
        <v>42</v>
      </c>
      <c r="E141" s="6" t="s">
        <v>298</v>
      </c>
      <c r="F141" s="6" t="s">
        <v>822</v>
      </c>
    </row>
    <row r="142" spans="2:6">
      <c r="B142" s="5" t="s">
        <v>34</v>
      </c>
    </row>
  </sheetData>
  <mergeCells count="25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114:J114"/>
    <mergeCell ref="B3:B4"/>
    <mergeCell ref="A35:J35"/>
    <mergeCell ref="A44:J44"/>
    <mergeCell ref="A54:J54"/>
    <mergeCell ref="A71:J71"/>
    <mergeCell ref="A88:J88"/>
    <mergeCell ref="A106:J106"/>
    <mergeCell ref="A8:J8"/>
    <mergeCell ref="A12:J12"/>
    <mergeCell ref="A16:J16"/>
    <mergeCell ref="A21:J21"/>
    <mergeCell ref="A26:J26"/>
    <mergeCell ref="A29:J2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M98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" style="5" bestFit="1" customWidth="1"/>
    <col min="3" max="3" width="28.5" style="5" bestFit="1" customWidth="1"/>
    <col min="4" max="4" width="21.5" style="5" bestFit="1" customWidth="1"/>
    <col min="5" max="5" width="13.5" style="5" customWidth="1"/>
    <col min="6" max="6" width="21.6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8.6640625" style="5" bestFit="1" customWidth="1"/>
    <col min="14" max="16384" width="9.1640625" style="3"/>
  </cols>
  <sheetData>
    <row r="1" spans="1:13" s="2" customFormat="1" ht="29" customHeight="1">
      <c r="A1" s="62" t="s">
        <v>1264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3" s="1" customFormat="1" ht="12.75" customHeight="1">
      <c r="A3" s="70" t="s">
        <v>1458</v>
      </c>
      <c r="B3" s="59" t="s">
        <v>0</v>
      </c>
      <c r="C3" s="72" t="s">
        <v>5</v>
      </c>
      <c r="D3" s="72" t="s">
        <v>8</v>
      </c>
      <c r="E3" s="74" t="s">
        <v>9</v>
      </c>
      <c r="F3" s="74" t="s">
        <v>10</v>
      </c>
      <c r="G3" s="74" t="s">
        <v>12</v>
      </c>
      <c r="H3" s="74"/>
      <c r="I3" s="74"/>
      <c r="J3" s="74"/>
      <c r="K3" s="74" t="s">
        <v>601</v>
      </c>
      <c r="L3" s="74" t="s">
        <v>3</v>
      </c>
      <c r="M3" s="77" t="s">
        <v>2</v>
      </c>
    </row>
    <row r="4" spans="1:13" s="1" customFormat="1" ht="21" customHeight="1" thickBot="1">
      <c r="A4" s="71"/>
      <c r="B4" s="60"/>
      <c r="C4" s="73"/>
      <c r="D4" s="73"/>
      <c r="E4" s="73"/>
      <c r="F4" s="73"/>
      <c r="G4" s="4">
        <v>1</v>
      </c>
      <c r="H4" s="4">
        <v>2</v>
      </c>
      <c r="I4" s="4">
        <v>3</v>
      </c>
      <c r="J4" s="4" t="s">
        <v>4</v>
      </c>
      <c r="K4" s="73"/>
      <c r="L4" s="73"/>
      <c r="M4" s="78"/>
    </row>
    <row r="5" spans="1:13" ht="16">
      <c r="A5" s="57" t="s">
        <v>243</v>
      </c>
      <c r="B5" s="57"/>
      <c r="C5" s="58"/>
      <c r="D5" s="58"/>
      <c r="E5" s="58"/>
      <c r="F5" s="58"/>
      <c r="G5" s="58"/>
      <c r="H5" s="58"/>
      <c r="I5" s="58"/>
      <c r="J5" s="58"/>
    </row>
    <row r="6" spans="1:13">
      <c r="A6" s="8" t="s">
        <v>33</v>
      </c>
      <c r="B6" s="7" t="s">
        <v>466</v>
      </c>
      <c r="C6" s="7" t="s">
        <v>467</v>
      </c>
      <c r="D6" s="7" t="s">
        <v>468</v>
      </c>
      <c r="E6" s="7" t="str">
        <f>"1,2466"</f>
        <v>1,2466</v>
      </c>
      <c r="F6" s="7" t="s">
        <v>1460</v>
      </c>
      <c r="G6" s="15" t="s">
        <v>271</v>
      </c>
      <c r="H6" s="14" t="s">
        <v>295</v>
      </c>
      <c r="I6" s="15" t="s">
        <v>295</v>
      </c>
      <c r="J6" s="8"/>
      <c r="K6" s="8" t="str">
        <f>"67,5"</f>
        <v>67,5</v>
      </c>
      <c r="L6" s="8" t="str">
        <f>"84,1455"</f>
        <v>84,1455</v>
      </c>
      <c r="M6" s="7"/>
    </row>
    <row r="7" spans="1:13">
      <c r="B7" s="5" t="s">
        <v>34</v>
      </c>
    </row>
    <row r="8" spans="1:13" ht="16">
      <c r="A8" s="61" t="s">
        <v>43</v>
      </c>
      <c r="B8" s="61"/>
      <c r="C8" s="61"/>
      <c r="D8" s="61"/>
      <c r="E8" s="61"/>
      <c r="F8" s="61"/>
      <c r="G8" s="61"/>
      <c r="H8" s="61"/>
      <c r="I8" s="61"/>
      <c r="J8" s="61"/>
    </row>
    <row r="9" spans="1:13">
      <c r="A9" s="17" t="s">
        <v>33</v>
      </c>
      <c r="B9" s="16" t="s">
        <v>469</v>
      </c>
      <c r="C9" s="16" t="s">
        <v>470</v>
      </c>
      <c r="D9" s="16" t="s">
        <v>278</v>
      </c>
      <c r="E9" s="16" t="str">
        <f>"1,1766"</f>
        <v>1,1766</v>
      </c>
      <c r="F9" s="16" t="s">
        <v>1491</v>
      </c>
      <c r="G9" s="23" t="s">
        <v>261</v>
      </c>
      <c r="H9" s="23" t="s">
        <v>262</v>
      </c>
      <c r="I9" s="23" t="s">
        <v>253</v>
      </c>
      <c r="J9" s="17"/>
      <c r="K9" s="17" t="str">
        <f>"75,0"</f>
        <v>75,0</v>
      </c>
      <c r="L9" s="17" t="str">
        <f>"88,2450"</f>
        <v>88,2450</v>
      </c>
      <c r="M9" s="16" t="s">
        <v>1446</v>
      </c>
    </row>
    <row r="10" spans="1:13">
      <c r="A10" s="19" t="s">
        <v>33</v>
      </c>
      <c r="B10" s="18" t="s">
        <v>471</v>
      </c>
      <c r="C10" s="18" t="s">
        <v>1360</v>
      </c>
      <c r="D10" s="18" t="s">
        <v>472</v>
      </c>
      <c r="E10" s="18" t="str">
        <f>"1,2088"</f>
        <v>1,2088</v>
      </c>
      <c r="F10" s="18" t="s">
        <v>1495</v>
      </c>
      <c r="G10" s="24" t="s">
        <v>261</v>
      </c>
      <c r="H10" s="25" t="s">
        <v>253</v>
      </c>
      <c r="I10" s="24" t="s">
        <v>247</v>
      </c>
      <c r="J10" s="19"/>
      <c r="K10" s="19" t="str">
        <f>"75,0"</f>
        <v>75,0</v>
      </c>
      <c r="L10" s="19" t="str">
        <f>"91,1133"</f>
        <v>91,1133</v>
      </c>
      <c r="M10" s="18" t="s">
        <v>473</v>
      </c>
    </row>
    <row r="11" spans="1:13">
      <c r="B11" s="5" t="s">
        <v>34</v>
      </c>
    </row>
    <row r="12" spans="1:13" ht="16">
      <c r="A12" s="61" t="s">
        <v>51</v>
      </c>
      <c r="B12" s="61"/>
      <c r="C12" s="61"/>
      <c r="D12" s="61"/>
      <c r="E12" s="61"/>
      <c r="F12" s="61"/>
      <c r="G12" s="61"/>
      <c r="H12" s="61"/>
      <c r="I12" s="61"/>
      <c r="J12" s="61"/>
    </row>
    <row r="13" spans="1:13">
      <c r="A13" s="17" t="s">
        <v>33</v>
      </c>
      <c r="B13" s="16" t="s">
        <v>474</v>
      </c>
      <c r="C13" s="16" t="s">
        <v>475</v>
      </c>
      <c r="D13" s="16" t="s">
        <v>54</v>
      </c>
      <c r="E13" s="16" t="str">
        <f>"1,0206"</f>
        <v>1,0206</v>
      </c>
      <c r="F13" s="16" t="s">
        <v>1491</v>
      </c>
      <c r="G13" s="23" t="s">
        <v>57</v>
      </c>
      <c r="H13" s="23" t="s">
        <v>476</v>
      </c>
      <c r="I13" s="23" t="s">
        <v>477</v>
      </c>
      <c r="J13" s="17"/>
      <c r="K13" s="17" t="str">
        <f>"153,0"</f>
        <v>153,0</v>
      </c>
      <c r="L13" s="17" t="str">
        <f>"156,1518"</f>
        <v>156,1518</v>
      </c>
      <c r="M13" s="16" t="s">
        <v>478</v>
      </c>
    </row>
    <row r="14" spans="1:13">
      <c r="A14" s="19" t="s">
        <v>219</v>
      </c>
      <c r="B14" s="18" t="s">
        <v>52</v>
      </c>
      <c r="C14" s="18" t="s">
        <v>479</v>
      </c>
      <c r="D14" s="18" t="s">
        <v>54</v>
      </c>
      <c r="E14" s="18" t="str">
        <f>"1,0206"</f>
        <v>1,0206</v>
      </c>
      <c r="F14" s="18" t="s">
        <v>1460</v>
      </c>
      <c r="G14" s="25" t="s">
        <v>58</v>
      </c>
      <c r="H14" s="24" t="s">
        <v>59</v>
      </c>
      <c r="I14" s="24" t="s">
        <v>59</v>
      </c>
      <c r="J14" s="19"/>
      <c r="K14" s="19" t="str">
        <f>"90,0"</f>
        <v>90,0</v>
      </c>
      <c r="L14" s="19" t="str">
        <f>"91,8540"</f>
        <v>91,8540</v>
      </c>
      <c r="M14" s="18" t="s">
        <v>62</v>
      </c>
    </row>
    <row r="15" spans="1:13">
      <c r="B15" s="5" t="s">
        <v>34</v>
      </c>
    </row>
    <row r="16" spans="1:13" ht="16">
      <c r="A16" s="61" t="s">
        <v>243</v>
      </c>
      <c r="B16" s="61"/>
      <c r="C16" s="61"/>
      <c r="D16" s="61"/>
      <c r="E16" s="61"/>
      <c r="F16" s="61"/>
      <c r="G16" s="61"/>
      <c r="H16" s="61"/>
      <c r="I16" s="61"/>
      <c r="J16" s="61"/>
    </row>
    <row r="17" spans="1:13">
      <c r="A17" s="8" t="s">
        <v>33</v>
      </c>
      <c r="B17" s="7" t="s">
        <v>480</v>
      </c>
      <c r="C17" s="7" t="s">
        <v>481</v>
      </c>
      <c r="D17" s="7" t="s">
        <v>482</v>
      </c>
      <c r="E17" s="7" t="str">
        <f>"0,9933"</f>
        <v>0,9933</v>
      </c>
      <c r="F17" s="7" t="s">
        <v>1537</v>
      </c>
      <c r="G17" s="14" t="s">
        <v>89</v>
      </c>
      <c r="H17" s="15" t="s">
        <v>89</v>
      </c>
      <c r="I17" s="14" t="s">
        <v>55</v>
      </c>
      <c r="J17" s="8"/>
      <c r="K17" s="8" t="str">
        <f>"132,5"</f>
        <v>132,5</v>
      </c>
      <c r="L17" s="8" t="str">
        <f>"131,6123"</f>
        <v>131,6123</v>
      </c>
      <c r="M17" s="7"/>
    </row>
    <row r="18" spans="1:13">
      <c r="B18" s="5" t="s">
        <v>34</v>
      </c>
    </row>
    <row r="19" spans="1:13" ht="16">
      <c r="A19" s="61" t="s">
        <v>51</v>
      </c>
      <c r="B19" s="61"/>
      <c r="C19" s="61"/>
      <c r="D19" s="61"/>
      <c r="E19" s="61"/>
      <c r="F19" s="61"/>
      <c r="G19" s="61"/>
      <c r="H19" s="61"/>
      <c r="I19" s="61"/>
      <c r="J19" s="61"/>
    </row>
    <row r="20" spans="1:13">
      <c r="A20" s="8" t="s">
        <v>33</v>
      </c>
      <c r="B20" s="7" t="s">
        <v>483</v>
      </c>
      <c r="C20" s="7" t="s">
        <v>1329</v>
      </c>
      <c r="D20" s="7" t="s">
        <v>484</v>
      </c>
      <c r="E20" s="7" t="str">
        <f>"0,7766"</f>
        <v>0,7766</v>
      </c>
      <c r="F20" s="7" t="s">
        <v>1459</v>
      </c>
      <c r="G20" s="15" t="s">
        <v>47</v>
      </c>
      <c r="H20" s="15" t="s">
        <v>100</v>
      </c>
      <c r="I20" s="8"/>
      <c r="J20" s="8"/>
      <c r="K20" s="8" t="str">
        <f>"112,5"</f>
        <v>112,5</v>
      </c>
      <c r="L20" s="8" t="str">
        <f>"94,1822"</f>
        <v>94,1822</v>
      </c>
      <c r="M20" s="7"/>
    </row>
    <row r="21" spans="1:13">
      <c r="B21" s="5" t="s">
        <v>34</v>
      </c>
    </row>
    <row r="22" spans="1:13" ht="16">
      <c r="A22" s="61" t="s">
        <v>73</v>
      </c>
      <c r="B22" s="61"/>
      <c r="C22" s="61"/>
      <c r="D22" s="61"/>
      <c r="E22" s="61"/>
      <c r="F22" s="61"/>
      <c r="G22" s="61"/>
      <c r="H22" s="61"/>
      <c r="I22" s="61"/>
      <c r="J22" s="61"/>
    </row>
    <row r="23" spans="1:13">
      <c r="A23" s="17" t="s">
        <v>33</v>
      </c>
      <c r="B23" s="16" t="s">
        <v>485</v>
      </c>
      <c r="C23" s="16" t="s">
        <v>486</v>
      </c>
      <c r="D23" s="16" t="s">
        <v>331</v>
      </c>
      <c r="E23" s="16" t="str">
        <f>"0,7152"</f>
        <v>0,7152</v>
      </c>
      <c r="F23" s="16" t="s">
        <v>1538</v>
      </c>
      <c r="G23" s="23" t="s">
        <v>70</v>
      </c>
      <c r="H23" s="23" t="s">
        <v>88</v>
      </c>
      <c r="I23" s="22" t="s">
        <v>487</v>
      </c>
      <c r="J23" s="17"/>
      <c r="K23" s="17" t="str">
        <f>"205,0"</f>
        <v>205,0</v>
      </c>
      <c r="L23" s="17" t="str">
        <f>"146,6160"</f>
        <v>146,6160</v>
      </c>
      <c r="M23" s="16"/>
    </row>
    <row r="24" spans="1:13">
      <c r="A24" s="21" t="s">
        <v>219</v>
      </c>
      <c r="B24" s="20" t="s">
        <v>488</v>
      </c>
      <c r="C24" s="20" t="s">
        <v>489</v>
      </c>
      <c r="D24" s="20" t="s">
        <v>490</v>
      </c>
      <c r="E24" s="20" t="str">
        <f>"0,7271"</f>
        <v>0,7271</v>
      </c>
      <c r="F24" s="20" t="s">
        <v>1539</v>
      </c>
      <c r="G24" s="27" t="s">
        <v>113</v>
      </c>
      <c r="H24" s="26" t="s">
        <v>113</v>
      </c>
      <c r="I24" s="26" t="s">
        <v>128</v>
      </c>
      <c r="J24" s="21"/>
      <c r="K24" s="21" t="str">
        <f>"162,5"</f>
        <v>162,5</v>
      </c>
      <c r="L24" s="21" t="str">
        <f>"118,1538"</f>
        <v>118,1538</v>
      </c>
      <c r="M24" s="20"/>
    </row>
    <row r="25" spans="1:13">
      <c r="A25" s="21" t="s">
        <v>33</v>
      </c>
      <c r="B25" s="20" t="s">
        <v>485</v>
      </c>
      <c r="C25" s="20" t="s">
        <v>1361</v>
      </c>
      <c r="D25" s="20" t="s">
        <v>331</v>
      </c>
      <c r="E25" s="20" t="str">
        <f>"0,7152"</f>
        <v>0,7152</v>
      </c>
      <c r="F25" s="20" t="s">
        <v>1538</v>
      </c>
      <c r="G25" s="26" t="s">
        <v>70</v>
      </c>
      <c r="H25" s="26" t="s">
        <v>88</v>
      </c>
      <c r="I25" s="27" t="s">
        <v>487</v>
      </c>
      <c r="J25" s="21"/>
      <c r="K25" s="21" t="str">
        <f>"205,0"</f>
        <v>205,0</v>
      </c>
      <c r="L25" s="21" t="str">
        <f>"148,6686"</f>
        <v>148,6686</v>
      </c>
      <c r="M25" s="20"/>
    </row>
    <row r="26" spans="1:13">
      <c r="A26" s="19" t="s">
        <v>219</v>
      </c>
      <c r="B26" s="18" t="s">
        <v>491</v>
      </c>
      <c r="C26" s="18" t="s">
        <v>1362</v>
      </c>
      <c r="D26" s="18" t="s">
        <v>492</v>
      </c>
      <c r="E26" s="18" t="str">
        <f>"0,7179"</f>
        <v>0,7179</v>
      </c>
      <c r="F26" s="18" t="s">
        <v>1512</v>
      </c>
      <c r="G26" s="24" t="s">
        <v>79</v>
      </c>
      <c r="H26" s="25" t="s">
        <v>79</v>
      </c>
      <c r="I26" s="24" t="s">
        <v>55</v>
      </c>
      <c r="J26" s="19"/>
      <c r="K26" s="19" t="str">
        <f>"120,0"</f>
        <v>120,0</v>
      </c>
      <c r="L26" s="19" t="str">
        <f>"86,1480"</f>
        <v>86,1480</v>
      </c>
      <c r="M26" s="18" t="s">
        <v>1447</v>
      </c>
    </row>
    <row r="27" spans="1:13">
      <c r="B27" s="5" t="s">
        <v>34</v>
      </c>
    </row>
    <row r="28" spans="1:13" ht="16">
      <c r="A28" s="61" t="s">
        <v>63</v>
      </c>
      <c r="B28" s="61"/>
      <c r="C28" s="61"/>
      <c r="D28" s="61"/>
      <c r="E28" s="61"/>
      <c r="F28" s="61"/>
      <c r="G28" s="61"/>
      <c r="H28" s="61"/>
      <c r="I28" s="61"/>
      <c r="J28" s="61"/>
    </row>
    <row r="29" spans="1:13">
      <c r="A29" s="17" t="s">
        <v>33</v>
      </c>
      <c r="B29" s="16" t="s">
        <v>493</v>
      </c>
      <c r="C29" s="16" t="s">
        <v>1363</v>
      </c>
      <c r="D29" s="16" t="s">
        <v>494</v>
      </c>
      <c r="E29" s="16" t="str">
        <f>"0,6724"</f>
        <v>0,6724</v>
      </c>
      <c r="F29" s="16" t="s">
        <v>1540</v>
      </c>
      <c r="G29" s="23" t="s">
        <v>77</v>
      </c>
      <c r="H29" s="23" t="s">
        <v>413</v>
      </c>
      <c r="I29" s="23" t="s">
        <v>69</v>
      </c>
      <c r="J29" s="17"/>
      <c r="K29" s="17" t="str">
        <f>"190,0"</f>
        <v>190,0</v>
      </c>
      <c r="L29" s="17" t="str">
        <f>"127,7560"</f>
        <v>127,7560</v>
      </c>
      <c r="M29" s="16" t="s">
        <v>495</v>
      </c>
    </row>
    <row r="30" spans="1:13">
      <c r="A30" s="21" t="s">
        <v>33</v>
      </c>
      <c r="B30" s="20" t="s">
        <v>493</v>
      </c>
      <c r="C30" s="20" t="s">
        <v>496</v>
      </c>
      <c r="D30" s="20" t="s">
        <v>494</v>
      </c>
      <c r="E30" s="20" t="str">
        <f>"0,6724"</f>
        <v>0,6724</v>
      </c>
      <c r="F30" s="20" t="s">
        <v>1540</v>
      </c>
      <c r="G30" s="26" t="s">
        <v>77</v>
      </c>
      <c r="H30" s="26" t="s">
        <v>413</v>
      </c>
      <c r="I30" s="26" t="s">
        <v>69</v>
      </c>
      <c r="J30" s="21"/>
      <c r="K30" s="21" t="str">
        <f>"190,0"</f>
        <v>190,0</v>
      </c>
      <c r="L30" s="21" t="str">
        <f>"127,7560"</f>
        <v>127,7560</v>
      </c>
      <c r="M30" s="20" t="s">
        <v>495</v>
      </c>
    </row>
    <row r="31" spans="1:13">
      <c r="A31" s="21" t="s">
        <v>219</v>
      </c>
      <c r="B31" s="20" t="s">
        <v>497</v>
      </c>
      <c r="C31" s="20" t="s">
        <v>498</v>
      </c>
      <c r="D31" s="20" t="s">
        <v>499</v>
      </c>
      <c r="E31" s="20" t="str">
        <f>"0,6729"</f>
        <v>0,6729</v>
      </c>
      <c r="F31" s="20" t="s">
        <v>1459</v>
      </c>
      <c r="G31" s="27" t="s">
        <v>68</v>
      </c>
      <c r="H31" s="26" t="s">
        <v>68</v>
      </c>
      <c r="I31" s="27" t="s">
        <v>413</v>
      </c>
      <c r="J31" s="21"/>
      <c r="K31" s="21" t="str">
        <f>"185,0"</f>
        <v>185,0</v>
      </c>
      <c r="L31" s="21" t="str">
        <f>"124,4865"</f>
        <v>124,4865</v>
      </c>
      <c r="M31" s="20" t="s">
        <v>500</v>
      </c>
    </row>
    <row r="32" spans="1:13">
      <c r="A32" s="21" t="s">
        <v>220</v>
      </c>
      <c r="B32" s="20" t="s">
        <v>501</v>
      </c>
      <c r="C32" s="20" t="s">
        <v>502</v>
      </c>
      <c r="D32" s="20" t="s">
        <v>340</v>
      </c>
      <c r="E32" s="20" t="str">
        <f>"0,6699"</f>
        <v>0,6699</v>
      </c>
      <c r="F32" s="20" t="s">
        <v>1541</v>
      </c>
      <c r="G32" s="26" t="s">
        <v>187</v>
      </c>
      <c r="H32" s="26" t="s">
        <v>68</v>
      </c>
      <c r="I32" s="27" t="s">
        <v>344</v>
      </c>
      <c r="J32" s="21"/>
      <c r="K32" s="21" t="str">
        <f>"185,0"</f>
        <v>185,0</v>
      </c>
      <c r="L32" s="21" t="str">
        <f>"123,9315"</f>
        <v>123,9315</v>
      </c>
      <c r="M32" s="20"/>
    </row>
    <row r="33" spans="1:13">
      <c r="A33" s="21" t="s">
        <v>221</v>
      </c>
      <c r="B33" s="20" t="s">
        <v>503</v>
      </c>
      <c r="C33" s="20" t="s">
        <v>504</v>
      </c>
      <c r="D33" s="20" t="s">
        <v>505</v>
      </c>
      <c r="E33" s="20" t="str">
        <f>"0,6910"</f>
        <v>0,6910</v>
      </c>
      <c r="F33" s="20" t="s">
        <v>1542</v>
      </c>
      <c r="G33" s="26" t="s">
        <v>41</v>
      </c>
      <c r="H33" s="26" t="s">
        <v>19</v>
      </c>
      <c r="I33" s="26" t="s">
        <v>160</v>
      </c>
      <c r="J33" s="21"/>
      <c r="K33" s="21" t="str">
        <f>"172,5"</f>
        <v>172,5</v>
      </c>
      <c r="L33" s="21" t="str">
        <f>"119,1975"</f>
        <v>119,1975</v>
      </c>
      <c r="M33" s="20" t="s">
        <v>1244</v>
      </c>
    </row>
    <row r="34" spans="1:13">
      <c r="A34" s="21" t="s">
        <v>405</v>
      </c>
      <c r="B34" s="20" t="s">
        <v>506</v>
      </c>
      <c r="C34" s="20" t="s">
        <v>507</v>
      </c>
      <c r="D34" s="20" t="s">
        <v>508</v>
      </c>
      <c r="E34" s="20" t="str">
        <f>"0,6832"</f>
        <v>0,6832</v>
      </c>
      <c r="F34" s="20" t="s">
        <v>1503</v>
      </c>
      <c r="G34" s="26" t="s">
        <v>113</v>
      </c>
      <c r="H34" s="26" t="s">
        <v>41</v>
      </c>
      <c r="I34" s="26" t="s">
        <v>19</v>
      </c>
      <c r="J34" s="21"/>
      <c r="K34" s="21" t="str">
        <f>"170,0"</f>
        <v>170,0</v>
      </c>
      <c r="L34" s="21" t="str">
        <f>"116,1440"</f>
        <v>116,1440</v>
      </c>
      <c r="M34" s="20" t="s">
        <v>242</v>
      </c>
    </row>
    <row r="35" spans="1:13">
      <c r="A35" s="21" t="s">
        <v>406</v>
      </c>
      <c r="B35" s="20" t="s">
        <v>414</v>
      </c>
      <c r="C35" s="20" t="s">
        <v>415</v>
      </c>
      <c r="D35" s="20" t="s">
        <v>416</v>
      </c>
      <c r="E35" s="20" t="str">
        <f>"0,6779"</f>
        <v>0,6779</v>
      </c>
      <c r="F35" s="20" t="s">
        <v>1586</v>
      </c>
      <c r="G35" s="26" t="s">
        <v>60</v>
      </c>
      <c r="H35" s="26" t="s">
        <v>40</v>
      </c>
      <c r="I35" s="27" t="s">
        <v>128</v>
      </c>
      <c r="J35" s="21"/>
      <c r="K35" s="21" t="str">
        <f>"155,0"</f>
        <v>155,0</v>
      </c>
      <c r="L35" s="21" t="str">
        <f>"105,0745"</f>
        <v>105,0745</v>
      </c>
      <c r="M35" s="20" t="s">
        <v>417</v>
      </c>
    </row>
    <row r="36" spans="1:13">
      <c r="A36" s="21" t="s">
        <v>602</v>
      </c>
      <c r="B36" s="20" t="s">
        <v>509</v>
      </c>
      <c r="C36" s="20" t="s">
        <v>510</v>
      </c>
      <c r="D36" s="20" t="s">
        <v>86</v>
      </c>
      <c r="E36" s="20" t="str">
        <f>"0,6774"</f>
        <v>0,6774</v>
      </c>
      <c r="F36" s="20" t="s">
        <v>1543</v>
      </c>
      <c r="G36" s="26" t="s">
        <v>40</v>
      </c>
      <c r="H36" s="27" t="s">
        <v>41</v>
      </c>
      <c r="I36" s="27" t="s">
        <v>41</v>
      </c>
      <c r="J36" s="21"/>
      <c r="K36" s="21" t="str">
        <f>"155,0"</f>
        <v>155,0</v>
      </c>
      <c r="L36" s="21" t="str">
        <f>"104,9970"</f>
        <v>104,9970</v>
      </c>
      <c r="M36" s="20" t="s">
        <v>511</v>
      </c>
    </row>
    <row r="37" spans="1:13">
      <c r="A37" s="19" t="s">
        <v>33</v>
      </c>
      <c r="B37" s="18" t="s">
        <v>512</v>
      </c>
      <c r="C37" s="18" t="s">
        <v>1364</v>
      </c>
      <c r="D37" s="18" t="s">
        <v>86</v>
      </c>
      <c r="E37" s="18" t="str">
        <f>"0,6774"</f>
        <v>0,6774</v>
      </c>
      <c r="F37" s="18" t="s">
        <v>1544</v>
      </c>
      <c r="G37" s="25" t="s">
        <v>79</v>
      </c>
      <c r="H37" s="25" t="s">
        <v>49</v>
      </c>
      <c r="I37" s="25" t="s">
        <v>55</v>
      </c>
      <c r="J37" s="19"/>
      <c r="K37" s="19" t="str">
        <f>"135,0"</f>
        <v>135,0</v>
      </c>
      <c r="L37" s="19" t="str">
        <f>"118,6094"</f>
        <v>118,6094</v>
      </c>
      <c r="M37" s="18"/>
    </row>
    <row r="38" spans="1:13">
      <c r="B38" s="5" t="s">
        <v>34</v>
      </c>
    </row>
    <row r="39" spans="1:13" ht="16">
      <c r="A39" s="61" t="s">
        <v>14</v>
      </c>
      <c r="B39" s="61"/>
      <c r="C39" s="61"/>
      <c r="D39" s="61"/>
      <c r="E39" s="61"/>
      <c r="F39" s="61"/>
      <c r="G39" s="61"/>
      <c r="H39" s="61"/>
      <c r="I39" s="61"/>
      <c r="J39" s="61"/>
    </row>
    <row r="40" spans="1:13">
      <c r="A40" s="17" t="s">
        <v>33</v>
      </c>
      <c r="B40" s="16" t="s">
        <v>513</v>
      </c>
      <c r="C40" s="16" t="s">
        <v>514</v>
      </c>
      <c r="D40" s="16" t="s">
        <v>419</v>
      </c>
      <c r="E40" s="16" t="str">
        <f>"0,6391"</f>
        <v>0,6391</v>
      </c>
      <c r="F40" s="16" t="s">
        <v>1459</v>
      </c>
      <c r="G40" s="23" t="s">
        <v>87</v>
      </c>
      <c r="H40" s="22" t="s">
        <v>127</v>
      </c>
      <c r="I40" s="22" t="s">
        <v>127</v>
      </c>
      <c r="J40" s="17"/>
      <c r="K40" s="17" t="str">
        <f>"200,0"</f>
        <v>200,0</v>
      </c>
      <c r="L40" s="17" t="str">
        <f>"127,8200"</f>
        <v>127,8200</v>
      </c>
      <c r="M40" s="16"/>
    </row>
    <row r="41" spans="1:13">
      <c r="A41" s="21" t="s">
        <v>219</v>
      </c>
      <c r="B41" s="20" t="s">
        <v>515</v>
      </c>
      <c r="C41" s="20" t="s">
        <v>516</v>
      </c>
      <c r="D41" s="20" t="s">
        <v>517</v>
      </c>
      <c r="E41" s="20" t="str">
        <f>"0,6402"</f>
        <v>0,6402</v>
      </c>
      <c r="F41" s="20" t="s">
        <v>1529</v>
      </c>
      <c r="G41" s="26" t="s">
        <v>68</v>
      </c>
      <c r="H41" s="26" t="s">
        <v>69</v>
      </c>
      <c r="I41" s="26" t="s">
        <v>70</v>
      </c>
      <c r="J41" s="21"/>
      <c r="K41" s="21" t="str">
        <f>"195,0"</f>
        <v>195,0</v>
      </c>
      <c r="L41" s="21" t="str">
        <f>"124,8390"</f>
        <v>124,8390</v>
      </c>
      <c r="M41" s="20"/>
    </row>
    <row r="42" spans="1:13">
      <c r="A42" s="21" t="s">
        <v>220</v>
      </c>
      <c r="B42" s="20" t="s">
        <v>518</v>
      </c>
      <c r="C42" s="20" t="s">
        <v>519</v>
      </c>
      <c r="D42" s="20" t="s">
        <v>366</v>
      </c>
      <c r="E42" s="20" t="str">
        <f>"0,6410"</f>
        <v>0,6410</v>
      </c>
      <c r="F42" s="20" t="s">
        <v>1459</v>
      </c>
      <c r="G42" s="26" t="s">
        <v>160</v>
      </c>
      <c r="H42" s="26" t="s">
        <v>68</v>
      </c>
      <c r="I42" s="27" t="s">
        <v>344</v>
      </c>
      <c r="J42" s="21"/>
      <c r="K42" s="21" t="str">
        <f>"185,0"</f>
        <v>185,0</v>
      </c>
      <c r="L42" s="21" t="str">
        <f>"118,5850"</f>
        <v>118,5850</v>
      </c>
      <c r="M42" s="20"/>
    </row>
    <row r="43" spans="1:13">
      <c r="A43" s="21" t="s">
        <v>221</v>
      </c>
      <c r="B43" s="20" t="s">
        <v>520</v>
      </c>
      <c r="C43" s="20" t="s">
        <v>521</v>
      </c>
      <c r="D43" s="20" t="s">
        <v>103</v>
      </c>
      <c r="E43" s="20" t="str">
        <f>"0,6417"</f>
        <v>0,6417</v>
      </c>
      <c r="F43" s="20" t="s">
        <v>1545</v>
      </c>
      <c r="G43" s="27" t="s">
        <v>19</v>
      </c>
      <c r="H43" s="26" t="s">
        <v>187</v>
      </c>
      <c r="I43" s="26" t="s">
        <v>77</v>
      </c>
      <c r="J43" s="21"/>
      <c r="K43" s="21" t="str">
        <f>"180,0"</f>
        <v>180,0</v>
      </c>
      <c r="L43" s="21" t="str">
        <f>"115,5060"</f>
        <v>115,5060</v>
      </c>
      <c r="M43" s="20" t="s">
        <v>522</v>
      </c>
    </row>
    <row r="44" spans="1:13">
      <c r="A44" s="21" t="s">
        <v>405</v>
      </c>
      <c r="B44" s="20" t="s">
        <v>523</v>
      </c>
      <c r="C44" s="20" t="s">
        <v>524</v>
      </c>
      <c r="D44" s="20" t="s">
        <v>525</v>
      </c>
      <c r="E44" s="20" t="str">
        <f>"0,6487"</f>
        <v>0,6487</v>
      </c>
      <c r="F44" s="20" t="s">
        <v>1460</v>
      </c>
      <c r="G44" s="26" t="s">
        <v>41</v>
      </c>
      <c r="H44" s="26" t="s">
        <v>160</v>
      </c>
      <c r="I44" s="26" t="s">
        <v>439</v>
      </c>
      <c r="J44" s="21"/>
      <c r="K44" s="21" t="str">
        <f>"177,5"</f>
        <v>177,5</v>
      </c>
      <c r="L44" s="21" t="str">
        <f>"115,1442"</f>
        <v>115,1442</v>
      </c>
      <c r="M44" s="20"/>
    </row>
    <row r="45" spans="1:13">
      <c r="A45" s="21" t="s">
        <v>406</v>
      </c>
      <c r="B45" s="20" t="s">
        <v>526</v>
      </c>
      <c r="C45" s="20" t="s">
        <v>527</v>
      </c>
      <c r="D45" s="20" t="s">
        <v>366</v>
      </c>
      <c r="E45" s="20" t="str">
        <f>"0,6410"</f>
        <v>0,6410</v>
      </c>
      <c r="F45" s="20" t="s">
        <v>1529</v>
      </c>
      <c r="G45" s="26" t="s">
        <v>40</v>
      </c>
      <c r="H45" s="26" t="s">
        <v>18</v>
      </c>
      <c r="I45" s="27" t="s">
        <v>41</v>
      </c>
      <c r="J45" s="21"/>
      <c r="K45" s="21" t="str">
        <f>"160,0"</f>
        <v>160,0</v>
      </c>
      <c r="L45" s="21" t="str">
        <f>"102,5600"</f>
        <v>102,5600</v>
      </c>
      <c r="M45" s="20"/>
    </row>
    <row r="46" spans="1:13">
      <c r="A46" s="21" t="s">
        <v>33</v>
      </c>
      <c r="B46" s="20" t="s">
        <v>518</v>
      </c>
      <c r="C46" s="20" t="s">
        <v>1365</v>
      </c>
      <c r="D46" s="20" t="s">
        <v>366</v>
      </c>
      <c r="E46" s="20" t="str">
        <f>"0,6410"</f>
        <v>0,6410</v>
      </c>
      <c r="F46" s="20" t="s">
        <v>1459</v>
      </c>
      <c r="G46" s="26" t="s">
        <v>160</v>
      </c>
      <c r="H46" s="26" t="s">
        <v>68</v>
      </c>
      <c r="I46" s="27" t="s">
        <v>344</v>
      </c>
      <c r="J46" s="21"/>
      <c r="K46" s="21" t="str">
        <f>"185,0"</f>
        <v>185,0</v>
      </c>
      <c r="L46" s="21" t="str">
        <f>"136,3727"</f>
        <v>136,3727</v>
      </c>
      <c r="M46" s="20"/>
    </row>
    <row r="47" spans="1:13">
      <c r="A47" s="21" t="s">
        <v>33</v>
      </c>
      <c r="B47" s="20" t="s">
        <v>528</v>
      </c>
      <c r="C47" s="20" t="s">
        <v>1366</v>
      </c>
      <c r="D47" s="20" t="s">
        <v>529</v>
      </c>
      <c r="E47" s="20" t="str">
        <f>"0,6606"</f>
        <v>0,6606</v>
      </c>
      <c r="F47" s="20" t="s">
        <v>1585</v>
      </c>
      <c r="G47" s="26" t="s">
        <v>98</v>
      </c>
      <c r="H47" s="26" t="s">
        <v>99</v>
      </c>
      <c r="I47" s="27" t="s">
        <v>79</v>
      </c>
      <c r="J47" s="21"/>
      <c r="K47" s="21" t="str">
        <f>"110,0"</f>
        <v>110,0</v>
      </c>
      <c r="L47" s="21" t="str">
        <f>"100,2791"</f>
        <v>100,2791</v>
      </c>
      <c r="M47" s="20"/>
    </row>
    <row r="48" spans="1:13">
      <c r="A48" s="19" t="s">
        <v>33</v>
      </c>
      <c r="B48" s="18" t="s">
        <v>530</v>
      </c>
      <c r="C48" s="18" t="s">
        <v>1367</v>
      </c>
      <c r="D48" s="18" t="s">
        <v>531</v>
      </c>
      <c r="E48" s="18" t="str">
        <f>"0,6507"</f>
        <v>0,6507</v>
      </c>
      <c r="F48" s="18" t="s">
        <v>1475</v>
      </c>
      <c r="G48" s="25" t="s">
        <v>253</v>
      </c>
      <c r="H48" s="25" t="s">
        <v>234</v>
      </c>
      <c r="I48" s="25" t="s">
        <v>226</v>
      </c>
      <c r="J48" s="19"/>
      <c r="K48" s="19" t="str">
        <f>"85,0"</f>
        <v>85,0</v>
      </c>
      <c r="L48" s="19" t="str">
        <f>"102,8757"</f>
        <v>102,8757</v>
      </c>
      <c r="M48" s="18" t="s">
        <v>532</v>
      </c>
    </row>
    <row r="49" spans="1:13">
      <c r="B49" s="5" t="s">
        <v>34</v>
      </c>
    </row>
    <row r="50" spans="1:13" ht="16">
      <c r="A50" s="61" t="s">
        <v>130</v>
      </c>
      <c r="B50" s="61"/>
      <c r="C50" s="61"/>
      <c r="D50" s="61"/>
      <c r="E50" s="61"/>
      <c r="F50" s="61"/>
      <c r="G50" s="61"/>
      <c r="H50" s="61"/>
      <c r="I50" s="61"/>
      <c r="J50" s="61"/>
    </row>
    <row r="51" spans="1:13">
      <c r="A51" s="17" t="s">
        <v>33</v>
      </c>
      <c r="B51" s="16" t="s">
        <v>533</v>
      </c>
      <c r="C51" s="16" t="s">
        <v>534</v>
      </c>
      <c r="D51" s="16" t="s">
        <v>535</v>
      </c>
      <c r="E51" s="16" t="str">
        <f>"0,6116"</f>
        <v>0,6116</v>
      </c>
      <c r="F51" s="16" t="s">
        <v>1459</v>
      </c>
      <c r="G51" s="23" t="s">
        <v>88</v>
      </c>
      <c r="H51" s="23" t="s">
        <v>127</v>
      </c>
      <c r="I51" s="22" t="s">
        <v>106</v>
      </c>
      <c r="J51" s="17"/>
      <c r="K51" s="17" t="str">
        <f>"215,0"</f>
        <v>215,0</v>
      </c>
      <c r="L51" s="17" t="str">
        <f>"131,4940"</f>
        <v>131,4940</v>
      </c>
      <c r="M51" s="16"/>
    </row>
    <row r="52" spans="1:13">
      <c r="A52" s="21" t="s">
        <v>219</v>
      </c>
      <c r="B52" s="20" t="s">
        <v>536</v>
      </c>
      <c r="C52" s="20" t="s">
        <v>537</v>
      </c>
      <c r="D52" s="20" t="s">
        <v>425</v>
      </c>
      <c r="E52" s="20" t="str">
        <f>"0,6096"</f>
        <v>0,6096</v>
      </c>
      <c r="F52" s="20" t="s">
        <v>1545</v>
      </c>
      <c r="G52" s="26" t="s">
        <v>187</v>
      </c>
      <c r="H52" s="27" t="s">
        <v>77</v>
      </c>
      <c r="I52" s="27" t="s">
        <v>77</v>
      </c>
      <c r="J52" s="21"/>
      <c r="K52" s="21" t="str">
        <f>"175,0"</f>
        <v>175,0</v>
      </c>
      <c r="L52" s="21" t="str">
        <f>"106,6800"</f>
        <v>106,6800</v>
      </c>
      <c r="M52" s="20"/>
    </row>
    <row r="53" spans="1:13">
      <c r="A53" s="21" t="s">
        <v>220</v>
      </c>
      <c r="B53" s="20" t="s">
        <v>538</v>
      </c>
      <c r="C53" s="20" t="s">
        <v>539</v>
      </c>
      <c r="D53" s="20" t="s">
        <v>540</v>
      </c>
      <c r="E53" s="20" t="str">
        <f>"0,6180"</f>
        <v>0,6180</v>
      </c>
      <c r="F53" s="20" t="s">
        <v>1494</v>
      </c>
      <c r="G53" s="26" t="s">
        <v>18</v>
      </c>
      <c r="H53" s="26" t="s">
        <v>107</v>
      </c>
      <c r="I53" s="27" t="s">
        <v>19</v>
      </c>
      <c r="J53" s="21"/>
      <c r="K53" s="21" t="str">
        <f>"167,5"</f>
        <v>167,5</v>
      </c>
      <c r="L53" s="21" t="str">
        <f>"103,5150"</f>
        <v>103,5150</v>
      </c>
      <c r="M53" s="20"/>
    </row>
    <row r="54" spans="1:13">
      <c r="A54" s="21" t="s">
        <v>218</v>
      </c>
      <c r="B54" s="20" t="s">
        <v>541</v>
      </c>
      <c r="C54" s="20" t="s">
        <v>542</v>
      </c>
      <c r="D54" s="20" t="s">
        <v>543</v>
      </c>
      <c r="E54" s="20" t="str">
        <f>"0,6200"</f>
        <v>0,6200</v>
      </c>
      <c r="F54" s="20" t="s">
        <v>1475</v>
      </c>
      <c r="G54" s="27" t="s">
        <v>19</v>
      </c>
      <c r="H54" s="27" t="s">
        <v>19</v>
      </c>
      <c r="I54" s="27" t="s">
        <v>19</v>
      </c>
      <c r="J54" s="21"/>
      <c r="K54" s="21" t="str">
        <f>"0.00"</f>
        <v>0.00</v>
      </c>
      <c r="L54" s="21" t="str">
        <f>"0,0000"</f>
        <v>0,0000</v>
      </c>
      <c r="M54" s="20" t="s">
        <v>544</v>
      </c>
    </row>
    <row r="55" spans="1:13">
      <c r="A55" s="19" t="s">
        <v>33</v>
      </c>
      <c r="B55" s="18" t="s">
        <v>545</v>
      </c>
      <c r="C55" s="18" t="s">
        <v>1368</v>
      </c>
      <c r="D55" s="18" t="s">
        <v>546</v>
      </c>
      <c r="E55" s="18" t="str">
        <f>"0,6121"</f>
        <v>0,6121</v>
      </c>
      <c r="F55" s="18" t="s">
        <v>1459</v>
      </c>
      <c r="G55" s="25" t="s">
        <v>19</v>
      </c>
      <c r="H55" s="25" t="s">
        <v>160</v>
      </c>
      <c r="I55" s="24" t="s">
        <v>187</v>
      </c>
      <c r="J55" s="19"/>
      <c r="K55" s="19" t="str">
        <f>"172,5"</f>
        <v>172,5</v>
      </c>
      <c r="L55" s="19" t="str">
        <f>"123,3259"</f>
        <v>123,3259</v>
      </c>
      <c r="M55" s="18"/>
    </row>
    <row r="56" spans="1:13">
      <c r="B56" s="5" t="s">
        <v>34</v>
      </c>
    </row>
    <row r="57" spans="1:13" ht="16">
      <c r="A57" s="61" t="s">
        <v>35</v>
      </c>
      <c r="B57" s="61"/>
      <c r="C57" s="61"/>
      <c r="D57" s="61"/>
      <c r="E57" s="61"/>
      <c r="F57" s="61"/>
      <c r="G57" s="61"/>
      <c r="H57" s="61"/>
      <c r="I57" s="61"/>
      <c r="J57" s="61"/>
    </row>
    <row r="58" spans="1:13">
      <c r="A58" s="17" t="s">
        <v>33</v>
      </c>
      <c r="B58" s="16" t="s">
        <v>547</v>
      </c>
      <c r="C58" s="16" t="s">
        <v>548</v>
      </c>
      <c r="D58" s="16" t="s">
        <v>549</v>
      </c>
      <c r="E58" s="16" t="str">
        <f>"0,5907"</f>
        <v>0,5907</v>
      </c>
      <c r="F58" s="16" t="s">
        <v>1513</v>
      </c>
      <c r="G58" s="23" t="s">
        <v>17</v>
      </c>
      <c r="H58" s="23" t="s">
        <v>39</v>
      </c>
      <c r="I58" s="23" t="s">
        <v>142</v>
      </c>
      <c r="J58" s="17"/>
      <c r="K58" s="17" t="str">
        <f>"265,0"</f>
        <v>265,0</v>
      </c>
      <c r="L58" s="17" t="str">
        <f>"156,5355"</f>
        <v>156,5355</v>
      </c>
      <c r="M58" s="16"/>
    </row>
    <row r="59" spans="1:13">
      <c r="A59" s="21" t="s">
        <v>219</v>
      </c>
      <c r="B59" s="20" t="s">
        <v>550</v>
      </c>
      <c r="C59" s="20" t="s">
        <v>551</v>
      </c>
      <c r="D59" s="20" t="s">
        <v>552</v>
      </c>
      <c r="E59" s="20" t="str">
        <f>"0,5926"</f>
        <v>0,5926</v>
      </c>
      <c r="F59" s="20" t="s">
        <v>1546</v>
      </c>
      <c r="G59" s="26" t="s">
        <v>19</v>
      </c>
      <c r="H59" s="26" t="s">
        <v>77</v>
      </c>
      <c r="I59" s="27" t="s">
        <v>69</v>
      </c>
      <c r="J59" s="21"/>
      <c r="K59" s="21" t="str">
        <f>"180,0"</f>
        <v>180,0</v>
      </c>
      <c r="L59" s="21" t="str">
        <f>"106,6680"</f>
        <v>106,6680</v>
      </c>
      <c r="M59" s="20"/>
    </row>
    <row r="60" spans="1:13">
      <c r="A60" s="21" t="s">
        <v>33</v>
      </c>
      <c r="B60" s="20" t="s">
        <v>553</v>
      </c>
      <c r="C60" s="20" t="s">
        <v>1369</v>
      </c>
      <c r="D60" s="20" t="s">
        <v>554</v>
      </c>
      <c r="E60" s="20" t="str">
        <f>"0,5988"</f>
        <v>0,5988</v>
      </c>
      <c r="F60" s="20" t="s">
        <v>1547</v>
      </c>
      <c r="G60" s="26" t="s">
        <v>344</v>
      </c>
      <c r="H60" s="27" t="s">
        <v>87</v>
      </c>
      <c r="I60" s="27" t="s">
        <v>87</v>
      </c>
      <c r="J60" s="21"/>
      <c r="K60" s="21" t="str">
        <f>"192,5"</f>
        <v>192,5</v>
      </c>
      <c r="L60" s="21" t="str">
        <f>"115,2690"</f>
        <v>115,2690</v>
      </c>
      <c r="M60" s="20"/>
    </row>
    <row r="61" spans="1:13">
      <c r="A61" s="21" t="s">
        <v>33</v>
      </c>
      <c r="B61" s="20" t="s">
        <v>555</v>
      </c>
      <c r="C61" s="20" t="s">
        <v>1370</v>
      </c>
      <c r="D61" s="20" t="s">
        <v>461</v>
      </c>
      <c r="E61" s="20" t="str">
        <f>"0,5986"</f>
        <v>0,5986</v>
      </c>
      <c r="F61" s="20" t="s">
        <v>1459</v>
      </c>
      <c r="G61" s="27" t="s">
        <v>18</v>
      </c>
      <c r="H61" s="26" t="s">
        <v>18</v>
      </c>
      <c r="I61" s="26" t="s">
        <v>128</v>
      </c>
      <c r="J61" s="21"/>
      <c r="K61" s="21" t="str">
        <f>"162,5"</f>
        <v>162,5</v>
      </c>
      <c r="L61" s="21" t="str">
        <f>"106,6107"</f>
        <v>106,6107</v>
      </c>
      <c r="M61" s="20" t="s">
        <v>556</v>
      </c>
    </row>
    <row r="62" spans="1:13">
      <c r="A62" s="21" t="s">
        <v>33</v>
      </c>
      <c r="B62" s="20" t="s">
        <v>557</v>
      </c>
      <c r="C62" s="20" t="s">
        <v>1371</v>
      </c>
      <c r="D62" s="20" t="s">
        <v>558</v>
      </c>
      <c r="E62" s="20" t="str">
        <f>"0,5892"</f>
        <v>0,5892</v>
      </c>
      <c r="F62" s="20" t="s">
        <v>1474</v>
      </c>
      <c r="G62" s="26" t="s">
        <v>87</v>
      </c>
      <c r="H62" s="26" t="s">
        <v>90</v>
      </c>
      <c r="I62" s="26" t="s">
        <v>487</v>
      </c>
      <c r="J62" s="21"/>
      <c r="K62" s="21" t="str">
        <f>"212,5"</f>
        <v>212,5</v>
      </c>
      <c r="L62" s="21" t="str">
        <f>"153,7517"</f>
        <v>153,7517</v>
      </c>
      <c r="M62" s="20"/>
    </row>
    <row r="63" spans="1:13">
      <c r="A63" s="19" t="s">
        <v>219</v>
      </c>
      <c r="B63" s="18" t="s">
        <v>550</v>
      </c>
      <c r="C63" s="18" t="s">
        <v>1372</v>
      </c>
      <c r="D63" s="18" t="s">
        <v>552</v>
      </c>
      <c r="E63" s="18" t="str">
        <f>"0,5926"</f>
        <v>0,5926</v>
      </c>
      <c r="F63" s="18" t="s">
        <v>1546</v>
      </c>
      <c r="G63" s="25" t="s">
        <v>19</v>
      </c>
      <c r="H63" s="25" t="s">
        <v>77</v>
      </c>
      <c r="I63" s="24" t="s">
        <v>69</v>
      </c>
      <c r="J63" s="19"/>
      <c r="K63" s="19" t="str">
        <f>"180,0"</f>
        <v>180,0</v>
      </c>
      <c r="L63" s="19" t="str">
        <f>"122,6682"</f>
        <v>122,6682</v>
      </c>
      <c r="M63" s="18"/>
    </row>
    <row r="64" spans="1:13">
      <c r="B64" s="5" t="s">
        <v>34</v>
      </c>
    </row>
    <row r="65" spans="1:13" ht="16">
      <c r="A65" s="61" t="s">
        <v>184</v>
      </c>
      <c r="B65" s="61"/>
      <c r="C65" s="61"/>
      <c r="D65" s="61"/>
      <c r="E65" s="61"/>
      <c r="F65" s="61"/>
      <c r="G65" s="61"/>
      <c r="H65" s="61"/>
      <c r="I65" s="61"/>
      <c r="J65" s="61"/>
    </row>
    <row r="66" spans="1:13">
      <c r="A66" s="17" t="s">
        <v>33</v>
      </c>
      <c r="B66" s="16" t="s">
        <v>559</v>
      </c>
      <c r="C66" s="16" t="s">
        <v>560</v>
      </c>
      <c r="D66" s="16" t="s">
        <v>561</v>
      </c>
      <c r="E66" s="16" t="str">
        <f>"0,5805"</f>
        <v>0,5805</v>
      </c>
      <c r="F66" s="16" t="s">
        <v>1459</v>
      </c>
      <c r="G66" s="23" t="s">
        <v>122</v>
      </c>
      <c r="H66" s="23" t="s">
        <v>39</v>
      </c>
      <c r="I66" s="17"/>
      <c r="J66" s="17"/>
      <c r="K66" s="17" t="str">
        <f>"250,0"</f>
        <v>250,0</v>
      </c>
      <c r="L66" s="17" t="str">
        <f>"145,1250"</f>
        <v>145,1250</v>
      </c>
      <c r="M66" s="16"/>
    </row>
    <row r="67" spans="1:13">
      <c r="A67" s="21" t="s">
        <v>219</v>
      </c>
      <c r="B67" s="20" t="s">
        <v>562</v>
      </c>
      <c r="C67" s="20" t="s">
        <v>563</v>
      </c>
      <c r="D67" s="20" t="s">
        <v>564</v>
      </c>
      <c r="E67" s="20" t="str">
        <f>"0,5816"</f>
        <v>0,5816</v>
      </c>
      <c r="F67" s="20" t="s">
        <v>1548</v>
      </c>
      <c r="G67" s="26" t="s">
        <v>104</v>
      </c>
      <c r="H67" s="26" t="s">
        <v>453</v>
      </c>
      <c r="I67" s="27" t="s">
        <v>203</v>
      </c>
      <c r="J67" s="21"/>
      <c r="K67" s="21" t="str">
        <f>"217,5"</f>
        <v>217,5</v>
      </c>
      <c r="L67" s="21" t="str">
        <f>"126,4980"</f>
        <v>126,4980</v>
      </c>
      <c r="M67" s="20" t="s">
        <v>565</v>
      </c>
    </row>
    <row r="68" spans="1:13">
      <c r="A68" s="21" t="s">
        <v>220</v>
      </c>
      <c r="B68" s="20" t="s">
        <v>566</v>
      </c>
      <c r="C68" s="20" t="s">
        <v>567</v>
      </c>
      <c r="D68" s="20" t="s">
        <v>568</v>
      </c>
      <c r="E68" s="20" t="str">
        <f>"0,5783"</f>
        <v>0,5783</v>
      </c>
      <c r="F68" s="20" t="s">
        <v>1549</v>
      </c>
      <c r="G68" s="26" t="s">
        <v>87</v>
      </c>
      <c r="H68" s="26" t="s">
        <v>90</v>
      </c>
      <c r="I68" s="27" t="s">
        <v>104</v>
      </c>
      <c r="J68" s="21"/>
      <c r="K68" s="21" t="str">
        <f>"207,5"</f>
        <v>207,5</v>
      </c>
      <c r="L68" s="21" t="str">
        <f>"119,9972"</f>
        <v>119,9972</v>
      </c>
      <c r="M68" s="20"/>
    </row>
    <row r="69" spans="1:13">
      <c r="A69" s="21" t="s">
        <v>221</v>
      </c>
      <c r="B69" s="20" t="s">
        <v>569</v>
      </c>
      <c r="C69" s="20" t="s">
        <v>570</v>
      </c>
      <c r="D69" s="20" t="s">
        <v>390</v>
      </c>
      <c r="E69" s="20" t="str">
        <f>"0,5793"</f>
        <v>0,5793</v>
      </c>
      <c r="F69" s="20" t="s">
        <v>1502</v>
      </c>
      <c r="G69" s="26" t="s">
        <v>87</v>
      </c>
      <c r="H69" s="27" t="s">
        <v>104</v>
      </c>
      <c r="I69" s="27" t="s">
        <v>105</v>
      </c>
      <c r="J69" s="21"/>
      <c r="K69" s="21" t="str">
        <f>"200,0"</f>
        <v>200,0</v>
      </c>
      <c r="L69" s="21" t="str">
        <f>"115,8600"</f>
        <v>115,8600</v>
      </c>
      <c r="M69" s="20" t="s">
        <v>571</v>
      </c>
    </row>
    <row r="70" spans="1:13">
      <c r="A70" s="21" t="s">
        <v>405</v>
      </c>
      <c r="B70" s="20" t="s">
        <v>572</v>
      </c>
      <c r="C70" s="20" t="s">
        <v>573</v>
      </c>
      <c r="D70" s="20" t="s">
        <v>574</v>
      </c>
      <c r="E70" s="20" t="str">
        <f>"0,5821"</f>
        <v>0,5821</v>
      </c>
      <c r="F70" s="20" t="s">
        <v>1459</v>
      </c>
      <c r="G70" s="26" t="s">
        <v>80</v>
      </c>
      <c r="H70" s="27" t="s">
        <v>89</v>
      </c>
      <c r="I70" s="26" t="s">
        <v>89</v>
      </c>
      <c r="J70" s="21"/>
      <c r="K70" s="21" t="str">
        <f>"132,5"</f>
        <v>132,5</v>
      </c>
      <c r="L70" s="21" t="str">
        <f>"77,1282"</f>
        <v>77,1282</v>
      </c>
      <c r="M70" s="20" t="s">
        <v>575</v>
      </c>
    </row>
    <row r="71" spans="1:13">
      <c r="A71" s="21" t="s">
        <v>218</v>
      </c>
      <c r="B71" s="20" t="s">
        <v>576</v>
      </c>
      <c r="C71" s="20" t="s">
        <v>577</v>
      </c>
      <c r="D71" s="20" t="s">
        <v>578</v>
      </c>
      <c r="E71" s="20" t="str">
        <f>"0,5765"</f>
        <v>0,5765</v>
      </c>
      <c r="F71" s="20" t="s">
        <v>1459</v>
      </c>
      <c r="G71" s="27" t="s">
        <v>187</v>
      </c>
      <c r="H71" s="27" t="s">
        <v>68</v>
      </c>
      <c r="I71" s="27" t="s">
        <v>68</v>
      </c>
      <c r="J71" s="21"/>
      <c r="K71" s="21" t="str">
        <f>"0.00"</f>
        <v>0.00</v>
      </c>
      <c r="L71" s="21" t="str">
        <f>"0,0000"</f>
        <v>0,0000</v>
      </c>
      <c r="M71" s="20" t="s">
        <v>579</v>
      </c>
    </row>
    <row r="72" spans="1:13">
      <c r="A72" s="21" t="s">
        <v>33</v>
      </c>
      <c r="B72" s="20" t="s">
        <v>562</v>
      </c>
      <c r="C72" s="20" t="s">
        <v>1373</v>
      </c>
      <c r="D72" s="20" t="s">
        <v>564</v>
      </c>
      <c r="E72" s="20" t="str">
        <f>"0,5816"</f>
        <v>0,5816</v>
      </c>
      <c r="F72" s="20" t="s">
        <v>1550</v>
      </c>
      <c r="G72" s="26" t="s">
        <v>104</v>
      </c>
      <c r="H72" s="26" t="s">
        <v>453</v>
      </c>
      <c r="I72" s="27" t="s">
        <v>203</v>
      </c>
      <c r="J72" s="21"/>
      <c r="K72" s="21" t="str">
        <f>"217,5"</f>
        <v>217,5</v>
      </c>
      <c r="L72" s="21" t="str">
        <f>"132,0639"</f>
        <v>132,0639</v>
      </c>
      <c r="M72" s="20" t="s">
        <v>62</v>
      </c>
    </row>
    <row r="73" spans="1:13">
      <c r="A73" s="21" t="s">
        <v>33</v>
      </c>
      <c r="B73" s="20" t="s">
        <v>566</v>
      </c>
      <c r="C73" s="20" t="s">
        <v>1374</v>
      </c>
      <c r="D73" s="20" t="s">
        <v>568</v>
      </c>
      <c r="E73" s="20" t="str">
        <f>"0,5783"</f>
        <v>0,5783</v>
      </c>
      <c r="F73" s="20" t="s">
        <v>1549</v>
      </c>
      <c r="G73" s="26" t="s">
        <v>87</v>
      </c>
      <c r="H73" s="26" t="s">
        <v>90</v>
      </c>
      <c r="I73" s="27" t="s">
        <v>104</v>
      </c>
      <c r="J73" s="21"/>
      <c r="K73" s="21" t="str">
        <f>"207,5"</f>
        <v>207,5</v>
      </c>
      <c r="L73" s="21" t="str">
        <f>"133,6769"</f>
        <v>133,6769</v>
      </c>
      <c r="M73" s="20"/>
    </row>
    <row r="74" spans="1:13">
      <c r="A74" s="19" t="s">
        <v>33</v>
      </c>
      <c r="B74" s="18" t="s">
        <v>580</v>
      </c>
      <c r="C74" s="18" t="s">
        <v>1375</v>
      </c>
      <c r="D74" s="18" t="s">
        <v>581</v>
      </c>
      <c r="E74" s="18" t="str">
        <f>"0,5778"</f>
        <v>0,5778</v>
      </c>
      <c r="F74" s="18" t="s">
        <v>1459</v>
      </c>
      <c r="G74" s="25" t="s">
        <v>69</v>
      </c>
      <c r="H74" s="24" t="s">
        <v>70</v>
      </c>
      <c r="I74" s="24" t="s">
        <v>70</v>
      </c>
      <c r="J74" s="19"/>
      <c r="K74" s="19" t="str">
        <f>"190,0"</f>
        <v>190,0</v>
      </c>
      <c r="L74" s="19" t="str">
        <f>"128,2254"</f>
        <v>128,2254</v>
      </c>
      <c r="M74" s="18" t="s">
        <v>582</v>
      </c>
    </row>
    <row r="75" spans="1:13">
      <c r="B75" s="5" t="s">
        <v>34</v>
      </c>
    </row>
    <row r="76" spans="1:13" ht="16">
      <c r="A76" s="61" t="s">
        <v>198</v>
      </c>
      <c r="B76" s="61"/>
      <c r="C76" s="61"/>
      <c r="D76" s="61"/>
      <c r="E76" s="61"/>
      <c r="F76" s="61"/>
      <c r="G76" s="61"/>
      <c r="H76" s="61"/>
      <c r="I76" s="61"/>
      <c r="J76" s="61"/>
    </row>
    <row r="77" spans="1:13">
      <c r="A77" s="8" t="s">
        <v>33</v>
      </c>
      <c r="B77" s="7" t="s">
        <v>583</v>
      </c>
      <c r="C77" s="7" t="s">
        <v>584</v>
      </c>
      <c r="D77" s="7" t="s">
        <v>585</v>
      </c>
      <c r="E77" s="7" t="str">
        <f>"0,5624"</f>
        <v>0,5624</v>
      </c>
      <c r="F77" s="7" t="s">
        <v>1551</v>
      </c>
      <c r="G77" s="15" t="s">
        <v>87</v>
      </c>
      <c r="H77" s="15" t="s">
        <v>104</v>
      </c>
      <c r="I77" s="14" t="s">
        <v>105</v>
      </c>
      <c r="J77" s="8"/>
      <c r="K77" s="8" t="str">
        <f>"210,0"</f>
        <v>210,0</v>
      </c>
      <c r="L77" s="8" t="str">
        <f>"118,1040"</f>
        <v>118,1040</v>
      </c>
      <c r="M77" s="7"/>
    </row>
    <row r="78" spans="1:13">
      <c r="B78" s="5" t="s">
        <v>34</v>
      </c>
    </row>
    <row r="79" spans="1:13" ht="16">
      <c r="A79" s="61" t="s">
        <v>586</v>
      </c>
      <c r="B79" s="61"/>
      <c r="C79" s="61"/>
      <c r="D79" s="61"/>
      <c r="E79" s="61"/>
      <c r="F79" s="61"/>
      <c r="G79" s="61"/>
      <c r="H79" s="61"/>
      <c r="I79" s="61"/>
      <c r="J79" s="61"/>
    </row>
    <row r="80" spans="1:13">
      <c r="A80" s="17" t="s">
        <v>33</v>
      </c>
      <c r="B80" s="16" t="s">
        <v>587</v>
      </c>
      <c r="C80" s="16" t="s">
        <v>588</v>
      </c>
      <c r="D80" s="16" t="s">
        <v>589</v>
      </c>
      <c r="E80" s="16" t="str">
        <f>"0,5505"</f>
        <v>0,5505</v>
      </c>
      <c r="F80" s="16" t="s">
        <v>1459</v>
      </c>
      <c r="G80" s="22" t="s">
        <v>105</v>
      </c>
      <c r="H80" s="22" t="s">
        <v>105</v>
      </c>
      <c r="I80" s="23" t="s">
        <v>105</v>
      </c>
      <c r="J80" s="17"/>
      <c r="K80" s="17" t="str">
        <f>"220,0"</f>
        <v>220,0</v>
      </c>
      <c r="L80" s="17" t="str">
        <f>"121,1100"</f>
        <v>121,1100</v>
      </c>
      <c r="M80" s="16" t="s">
        <v>590</v>
      </c>
    </row>
    <row r="81" spans="1:13">
      <c r="A81" s="19" t="s">
        <v>33</v>
      </c>
      <c r="B81" s="18" t="s">
        <v>591</v>
      </c>
      <c r="C81" s="18" t="s">
        <v>1376</v>
      </c>
      <c r="D81" s="18" t="s">
        <v>592</v>
      </c>
      <c r="E81" s="18" t="str">
        <f>"0,5580"</f>
        <v>0,5580</v>
      </c>
      <c r="F81" s="18" t="s">
        <v>1552</v>
      </c>
      <c r="G81" s="24" t="s">
        <v>88</v>
      </c>
      <c r="H81" s="25" t="s">
        <v>88</v>
      </c>
      <c r="I81" s="24" t="s">
        <v>104</v>
      </c>
      <c r="J81" s="19"/>
      <c r="K81" s="19" t="str">
        <f>"205,0"</f>
        <v>205,0</v>
      </c>
      <c r="L81" s="19" t="str">
        <f>"151,2236"</f>
        <v>151,2236</v>
      </c>
      <c r="M81" s="18"/>
    </row>
    <row r="82" spans="1:13">
      <c r="B82" s="5" t="s">
        <v>34</v>
      </c>
    </row>
    <row r="85" spans="1:13" ht="18">
      <c r="B85" s="9" t="s">
        <v>24</v>
      </c>
      <c r="C85" s="9"/>
    </row>
    <row r="86" spans="1:13" ht="16">
      <c r="B86" s="10" t="s">
        <v>25</v>
      </c>
      <c r="C86" s="10"/>
    </row>
    <row r="87" spans="1:13" ht="14">
      <c r="B87" s="11"/>
      <c r="C87" s="12" t="s">
        <v>207</v>
      </c>
    </row>
    <row r="88" spans="1:13" ht="14">
      <c r="B88" s="13" t="s">
        <v>27</v>
      </c>
      <c r="C88" s="13" t="s">
        <v>28</v>
      </c>
      <c r="D88" s="13" t="s">
        <v>1448</v>
      </c>
      <c r="E88" s="13" t="s">
        <v>593</v>
      </c>
      <c r="F88" s="13" t="s">
        <v>31</v>
      </c>
    </row>
    <row r="89" spans="1:13">
      <c r="B89" s="5" t="s">
        <v>547</v>
      </c>
      <c r="C89" s="5" t="s">
        <v>207</v>
      </c>
      <c r="D89" s="6" t="s">
        <v>42</v>
      </c>
      <c r="E89" s="6" t="s">
        <v>142</v>
      </c>
      <c r="F89" s="6" t="s">
        <v>594</v>
      </c>
    </row>
    <row r="90" spans="1:13">
      <c r="B90" s="5" t="s">
        <v>485</v>
      </c>
      <c r="C90" s="5" t="s">
        <v>207</v>
      </c>
      <c r="D90" s="6" t="s">
        <v>395</v>
      </c>
      <c r="E90" s="6" t="s">
        <v>88</v>
      </c>
      <c r="F90" s="6" t="s">
        <v>595</v>
      </c>
    </row>
    <row r="91" spans="1:13">
      <c r="B91" s="5" t="s">
        <v>559</v>
      </c>
      <c r="C91" s="5" t="s">
        <v>207</v>
      </c>
      <c r="D91" s="6" t="s">
        <v>210</v>
      </c>
      <c r="E91" s="6" t="s">
        <v>39</v>
      </c>
      <c r="F91" s="6" t="s">
        <v>596</v>
      </c>
    </row>
    <row r="93" spans="1:13" ht="14">
      <c r="B93" s="11"/>
      <c r="C93" s="12" t="s">
        <v>26</v>
      </c>
    </row>
    <row r="94" spans="1:13" ht="14">
      <c r="B94" s="13" t="s">
        <v>27</v>
      </c>
      <c r="C94" s="13" t="s">
        <v>28</v>
      </c>
      <c r="D94" s="13" t="s">
        <v>1437</v>
      </c>
      <c r="E94" s="13" t="s">
        <v>593</v>
      </c>
      <c r="F94" s="13" t="s">
        <v>31</v>
      </c>
    </row>
    <row r="95" spans="1:13">
      <c r="B95" s="5" t="s">
        <v>557</v>
      </c>
      <c r="C95" s="5" t="s">
        <v>1377</v>
      </c>
      <c r="D95" s="6" t="s">
        <v>42</v>
      </c>
      <c r="E95" s="6" t="s">
        <v>487</v>
      </c>
      <c r="F95" s="6" t="s">
        <v>597</v>
      </c>
    </row>
    <row r="96" spans="1:13">
      <c r="B96" s="5" t="s">
        <v>591</v>
      </c>
      <c r="C96" s="5" t="s">
        <v>1358</v>
      </c>
      <c r="D96" s="6" t="s">
        <v>598</v>
      </c>
      <c r="E96" s="6" t="s">
        <v>88</v>
      </c>
      <c r="F96" s="6" t="s">
        <v>599</v>
      </c>
    </row>
    <row r="97" spans="2:6">
      <c r="B97" s="5" t="s">
        <v>485</v>
      </c>
      <c r="C97" s="5" t="s">
        <v>1378</v>
      </c>
      <c r="D97" s="6" t="s">
        <v>395</v>
      </c>
      <c r="E97" s="6" t="s">
        <v>88</v>
      </c>
      <c r="F97" s="6" t="s">
        <v>600</v>
      </c>
    </row>
    <row r="98" spans="2:6">
      <c r="B98" s="5" t="s">
        <v>34</v>
      </c>
    </row>
  </sheetData>
  <mergeCells count="24"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  <mergeCell ref="A5:J5"/>
    <mergeCell ref="B3:B4"/>
    <mergeCell ref="A79:J79"/>
    <mergeCell ref="A8:J8"/>
    <mergeCell ref="A12:J12"/>
    <mergeCell ref="A16:J16"/>
    <mergeCell ref="A19:J19"/>
    <mergeCell ref="A22:J22"/>
    <mergeCell ref="A28:J28"/>
    <mergeCell ref="A39:J39"/>
    <mergeCell ref="A50:J50"/>
    <mergeCell ref="A57:J57"/>
    <mergeCell ref="A65:J65"/>
    <mergeCell ref="A76:J7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M12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3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9.5" style="5" customWidth="1"/>
    <col min="14" max="16384" width="9.1640625" style="3"/>
  </cols>
  <sheetData>
    <row r="1" spans="1:13" s="2" customFormat="1" ht="29" customHeight="1">
      <c r="A1" s="62" t="s">
        <v>1265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3" s="1" customFormat="1" ht="12.75" customHeight="1">
      <c r="A3" s="70" t="s">
        <v>1458</v>
      </c>
      <c r="B3" s="59" t="s">
        <v>0</v>
      </c>
      <c r="C3" s="72" t="s">
        <v>5</v>
      </c>
      <c r="D3" s="72" t="s">
        <v>8</v>
      </c>
      <c r="E3" s="74" t="s">
        <v>9</v>
      </c>
      <c r="F3" s="74" t="s">
        <v>10</v>
      </c>
      <c r="G3" s="74" t="s">
        <v>12</v>
      </c>
      <c r="H3" s="74"/>
      <c r="I3" s="74"/>
      <c r="J3" s="74"/>
      <c r="K3" s="74" t="s">
        <v>601</v>
      </c>
      <c r="L3" s="74" t="s">
        <v>3</v>
      </c>
      <c r="M3" s="77" t="s">
        <v>2</v>
      </c>
    </row>
    <row r="4" spans="1:13" s="1" customFormat="1" ht="21" customHeight="1" thickBot="1">
      <c r="A4" s="71"/>
      <c r="B4" s="60"/>
      <c r="C4" s="73"/>
      <c r="D4" s="73"/>
      <c r="E4" s="73"/>
      <c r="F4" s="73"/>
      <c r="G4" s="4">
        <v>1</v>
      </c>
      <c r="H4" s="4">
        <v>2</v>
      </c>
      <c r="I4" s="4">
        <v>3</v>
      </c>
      <c r="J4" s="4" t="s">
        <v>4</v>
      </c>
      <c r="K4" s="73"/>
      <c r="L4" s="73"/>
      <c r="M4" s="78"/>
    </row>
    <row r="5" spans="1:13" ht="16">
      <c r="A5" s="57" t="s">
        <v>73</v>
      </c>
      <c r="B5" s="57"/>
      <c r="C5" s="58"/>
      <c r="D5" s="58"/>
      <c r="E5" s="58"/>
      <c r="F5" s="58"/>
      <c r="G5" s="58"/>
      <c r="H5" s="58"/>
      <c r="I5" s="58"/>
      <c r="J5" s="58"/>
    </row>
    <row r="6" spans="1:13">
      <c r="A6" s="8" t="s">
        <v>33</v>
      </c>
      <c r="B6" s="7" t="s">
        <v>840</v>
      </c>
      <c r="C6" s="7" t="s">
        <v>841</v>
      </c>
      <c r="D6" s="7" t="s">
        <v>842</v>
      </c>
      <c r="E6" s="7" t="str">
        <f>"0,7126"</f>
        <v>0,7126</v>
      </c>
      <c r="F6" s="7" t="s">
        <v>1459</v>
      </c>
      <c r="G6" s="15" t="s">
        <v>18</v>
      </c>
      <c r="H6" s="14" t="s">
        <v>19</v>
      </c>
      <c r="I6" s="14" t="s">
        <v>19</v>
      </c>
      <c r="J6" s="8"/>
      <c r="K6" s="8" t="str">
        <f>"160,0"</f>
        <v>160,0</v>
      </c>
      <c r="L6" s="8" t="str">
        <f>"114,0160"</f>
        <v>114,0160</v>
      </c>
      <c r="M6" s="7" t="s">
        <v>843</v>
      </c>
    </row>
    <row r="7" spans="1:13">
      <c r="B7" s="5" t="s">
        <v>34</v>
      </c>
    </row>
    <row r="8" spans="1:13" ht="16">
      <c r="A8" s="61" t="s">
        <v>63</v>
      </c>
      <c r="B8" s="61"/>
      <c r="C8" s="61"/>
      <c r="D8" s="61"/>
      <c r="E8" s="61"/>
      <c r="F8" s="61"/>
      <c r="G8" s="61"/>
      <c r="H8" s="61"/>
      <c r="I8" s="61"/>
      <c r="J8" s="61"/>
    </row>
    <row r="9" spans="1:13">
      <c r="A9" s="17" t="s">
        <v>33</v>
      </c>
      <c r="B9" s="16" t="s">
        <v>844</v>
      </c>
      <c r="C9" s="16" t="s">
        <v>845</v>
      </c>
      <c r="D9" s="16" t="s">
        <v>86</v>
      </c>
      <c r="E9" s="16" t="str">
        <f>"0,6774"</f>
        <v>0,6774</v>
      </c>
      <c r="F9" s="16" t="s">
        <v>1536</v>
      </c>
      <c r="G9" s="23" t="s">
        <v>127</v>
      </c>
      <c r="H9" s="22" t="s">
        <v>178</v>
      </c>
      <c r="I9" s="22" t="s">
        <v>178</v>
      </c>
      <c r="J9" s="17"/>
      <c r="K9" s="17" t="str">
        <f>"215,0"</f>
        <v>215,0</v>
      </c>
      <c r="L9" s="17" t="str">
        <f>"145,6410"</f>
        <v>145,6410</v>
      </c>
      <c r="M9" s="16" t="s">
        <v>1436</v>
      </c>
    </row>
    <row r="10" spans="1:13">
      <c r="A10" s="21" t="s">
        <v>219</v>
      </c>
      <c r="B10" s="20" t="s">
        <v>846</v>
      </c>
      <c r="C10" s="20" t="s">
        <v>847</v>
      </c>
      <c r="D10" s="20" t="s">
        <v>499</v>
      </c>
      <c r="E10" s="20" t="str">
        <f>"0,6729"</f>
        <v>0,6729</v>
      </c>
      <c r="F10" s="20" t="s">
        <v>1459</v>
      </c>
      <c r="G10" s="27" t="s">
        <v>18</v>
      </c>
      <c r="H10" s="26" t="s">
        <v>18</v>
      </c>
      <c r="I10" s="26" t="s">
        <v>19</v>
      </c>
      <c r="J10" s="21"/>
      <c r="K10" s="21" t="str">
        <f>"170,0"</f>
        <v>170,0</v>
      </c>
      <c r="L10" s="21" t="str">
        <f>"114,3930"</f>
        <v>114,3930</v>
      </c>
      <c r="M10" s="20" t="s">
        <v>843</v>
      </c>
    </row>
    <row r="11" spans="1:13">
      <c r="A11" s="19" t="s">
        <v>33</v>
      </c>
      <c r="B11" s="18" t="s">
        <v>844</v>
      </c>
      <c r="C11" s="18" t="s">
        <v>1379</v>
      </c>
      <c r="D11" s="18" t="s">
        <v>86</v>
      </c>
      <c r="E11" s="18" t="str">
        <f>"0,6774"</f>
        <v>0,6774</v>
      </c>
      <c r="F11" s="18" t="s">
        <v>1536</v>
      </c>
      <c r="G11" s="25" t="s">
        <v>127</v>
      </c>
      <c r="H11" s="24" t="s">
        <v>178</v>
      </c>
      <c r="I11" s="24" t="s">
        <v>178</v>
      </c>
      <c r="J11" s="19"/>
      <c r="K11" s="19" t="str">
        <f>"215,0"</f>
        <v>215,0</v>
      </c>
      <c r="L11" s="19" t="str">
        <f>"162,2441"</f>
        <v>162,2441</v>
      </c>
      <c r="M11" s="18" t="s">
        <v>1436</v>
      </c>
    </row>
    <row r="12" spans="1:13">
      <c r="B12" s="5" t="s">
        <v>34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M19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2.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3.16406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4" style="5" customWidth="1"/>
    <col min="14" max="16384" width="9.1640625" style="3"/>
  </cols>
  <sheetData>
    <row r="1" spans="1:13" s="2" customFormat="1" ht="29" customHeight="1">
      <c r="A1" s="62" t="s">
        <v>1266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3" s="1" customFormat="1" ht="12.75" customHeight="1">
      <c r="A3" s="70" t="s">
        <v>1458</v>
      </c>
      <c r="B3" s="59" t="s">
        <v>0</v>
      </c>
      <c r="C3" s="72" t="s">
        <v>5</v>
      </c>
      <c r="D3" s="72" t="s">
        <v>8</v>
      </c>
      <c r="E3" s="74" t="s">
        <v>9</v>
      </c>
      <c r="F3" s="74" t="s">
        <v>10</v>
      </c>
      <c r="G3" s="74" t="s">
        <v>12</v>
      </c>
      <c r="H3" s="74"/>
      <c r="I3" s="74"/>
      <c r="J3" s="74"/>
      <c r="K3" s="74" t="s">
        <v>601</v>
      </c>
      <c r="L3" s="74" t="s">
        <v>3</v>
      </c>
      <c r="M3" s="77" t="s">
        <v>2</v>
      </c>
    </row>
    <row r="4" spans="1:13" s="1" customFormat="1" ht="21" customHeight="1" thickBot="1">
      <c r="A4" s="71"/>
      <c r="B4" s="60"/>
      <c r="C4" s="73"/>
      <c r="D4" s="73"/>
      <c r="E4" s="73"/>
      <c r="F4" s="73"/>
      <c r="G4" s="4">
        <v>1</v>
      </c>
      <c r="H4" s="4">
        <v>2</v>
      </c>
      <c r="I4" s="4">
        <v>3</v>
      </c>
      <c r="J4" s="4" t="s">
        <v>4</v>
      </c>
      <c r="K4" s="73"/>
      <c r="L4" s="73"/>
      <c r="M4" s="78"/>
    </row>
    <row r="5" spans="1:13" ht="16">
      <c r="A5" s="57" t="s">
        <v>14</v>
      </c>
      <c r="B5" s="57"/>
      <c r="C5" s="58"/>
      <c r="D5" s="58"/>
      <c r="E5" s="58"/>
      <c r="F5" s="58"/>
      <c r="G5" s="58"/>
      <c r="H5" s="58"/>
      <c r="I5" s="58"/>
      <c r="J5" s="58"/>
    </row>
    <row r="6" spans="1:13">
      <c r="A6" s="8" t="s">
        <v>33</v>
      </c>
      <c r="B6" s="7" t="s">
        <v>827</v>
      </c>
      <c r="C6" s="7" t="s">
        <v>828</v>
      </c>
      <c r="D6" s="7" t="s">
        <v>16</v>
      </c>
      <c r="E6" s="7" t="str">
        <f>"0,6444"</f>
        <v>0,6444</v>
      </c>
      <c r="F6" s="7" t="s">
        <v>1553</v>
      </c>
      <c r="G6" s="15" t="s">
        <v>38</v>
      </c>
      <c r="H6" s="14" t="s">
        <v>17</v>
      </c>
      <c r="I6" s="14" t="s">
        <v>114</v>
      </c>
      <c r="J6" s="8"/>
      <c r="K6" s="8" t="str">
        <f>"230,0"</f>
        <v>230,0</v>
      </c>
      <c r="L6" s="8" t="str">
        <f>"148,2120"</f>
        <v>148,2120</v>
      </c>
      <c r="M6" s="7"/>
    </row>
    <row r="7" spans="1:13">
      <c r="B7" s="5" t="s">
        <v>34</v>
      </c>
    </row>
    <row r="8" spans="1:13" ht="16">
      <c r="A8" s="61" t="s">
        <v>130</v>
      </c>
      <c r="B8" s="61"/>
      <c r="C8" s="61"/>
      <c r="D8" s="61"/>
      <c r="E8" s="61"/>
      <c r="F8" s="61"/>
      <c r="G8" s="61"/>
      <c r="H8" s="61"/>
      <c r="I8" s="61"/>
      <c r="J8" s="61"/>
    </row>
    <row r="9" spans="1:13">
      <c r="A9" s="8" t="s">
        <v>33</v>
      </c>
      <c r="B9" s="7" t="s">
        <v>829</v>
      </c>
      <c r="C9" s="7" t="s">
        <v>830</v>
      </c>
      <c r="D9" s="7" t="s">
        <v>721</v>
      </c>
      <c r="E9" s="7" t="str">
        <f>"0,6169"</f>
        <v>0,6169</v>
      </c>
      <c r="F9" s="7" t="s">
        <v>1459</v>
      </c>
      <c r="G9" s="14" t="s">
        <v>105</v>
      </c>
      <c r="H9" s="15" t="s">
        <v>105</v>
      </c>
      <c r="I9" s="14" t="s">
        <v>38</v>
      </c>
      <c r="J9" s="8"/>
      <c r="K9" s="8" t="str">
        <f>"220,0"</f>
        <v>220,0</v>
      </c>
      <c r="L9" s="8" t="str">
        <f>"135,7180"</f>
        <v>135,7180</v>
      </c>
      <c r="M9" s="7"/>
    </row>
    <row r="10" spans="1:13">
      <c r="B10" s="5" t="s">
        <v>34</v>
      </c>
    </row>
    <row r="11" spans="1:13" ht="16">
      <c r="A11" s="61" t="s">
        <v>35</v>
      </c>
      <c r="B11" s="61"/>
      <c r="C11" s="61"/>
      <c r="D11" s="61"/>
      <c r="E11" s="61"/>
      <c r="F11" s="61"/>
      <c r="G11" s="61"/>
      <c r="H11" s="61"/>
      <c r="I11" s="61"/>
      <c r="J11" s="61"/>
    </row>
    <row r="12" spans="1:13">
      <c r="A12" s="8" t="s">
        <v>33</v>
      </c>
      <c r="B12" s="7" t="s">
        <v>831</v>
      </c>
      <c r="C12" s="7" t="s">
        <v>1380</v>
      </c>
      <c r="D12" s="7" t="s">
        <v>832</v>
      </c>
      <c r="E12" s="7" t="str">
        <f>"0,5895"</f>
        <v>0,5895</v>
      </c>
      <c r="F12" s="7" t="s">
        <v>1554</v>
      </c>
      <c r="G12" s="15" t="s">
        <v>106</v>
      </c>
      <c r="H12" s="15" t="s">
        <v>122</v>
      </c>
      <c r="I12" s="8"/>
      <c r="J12" s="8"/>
      <c r="K12" s="8" t="str">
        <f>"235,0"</f>
        <v>235,0</v>
      </c>
      <c r="L12" s="8" t="str">
        <f>"187,0189"</f>
        <v>187,0189</v>
      </c>
      <c r="M12" s="7" t="s">
        <v>1248</v>
      </c>
    </row>
    <row r="13" spans="1:13">
      <c r="B13" s="5" t="s">
        <v>34</v>
      </c>
    </row>
    <row r="14" spans="1:13" ht="16">
      <c r="A14" s="61" t="s">
        <v>184</v>
      </c>
      <c r="B14" s="61"/>
      <c r="C14" s="61"/>
      <c r="D14" s="61"/>
      <c r="E14" s="61"/>
      <c r="F14" s="61"/>
      <c r="G14" s="61"/>
      <c r="H14" s="61"/>
      <c r="I14" s="61"/>
      <c r="J14" s="61"/>
    </row>
    <row r="15" spans="1:13">
      <c r="A15" s="17" t="s">
        <v>33</v>
      </c>
      <c r="B15" s="16" t="s">
        <v>1249</v>
      </c>
      <c r="C15" s="16" t="s">
        <v>833</v>
      </c>
      <c r="D15" s="16" t="s">
        <v>834</v>
      </c>
      <c r="E15" s="16" t="str">
        <f>"0,5878"</f>
        <v>0,5878</v>
      </c>
      <c r="F15" s="16" t="s">
        <v>1554</v>
      </c>
      <c r="G15" s="22" t="s">
        <v>133</v>
      </c>
      <c r="H15" s="23" t="s">
        <v>133</v>
      </c>
      <c r="I15" s="22" t="s">
        <v>168</v>
      </c>
      <c r="J15" s="17"/>
      <c r="K15" s="17" t="str">
        <f>"275,0"</f>
        <v>275,0</v>
      </c>
      <c r="L15" s="17" t="str">
        <f>"161,6450"</f>
        <v>161,6450</v>
      </c>
      <c r="M15" s="16" t="s">
        <v>835</v>
      </c>
    </row>
    <row r="16" spans="1:13">
      <c r="A16" s="21" t="s">
        <v>219</v>
      </c>
      <c r="B16" s="20" t="s">
        <v>836</v>
      </c>
      <c r="C16" s="20" t="s">
        <v>837</v>
      </c>
      <c r="D16" s="20" t="s">
        <v>838</v>
      </c>
      <c r="E16" s="20" t="str">
        <f>"0,5709"</f>
        <v>0,5709</v>
      </c>
      <c r="F16" s="20" t="s">
        <v>1472</v>
      </c>
      <c r="G16" s="26" t="s">
        <v>105</v>
      </c>
      <c r="H16" s="26" t="s">
        <v>39</v>
      </c>
      <c r="I16" s="26" t="s">
        <v>143</v>
      </c>
      <c r="J16" s="21"/>
      <c r="K16" s="21" t="str">
        <f>"270,0"</f>
        <v>270,0</v>
      </c>
      <c r="L16" s="21" t="str">
        <f>"154,1430"</f>
        <v>154,1430</v>
      </c>
      <c r="M16" s="20"/>
    </row>
    <row r="17" spans="1:13">
      <c r="A17" s="19" t="s">
        <v>33</v>
      </c>
      <c r="B17" s="18" t="s">
        <v>831</v>
      </c>
      <c r="C17" s="18" t="s">
        <v>1380</v>
      </c>
      <c r="D17" s="18" t="s">
        <v>839</v>
      </c>
      <c r="E17" s="18" t="str">
        <f>"0,5870"</f>
        <v>0,5870</v>
      </c>
      <c r="F17" s="18" t="s">
        <v>1554</v>
      </c>
      <c r="G17" s="25" t="s">
        <v>114</v>
      </c>
      <c r="H17" s="19"/>
      <c r="I17" s="19"/>
      <c r="J17" s="19"/>
      <c r="K17" s="19" t="str">
        <f>"245,0"</f>
        <v>245,0</v>
      </c>
      <c r="L17" s="19" t="str">
        <f>"194,1503"</f>
        <v>194,1503</v>
      </c>
      <c r="M17" s="18" t="s">
        <v>1248</v>
      </c>
    </row>
    <row r="18" spans="1:13">
      <c r="B18" s="5" t="s">
        <v>34</v>
      </c>
    </row>
    <row r="19" spans="1:13">
      <c r="B19" s="5" t="s">
        <v>34</v>
      </c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4:J14"/>
    <mergeCell ref="B3:B4"/>
    <mergeCell ref="K3:K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M15"/>
  <sheetViews>
    <sheetView workbookViewId="0">
      <selection activeCell="F129" sqref="F129"/>
    </sheetView>
  </sheetViews>
  <sheetFormatPr baseColWidth="10" defaultColWidth="9.1640625" defaultRowHeight="13"/>
  <cols>
    <col min="1" max="1" width="7.5" style="5" bestFit="1" customWidth="1"/>
    <col min="2" max="2" width="19.1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7.5" style="5" bestFit="1" customWidth="1"/>
    <col min="7" max="10" width="5.5" style="6" customWidth="1"/>
    <col min="11" max="11" width="10.5" style="6" bestFit="1" customWidth="1"/>
    <col min="12" max="12" width="8.5" style="6" bestFit="1" customWidth="1"/>
    <col min="13" max="13" width="20.5" style="5" customWidth="1"/>
    <col min="14" max="16384" width="9.1640625" style="3"/>
  </cols>
  <sheetData>
    <row r="1" spans="1:13" s="2" customFormat="1" ht="29" customHeight="1">
      <c r="A1" s="62" t="s">
        <v>1267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3" s="1" customFormat="1" ht="12.75" customHeight="1">
      <c r="A3" s="70" t="s">
        <v>1458</v>
      </c>
      <c r="B3" s="59" t="s">
        <v>0</v>
      </c>
      <c r="C3" s="72" t="s">
        <v>5</v>
      </c>
      <c r="D3" s="72" t="s">
        <v>8</v>
      </c>
      <c r="E3" s="74" t="s">
        <v>9</v>
      </c>
      <c r="F3" s="74" t="s">
        <v>10</v>
      </c>
      <c r="G3" s="74" t="s">
        <v>12</v>
      </c>
      <c r="H3" s="74"/>
      <c r="I3" s="74"/>
      <c r="J3" s="74"/>
      <c r="K3" s="74" t="s">
        <v>601</v>
      </c>
      <c r="L3" s="74" t="s">
        <v>3</v>
      </c>
      <c r="M3" s="77" t="s">
        <v>2</v>
      </c>
    </row>
    <row r="4" spans="1:13" s="1" customFormat="1" ht="21" customHeight="1" thickBot="1">
      <c r="A4" s="71"/>
      <c r="B4" s="60"/>
      <c r="C4" s="73"/>
      <c r="D4" s="73"/>
      <c r="E4" s="73"/>
      <c r="F4" s="73"/>
      <c r="G4" s="4">
        <v>1</v>
      </c>
      <c r="H4" s="4">
        <v>2</v>
      </c>
      <c r="I4" s="4">
        <v>3</v>
      </c>
      <c r="J4" s="4" t="s">
        <v>4</v>
      </c>
      <c r="K4" s="73"/>
      <c r="L4" s="73"/>
      <c r="M4" s="78"/>
    </row>
    <row r="5" spans="1:13" ht="16">
      <c r="A5" s="57" t="s">
        <v>35</v>
      </c>
      <c r="B5" s="57"/>
      <c r="C5" s="58"/>
      <c r="D5" s="58"/>
      <c r="E5" s="58"/>
      <c r="F5" s="58"/>
      <c r="G5" s="58"/>
      <c r="H5" s="58"/>
      <c r="I5" s="58"/>
      <c r="J5" s="58"/>
    </row>
    <row r="6" spans="1:13">
      <c r="A6" s="17" t="s">
        <v>33</v>
      </c>
      <c r="B6" s="16" t="s">
        <v>848</v>
      </c>
      <c r="C6" s="16" t="s">
        <v>849</v>
      </c>
      <c r="D6" s="16" t="s">
        <v>37</v>
      </c>
      <c r="E6" s="16" t="str">
        <f>"0,5980"</f>
        <v>0,5980</v>
      </c>
      <c r="F6" s="16" t="s">
        <v>1482</v>
      </c>
      <c r="G6" s="22" t="s">
        <v>38</v>
      </c>
      <c r="H6" s="23" t="s">
        <v>38</v>
      </c>
      <c r="I6" s="23" t="s">
        <v>39</v>
      </c>
      <c r="J6" s="17"/>
      <c r="K6" s="17" t="str">
        <f>"250,0"</f>
        <v>250,0</v>
      </c>
      <c r="L6" s="17" t="str">
        <f>"149,5000"</f>
        <v>149,5000</v>
      </c>
      <c r="M6" s="16"/>
    </row>
    <row r="7" spans="1:13">
      <c r="A7" s="21" t="s">
        <v>33</v>
      </c>
      <c r="B7" s="20" t="s">
        <v>831</v>
      </c>
      <c r="C7" s="20" t="s">
        <v>1380</v>
      </c>
      <c r="D7" s="20" t="s">
        <v>832</v>
      </c>
      <c r="E7" s="20" t="str">
        <f>"0,5895"</f>
        <v>0,5895</v>
      </c>
      <c r="F7" s="20" t="s">
        <v>1554</v>
      </c>
      <c r="G7" s="26" t="s">
        <v>106</v>
      </c>
      <c r="H7" s="26" t="s">
        <v>122</v>
      </c>
      <c r="I7" s="21"/>
      <c r="J7" s="21"/>
      <c r="K7" s="21" t="str">
        <f>"235,0"</f>
        <v>235,0</v>
      </c>
      <c r="L7" s="21" t="str">
        <f>"187,0189"</f>
        <v>187,0189</v>
      </c>
      <c r="M7" s="20" t="s">
        <v>1248</v>
      </c>
    </row>
    <row r="8" spans="1:13">
      <c r="A8" s="19" t="s">
        <v>219</v>
      </c>
      <c r="B8" s="18" t="s">
        <v>850</v>
      </c>
      <c r="C8" s="18" t="s">
        <v>1381</v>
      </c>
      <c r="D8" s="18" t="s">
        <v>851</v>
      </c>
      <c r="E8" s="18" t="str">
        <f>"0,6079"</f>
        <v>0,6079</v>
      </c>
      <c r="F8" s="18" t="s">
        <v>1555</v>
      </c>
      <c r="G8" s="25" t="s">
        <v>18</v>
      </c>
      <c r="H8" s="24" t="s">
        <v>19</v>
      </c>
      <c r="I8" s="24" t="s">
        <v>19</v>
      </c>
      <c r="J8" s="19"/>
      <c r="K8" s="19" t="str">
        <f>"160,0"</f>
        <v>160,0</v>
      </c>
      <c r="L8" s="19" t="str">
        <f>"131,3064"</f>
        <v>131,3064</v>
      </c>
      <c r="M8" s="18"/>
    </row>
    <row r="9" spans="1:13">
      <c r="B9" s="5" t="s">
        <v>34</v>
      </c>
    </row>
    <row r="10" spans="1:13" ht="16">
      <c r="A10" s="61" t="s">
        <v>184</v>
      </c>
      <c r="B10" s="61"/>
      <c r="C10" s="61"/>
      <c r="D10" s="61"/>
      <c r="E10" s="61"/>
      <c r="F10" s="61"/>
      <c r="G10" s="61"/>
      <c r="H10" s="61"/>
      <c r="I10" s="61"/>
      <c r="J10" s="61"/>
    </row>
    <row r="11" spans="1:13">
      <c r="A11" s="8" t="s">
        <v>33</v>
      </c>
      <c r="B11" s="7" t="s">
        <v>831</v>
      </c>
      <c r="C11" s="7" t="s">
        <v>1380</v>
      </c>
      <c r="D11" s="7" t="s">
        <v>839</v>
      </c>
      <c r="E11" s="7" t="str">
        <f>"0,5870"</f>
        <v>0,5870</v>
      </c>
      <c r="F11" s="7" t="s">
        <v>1554</v>
      </c>
      <c r="G11" s="15" t="s">
        <v>114</v>
      </c>
      <c r="H11" s="8"/>
      <c r="I11" s="8"/>
      <c r="J11" s="8"/>
      <c r="K11" s="8" t="str">
        <f>"245,0"</f>
        <v>245,0</v>
      </c>
      <c r="L11" s="8" t="str">
        <f>"194,1503"</f>
        <v>194,1503</v>
      </c>
      <c r="M11" s="7" t="s">
        <v>1248</v>
      </c>
    </row>
    <row r="12" spans="1:13">
      <c r="B12" s="5" t="s">
        <v>34</v>
      </c>
    </row>
    <row r="13" spans="1:13" ht="16">
      <c r="A13" s="61" t="s">
        <v>198</v>
      </c>
      <c r="B13" s="61"/>
      <c r="C13" s="61"/>
      <c r="D13" s="61"/>
      <c r="E13" s="61"/>
      <c r="F13" s="61"/>
      <c r="G13" s="61"/>
      <c r="H13" s="61"/>
      <c r="I13" s="61"/>
      <c r="J13" s="61"/>
    </row>
    <row r="14" spans="1:13">
      <c r="A14" s="8" t="s">
        <v>33</v>
      </c>
      <c r="B14" s="7" t="s">
        <v>852</v>
      </c>
      <c r="C14" s="7" t="s">
        <v>853</v>
      </c>
      <c r="D14" s="7" t="s">
        <v>854</v>
      </c>
      <c r="E14" s="7" t="str">
        <f>"0,5671"</f>
        <v>0,5671</v>
      </c>
      <c r="F14" s="7" t="s">
        <v>1556</v>
      </c>
      <c r="G14" s="15" t="s">
        <v>133</v>
      </c>
      <c r="H14" s="14" t="s">
        <v>144</v>
      </c>
      <c r="I14" s="15" t="s">
        <v>145</v>
      </c>
      <c r="J14" s="8"/>
      <c r="K14" s="8" t="str">
        <f>"290,0"</f>
        <v>290,0</v>
      </c>
      <c r="L14" s="8" t="str">
        <f>"164,4590"</f>
        <v>164,4590</v>
      </c>
      <c r="M14" s="7" t="s">
        <v>855</v>
      </c>
    </row>
    <row r="15" spans="1:13">
      <c r="B15" s="5" t="s">
        <v>34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10:J10"/>
    <mergeCell ref="A13:J13"/>
    <mergeCell ref="B3:B4"/>
    <mergeCell ref="K3:K4"/>
    <mergeCell ref="L3:L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3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6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8.1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3.6640625" style="5" customWidth="1"/>
    <col min="14" max="16384" width="9.1640625" style="3"/>
  </cols>
  <sheetData>
    <row r="1" spans="1:13" s="2" customFormat="1" ht="29" customHeight="1">
      <c r="A1" s="62" t="s">
        <v>1268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3" s="1" customFormat="1" ht="12.75" customHeight="1">
      <c r="A3" s="70" t="s">
        <v>1458</v>
      </c>
      <c r="B3" s="59" t="s">
        <v>0</v>
      </c>
      <c r="C3" s="72" t="s">
        <v>5</v>
      </c>
      <c r="D3" s="72" t="s">
        <v>8</v>
      </c>
      <c r="E3" s="74" t="s">
        <v>1009</v>
      </c>
      <c r="F3" s="74" t="s">
        <v>10</v>
      </c>
      <c r="G3" s="74" t="s">
        <v>12</v>
      </c>
      <c r="H3" s="74"/>
      <c r="I3" s="74"/>
      <c r="J3" s="74"/>
      <c r="K3" s="74" t="s">
        <v>601</v>
      </c>
      <c r="L3" s="74" t="s">
        <v>3</v>
      </c>
      <c r="M3" s="77" t="s">
        <v>2</v>
      </c>
    </row>
    <row r="4" spans="1:13" s="1" customFormat="1" ht="21" customHeight="1" thickBot="1">
      <c r="A4" s="71"/>
      <c r="B4" s="60"/>
      <c r="C4" s="73"/>
      <c r="D4" s="73"/>
      <c r="E4" s="73"/>
      <c r="F4" s="73"/>
      <c r="G4" s="4">
        <v>1</v>
      </c>
      <c r="H4" s="4">
        <v>2</v>
      </c>
      <c r="I4" s="4">
        <v>3</v>
      </c>
      <c r="J4" s="4" t="s">
        <v>4</v>
      </c>
      <c r="K4" s="73"/>
      <c r="L4" s="73"/>
      <c r="M4" s="78"/>
    </row>
    <row r="5" spans="1:13" ht="16">
      <c r="A5" s="57" t="s">
        <v>51</v>
      </c>
      <c r="B5" s="57"/>
      <c r="C5" s="58"/>
      <c r="D5" s="58"/>
      <c r="E5" s="58"/>
      <c r="F5" s="58"/>
      <c r="G5" s="58"/>
      <c r="H5" s="58"/>
      <c r="I5" s="58"/>
      <c r="J5" s="58"/>
    </row>
    <row r="6" spans="1:13">
      <c r="A6" s="8" t="s">
        <v>33</v>
      </c>
      <c r="B6" s="7" t="s">
        <v>1207</v>
      </c>
      <c r="C6" s="7" t="s">
        <v>1382</v>
      </c>
      <c r="D6" s="7" t="s">
        <v>1208</v>
      </c>
      <c r="E6" s="7" t="str">
        <f>"0,9178"</f>
        <v>0,9178</v>
      </c>
      <c r="F6" s="7" t="s">
        <v>1459</v>
      </c>
      <c r="G6" s="15" t="s">
        <v>79</v>
      </c>
      <c r="H6" s="15" t="s">
        <v>80</v>
      </c>
      <c r="I6" s="15" t="s">
        <v>49</v>
      </c>
      <c r="J6" s="8"/>
      <c r="K6" s="8" t="str">
        <f>"130,0"</f>
        <v>130,0</v>
      </c>
      <c r="L6" s="8" t="str">
        <f>"146,1597"</f>
        <v>146,1597</v>
      </c>
      <c r="M6" s="7" t="s">
        <v>629</v>
      </c>
    </row>
    <row r="7" spans="1:13">
      <c r="B7" s="5" t="s">
        <v>34</v>
      </c>
    </row>
    <row r="8" spans="1:13" ht="16">
      <c r="A8" s="61" t="s">
        <v>51</v>
      </c>
      <c r="B8" s="61"/>
      <c r="C8" s="61"/>
      <c r="D8" s="61"/>
      <c r="E8" s="61"/>
      <c r="F8" s="61"/>
      <c r="G8" s="61"/>
      <c r="H8" s="61"/>
      <c r="I8" s="61"/>
      <c r="J8" s="61"/>
    </row>
    <row r="9" spans="1:13">
      <c r="A9" s="8" t="s">
        <v>33</v>
      </c>
      <c r="B9" s="7" t="s">
        <v>1209</v>
      </c>
      <c r="C9" s="7" t="s">
        <v>1210</v>
      </c>
      <c r="D9" s="7" t="s">
        <v>1211</v>
      </c>
      <c r="E9" s="7" t="str">
        <f>"0,7630"</f>
        <v>0,7630</v>
      </c>
      <c r="F9" s="7" t="s">
        <v>1460</v>
      </c>
      <c r="G9" s="15" t="s">
        <v>60</v>
      </c>
      <c r="H9" s="14" t="s">
        <v>40</v>
      </c>
      <c r="I9" s="14" t="s">
        <v>18</v>
      </c>
      <c r="J9" s="8"/>
      <c r="K9" s="8" t="str">
        <f>"145,0"</f>
        <v>145,0</v>
      </c>
      <c r="L9" s="8" t="str">
        <f>"110,6350"</f>
        <v>110,6350</v>
      </c>
      <c r="M9" s="7"/>
    </row>
    <row r="10" spans="1:13">
      <c r="B10" s="5" t="s">
        <v>34</v>
      </c>
    </row>
    <row r="11" spans="1:13" ht="16">
      <c r="A11" s="61" t="s">
        <v>73</v>
      </c>
      <c r="B11" s="61"/>
      <c r="C11" s="61"/>
      <c r="D11" s="61"/>
      <c r="E11" s="61"/>
      <c r="F11" s="61"/>
      <c r="G11" s="61"/>
      <c r="H11" s="61"/>
      <c r="I11" s="61"/>
      <c r="J11" s="61"/>
    </row>
    <row r="12" spans="1:13">
      <c r="A12" s="17" t="s">
        <v>33</v>
      </c>
      <c r="B12" s="16" t="s">
        <v>1212</v>
      </c>
      <c r="C12" s="16" t="s">
        <v>1213</v>
      </c>
      <c r="D12" s="16" t="s">
        <v>842</v>
      </c>
      <c r="E12" s="16" t="str">
        <f>"0,6885"</f>
        <v>0,6885</v>
      </c>
      <c r="F12" s="16" t="s">
        <v>1459</v>
      </c>
      <c r="G12" s="23" t="s">
        <v>78</v>
      </c>
      <c r="H12" s="22" t="s">
        <v>487</v>
      </c>
      <c r="I12" s="22" t="s">
        <v>487</v>
      </c>
      <c r="J12" s="17"/>
      <c r="K12" s="17" t="str">
        <f>"202,5"</f>
        <v>202,5</v>
      </c>
      <c r="L12" s="17" t="str">
        <f>"139,4314"</f>
        <v>139,4314</v>
      </c>
      <c r="M12" s="16" t="s">
        <v>1214</v>
      </c>
    </row>
    <row r="13" spans="1:13">
      <c r="A13" s="19" t="s">
        <v>33</v>
      </c>
      <c r="B13" s="18" t="s">
        <v>1212</v>
      </c>
      <c r="C13" s="18" t="s">
        <v>1383</v>
      </c>
      <c r="D13" s="18" t="s">
        <v>842</v>
      </c>
      <c r="E13" s="18" t="str">
        <f>"0,6885"</f>
        <v>0,6885</v>
      </c>
      <c r="F13" s="18" t="s">
        <v>1459</v>
      </c>
      <c r="G13" s="25" t="s">
        <v>78</v>
      </c>
      <c r="H13" s="24" t="s">
        <v>487</v>
      </c>
      <c r="I13" s="24" t="s">
        <v>487</v>
      </c>
      <c r="J13" s="19"/>
      <c r="K13" s="19" t="str">
        <f>"202,5"</f>
        <v>202,5</v>
      </c>
      <c r="L13" s="19" t="str">
        <f>"150,8647"</f>
        <v>150,8647</v>
      </c>
      <c r="M13" s="18" t="s">
        <v>1214</v>
      </c>
    </row>
    <row r="14" spans="1:13">
      <c r="B14" s="5" t="s">
        <v>34</v>
      </c>
    </row>
    <row r="15" spans="1:13" ht="16">
      <c r="A15" s="61" t="s">
        <v>63</v>
      </c>
      <c r="B15" s="61"/>
      <c r="C15" s="61"/>
      <c r="D15" s="61"/>
      <c r="E15" s="61"/>
      <c r="F15" s="61"/>
      <c r="G15" s="61"/>
      <c r="H15" s="61"/>
      <c r="I15" s="61"/>
      <c r="J15" s="61"/>
    </row>
    <row r="16" spans="1:13">
      <c r="A16" s="17" t="s">
        <v>33</v>
      </c>
      <c r="B16" s="16" t="s">
        <v>1215</v>
      </c>
      <c r="C16" s="16" t="s">
        <v>1216</v>
      </c>
      <c r="D16" s="16" t="s">
        <v>1030</v>
      </c>
      <c r="E16" s="16" t="str">
        <f>"0,6456"</f>
        <v>0,6456</v>
      </c>
      <c r="F16" s="16" t="s">
        <v>1462</v>
      </c>
      <c r="G16" s="23" t="s">
        <v>112</v>
      </c>
      <c r="H16" s="23" t="s">
        <v>122</v>
      </c>
      <c r="I16" s="22" t="s">
        <v>94</v>
      </c>
      <c r="J16" s="17"/>
      <c r="K16" s="17" t="str">
        <f>"235,0"</f>
        <v>235,0</v>
      </c>
      <c r="L16" s="17" t="str">
        <f>"151,7160"</f>
        <v>151,7160</v>
      </c>
      <c r="M16" s="16" t="s">
        <v>1449</v>
      </c>
    </row>
    <row r="17" spans="1:13">
      <c r="A17" s="19" t="s">
        <v>219</v>
      </c>
      <c r="B17" s="18" t="s">
        <v>1217</v>
      </c>
      <c r="C17" s="18" t="s">
        <v>1218</v>
      </c>
      <c r="D17" s="18" t="s">
        <v>340</v>
      </c>
      <c r="E17" s="18" t="str">
        <f>"0,6446"</f>
        <v>0,6446</v>
      </c>
      <c r="F17" s="18" t="s">
        <v>1557</v>
      </c>
      <c r="G17" s="25" t="s">
        <v>38</v>
      </c>
      <c r="H17" s="24" t="s">
        <v>122</v>
      </c>
      <c r="I17" s="24" t="s">
        <v>179</v>
      </c>
      <c r="J17" s="19"/>
      <c r="K17" s="19" t="str">
        <f>"230,0"</f>
        <v>230,0</v>
      </c>
      <c r="L17" s="19" t="str">
        <f>"148,2580"</f>
        <v>148,2580</v>
      </c>
      <c r="M17" s="18" t="s">
        <v>1450</v>
      </c>
    </row>
    <row r="18" spans="1:13">
      <c r="B18" s="5" t="s">
        <v>34</v>
      </c>
    </row>
    <row r="19" spans="1:13" ht="16">
      <c r="A19" s="61" t="s">
        <v>14</v>
      </c>
      <c r="B19" s="61"/>
      <c r="C19" s="61"/>
      <c r="D19" s="61"/>
      <c r="E19" s="61"/>
      <c r="F19" s="61"/>
      <c r="G19" s="61"/>
      <c r="H19" s="61"/>
      <c r="I19" s="61"/>
      <c r="J19" s="61"/>
    </row>
    <row r="20" spans="1:13">
      <c r="A20" s="17" t="s">
        <v>33</v>
      </c>
      <c r="B20" s="16" t="s">
        <v>1219</v>
      </c>
      <c r="C20" s="16" t="s">
        <v>1220</v>
      </c>
      <c r="D20" s="16" t="s">
        <v>713</v>
      </c>
      <c r="E20" s="16" t="str">
        <f>"0,6209"</f>
        <v>0,6209</v>
      </c>
      <c r="F20" s="16" t="s">
        <v>1477</v>
      </c>
      <c r="G20" s="22" t="s">
        <v>105</v>
      </c>
      <c r="H20" s="22" t="s">
        <v>426</v>
      </c>
      <c r="I20" s="23" t="s">
        <v>426</v>
      </c>
      <c r="J20" s="17"/>
      <c r="K20" s="17" t="str">
        <f>"247,5"</f>
        <v>247,5</v>
      </c>
      <c r="L20" s="17" t="str">
        <f>"153,6727"</f>
        <v>153,6727</v>
      </c>
      <c r="M20" s="16"/>
    </row>
    <row r="21" spans="1:13">
      <c r="A21" s="19" t="s">
        <v>219</v>
      </c>
      <c r="B21" s="18" t="s">
        <v>682</v>
      </c>
      <c r="C21" s="18" t="s">
        <v>683</v>
      </c>
      <c r="D21" s="18" t="s">
        <v>517</v>
      </c>
      <c r="E21" s="18" t="str">
        <f>"0,6137"</f>
        <v>0,6137</v>
      </c>
      <c r="F21" s="18" t="s">
        <v>1502</v>
      </c>
      <c r="G21" s="24" t="s">
        <v>38</v>
      </c>
      <c r="H21" s="24" t="s">
        <v>38</v>
      </c>
      <c r="I21" s="25" t="s">
        <v>38</v>
      </c>
      <c r="J21" s="19"/>
      <c r="K21" s="19" t="str">
        <f>"230,0"</f>
        <v>230,0</v>
      </c>
      <c r="L21" s="19" t="str">
        <f>"141,1625"</f>
        <v>141,1625</v>
      </c>
      <c r="M21" s="18" t="s">
        <v>684</v>
      </c>
    </row>
    <row r="22" spans="1:13">
      <c r="B22" s="5" t="s">
        <v>34</v>
      </c>
    </row>
    <row r="23" spans="1:13" ht="16">
      <c r="A23" s="61" t="s">
        <v>130</v>
      </c>
      <c r="B23" s="61"/>
      <c r="C23" s="61"/>
      <c r="D23" s="61"/>
      <c r="E23" s="61"/>
      <c r="F23" s="61"/>
      <c r="G23" s="61"/>
      <c r="H23" s="61"/>
      <c r="I23" s="61"/>
      <c r="J23" s="61"/>
    </row>
    <row r="24" spans="1:13">
      <c r="A24" s="17" t="s">
        <v>33</v>
      </c>
      <c r="B24" s="16" t="s">
        <v>736</v>
      </c>
      <c r="C24" s="16" t="s">
        <v>1221</v>
      </c>
      <c r="D24" s="16" t="s">
        <v>737</v>
      </c>
      <c r="E24" s="16" t="str">
        <f>"0,5878"</f>
        <v>0,5878</v>
      </c>
      <c r="F24" s="16" t="s">
        <v>1474</v>
      </c>
      <c r="G24" s="23" t="s">
        <v>39</v>
      </c>
      <c r="H24" s="23" t="s">
        <v>82</v>
      </c>
      <c r="I24" s="22" t="s">
        <v>22</v>
      </c>
      <c r="J24" s="17"/>
      <c r="K24" s="17" t="str">
        <f>"260,0"</f>
        <v>260,0</v>
      </c>
      <c r="L24" s="17" t="str">
        <f>"152,8150"</f>
        <v>152,8150</v>
      </c>
      <c r="M24" s="16"/>
    </row>
    <row r="25" spans="1:13">
      <c r="A25" s="19" t="s">
        <v>33</v>
      </c>
      <c r="B25" s="18" t="s">
        <v>937</v>
      </c>
      <c r="C25" s="18" t="s">
        <v>1384</v>
      </c>
      <c r="D25" s="18" t="s">
        <v>938</v>
      </c>
      <c r="E25" s="18" t="str">
        <f>"0,6023"</f>
        <v>0,6023</v>
      </c>
      <c r="F25" s="18" t="s">
        <v>1558</v>
      </c>
      <c r="G25" s="25" t="s">
        <v>69</v>
      </c>
      <c r="H25" s="24" t="s">
        <v>104</v>
      </c>
      <c r="I25" s="24" t="s">
        <v>104</v>
      </c>
      <c r="J25" s="19"/>
      <c r="K25" s="19" t="str">
        <f>"190,0"</f>
        <v>190,0</v>
      </c>
      <c r="L25" s="19" t="str">
        <f>"137,7821"</f>
        <v>137,7821</v>
      </c>
      <c r="M25" s="18" t="s">
        <v>939</v>
      </c>
    </row>
    <row r="26" spans="1:13">
      <c r="B26" s="5" t="s">
        <v>34</v>
      </c>
    </row>
    <row r="27" spans="1:13" ht="16">
      <c r="A27" s="61" t="s">
        <v>35</v>
      </c>
      <c r="B27" s="61"/>
      <c r="C27" s="61"/>
      <c r="D27" s="61"/>
      <c r="E27" s="61"/>
      <c r="F27" s="61"/>
      <c r="G27" s="61"/>
      <c r="H27" s="61"/>
      <c r="I27" s="61"/>
      <c r="J27" s="61"/>
    </row>
    <row r="28" spans="1:13">
      <c r="A28" s="17" t="s">
        <v>33</v>
      </c>
      <c r="B28" s="16" t="s">
        <v>1222</v>
      </c>
      <c r="C28" s="16" t="s">
        <v>1385</v>
      </c>
      <c r="D28" s="16" t="s">
        <v>1223</v>
      </c>
      <c r="E28" s="16" t="str">
        <f>"0,5683"</f>
        <v>0,5683</v>
      </c>
      <c r="F28" s="16" t="s">
        <v>1521</v>
      </c>
      <c r="G28" s="22" t="s">
        <v>39</v>
      </c>
      <c r="H28" s="22" t="s">
        <v>39</v>
      </c>
      <c r="I28" s="23" t="s">
        <v>39</v>
      </c>
      <c r="J28" s="17"/>
      <c r="K28" s="17" t="str">
        <f>"250,0"</f>
        <v>250,0</v>
      </c>
      <c r="L28" s="17" t="str">
        <f>"148,1842"</f>
        <v>148,1842</v>
      </c>
      <c r="M28" s="16"/>
    </row>
    <row r="29" spans="1:13">
      <c r="A29" s="19" t="s">
        <v>219</v>
      </c>
      <c r="B29" s="18" t="s">
        <v>1161</v>
      </c>
      <c r="C29" s="18" t="s">
        <v>1451</v>
      </c>
      <c r="D29" s="18" t="s">
        <v>1162</v>
      </c>
      <c r="E29" s="18" t="str">
        <f>"0,5699"</f>
        <v>0,5699</v>
      </c>
      <c r="F29" s="18" t="s">
        <v>1499</v>
      </c>
      <c r="G29" s="25" t="s">
        <v>88</v>
      </c>
      <c r="H29" s="25" t="s">
        <v>127</v>
      </c>
      <c r="I29" s="25" t="s">
        <v>203</v>
      </c>
      <c r="J29" s="19"/>
      <c r="K29" s="19" t="str">
        <f>"222,5"</f>
        <v>222,5</v>
      </c>
      <c r="L29" s="19" t="str">
        <f>"132,2669"</f>
        <v>132,2669</v>
      </c>
      <c r="M29" s="18"/>
    </row>
    <row r="30" spans="1:13">
      <c r="B30" s="5" t="s">
        <v>34</v>
      </c>
    </row>
    <row r="31" spans="1:13" ht="16">
      <c r="A31" s="61" t="s">
        <v>184</v>
      </c>
      <c r="B31" s="61"/>
      <c r="C31" s="61"/>
      <c r="D31" s="61"/>
      <c r="E31" s="61"/>
      <c r="F31" s="61"/>
      <c r="G31" s="61"/>
      <c r="H31" s="61"/>
      <c r="I31" s="61"/>
      <c r="J31" s="61"/>
    </row>
    <row r="32" spans="1:13">
      <c r="A32" s="8" t="s">
        <v>218</v>
      </c>
      <c r="B32" s="7" t="s">
        <v>789</v>
      </c>
      <c r="C32" s="7" t="s">
        <v>790</v>
      </c>
      <c r="D32" s="7" t="s">
        <v>791</v>
      </c>
      <c r="E32" s="7" t="str">
        <f>"0,5555"</f>
        <v>0,5555</v>
      </c>
      <c r="F32" s="7" t="s">
        <v>1474</v>
      </c>
      <c r="G32" s="14" t="s">
        <v>39</v>
      </c>
      <c r="H32" s="14" t="s">
        <v>39</v>
      </c>
      <c r="I32" s="14" t="s">
        <v>21</v>
      </c>
      <c r="J32" s="8"/>
      <c r="K32" s="8" t="str">
        <f>"0.00"</f>
        <v>0.00</v>
      </c>
      <c r="L32" s="8" t="str">
        <f>"0,0000"</f>
        <v>0,0000</v>
      </c>
      <c r="M32" s="7"/>
    </row>
    <row r="33" spans="2:2">
      <c r="B33" s="5" t="s">
        <v>34</v>
      </c>
    </row>
  </sheetData>
  <mergeCells count="19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1:J31"/>
    <mergeCell ref="B3:B4"/>
    <mergeCell ref="A8:J8"/>
    <mergeCell ref="A11:J11"/>
    <mergeCell ref="A15:J15"/>
    <mergeCell ref="A19:J19"/>
    <mergeCell ref="A23:J23"/>
    <mergeCell ref="A27:J2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83203125" style="5" bestFit="1" customWidth="1"/>
    <col min="3" max="3" width="28.5" style="5" bestFit="1" customWidth="1"/>
    <col min="4" max="4" width="21.5" style="5" bestFit="1" customWidth="1"/>
    <col min="5" max="5" width="12.1640625" style="5" customWidth="1"/>
    <col min="6" max="6" width="23.1640625" style="5" bestFit="1" customWidth="1"/>
    <col min="7" max="9" width="5.5" style="6" customWidth="1"/>
    <col min="10" max="10" width="4.83203125" style="6" customWidth="1"/>
    <col min="11" max="11" width="10.5" style="28" bestFit="1" customWidth="1"/>
    <col min="12" max="12" width="8.5" style="6" bestFit="1" customWidth="1"/>
    <col min="13" max="13" width="24" style="5" customWidth="1"/>
    <col min="14" max="16384" width="9.1640625" style="3"/>
  </cols>
  <sheetData>
    <row r="1" spans="1:13" s="2" customFormat="1" ht="29" customHeight="1">
      <c r="A1" s="62" t="s">
        <v>1269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3" s="1" customFormat="1" ht="12.75" customHeight="1">
      <c r="A3" s="70" t="s">
        <v>1458</v>
      </c>
      <c r="B3" s="59" t="s">
        <v>0</v>
      </c>
      <c r="C3" s="72" t="s">
        <v>5</v>
      </c>
      <c r="D3" s="72" t="s">
        <v>8</v>
      </c>
      <c r="E3" s="74" t="s">
        <v>1009</v>
      </c>
      <c r="F3" s="74" t="s">
        <v>10</v>
      </c>
      <c r="G3" s="74" t="s">
        <v>12</v>
      </c>
      <c r="H3" s="74"/>
      <c r="I3" s="74"/>
      <c r="J3" s="74"/>
      <c r="K3" s="75" t="s">
        <v>601</v>
      </c>
      <c r="L3" s="74" t="s">
        <v>3</v>
      </c>
      <c r="M3" s="77" t="s">
        <v>2</v>
      </c>
    </row>
    <row r="4" spans="1:13" s="1" customFormat="1" ht="21" customHeight="1" thickBot="1">
      <c r="A4" s="71"/>
      <c r="B4" s="60"/>
      <c r="C4" s="73"/>
      <c r="D4" s="73"/>
      <c r="E4" s="73"/>
      <c r="F4" s="73"/>
      <c r="G4" s="4">
        <v>1</v>
      </c>
      <c r="H4" s="4">
        <v>2</v>
      </c>
      <c r="I4" s="4">
        <v>3</v>
      </c>
      <c r="J4" s="4" t="s">
        <v>4</v>
      </c>
      <c r="K4" s="76"/>
      <c r="L4" s="73"/>
      <c r="M4" s="78"/>
    </row>
    <row r="5" spans="1:13" ht="16">
      <c r="A5" s="57" t="s">
        <v>63</v>
      </c>
      <c r="B5" s="57"/>
      <c r="C5" s="58"/>
      <c r="D5" s="58"/>
      <c r="E5" s="58"/>
      <c r="F5" s="58"/>
      <c r="G5" s="58"/>
      <c r="H5" s="58"/>
      <c r="I5" s="58"/>
      <c r="J5" s="58"/>
    </row>
    <row r="6" spans="1:13">
      <c r="A6" s="17" t="s">
        <v>33</v>
      </c>
      <c r="B6" s="16" t="s">
        <v>1178</v>
      </c>
      <c r="C6" s="16" t="s">
        <v>1179</v>
      </c>
      <c r="D6" s="16" t="s">
        <v>494</v>
      </c>
      <c r="E6" s="16" t="str">
        <f>"0,6471"</f>
        <v>0,6471</v>
      </c>
      <c r="F6" s="16" t="s">
        <v>1546</v>
      </c>
      <c r="G6" s="22" t="s">
        <v>465</v>
      </c>
      <c r="H6" s="23" t="s">
        <v>465</v>
      </c>
      <c r="I6" s="22" t="s">
        <v>83</v>
      </c>
      <c r="J6" s="17"/>
      <c r="K6" s="29" t="str">
        <f>"262,5"</f>
        <v>262,5</v>
      </c>
      <c r="L6" s="17" t="str">
        <f>"169,8769"</f>
        <v>169,8769</v>
      </c>
      <c r="M6" s="16" t="s">
        <v>1180</v>
      </c>
    </row>
    <row r="7" spans="1:13">
      <c r="A7" s="19" t="s">
        <v>219</v>
      </c>
      <c r="B7" s="18" t="s">
        <v>1181</v>
      </c>
      <c r="C7" s="18" t="s">
        <v>1182</v>
      </c>
      <c r="D7" s="18" t="s">
        <v>1183</v>
      </c>
      <c r="E7" s="18" t="str">
        <f>"0,6497"</f>
        <v>0,6497</v>
      </c>
      <c r="F7" s="18" t="s">
        <v>1477</v>
      </c>
      <c r="G7" s="25" t="s">
        <v>38</v>
      </c>
      <c r="H7" s="25" t="s">
        <v>39</v>
      </c>
      <c r="I7" s="25" t="s">
        <v>947</v>
      </c>
      <c r="J7" s="19"/>
      <c r="K7" s="31" t="str">
        <f>"257,5"</f>
        <v>257,5</v>
      </c>
      <c r="L7" s="19" t="str">
        <f>"167,3106"</f>
        <v>167,3106</v>
      </c>
      <c r="M7" s="18" t="s">
        <v>1184</v>
      </c>
    </row>
    <row r="8" spans="1:13">
      <c r="B8" s="5" t="s">
        <v>34</v>
      </c>
    </row>
    <row r="9" spans="1:13" ht="16">
      <c r="A9" s="61" t="s">
        <v>14</v>
      </c>
      <c r="B9" s="61"/>
      <c r="C9" s="61"/>
      <c r="D9" s="61"/>
      <c r="E9" s="61"/>
      <c r="F9" s="61"/>
      <c r="G9" s="61"/>
      <c r="H9" s="61"/>
      <c r="I9" s="61"/>
      <c r="J9" s="61"/>
    </row>
    <row r="10" spans="1:13">
      <c r="A10" s="17" t="s">
        <v>33</v>
      </c>
      <c r="B10" s="16" t="s">
        <v>1149</v>
      </c>
      <c r="C10" s="16" t="s">
        <v>1150</v>
      </c>
      <c r="D10" s="16" t="s">
        <v>864</v>
      </c>
      <c r="E10" s="16" t="str">
        <f>"0,6130"</f>
        <v>0,6130</v>
      </c>
      <c r="F10" s="16" t="s">
        <v>1545</v>
      </c>
      <c r="G10" s="23" t="s">
        <v>142</v>
      </c>
      <c r="H10" s="22" t="s">
        <v>133</v>
      </c>
      <c r="I10" s="22" t="s">
        <v>197</v>
      </c>
      <c r="J10" s="17"/>
      <c r="K10" s="29" t="str">
        <f>"265,0"</f>
        <v>265,0</v>
      </c>
      <c r="L10" s="17" t="str">
        <f>"162,4450"</f>
        <v>162,4450</v>
      </c>
      <c r="M10" s="16" t="s">
        <v>1151</v>
      </c>
    </row>
    <row r="11" spans="1:13">
      <c r="A11" s="21" t="s">
        <v>219</v>
      </c>
      <c r="B11" s="20" t="s">
        <v>1185</v>
      </c>
      <c r="C11" s="20" t="s">
        <v>475</v>
      </c>
      <c r="D11" s="20" t="s">
        <v>419</v>
      </c>
      <c r="E11" s="20" t="str">
        <f>"0,6126"</f>
        <v>0,6126</v>
      </c>
      <c r="F11" s="20" t="s">
        <v>1460</v>
      </c>
      <c r="G11" s="26" t="s">
        <v>21</v>
      </c>
      <c r="H11" s="27" t="s">
        <v>22</v>
      </c>
      <c r="I11" s="27" t="s">
        <v>143</v>
      </c>
      <c r="J11" s="21"/>
      <c r="K11" s="30" t="str">
        <f>"255,0"</f>
        <v>255,0</v>
      </c>
      <c r="L11" s="21" t="str">
        <f>"156,2130"</f>
        <v>156,2130</v>
      </c>
      <c r="M11" s="20"/>
    </row>
    <row r="12" spans="1:13">
      <c r="A12" s="19" t="s">
        <v>220</v>
      </c>
      <c r="B12" s="18" t="s">
        <v>1186</v>
      </c>
      <c r="C12" s="18" t="s">
        <v>1187</v>
      </c>
      <c r="D12" s="18" t="s">
        <v>366</v>
      </c>
      <c r="E12" s="18" t="str">
        <f>"0,6145"</f>
        <v>0,6145</v>
      </c>
      <c r="F12" s="18" t="s">
        <v>1475</v>
      </c>
      <c r="G12" s="24" t="s">
        <v>38</v>
      </c>
      <c r="H12" s="25" t="s">
        <v>38</v>
      </c>
      <c r="I12" s="24" t="s">
        <v>17</v>
      </c>
      <c r="J12" s="19"/>
      <c r="K12" s="31" t="str">
        <f>"230,0"</f>
        <v>230,0</v>
      </c>
      <c r="L12" s="19" t="str">
        <f>"141,3465"</f>
        <v>141,3465</v>
      </c>
      <c r="M12" s="18" t="s">
        <v>544</v>
      </c>
    </row>
    <row r="13" spans="1:13">
      <c r="B13" s="5" t="s">
        <v>34</v>
      </c>
    </row>
    <row r="14" spans="1:13" ht="16">
      <c r="A14" s="61" t="s">
        <v>130</v>
      </c>
      <c r="B14" s="61"/>
      <c r="C14" s="61"/>
      <c r="D14" s="61"/>
      <c r="E14" s="61"/>
      <c r="F14" s="61"/>
      <c r="G14" s="61"/>
      <c r="H14" s="61"/>
      <c r="I14" s="61"/>
      <c r="J14" s="61"/>
    </row>
    <row r="15" spans="1:13">
      <c r="A15" s="17" t="s">
        <v>33</v>
      </c>
      <c r="B15" s="16" t="s">
        <v>1137</v>
      </c>
      <c r="C15" s="16" t="s">
        <v>1138</v>
      </c>
      <c r="D15" s="16" t="s">
        <v>1139</v>
      </c>
      <c r="E15" s="16" t="str">
        <f>"0,6086"</f>
        <v>0,6086</v>
      </c>
      <c r="F15" s="16" t="s">
        <v>1549</v>
      </c>
      <c r="G15" s="23" t="s">
        <v>143</v>
      </c>
      <c r="H15" s="23" t="s">
        <v>197</v>
      </c>
      <c r="I15" s="22" t="s">
        <v>145</v>
      </c>
      <c r="J15" s="17"/>
      <c r="K15" s="29" t="str">
        <f>"280,0"</f>
        <v>280,0</v>
      </c>
      <c r="L15" s="17" t="str">
        <f>"170,3940"</f>
        <v>170,3940</v>
      </c>
      <c r="M15" s="16"/>
    </row>
    <row r="16" spans="1:13">
      <c r="A16" s="21" t="s">
        <v>219</v>
      </c>
      <c r="B16" s="20" t="s">
        <v>1188</v>
      </c>
      <c r="C16" s="20" t="s">
        <v>1189</v>
      </c>
      <c r="D16" s="20" t="s">
        <v>1190</v>
      </c>
      <c r="E16" s="20" t="str">
        <f>"0,5859"</f>
        <v>0,5859</v>
      </c>
      <c r="F16" s="20" t="s">
        <v>1459</v>
      </c>
      <c r="G16" s="26" t="s">
        <v>122</v>
      </c>
      <c r="H16" s="27" t="s">
        <v>17</v>
      </c>
      <c r="I16" s="27" t="s">
        <v>17</v>
      </c>
      <c r="J16" s="21"/>
      <c r="K16" s="30" t="str">
        <f>"235,0"</f>
        <v>235,0</v>
      </c>
      <c r="L16" s="21" t="str">
        <f>"137,6748"</f>
        <v>137,6748</v>
      </c>
      <c r="M16" s="20" t="s">
        <v>1452</v>
      </c>
    </row>
    <row r="17" spans="1:13">
      <c r="A17" s="21" t="s">
        <v>220</v>
      </c>
      <c r="B17" s="20" t="s">
        <v>541</v>
      </c>
      <c r="C17" s="20" t="s">
        <v>542</v>
      </c>
      <c r="D17" s="20" t="s">
        <v>543</v>
      </c>
      <c r="E17" s="20" t="str">
        <f>"0,5929"</f>
        <v>0,5929</v>
      </c>
      <c r="F17" s="20" t="s">
        <v>1475</v>
      </c>
      <c r="G17" s="26" t="s">
        <v>87</v>
      </c>
      <c r="H17" s="27" t="s">
        <v>127</v>
      </c>
      <c r="I17" s="26" t="s">
        <v>127</v>
      </c>
      <c r="J17" s="21"/>
      <c r="K17" s="30" t="str">
        <f>"215,0"</f>
        <v>215,0</v>
      </c>
      <c r="L17" s="21" t="str">
        <f>"127,4628"</f>
        <v>127,4628</v>
      </c>
      <c r="M17" s="20" t="s">
        <v>544</v>
      </c>
    </row>
    <row r="18" spans="1:13">
      <c r="A18" s="19" t="s">
        <v>33</v>
      </c>
      <c r="B18" s="18" t="s">
        <v>1191</v>
      </c>
      <c r="C18" s="18" t="s">
        <v>1387</v>
      </c>
      <c r="D18" s="18" t="s">
        <v>384</v>
      </c>
      <c r="E18" s="18" t="str">
        <f>"0,5880"</f>
        <v>0,5880</v>
      </c>
      <c r="F18" s="18" t="s">
        <v>1459</v>
      </c>
      <c r="G18" s="25" t="s">
        <v>39</v>
      </c>
      <c r="H18" s="25" t="s">
        <v>21</v>
      </c>
      <c r="I18" s="24" t="s">
        <v>82</v>
      </c>
      <c r="J18" s="19"/>
      <c r="K18" s="31" t="str">
        <f>"255,0"</f>
        <v>255,0</v>
      </c>
      <c r="L18" s="19" t="str">
        <f>"151,4394"</f>
        <v>151,4394</v>
      </c>
      <c r="M18" s="18"/>
    </row>
    <row r="19" spans="1:13">
      <c r="B19" s="5" t="s">
        <v>34</v>
      </c>
    </row>
    <row r="20" spans="1:13" ht="16">
      <c r="A20" s="61" t="s">
        <v>35</v>
      </c>
      <c r="B20" s="61"/>
      <c r="C20" s="61"/>
      <c r="D20" s="61"/>
      <c r="E20" s="61"/>
      <c r="F20" s="61"/>
      <c r="G20" s="61"/>
      <c r="H20" s="61"/>
      <c r="I20" s="61"/>
      <c r="J20" s="61"/>
    </row>
    <row r="21" spans="1:13">
      <c r="A21" s="17" t="s">
        <v>33</v>
      </c>
      <c r="B21" s="16" t="s">
        <v>1140</v>
      </c>
      <c r="C21" s="16" t="s">
        <v>1141</v>
      </c>
      <c r="D21" s="16" t="s">
        <v>1142</v>
      </c>
      <c r="E21" s="16" t="str">
        <f>"0,5703"</f>
        <v>0,5703</v>
      </c>
      <c r="F21" s="16" t="s">
        <v>1559</v>
      </c>
      <c r="G21" s="23" t="s">
        <v>150</v>
      </c>
      <c r="H21" s="23" t="s">
        <v>202</v>
      </c>
      <c r="I21" s="22" t="s">
        <v>1143</v>
      </c>
      <c r="J21" s="17"/>
      <c r="K21" s="29" t="str">
        <f>"307,5"</f>
        <v>307,5</v>
      </c>
      <c r="L21" s="17" t="str">
        <f>"175,3672"</f>
        <v>175,3672</v>
      </c>
      <c r="M21" s="16"/>
    </row>
    <row r="22" spans="1:13">
      <c r="A22" s="21" t="s">
        <v>219</v>
      </c>
      <c r="B22" s="20" t="s">
        <v>1192</v>
      </c>
      <c r="C22" s="20" t="s">
        <v>1193</v>
      </c>
      <c r="D22" s="20" t="s">
        <v>558</v>
      </c>
      <c r="E22" s="20" t="str">
        <f>"0,5631"</f>
        <v>0,5631</v>
      </c>
      <c r="F22" s="20" t="s">
        <v>1549</v>
      </c>
      <c r="G22" s="26" t="s">
        <v>142</v>
      </c>
      <c r="H22" s="26" t="s">
        <v>133</v>
      </c>
      <c r="I22" s="26" t="s">
        <v>144</v>
      </c>
      <c r="J22" s="21"/>
      <c r="K22" s="30" t="str">
        <f>"285,0"</f>
        <v>285,0</v>
      </c>
      <c r="L22" s="21" t="str">
        <f>"160,4835"</f>
        <v>160,4835</v>
      </c>
      <c r="M22" s="20"/>
    </row>
    <row r="23" spans="1:13">
      <c r="A23" s="21" t="s">
        <v>220</v>
      </c>
      <c r="B23" s="20" t="s">
        <v>1159</v>
      </c>
      <c r="C23" s="20" t="s">
        <v>1160</v>
      </c>
      <c r="D23" s="20" t="s">
        <v>37</v>
      </c>
      <c r="E23" s="20" t="str">
        <f>"0,5710"</f>
        <v>0,5710</v>
      </c>
      <c r="F23" s="20" t="s">
        <v>1479</v>
      </c>
      <c r="G23" s="26" t="s">
        <v>82</v>
      </c>
      <c r="H23" s="26" t="s">
        <v>143</v>
      </c>
      <c r="I23" s="27" t="s">
        <v>196</v>
      </c>
      <c r="J23" s="21"/>
      <c r="K23" s="30" t="str">
        <f>"270,0"</f>
        <v>270,0</v>
      </c>
      <c r="L23" s="21" t="str">
        <f>"154,1835"</f>
        <v>154,1835</v>
      </c>
      <c r="M23" s="20" t="s">
        <v>1158</v>
      </c>
    </row>
    <row r="24" spans="1:13">
      <c r="A24" s="21" t="s">
        <v>221</v>
      </c>
      <c r="B24" s="20" t="s">
        <v>1194</v>
      </c>
      <c r="C24" s="20" t="s">
        <v>1195</v>
      </c>
      <c r="D24" s="20" t="s">
        <v>1196</v>
      </c>
      <c r="E24" s="20" t="str">
        <f>"0,5648"</f>
        <v>0,5648</v>
      </c>
      <c r="F24" s="20" t="s">
        <v>1507</v>
      </c>
      <c r="G24" s="26" t="s">
        <v>21</v>
      </c>
      <c r="H24" s="27" t="s">
        <v>142</v>
      </c>
      <c r="I24" s="27" t="s">
        <v>142</v>
      </c>
      <c r="J24" s="21"/>
      <c r="K24" s="30" t="str">
        <f>"255,0"</f>
        <v>255,0</v>
      </c>
      <c r="L24" s="21" t="str">
        <f>"144,0367"</f>
        <v>144,0367</v>
      </c>
      <c r="M24" s="20" t="s">
        <v>1197</v>
      </c>
    </row>
    <row r="25" spans="1:13">
      <c r="A25" s="21" t="s">
        <v>405</v>
      </c>
      <c r="B25" s="20" t="s">
        <v>1198</v>
      </c>
      <c r="C25" s="20" t="s">
        <v>1199</v>
      </c>
      <c r="D25" s="20" t="s">
        <v>1200</v>
      </c>
      <c r="E25" s="20" t="str">
        <f>"0,5627"</f>
        <v>0,5627</v>
      </c>
      <c r="F25" s="20" t="s">
        <v>1507</v>
      </c>
      <c r="G25" s="26" t="s">
        <v>39</v>
      </c>
      <c r="H25" s="27" t="s">
        <v>82</v>
      </c>
      <c r="I25" s="27" t="s">
        <v>82</v>
      </c>
      <c r="J25" s="21"/>
      <c r="K25" s="30" t="str">
        <f>"250,0"</f>
        <v>250,0</v>
      </c>
      <c r="L25" s="21" t="str">
        <f>"140,6625"</f>
        <v>140,6625</v>
      </c>
      <c r="M25" s="20"/>
    </row>
    <row r="26" spans="1:13">
      <c r="A26" s="21" t="s">
        <v>218</v>
      </c>
      <c r="B26" s="20" t="s">
        <v>550</v>
      </c>
      <c r="C26" s="20" t="s">
        <v>551</v>
      </c>
      <c r="D26" s="20" t="s">
        <v>552</v>
      </c>
      <c r="E26" s="20" t="str">
        <f>"0,5661"</f>
        <v>0,5661</v>
      </c>
      <c r="F26" s="20" t="s">
        <v>1546</v>
      </c>
      <c r="G26" s="27" t="s">
        <v>104</v>
      </c>
      <c r="H26" s="27" t="s">
        <v>104</v>
      </c>
      <c r="I26" s="27" t="s">
        <v>104</v>
      </c>
      <c r="J26" s="21"/>
      <c r="K26" s="30">
        <v>0</v>
      </c>
      <c r="L26" s="21" t="str">
        <f>"0,0000"</f>
        <v>0,0000</v>
      </c>
      <c r="M26" s="20"/>
    </row>
    <row r="27" spans="1:13">
      <c r="A27" s="21" t="s">
        <v>33</v>
      </c>
      <c r="B27" s="20" t="s">
        <v>1192</v>
      </c>
      <c r="C27" s="20" t="s">
        <v>1388</v>
      </c>
      <c r="D27" s="20" t="s">
        <v>558</v>
      </c>
      <c r="E27" s="20" t="str">
        <f>"0,5631"</f>
        <v>0,5631</v>
      </c>
      <c r="F27" s="20" t="s">
        <v>1549</v>
      </c>
      <c r="G27" s="26" t="s">
        <v>142</v>
      </c>
      <c r="H27" s="26" t="s">
        <v>133</v>
      </c>
      <c r="I27" s="26" t="s">
        <v>144</v>
      </c>
      <c r="J27" s="21"/>
      <c r="K27" s="30" t="str">
        <f>"285,0"</f>
        <v>285,0</v>
      </c>
      <c r="L27" s="21" t="str">
        <f>"169,3101"</f>
        <v>169,3101</v>
      </c>
      <c r="M27" s="20"/>
    </row>
    <row r="28" spans="1:13">
      <c r="A28" s="21" t="s">
        <v>219</v>
      </c>
      <c r="B28" s="20" t="s">
        <v>1159</v>
      </c>
      <c r="C28" s="20" t="s">
        <v>1389</v>
      </c>
      <c r="D28" s="20" t="s">
        <v>37</v>
      </c>
      <c r="E28" s="20" t="str">
        <f>"0,5710"</f>
        <v>0,5710</v>
      </c>
      <c r="F28" s="20" t="s">
        <v>1479</v>
      </c>
      <c r="G28" s="26" t="s">
        <v>82</v>
      </c>
      <c r="H28" s="26" t="s">
        <v>143</v>
      </c>
      <c r="I28" s="27" t="s">
        <v>196</v>
      </c>
      <c r="J28" s="21"/>
      <c r="K28" s="30" t="str">
        <f>"270,0"</f>
        <v>270,0</v>
      </c>
      <c r="L28" s="21" t="str">
        <f>"154,1835"</f>
        <v>154,1835</v>
      </c>
      <c r="M28" s="20" t="s">
        <v>1158</v>
      </c>
    </row>
    <row r="29" spans="1:13">
      <c r="A29" s="21" t="s">
        <v>220</v>
      </c>
      <c r="B29" s="20" t="s">
        <v>1194</v>
      </c>
      <c r="C29" s="20" t="s">
        <v>1390</v>
      </c>
      <c r="D29" s="20" t="s">
        <v>1196</v>
      </c>
      <c r="E29" s="20" t="str">
        <f>"0,5648"</f>
        <v>0,5648</v>
      </c>
      <c r="F29" s="20" t="s">
        <v>1507</v>
      </c>
      <c r="G29" s="26" t="s">
        <v>21</v>
      </c>
      <c r="H29" s="27" t="s">
        <v>142</v>
      </c>
      <c r="I29" s="27" t="s">
        <v>142</v>
      </c>
      <c r="J29" s="21"/>
      <c r="K29" s="30" t="str">
        <f>"255,0"</f>
        <v>255,0</v>
      </c>
      <c r="L29" s="21" t="str">
        <f>"155,8478"</f>
        <v>155,8478</v>
      </c>
      <c r="M29" s="20" t="s">
        <v>1197</v>
      </c>
    </row>
    <row r="30" spans="1:13">
      <c r="A30" s="21" t="s">
        <v>221</v>
      </c>
      <c r="B30" s="20" t="s">
        <v>1198</v>
      </c>
      <c r="C30" s="20" t="s">
        <v>1391</v>
      </c>
      <c r="D30" s="20" t="s">
        <v>1200</v>
      </c>
      <c r="E30" s="20" t="str">
        <f>"0,5627"</f>
        <v>0,5627</v>
      </c>
      <c r="F30" s="20" t="s">
        <v>1507</v>
      </c>
      <c r="G30" s="26" t="s">
        <v>39</v>
      </c>
      <c r="H30" s="27" t="s">
        <v>82</v>
      </c>
      <c r="I30" s="27" t="s">
        <v>82</v>
      </c>
      <c r="J30" s="21"/>
      <c r="K30" s="30" t="str">
        <f>"250,0"</f>
        <v>250,0</v>
      </c>
      <c r="L30" s="21" t="str">
        <f>"148,3989"</f>
        <v>148,3989</v>
      </c>
      <c r="M30" s="20"/>
    </row>
    <row r="31" spans="1:13">
      <c r="A31" s="19" t="s">
        <v>218</v>
      </c>
      <c r="B31" s="18" t="s">
        <v>550</v>
      </c>
      <c r="C31" s="18" t="s">
        <v>1392</v>
      </c>
      <c r="D31" s="18" t="s">
        <v>552</v>
      </c>
      <c r="E31" s="18" t="str">
        <f>"0,5661"</f>
        <v>0,5661</v>
      </c>
      <c r="F31" s="18" t="s">
        <v>1546</v>
      </c>
      <c r="G31" s="24" t="s">
        <v>104</v>
      </c>
      <c r="H31" s="24" t="s">
        <v>104</v>
      </c>
      <c r="I31" s="24" t="s">
        <v>104</v>
      </c>
      <c r="J31" s="19"/>
      <c r="K31" s="31">
        <v>0</v>
      </c>
      <c r="L31" s="19" t="str">
        <f>"0,0000"</f>
        <v>0,0000</v>
      </c>
      <c r="M31" s="18"/>
    </row>
    <row r="32" spans="1:13">
      <c r="B32" s="5" t="s">
        <v>34</v>
      </c>
    </row>
    <row r="33" spans="1:13" ht="16">
      <c r="A33" s="61" t="s">
        <v>184</v>
      </c>
      <c r="B33" s="61"/>
      <c r="C33" s="61"/>
      <c r="D33" s="61"/>
      <c r="E33" s="61"/>
      <c r="F33" s="61"/>
      <c r="G33" s="61"/>
      <c r="H33" s="61"/>
      <c r="I33" s="61"/>
      <c r="J33" s="61"/>
    </row>
    <row r="34" spans="1:13">
      <c r="A34" s="17" t="s">
        <v>33</v>
      </c>
      <c r="B34" s="16" t="s">
        <v>1165</v>
      </c>
      <c r="C34" s="16" t="s">
        <v>1166</v>
      </c>
      <c r="D34" s="16" t="s">
        <v>1167</v>
      </c>
      <c r="E34" s="16" t="str">
        <f>"0,5526"</f>
        <v>0,5526</v>
      </c>
      <c r="F34" s="16" t="s">
        <v>1560</v>
      </c>
      <c r="G34" s="23" t="s">
        <v>168</v>
      </c>
      <c r="H34" s="23" t="s">
        <v>933</v>
      </c>
      <c r="I34" s="23" t="s">
        <v>1168</v>
      </c>
      <c r="J34" s="17"/>
      <c r="K34" s="29" t="str">
        <f>"325,0"</f>
        <v>325,0</v>
      </c>
      <c r="L34" s="17" t="str">
        <f>"179,5950"</f>
        <v>179,5950</v>
      </c>
      <c r="M34" s="16"/>
    </row>
    <row r="35" spans="1:13">
      <c r="A35" s="21" t="s">
        <v>33</v>
      </c>
      <c r="B35" s="20" t="s">
        <v>1165</v>
      </c>
      <c r="C35" s="20" t="s">
        <v>1393</v>
      </c>
      <c r="D35" s="20" t="s">
        <v>1167</v>
      </c>
      <c r="E35" s="20" t="str">
        <f>"0,5526"</f>
        <v>0,5526</v>
      </c>
      <c r="F35" s="20" t="s">
        <v>1560</v>
      </c>
      <c r="G35" s="26" t="s">
        <v>168</v>
      </c>
      <c r="H35" s="26" t="s">
        <v>933</v>
      </c>
      <c r="I35" s="26" t="s">
        <v>1168</v>
      </c>
      <c r="J35" s="21"/>
      <c r="K35" s="30" t="str">
        <f>"325,0"</f>
        <v>325,0</v>
      </c>
      <c r="L35" s="21" t="str">
        <f>"181,3910"</f>
        <v>181,3910</v>
      </c>
      <c r="M35" s="20"/>
    </row>
    <row r="36" spans="1:13">
      <c r="A36" s="19" t="s">
        <v>219</v>
      </c>
      <c r="B36" s="18" t="s">
        <v>1201</v>
      </c>
      <c r="C36" s="18" t="s">
        <v>1394</v>
      </c>
      <c r="D36" s="18" t="s">
        <v>1202</v>
      </c>
      <c r="E36" s="18" t="str">
        <f>"0,5521"</f>
        <v>0,5521</v>
      </c>
      <c r="F36" s="18" t="s">
        <v>1561</v>
      </c>
      <c r="G36" s="25" t="s">
        <v>168</v>
      </c>
      <c r="H36" s="24" t="s">
        <v>188</v>
      </c>
      <c r="I36" s="24" t="s">
        <v>188</v>
      </c>
      <c r="J36" s="19"/>
      <c r="K36" s="31" t="str">
        <f>"300,0"</f>
        <v>300,0</v>
      </c>
      <c r="L36" s="19" t="str">
        <f>"165,6300"</f>
        <v>165,6300</v>
      </c>
      <c r="M36" s="18"/>
    </row>
    <row r="37" spans="1:13">
      <c r="B37" s="5" t="s">
        <v>34</v>
      </c>
    </row>
    <row r="38" spans="1:13" ht="16">
      <c r="A38" s="61" t="s">
        <v>586</v>
      </c>
      <c r="B38" s="61"/>
      <c r="C38" s="61"/>
      <c r="D38" s="61"/>
      <c r="E38" s="61"/>
      <c r="F38" s="61"/>
      <c r="G38" s="61"/>
      <c r="H38" s="61"/>
      <c r="I38" s="61"/>
      <c r="J38" s="61"/>
    </row>
    <row r="39" spans="1:13">
      <c r="A39" s="17" t="s">
        <v>218</v>
      </c>
      <c r="B39" s="16" t="s">
        <v>591</v>
      </c>
      <c r="C39" s="16" t="s">
        <v>1203</v>
      </c>
      <c r="D39" s="16" t="s">
        <v>592</v>
      </c>
      <c r="E39" s="16" t="str">
        <f>"0,5300"</f>
        <v>0,5300</v>
      </c>
      <c r="F39" s="16" t="s">
        <v>1552</v>
      </c>
      <c r="G39" s="22" t="s">
        <v>168</v>
      </c>
      <c r="H39" s="22" t="s">
        <v>168</v>
      </c>
      <c r="I39" s="22" t="s">
        <v>168</v>
      </c>
      <c r="J39" s="17"/>
      <c r="K39" s="29">
        <v>0</v>
      </c>
      <c r="L39" s="17" t="str">
        <f>"0,0000"</f>
        <v>0,0000</v>
      </c>
      <c r="M39" s="16"/>
    </row>
    <row r="40" spans="1:13">
      <c r="A40" s="19" t="s">
        <v>218</v>
      </c>
      <c r="B40" s="18" t="s">
        <v>591</v>
      </c>
      <c r="C40" s="18" t="s">
        <v>1395</v>
      </c>
      <c r="D40" s="18" t="s">
        <v>592</v>
      </c>
      <c r="E40" s="18" t="str">
        <f>"0,5300"</f>
        <v>0,5300</v>
      </c>
      <c r="F40" s="18" t="s">
        <v>1552</v>
      </c>
      <c r="G40" s="24" t="s">
        <v>168</v>
      </c>
      <c r="H40" s="24" t="s">
        <v>168</v>
      </c>
      <c r="I40" s="24" t="s">
        <v>168</v>
      </c>
      <c r="J40" s="19"/>
      <c r="K40" s="31">
        <v>0</v>
      </c>
      <c r="L40" s="19" t="str">
        <f>"0,0000"</f>
        <v>0,0000</v>
      </c>
      <c r="M40" s="18"/>
    </row>
    <row r="41" spans="1:13">
      <c r="B41" s="5" t="s">
        <v>34</v>
      </c>
    </row>
    <row r="44" spans="1:13" ht="18">
      <c r="B44" s="9" t="s">
        <v>24</v>
      </c>
      <c r="C44" s="9"/>
    </row>
    <row r="45" spans="1:13" ht="16">
      <c r="B45" s="10" t="s">
        <v>25</v>
      </c>
      <c r="C45" s="10"/>
    </row>
    <row r="46" spans="1:13" ht="14">
      <c r="B46" s="11"/>
      <c r="C46" s="12" t="s">
        <v>207</v>
      </c>
    </row>
    <row r="47" spans="1:13" ht="14">
      <c r="B47" s="13" t="s">
        <v>27</v>
      </c>
      <c r="C47" s="13" t="s">
        <v>28</v>
      </c>
      <c r="D47" s="13" t="s">
        <v>1437</v>
      </c>
      <c r="E47" s="13" t="s">
        <v>593</v>
      </c>
      <c r="F47" s="13" t="s">
        <v>1021</v>
      </c>
    </row>
    <row r="48" spans="1:13">
      <c r="B48" s="5" t="s">
        <v>1165</v>
      </c>
      <c r="C48" s="5" t="s">
        <v>207</v>
      </c>
      <c r="D48" s="6" t="s">
        <v>210</v>
      </c>
      <c r="E48" s="6" t="s">
        <v>1168</v>
      </c>
      <c r="F48" s="6" t="s">
        <v>1204</v>
      </c>
    </row>
    <row r="49" spans="2:6">
      <c r="B49" s="5" t="s">
        <v>1140</v>
      </c>
      <c r="C49" s="5" t="s">
        <v>207</v>
      </c>
      <c r="D49" s="6" t="s">
        <v>42</v>
      </c>
      <c r="E49" s="6" t="s">
        <v>202</v>
      </c>
      <c r="F49" s="6" t="s">
        <v>1205</v>
      </c>
    </row>
    <row r="50" spans="2:6">
      <c r="B50" s="5" t="s">
        <v>1137</v>
      </c>
      <c r="C50" s="5" t="s">
        <v>207</v>
      </c>
      <c r="D50" s="6" t="s">
        <v>209</v>
      </c>
      <c r="E50" s="6" t="s">
        <v>197</v>
      </c>
      <c r="F50" s="6" t="s">
        <v>1206</v>
      </c>
    </row>
  </sheetData>
  <mergeCells count="17"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  <mergeCell ref="A38:J38"/>
    <mergeCell ref="A5:J5"/>
    <mergeCell ref="A9:J9"/>
    <mergeCell ref="A14:J14"/>
    <mergeCell ref="A20:J20"/>
    <mergeCell ref="A33:J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:U60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9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1.66406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8" width="5.5" style="6" customWidth="1"/>
    <col min="19" max="19" width="7.83203125" style="28" bestFit="1" customWidth="1"/>
    <col min="20" max="20" width="8.5" style="6" bestFit="1" customWidth="1"/>
    <col min="21" max="21" width="20.6640625" style="5" customWidth="1"/>
    <col min="22" max="16384" width="9.1640625" style="3"/>
  </cols>
  <sheetData>
    <row r="1" spans="1:21" s="2" customFormat="1" ht="29" customHeight="1">
      <c r="A1" s="62" t="s">
        <v>1252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5"/>
    </row>
    <row r="2" spans="1:21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9"/>
    </row>
    <row r="3" spans="1:21" s="1" customFormat="1" ht="12.75" customHeight="1">
      <c r="A3" s="70" t="s">
        <v>1458</v>
      </c>
      <c r="B3" s="59" t="s">
        <v>0</v>
      </c>
      <c r="C3" s="72" t="s">
        <v>5</v>
      </c>
      <c r="D3" s="72" t="s">
        <v>8</v>
      </c>
      <c r="E3" s="74" t="s">
        <v>9</v>
      </c>
      <c r="F3" s="74" t="s">
        <v>10</v>
      </c>
      <c r="G3" s="74" t="s">
        <v>11</v>
      </c>
      <c r="H3" s="74"/>
      <c r="I3" s="74"/>
      <c r="J3" s="74"/>
      <c r="K3" s="74" t="s">
        <v>12</v>
      </c>
      <c r="L3" s="74"/>
      <c r="M3" s="74"/>
      <c r="N3" s="74"/>
      <c r="O3" s="74" t="s">
        <v>13</v>
      </c>
      <c r="P3" s="74"/>
      <c r="Q3" s="74"/>
      <c r="R3" s="74"/>
      <c r="S3" s="75" t="s">
        <v>1</v>
      </c>
      <c r="T3" s="74" t="s">
        <v>3</v>
      </c>
      <c r="U3" s="77" t="s">
        <v>2</v>
      </c>
    </row>
    <row r="4" spans="1:21" s="1" customFormat="1" ht="21" customHeight="1" thickBot="1">
      <c r="A4" s="71"/>
      <c r="B4" s="60"/>
      <c r="C4" s="73"/>
      <c r="D4" s="73"/>
      <c r="E4" s="73"/>
      <c r="F4" s="7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76"/>
      <c r="T4" s="73"/>
      <c r="U4" s="78"/>
    </row>
    <row r="5" spans="1:21" ht="16">
      <c r="A5" s="57" t="s">
        <v>43</v>
      </c>
      <c r="B5" s="57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</row>
    <row r="6" spans="1:21">
      <c r="A6" s="8" t="s">
        <v>218</v>
      </c>
      <c r="B6" s="7" t="s">
        <v>44</v>
      </c>
      <c r="C6" s="7" t="s">
        <v>45</v>
      </c>
      <c r="D6" s="7" t="s">
        <v>46</v>
      </c>
      <c r="E6" s="7" t="str">
        <f>"1,1783"</f>
        <v>1,1783</v>
      </c>
      <c r="F6" s="7" t="s">
        <v>1478</v>
      </c>
      <c r="G6" s="14" t="s">
        <v>47</v>
      </c>
      <c r="H6" s="14" t="s">
        <v>47</v>
      </c>
      <c r="I6" s="14" t="s">
        <v>47</v>
      </c>
      <c r="J6" s="8"/>
      <c r="K6" s="14"/>
      <c r="L6" s="8"/>
      <c r="M6" s="8"/>
      <c r="N6" s="8"/>
      <c r="O6" s="14"/>
      <c r="P6" s="8"/>
      <c r="Q6" s="8"/>
      <c r="R6" s="8"/>
      <c r="S6" s="32">
        <v>0</v>
      </c>
      <c r="T6" s="8" t="str">
        <f>"0,0000"</f>
        <v>0,0000</v>
      </c>
      <c r="U6" s="7" t="s">
        <v>50</v>
      </c>
    </row>
    <row r="7" spans="1:21">
      <c r="B7" s="5" t="s">
        <v>34</v>
      </c>
    </row>
    <row r="8" spans="1:21" ht="16">
      <c r="A8" s="61" t="s">
        <v>51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</row>
    <row r="9" spans="1:21">
      <c r="A9" s="8" t="s">
        <v>33</v>
      </c>
      <c r="B9" s="7" t="s">
        <v>52</v>
      </c>
      <c r="C9" s="7" t="s">
        <v>53</v>
      </c>
      <c r="D9" s="7" t="s">
        <v>54</v>
      </c>
      <c r="E9" s="7" t="str">
        <f>"1,0206"</f>
        <v>1,0206</v>
      </c>
      <c r="F9" s="7" t="s">
        <v>1460</v>
      </c>
      <c r="G9" s="15" t="s">
        <v>55</v>
      </c>
      <c r="H9" s="15" t="s">
        <v>56</v>
      </c>
      <c r="I9" s="15" t="s">
        <v>57</v>
      </c>
      <c r="J9" s="8"/>
      <c r="K9" s="15" t="s">
        <v>58</v>
      </c>
      <c r="L9" s="14" t="s">
        <v>59</v>
      </c>
      <c r="M9" s="14" t="s">
        <v>59</v>
      </c>
      <c r="N9" s="8"/>
      <c r="O9" s="15" t="s">
        <v>56</v>
      </c>
      <c r="P9" s="15" t="s">
        <v>60</v>
      </c>
      <c r="Q9" s="15" t="s">
        <v>61</v>
      </c>
      <c r="R9" s="8"/>
      <c r="S9" s="32" t="str">
        <f>"382,5"</f>
        <v>382,5</v>
      </c>
      <c r="T9" s="8" t="str">
        <f>"390,3795"</f>
        <v>390,3795</v>
      </c>
      <c r="U9" s="7" t="s">
        <v>62</v>
      </c>
    </row>
    <row r="10" spans="1:21">
      <c r="B10" s="5" t="s">
        <v>34</v>
      </c>
    </row>
    <row r="11" spans="1:21" ht="16">
      <c r="A11" s="61" t="s">
        <v>63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</row>
    <row r="12" spans="1:21">
      <c r="A12" s="17" t="s">
        <v>33</v>
      </c>
      <c r="B12" s="16" t="s">
        <v>64</v>
      </c>
      <c r="C12" s="16" t="s">
        <v>65</v>
      </c>
      <c r="D12" s="16" t="s">
        <v>66</v>
      </c>
      <c r="E12" s="16" t="str">
        <f>"0,9017"</f>
        <v>0,9017</v>
      </c>
      <c r="F12" s="16" t="s">
        <v>1459</v>
      </c>
      <c r="G12" s="22" t="s">
        <v>19</v>
      </c>
      <c r="H12" s="22" t="s">
        <v>19</v>
      </c>
      <c r="I12" s="23" t="s">
        <v>19</v>
      </c>
      <c r="J12" s="17"/>
      <c r="K12" s="23" t="s">
        <v>59</v>
      </c>
      <c r="L12" s="23" t="s">
        <v>67</v>
      </c>
      <c r="M12" s="23" t="s">
        <v>47</v>
      </c>
      <c r="N12" s="17"/>
      <c r="O12" s="23" t="s">
        <v>68</v>
      </c>
      <c r="P12" s="23" t="s">
        <v>69</v>
      </c>
      <c r="Q12" s="23" t="s">
        <v>70</v>
      </c>
      <c r="R12" s="17"/>
      <c r="S12" s="29" t="str">
        <f>"470,0"</f>
        <v>470,0</v>
      </c>
      <c r="T12" s="17" t="str">
        <f>"423,7990"</f>
        <v>423,7990</v>
      </c>
      <c r="U12" s="16" t="s">
        <v>71</v>
      </c>
    </row>
    <row r="13" spans="1:21">
      <c r="A13" s="19" t="s">
        <v>33</v>
      </c>
      <c r="B13" s="18" t="s">
        <v>64</v>
      </c>
      <c r="C13" s="18" t="s">
        <v>72</v>
      </c>
      <c r="D13" s="18" t="s">
        <v>66</v>
      </c>
      <c r="E13" s="18" t="str">
        <f>"0,9017"</f>
        <v>0,9017</v>
      </c>
      <c r="F13" s="18" t="s">
        <v>1459</v>
      </c>
      <c r="G13" s="24" t="s">
        <v>19</v>
      </c>
      <c r="H13" s="24" t="s">
        <v>19</v>
      </c>
      <c r="I13" s="25" t="s">
        <v>19</v>
      </c>
      <c r="J13" s="19"/>
      <c r="K13" s="25" t="s">
        <v>59</v>
      </c>
      <c r="L13" s="25" t="s">
        <v>67</v>
      </c>
      <c r="M13" s="25" t="s">
        <v>47</v>
      </c>
      <c r="N13" s="19"/>
      <c r="O13" s="25" t="s">
        <v>68</v>
      </c>
      <c r="P13" s="25" t="s">
        <v>69</v>
      </c>
      <c r="Q13" s="25" t="s">
        <v>70</v>
      </c>
      <c r="R13" s="19"/>
      <c r="S13" s="31" t="str">
        <f>"470,0"</f>
        <v>470,0</v>
      </c>
      <c r="T13" s="19" t="str">
        <f>"423,7990"</f>
        <v>423,7990</v>
      </c>
      <c r="U13" s="18" t="s">
        <v>71</v>
      </c>
    </row>
    <row r="14" spans="1:21">
      <c r="B14" s="5" t="s">
        <v>34</v>
      </c>
    </row>
    <row r="15" spans="1:21" ht="16">
      <c r="A15" s="61" t="s">
        <v>73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</row>
    <row r="16" spans="1:21">
      <c r="A16" s="8" t="s">
        <v>33</v>
      </c>
      <c r="B16" s="7" t="s">
        <v>74</v>
      </c>
      <c r="C16" s="7" t="s">
        <v>75</v>
      </c>
      <c r="D16" s="7" t="s">
        <v>76</v>
      </c>
      <c r="E16" s="7" t="str">
        <f>"0,7139"</f>
        <v>0,7139</v>
      </c>
      <c r="F16" s="7" t="s">
        <v>1479</v>
      </c>
      <c r="G16" s="15" t="s">
        <v>77</v>
      </c>
      <c r="H16" s="15" t="s">
        <v>70</v>
      </c>
      <c r="I16" s="15" t="s">
        <v>78</v>
      </c>
      <c r="J16" s="8"/>
      <c r="K16" s="15" t="s">
        <v>79</v>
      </c>
      <c r="L16" s="15" t="s">
        <v>80</v>
      </c>
      <c r="M16" s="15" t="s">
        <v>81</v>
      </c>
      <c r="N16" s="8"/>
      <c r="O16" s="15" t="s">
        <v>17</v>
      </c>
      <c r="P16" s="15" t="s">
        <v>82</v>
      </c>
      <c r="Q16" s="14" t="s">
        <v>83</v>
      </c>
      <c r="R16" s="8"/>
      <c r="S16" s="32" t="str">
        <f>"590,0"</f>
        <v>590,0</v>
      </c>
      <c r="T16" s="8" t="str">
        <f>"421,2010"</f>
        <v>421,2010</v>
      </c>
      <c r="U16" s="7"/>
    </row>
    <row r="17" spans="1:21">
      <c r="B17" s="5" t="s">
        <v>34</v>
      </c>
    </row>
    <row r="18" spans="1:21" ht="16">
      <c r="A18" s="61" t="s">
        <v>63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</row>
    <row r="19" spans="1:21">
      <c r="A19" s="17" t="s">
        <v>33</v>
      </c>
      <c r="B19" s="16" t="s">
        <v>84</v>
      </c>
      <c r="C19" s="16" t="s">
        <v>85</v>
      </c>
      <c r="D19" s="16" t="s">
        <v>86</v>
      </c>
      <c r="E19" s="16" t="str">
        <f>"0,6774"</f>
        <v>0,6774</v>
      </c>
      <c r="F19" s="16" t="s">
        <v>1480</v>
      </c>
      <c r="G19" s="23" t="s">
        <v>69</v>
      </c>
      <c r="H19" s="23" t="s">
        <v>87</v>
      </c>
      <c r="I19" s="23" t="s">
        <v>88</v>
      </c>
      <c r="J19" s="17"/>
      <c r="K19" s="23" t="s">
        <v>80</v>
      </c>
      <c r="L19" s="23" t="s">
        <v>49</v>
      </c>
      <c r="M19" s="22" t="s">
        <v>89</v>
      </c>
      <c r="N19" s="17"/>
      <c r="O19" s="23" t="s">
        <v>69</v>
      </c>
      <c r="P19" s="23" t="s">
        <v>87</v>
      </c>
      <c r="Q19" s="23" t="s">
        <v>90</v>
      </c>
      <c r="R19" s="17"/>
      <c r="S19" s="29" t="str">
        <f>"542,5"</f>
        <v>542,5</v>
      </c>
      <c r="T19" s="17" t="str">
        <f>"367,4895"</f>
        <v>367,4895</v>
      </c>
      <c r="U19" s="16" t="s">
        <v>91</v>
      </c>
    </row>
    <row r="20" spans="1:21">
      <c r="A20" s="19" t="s">
        <v>219</v>
      </c>
      <c r="B20" s="18" t="s">
        <v>92</v>
      </c>
      <c r="C20" s="18" t="s">
        <v>93</v>
      </c>
      <c r="D20" s="18" t="s">
        <v>86</v>
      </c>
      <c r="E20" s="18" t="str">
        <f>"0,6774"</f>
        <v>0,6774</v>
      </c>
      <c r="F20" s="18" t="s">
        <v>1481</v>
      </c>
      <c r="G20" s="24" t="s">
        <v>61</v>
      </c>
      <c r="H20" s="25" t="s">
        <v>61</v>
      </c>
      <c r="I20" s="24" t="s">
        <v>18</v>
      </c>
      <c r="J20" s="19"/>
      <c r="K20" s="25" t="s">
        <v>49</v>
      </c>
      <c r="L20" s="24" t="s">
        <v>55</v>
      </c>
      <c r="M20" s="24" t="s">
        <v>55</v>
      </c>
      <c r="N20" s="19"/>
      <c r="O20" s="25" t="s">
        <v>38</v>
      </c>
      <c r="P20" s="25" t="s">
        <v>17</v>
      </c>
      <c r="Q20" s="24" t="s">
        <v>94</v>
      </c>
      <c r="R20" s="19"/>
      <c r="S20" s="31" t="str">
        <f>"520,0"</f>
        <v>520,0</v>
      </c>
      <c r="T20" s="19" t="str">
        <f>"352,2480"</f>
        <v>352,2480</v>
      </c>
      <c r="U20" s="18"/>
    </row>
    <row r="21" spans="1:21">
      <c r="B21" s="5" t="s">
        <v>34</v>
      </c>
    </row>
    <row r="22" spans="1:21" ht="16">
      <c r="A22" s="61" t="s">
        <v>14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</row>
    <row r="23" spans="1:21">
      <c r="A23" s="17" t="s">
        <v>33</v>
      </c>
      <c r="B23" s="16" t="s">
        <v>95</v>
      </c>
      <c r="C23" s="16" t="s">
        <v>96</v>
      </c>
      <c r="D23" s="16" t="s">
        <v>97</v>
      </c>
      <c r="E23" s="16" t="str">
        <f>"0,6610"</f>
        <v>0,6610</v>
      </c>
      <c r="F23" s="16" t="s">
        <v>1482</v>
      </c>
      <c r="G23" s="22" t="s">
        <v>61</v>
      </c>
      <c r="H23" s="23" t="s">
        <v>18</v>
      </c>
      <c r="I23" s="23" t="s">
        <v>19</v>
      </c>
      <c r="J23" s="17"/>
      <c r="K23" s="23" t="s">
        <v>98</v>
      </c>
      <c r="L23" s="22" t="s">
        <v>99</v>
      </c>
      <c r="M23" s="22" t="s">
        <v>100</v>
      </c>
      <c r="N23" s="17"/>
      <c r="O23" s="23" t="s">
        <v>61</v>
      </c>
      <c r="P23" s="23" t="s">
        <v>41</v>
      </c>
      <c r="Q23" s="22" t="s">
        <v>77</v>
      </c>
      <c r="R23" s="17"/>
      <c r="S23" s="29" t="str">
        <f>"435,0"</f>
        <v>435,0</v>
      </c>
      <c r="T23" s="17" t="str">
        <f>"287,5350"</f>
        <v>287,5350</v>
      </c>
      <c r="U23" s="16" t="s">
        <v>23</v>
      </c>
    </row>
    <row r="24" spans="1:21">
      <c r="A24" s="21" t="s">
        <v>33</v>
      </c>
      <c r="B24" s="20" t="s">
        <v>101</v>
      </c>
      <c r="C24" s="20" t="s">
        <v>102</v>
      </c>
      <c r="D24" s="20" t="s">
        <v>103</v>
      </c>
      <c r="E24" s="20" t="str">
        <f>"0,6417"</f>
        <v>0,6417</v>
      </c>
      <c r="F24" s="20" t="s">
        <v>1483</v>
      </c>
      <c r="G24" s="26" t="s">
        <v>104</v>
      </c>
      <c r="H24" s="26" t="s">
        <v>105</v>
      </c>
      <c r="I24" s="27" t="s">
        <v>106</v>
      </c>
      <c r="J24" s="21"/>
      <c r="K24" s="26" t="s">
        <v>18</v>
      </c>
      <c r="L24" s="26" t="s">
        <v>41</v>
      </c>
      <c r="M24" s="27" t="s">
        <v>107</v>
      </c>
      <c r="N24" s="21"/>
      <c r="O24" s="27" t="s">
        <v>17</v>
      </c>
      <c r="P24" s="26" t="s">
        <v>108</v>
      </c>
      <c r="Q24" s="27" t="s">
        <v>82</v>
      </c>
      <c r="R24" s="21"/>
      <c r="S24" s="30" t="str">
        <f>"637,5"</f>
        <v>637,5</v>
      </c>
      <c r="T24" s="21" t="str">
        <f>"409,0838"</f>
        <v>409,0838</v>
      </c>
      <c r="U24" s="20"/>
    </row>
    <row r="25" spans="1:21">
      <c r="A25" s="21" t="s">
        <v>219</v>
      </c>
      <c r="B25" s="20" t="s">
        <v>109</v>
      </c>
      <c r="C25" s="20" t="s">
        <v>110</v>
      </c>
      <c r="D25" s="20" t="s">
        <v>111</v>
      </c>
      <c r="E25" s="20" t="str">
        <f>"0,6388"</f>
        <v>0,6388</v>
      </c>
      <c r="F25" s="20" t="s">
        <v>1484</v>
      </c>
      <c r="G25" s="26" t="s">
        <v>88</v>
      </c>
      <c r="H25" s="26" t="s">
        <v>106</v>
      </c>
      <c r="I25" s="26" t="s">
        <v>112</v>
      </c>
      <c r="J25" s="21"/>
      <c r="K25" s="26" t="s">
        <v>55</v>
      </c>
      <c r="L25" s="26" t="s">
        <v>61</v>
      </c>
      <c r="M25" s="27" t="s">
        <v>113</v>
      </c>
      <c r="N25" s="21"/>
      <c r="O25" s="26" t="s">
        <v>106</v>
      </c>
      <c r="P25" s="26" t="s">
        <v>114</v>
      </c>
      <c r="Q25" s="27" t="s">
        <v>39</v>
      </c>
      <c r="R25" s="21"/>
      <c r="S25" s="30" t="str">
        <f>"627,5"</f>
        <v>627,5</v>
      </c>
      <c r="T25" s="21" t="str">
        <f>"400,8470"</f>
        <v>400,8470</v>
      </c>
      <c r="U25" s="20" t="s">
        <v>115</v>
      </c>
    </row>
    <row r="26" spans="1:21">
      <c r="A26" s="21" t="s">
        <v>220</v>
      </c>
      <c r="B26" s="20" t="s">
        <v>116</v>
      </c>
      <c r="C26" s="20" t="s">
        <v>117</v>
      </c>
      <c r="D26" s="20" t="s">
        <v>16</v>
      </c>
      <c r="E26" s="20" t="str">
        <f>"0,6444"</f>
        <v>0,6444</v>
      </c>
      <c r="F26" s="20" t="s">
        <v>1485</v>
      </c>
      <c r="G26" s="26" t="s">
        <v>69</v>
      </c>
      <c r="H26" s="26" t="s">
        <v>78</v>
      </c>
      <c r="I26" s="26" t="s">
        <v>104</v>
      </c>
      <c r="J26" s="21"/>
      <c r="K26" s="26" t="s">
        <v>79</v>
      </c>
      <c r="L26" s="26" t="s">
        <v>49</v>
      </c>
      <c r="M26" s="26" t="s">
        <v>55</v>
      </c>
      <c r="N26" s="21"/>
      <c r="O26" s="26" t="s">
        <v>38</v>
      </c>
      <c r="P26" s="27" t="s">
        <v>17</v>
      </c>
      <c r="Q26" s="27" t="s">
        <v>17</v>
      </c>
      <c r="R26" s="21"/>
      <c r="S26" s="30" t="str">
        <f>"575,0"</f>
        <v>575,0</v>
      </c>
      <c r="T26" s="21" t="str">
        <f>"370,5300"</f>
        <v>370,5300</v>
      </c>
      <c r="U26" s="20" t="s">
        <v>118</v>
      </c>
    </row>
    <row r="27" spans="1:21">
      <c r="A27" s="21" t="s">
        <v>218</v>
      </c>
      <c r="B27" s="20" t="s">
        <v>119</v>
      </c>
      <c r="C27" s="20" t="s">
        <v>120</v>
      </c>
      <c r="D27" s="20" t="s">
        <v>121</v>
      </c>
      <c r="E27" s="20" t="str">
        <f>"0,6499"</f>
        <v>0,6499</v>
      </c>
      <c r="F27" s="20" t="s">
        <v>1486</v>
      </c>
      <c r="G27" s="26" t="s">
        <v>104</v>
      </c>
      <c r="H27" s="26" t="s">
        <v>106</v>
      </c>
      <c r="I27" s="26" t="s">
        <v>122</v>
      </c>
      <c r="J27" s="21"/>
      <c r="K27" s="26" t="s">
        <v>56</v>
      </c>
      <c r="L27" s="26" t="s">
        <v>123</v>
      </c>
      <c r="M27" s="27" t="s">
        <v>124</v>
      </c>
      <c r="N27" s="21"/>
      <c r="O27" s="27" t="s">
        <v>114</v>
      </c>
      <c r="P27" s="27" t="s">
        <v>114</v>
      </c>
      <c r="Q27" s="27" t="s">
        <v>114</v>
      </c>
      <c r="R27" s="21"/>
      <c r="S27" s="30">
        <v>0</v>
      </c>
      <c r="T27" s="21" t="str">
        <f>"0,0000"</f>
        <v>0,0000</v>
      </c>
      <c r="U27" s="20"/>
    </row>
    <row r="28" spans="1:21">
      <c r="A28" s="19" t="s">
        <v>33</v>
      </c>
      <c r="B28" s="18" t="s">
        <v>125</v>
      </c>
      <c r="C28" s="18" t="s">
        <v>1306</v>
      </c>
      <c r="D28" s="18" t="s">
        <v>126</v>
      </c>
      <c r="E28" s="18" t="str">
        <f>"0,6424"</f>
        <v>0,6424</v>
      </c>
      <c r="F28" s="18" t="s">
        <v>1477</v>
      </c>
      <c r="G28" s="25" t="s">
        <v>127</v>
      </c>
      <c r="H28" s="25" t="s">
        <v>106</v>
      </c>
      <c r="I28" s="25" t="s">
        <v>122</v>
      </c>
      <c r="J28" s="19"/>
      <c r="K28" s="25" t="s">
        <v>60</v>
      </c>
      <c r="L28" s="25" t="s">
        <v>40</v>
      </c>
      <c r="M28" s="25" t="s">
        <v>128</v>
      </c>
      <c r="N28" s="19"/>
      <c r="O28" s="25" t="s">
        <v>127</v>
      </c>
      <c r="P28" s="25" t="s">
        <v>38</v>
      </c>
      <c r="Q28" s="25" t="s">
        <v>17</v>
      </c>
      <c r="R28" s="19"/>
      <c r="S28" s="31" t="str">
        <f>"637,5"</f>
        <v>637,5</v>
      </c>
      <c r="T28" s="19" t="str">
        <f>"434,1018"</f>
        <v>434,1018</v>
      </c>
      <c r="U28" s="18" t="s">
        <v>129</v>
      </c>
    </row>
    <row r="29" spans="1:21">
      <c r="B29" s="5" t="s">
        <v>34</v>
      </c>
    </row>
    <row r="30" spans="1:21" ht="16">
      <c r="A30" s="61" t="s">
        <v>130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</row>
    <row r="31" spans="1:21">
      <c r="A31" s="17" t="s">
        <v>33</v>
      </c>
      <c r="B31" s="16" t="s">
        <v>131</v>
      </c>
      <c r="C31" s="16" t="s">
        <v>1307</v>
      </c>
      <c r="D31" s="16" t="s">
        <v>132</v>
      </c>
      <c r="E31" s="16" t="str">
        <f>"0,6101"</f>
        <v>0,6101</v>
      </c>
      <c r="F31" s="16" t="s">
        <v>1487</v>
      </c>
      <c r="G31" s="23" t="s">
        <v>133</v>
      </c>
      <c r="H31" s="22" t="s">
        <v>134</v>
      </c>
      <c r="I31" s="23" t="s">
        <v>134</v>
      </c>
      <c r="J31" s="17"/>
      <c r="K31" s="23" t="s">
        <v>56</v>
      </c>
      <c r="L31" s="23" t="s">
        <v>61</v>
      </c>
      <c r="M31" s="23" t="s">
        <v>124</v>
      </c>
      <c r="N31" s="17"/>
      <c r="O31" s="23" t="s">
        <v>135</v>
      </c>
      <c r="P31" s="23" t="s">
        <v>136</v>
      </c>
      <c r="Q31" s="23" t="s">
        <v>137</v>
      </c>
      <c r="R31" s="23" t="s">
        <v>138</v>
      </c>
      <c r="S31" s="29" t="str">
        <f>"765,5"</f>
        <v>765,5</v>
      </c>
      <c r="T31" s="17" t="str">
        <f>"467,0315"</f>
        <v>467,0315</v>
      </c>
      <c r="U31" s="16" t="s">
        <v>139</v>
      </c>
    </row>
    <row r="32" spans="1:21">
      <c r="A32" s="21" t="s">
        <v>219</v>
      </c>
      <c r="B32" s="20" t="s">
        <v>140</v>
      </c>
      <c r="C32" s="20" t="s">
        <v>1308</v>
      </c>
      <c r="D32" s="20" t="s">
        <v>141</v>
      </c>
      <c r="E32" s="20" t="str">
        <f>"0,6088"</f>
        <v>0,6088</v>
      </c>
      <c r="F32" s="20" t="s">
        <v>1488</v>
      </c>
      <c r="G32" s="26" t="s">
        <v>21</v>
      </c>
      <c r="H32" s="27" t="s">
        <v>142</v>
      </c>
      <c r="I32" s="27" t="s">
        <v>143</v>
      </c>
      <c r="J32" s="21"/>
      <c r="K32" s="26" t="s">
        <v>20</v>
      </c>
      <c r="L32" s="26" t="s">
        <v>69</v>
      </c>
      <c r="M32" s="27" t="s">
        <v>70</v>
      </c>
      <c r="N32" s="21"/>
      <c r="O32" s="26" t="s">
        <v>143</v>
      </c>
      <c r="P32" s="27" t="s">
        <v>144</v>
      </c>
      <c r="Q32" s="27" t="s">
        <v>145</v>
      </c>
      <c r="R32" s="21"/>
      <c r="S32" s="30" t="str">
        <f>"715,0"</f>
        <v>715,0</v>
      </c>
      <c r="T32" s="21" t="str">
        <f>"435,2920"</f>
        <v>435,2920</v>
      </c>
      <c r="U32" s="20" t="s">
        <v>62</v>
      </c>
    </row>
    <row r="33" spans="1:21">
      <c r="A33" s="21" t="s">
        <v>33</v>
      </c>
      <c r="B33" s="20" t="s">
        <v>146</v>
      </c>
      <c r="C33" s="20" t="s">
        <v>147</v>
      </c>
      <c r="D33" s="20" t="s">
        <v>148</v>
      </c>
      <c r="E33" s="20" t="str">
        <f>"0,6086"</f>
        <v>0,6086</v>
      </c>
      <c r="F33" s="20" t="s">
        <v>1489</v>
      </c>
      <c r="G33" s="26" t="s">
        <v>149</v>
      </c>
      <c r="H33" s="27" t="s">
        <v>150</v>
      </c>
      <c r="I33" s="26" t="s">
        <v>150</v>
      </c>
      <c r="J33" s="21"/>
      <c r="K33" s="27" t="s">
        <v>128</v>
      </c>
      <c r="L33" s="27" t="s">
        <v>41</v>
      </c>
      <c r="M33" s="26" t="s">
        <v>41</v>
      </c>
      <c r="N33" s="21"/>
      <c r="O33" s="26" t="s">
        <v>151</v>
      </c>
      <c r="P33" s="27" t="s">
        <v>152</v>
      </c>
      <c r="Q33" s="27" t="s">
        <v>152</v>
      </c>
      <c r="R33" s="21"/>
      <c r="S33" s="30" t="str">
        <f>"787,5"</f>
        <v>787,5</v>
      </c>
      <c r="T33" s="21" t="str">
        <f>"479,2725"</f>
        <v>479,2725</v>
      </c>
      <c r="U33" s="20" t="s">
        <v>62</v>
      </c>
    </row>
    <row r="34" spans="1:21">
      <c r="A34" s="21" t="s">
        <v>219</v>
      </c>
      <c r="B34" s="20" t="s">
        <v>153</v>
      </c>
      <c r="C34" s="20" t="s">
        <v>154</v>
      </c>
      <c r="D34" s="20" t="s">
        <v>155</v>
      </c>
      <c r="E34" s="20" t="str">
        <f>"0,6113"</f>
        <v>0,6113</v>
      </c>
      <c r="F34" s="20" t="s">
        <v>1490</v>
      </c>
      <c r="G34" s="26" t="s">
        <v>17</v>
      </c>
      <c r="H34" s="26" t="s">
        <v>82</v>
      </c>
      <c r="I34" s="26" t="s">
        <v>143</v>
      </c>
      <c r="J34" s="21"/>
      <c r="K34" s="26" t="s">
        <v>77</v>
      </c>
      <c r="L34" s="26" t="s">
        <v>69</v>
      </c>
      <c r="M34" s="27" t="s">
        <v>70</v>
      </c>
      <c r="N34" s="21"/>
      <c r="O34" s="26" t="s">
        <v>39</v>
      </c>
      <c r="P34" s="26" t="s">
        <v>142</v>
      </c>
      <c r="Q34" s="26" t="s">
        <v>133</v>
      </c>
      <c r="R34" s="21"/>
      <c r="S34" s="30" t="str">
        <f>"735,0"</f>
        <v>735,0</v>
      </c>
      <c r="T34" s="21" t="str">
        <f>"449,3055"</f>
        <v>449,3055</v>
      </c>
      <c r="U34" s="20" t="s">
        <v>156</v>
      </c>
    </row>
    <row r="35" spans="1:21">
      <c r="A35" s="21" t="s">
        <v>220</v>
      </c>
      <c r="B35" s="20" t="s">
        <v>157</v>
      </c>
      <c r="C35" s="20" t="s">
        <v>158</v>
      </c>
      <c r="D35" s="20" t="s">
        <v>159</v>
      </c>
      <c r="E35" s="20" t="str">
        <f>"0,6147"</f>
        <v>0,6147</v>
      </c>
      <c r="F35" s="20" t="s">
        <v>1491</v>
      </c>
      <c r="G35" s="26" t="s">
        <v>38</v>
      </c>
      <c r="H35" s="26" t="s">
        <v>114</v>
      </c>
      <c r="I35" s="27" t="s">
        <v>21</v>
      </c>
      <c r="J35" s="21"/>
      <c r="K35" s="26" t="s">
        <v>40</v>
      </c>
      <c r="L35" s="26" t="s">
        <v>41</v>
      </c>
      <c r="M35" s="26" t="s">
        <v>160</v>
      </c>
      <c r="N35" s="21"/>
      <c r="O35" s="26" t="s">
        <v>17</v>
      </c>
      <c r="P35" s="26" t="s">
        <v>21</v>
      </c>
      <c r="Q35" s="26" t="s">
        <v>142</v>
      </c>
      <c r="R35" s="21"/>
      <c r="S35" s="30" t="str">
        <f>"682,5"</f>
        <v>682,5</v>
      </c>
      <c r="T35" s="21" t="str">
        <f>"419,5328"</f>
        <v>419,5328</v>
      </c>
      <c r="U35" s="20" t="s">
        <v>62</v>
      </c>
    </row>
    <row r="36" spans="1:21">
      <c r="A36" s="19" t="s">
        <v>221</v>
      </c>
      <c r="B36" s="18" t="s">
        <v>161</v>
      </c>
      <c r="C36" s="18" t="s">
        <v>162</v>
      </c>
      <c r="D36" s="18" t="s">
        <v>163</v>
      </c>
      <c r="E36" s="18" t="str">
        <f>"0,6349"</f>
        <v>0,6349</v>
      </c>
      <c r="F36" s="18" t="s">
        <v>1492</v>
      </c>
      <c r="G36" s="25" t="s">
        <v>69</v>
      </c>
      <c r="H36" s="24" t="s">
        <v>87</v>
      </c>
      <c r="I36" s="24" t="s">
        <v>87</v>
      </c>
      <c r="J36" s="19"/>
      <c r="K36" s="25" t="s">
        <v>60</v>
      </c>
      <c r="L36" s="25" t="s">
        <v>61</v>
      </c>
      <c r="M36" s="25" t="s">
        <v>124</v>
      </c>
      <c r="N36" s="19"/>
      <c r="O36" s="25" t="s">
        <v>69</v>
      </c>
      <c r="P36" s="24" t="s">
        <v>70</v>
      </c>
      <c r="Q36" s="24" t="s">
        <v>70</v>
      </c>
      <c r="R36" s="19"/>
      <c r="S36" s="31" t="str">
        <f>"532,5"</f>
        <v>532,5</v>
      </c>
      <c r="T36" s="19" t="str">
        <f>"338,0842"</f>
        <v>338,0842</v>
      </c>
      <c r="U36" s="18" t="s">
        <v>164</v>
      </c>
    </row>
    <row r="37" spans="1:21">
      <c r="B37" s="5" t="s">
        <v>34</v>
      </c>
    </row>
    <row r="38" spans="1:21" ht="16">
      <c r="A38" s="61" t="s">
        <v>35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</row>
    <row r="39" spans="1:21">
      <c r="A39" s="17" t="s">
        <v>33</v>
      </c>
      <c r="B39" s="16" t="s">
        <v>165</v>
      </c>
      <c r="C39" s="16" t="s">
        <v>166</v>
      </c>
      <c r="D39" s="16" t="s">
        <v>167</v>
      </c>
      <c r="E39" s="16" t="str">
        <f>"0,5900"</f>
        <v>0,5900</v>
      </c>
      <c r="F39" s="16" t="s">
        <v>1493</v>
      </c>
      <c r="G39" s="23" t="s">
        <v>151</v>
      </c>
      <c r="H39" s="23" t="s">
        <v>137</v>
      </c>
      <c r="I39" s="22" t="s">
        <v>138</v>
      </c>
      <c r="J39" s="17"/>
      <c r="K39" s="23" t="s">
        <v>77</v>
      </c>
      <c r="L39" s="23" t="s">
        <v>69</v>
      </c>
      <c r="M39" s="23" t="s">
        <v>70</v>
      </c>
      <c r="N39" s="17"/>
      <c r="O39" s="23" t="s">
        <v>145</v>
      </c>
      <c r="P39" s="23" t="s">
        <v>168</v>
      </c>
      <c r="Q39" s="22" t="s">
        <v>169</v>
      </c>
      <c r="R39" s="17"/>
      <c r="S39" s="29" t="str">
        <f>"825,0"</f>
        <v>825,0</v>
      </c>
      <c r="T39" s="17" t="str">
        <f>"486,7500"</f>
        <v>486,7500</v>
      </c>
      <c r="U39" s="16" t="s">
        <v>170</v>
      </c>
    </row>
    <row r="40" spans="1:21">
      <c r="A40" s="21" t="s">
        <v>219</v>
      </c>
      <c r="B40" s="20" t="s">
        <v>171</v>
      </c>
      <c r="C40" s="20" t="s">
        <v>172</v>
      </c>
      <c r="D40" s="20" t="s">
        <v>173</v>
      </c>
      <c r="E40" s="20" t="str">
        <f>"0,5897"</f>
        <v>0,5897</v>
      </c>
      <c r="F40" s="20" t="s">
        <v>1488</v>
      </c>
      <c r="G40" s="26" t="s">
        <v>122</v>
      </c>
      <c r="H40" s="26" t="s">
        <v>39</v>
      </c>
      <c r="I40" s="27" t="s">
        <v>82</v>
      </c>
      <c r="J40" s="21"/>
      <c r="K40" s="26" t="s">
        <v>70</v>
      </c>
      <c r="L40" s="27" t="s">
        <v>88</v>
      </c>
      <c r="M40" s="26" t="s">
        <v>88</v>
      </c>
      <c r="N40" s="21"/>
      <c r="O40" s="26" t="s">
        <v>17</v>
      </c>
      <c r="P40" s="26" t="s">
        <v>82</v>
      </c>
      <c r="Q40" s="27" t="s">
        <v>133</v>
      </c>
      <c r="R40" s="21"/>
      <c r="S40" s="30" t="str">
        <f>"715,0"</f>
        <v>715,0</v>
      </c>
      <c r="T40" s="21" t="str">
        <f>"421,6355"</f>
        <v>421,6355</v>
      </c>
      <c r="U40" s="20" t="s">
        <v>174</v>
      </c>
    </row>
    <row r="41" spans="1:21">
      <c r="A41" s="21" t="s">
        <v>220</v>
      </c>
      <c r="B41" s="20" t="s">
        <v>175</v>
      </c>
      <c r="C41" s="20" t="s">
        <v>176</v>
      </c>
      <c r="D41" s="20" t="s">
        <v>177</v>
      </c>
      <c r="E41" s="20" t="str">
        <f>"0,5976"</f>
        <v>0,5976</v>
      </c>
      <c r="F41" s="20" t="s">
        <v>1494</v>
      </c>
      <c r="G41" s="26" t="s">
        <v>178</v>
      </c>
      <c r="H41" s="26" t="s">
        <v>179</v>
      </c>
      <c r="I41" s="27" t="s">
        <v>114</v>
      </c>
      <c r="J41" s="21"/>
      <c r="K41" s="26" t="s">
        <v>77</v>
      </c>
      <c r="L41" s="26" t="s">
        <v>68</v>
      </c>
      <c r="M41" s="26" t="s">
        <v>69</v>
      </c>
      <c r="N41" s="21"/>
      <c r="O41" s="26" t="s">
        <v>114</v>
      </c>
      <c r="P41" s="26" t="s">
        <v>82</v>
      </c>
      <c r="Q41" s="26" t="s">
        <v>22</v>
      </c>
      <c r="R41" s="21"/>
      <c r="S41" s="30" t="str">
        <f>"695,0"</f>
        <v>695,0</v>
      </c>
      <c r="T41" s="21" t="str">
        <f>"415,3320"</f>
        <v>415,3320</v>
      </c>
      <c r="U41" s="20"/>
    </row>
    <row r="42" spans="1:21">
      <c r="A42" s="19" t="s">
        <v>33</v>
      </c>
      <c r="B42" s="18" t="s">
        <v>180</v>
      </c>
      <c r="C42" s="18" t="s">
        <v>1309</v>
      </c>
      <c r="D42" s="18" t="s">
        <v>181</v>
      </c>
      <c r="E42" s="18" t="str">
        <f>"0,6044"</f>
        <v>0,6044</v>
      </c>
      <c r="F42" s="18" t="s">
        <v>1587</v>
      </c>
      <c r="G42" s="24" t="s">
        <v>99</v>
      </c>
      <c r="H42" s="25" t="s">
        <v>182</v>
      </c>
      <c r="I42" s="24" t="s">
        <v>80</v>
      </c>
      <c r="J42" s="19"/>
      <c r="K42" s="25" t="s">
        <v>55</v>
      </c>
      <c r="L42" s="25" t="s">
        <v>57</v>
      </c>
      <c r="M42" s="24" t="s">
        <v>123</v>
      </c>
      <c r="N42" s="19"/>
      <c r="O42" s="25" t="s">
        <v>56</v>
      </c>
      <c r="P42" s="25" t="s">
        <v>61</v>
      </c>
      <c r="Q42" s="24" t="s">
        <v>19</v>
      </c>
      <c r="R42" s="19"/>
      <c r="S42" s="31" t="str">
        <f>"407,5"</f>
        <v>407,5</v>
      </c>
      <c r="T42" s="19" t="str">
        <f>"283,2369"</f>
        <v>283,2369</v>
      </c>
      <c r="U42" s="18" t="s">
        <v>183</v>
      </c>
    </row>
    <row r="43" spans="1:21">
      <c r="B43" s="5" t="s">
        <v>34</v>
      </c>
    </row>
    <row r="44" spans="1:21" ht="16">
      <c r="A44" s="61" t="s">
        <v>184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</row>
    <row r="45" spans="1:21">
      <c r="A45" s="17" t="s">
        <v>33</v>
      </c>
      <c r="B45" s="16" t="s">
        <v>185</v>
      </c>
      <c r="C45" s="16" t="s">
        <v>1310</v>
      </c>
      <c r="D45" s="16" t="s">
        <v>186</v>
      </c>
      <c r="E45" s="16" t="str">
        <f>"0,5819"</f>
        <v>0,5819</v>
      </c>
      <c r="F45" s="16" t="s">
        <v>1459</v>
      </c>
      <c r="G45" s="23" t="s">
        <v>133</v>
      </c>
      <c r="H45" s="22" t="s">
        <v>145</v>
      </c>
      <c r="I45" s="22" t="s">
        <v>168</v>
      </c>
      <c r="J45" s="17"/>
      <c r="K45" s="23" t="s">
        <v>187</v>
      </c>
      <c r="L45" s="23" t="s">
        <v>20</v>
      </c>
      <c r="M45" s="22" t="s">
        <v>69</v>
      </c>
      <c r="N45" s="17"/>
      <c r="O45" s="23" t="s">
        <v>145</v>
      </c>
      <c r="P45" s="23" t="s">
        <v>168</v>
      </c>
      <c r="Q45" s="23" t="s">
        <v>188</v>
      </c>
      <c r="R45" s="17"/>
      <c r="S45" s="29" t="str">
        <f>"767,5"</f>
        <v>767,5</v>
      </c>
      <c r="T45" s="17" t="str">
        <f>"446,6083"</f>
        <v>446,6083</v>
      </c>
      <c r="U45" s="16"/>
    </row>
    <row r="46" spans="1:21">
      <c r="A46" s="21" t="s">
        <v>33</v>
      </c>
      <c r="B46" s="20" t="s">
        <v>189</v>
      </c>
      <c r="C46" s="20" t="s">
        <v>190</v>
      </c>
      <c r="D46" s="20" t="s">
        <v>191</v>
      </c>
      <c r="E46" s="20" t="str">
        <f>"0,5701"</f>
        <v>0,5701</v>
      </c>
      <c r="F46" s="20" t="s">
        <v>1495</v>
      </c>
      <c r="G46" s="26" t="s">
        <v>137</v>
      </c>
      <c r="H46" s="26" t="s">
        <v>192</v>
      </c>
      <c r="I46" s="26" t="s">
        <v>193</v>
      </c>
      <c r="J46" s="21"/>
      <c r="K46" s="26" t="s">
        <v>104</v>
      </c>
      <c r="L46" s="27" t="s">
        <v>106</v>
      </c>
      <c r="M46" s="26" t="s">
        <v>106</v>
      </c>
      <c r="N46" s="21"/>
      <c r="O46" s="26" t="s">
        <v>151</v>
      </c>
      <c r="P46" s="26" t="s">
        <v>152</v>
      </c>
      <c r="Q46" s="26" t="s">
        <v>138</v>
      </c>
      <c r="R46" s="21"/>
      <c r="S46" s="30" t="str">
        <f>"925,0"</f>
        <v>925,0</v>
      </c>
      <c r="T46" s="21" t="str">
        <f>"527,3425"</f>
        <v>527,3425</v>
      </c>
      <c r="U46" s="20"/>
    </row>
    <row r="47" spans="1:21">
      <c r="A47" s="19" t="s">
        <v>33</v>
      </c>
      <c r="B47" s="18" t="s">
        <v>194</v>
      </c>
      <c r="C47" s="18" t="s">
        <v>1311</v>
      </c>
      <c r="D47" s="18" t="s">
        <v>195</v>
      </c>
      <c r="E47" s="18" t="str">
        <f>"0,5705"</f>
        <v>0,5705</v>
      </c>
      <c r="F47" s="18" t="s">
        <v>1485</v>
      </c>
      <c r="G47" s="25" t="s">
        <v>143</v>
      </c>
      <c r="H47" s="25" t="s">
        <v>196</v>
      </c>
      <c r="I47" s="19"/>
      <c r="J47" s="19"/>
      <c r="K47" s="25" t="s">
        <v>41</v>
      </c>
      <c r="L47" s="25" t="s">
        <v>187</v>
      </c>
      <c r="M47" s="25" t="s">
        <v>20</v>
      </c>
      <c r="N47" s="19"/>
      <c r="O47" s="25" t="s">
        <v>142</v>
      </c>
      <c r="P47" s="25" t="s">
        <v>197</v>
      </c>
      <c r="Q47" s="19"/>
      <c r="R47" s="19"/>
      <c r="S47" s="31" t="str">
        <f>"745,0"</f>
        <v>745,0</v>
      </c>
      <c r="T47" s="19" t="str">
        <f>"481,1255"</f>
        <v>481,1255</v>
      </c>
      <c r="U47" s="18"/>
    </row>
    <row r="48" spans="1:21">
      <c r="B48" s="5" t="s">
        <v>34</v>
      </c>
    </row>
    <row r="49" spans="1:21" ht="16">
      <c r="A49" s="61" t="s">
        <v>198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</row>
    <row r="50" spans="1:21">
      <c r="A50" s="8" t="s">
        <v>33</v>
      </c>
      <c r="B50" s="7" t="s">
        <v>199</v>
      </c>
      <c r="C50" s="7" t="s">
        <v>200</v>
      </c>
      <c r="D50" s="7" t="s">
        <v>201</v>
      </c>
      <c r="E50" s="7" t="str">
        <f>"0,5696"</f>
        <v>0,5696</v>
      </c>
      <c r="F50" s="7" t="s">
        <v>1496</v>
      </c>
      <c r="G50" s="14" t="s">
        <v>168</v>
      </c>
      <c r="H50" s="15" t="s">
        <v>168</v>
      </c>
      <c r="I50" s="15" t="s">
        <v>202</v>
      </c>
      <c r="J50" s="8"/>
      <c r="K50" s="15" t="s">
        <v>87</v>
      </c>
      <c r="L50" s="15" t="s">
        <v>127</v>
      </c>
      <c r="M50" s="14" t="s">
        <v>203</v>
      </c>
      <c r="N50" s="8"/>
      <c r="O50" s="15" t="s">
        <v>151</v>
      </c>
      <c r="P50" s="15" t="s">
        <v>138</v>
      </c>
      <c r="Q50" s="14" t="s">
        <v>192</v>
      </c>
      <c r="R50" s="8"/>
      <c r="S50" s="32" t="str">
        <f>"862,5"</f>
        <v>862,5</v>
      </c>
      <c r="T50" s="8" t="str">
        <f>"491,2800"</f>
        <v>491,2800</v>
      </c>
      <c r="U50" s="7" t="s">
        <v>204</v>
      </c>
    </row>
    <row r="51" spans="1:21">
      <c r="B51" s="5" t="s">
        <v>34</v>
      </c>
    </row>
    <row r="54" spans="1:21" ht="18">
      <c r="B54" s="9" t="s">
        <v>24</v>
      </c>
      <c r="C54" s="9"/>
    </row>
    <row r="55" spans="1:21" ht="16">
      <c r="B55" s="10" t="s">
        <v>25</v>
      </c>
      <c r="C55" s="10"/>
    </row>
    <row r="56" spans="1:21" ht="14">
      <c r="B56" s="11"/>
      <c r="C56" s="12" t="s">
        <v>207</v>
      </c>
    </row>
    <row r="57" spans="1:21" ht="14">
      <c r="B57" s="13" t="s">
        <v>27</v>
      </c>
      <c r="C57" s="13" t="s">
        <v>28</v>
      </c>
      <c r="D57" s="13" t="s">
        <v>1437</v>
      </c>
      <c r="E57" s="13" t="s">
        <v>30</v>
      </c>
      <c r="F57" s="13" t="s">
        <v>31</v>
      </c>
    </row>
    <row r="58" spans="1:21">
      <c r="B58" s="5" t="s">
        <v>189</v>
      </c>
      <c r="C58" s="5" t="s">
        <v>207</v>
      </c>
      <c r="D58" s="6" t="s">
        <v>210</v>
      </c>
      <c r="E58" s="6" t="s">
        <v>211</v>
      </c>
      <c r="F58" s="6" t="s">
        <v>212</v>
      </c>
    </row>
    <row r="59" spans="1:21">
      <c r="B59" s="5" t="s">
        <v>199</v>
      </c>
      <c r="C59" s="5" t="s">
        <v>207</v>
      </c>
      <c r="D59" s="6" t="s">
        <v>213</v>
      </c>
      <c r="E59" s="6" t="s">
        <v>214</v>
      </c>
      <c r="F59" s="6" t="s">
        <v>215</v>
      </c>
    </row>
    <row r="60" spans="1:21">
      <c r="B60" s="5" t="s">
        <v>165</v>
      </c>
      <c r="C60" s="5" t="s">
        <v>207</v>
      </c>
      <c r="D60" s="6" t="s">
        <v>42</v>
      </c>
      <c r="E60" s="6" t="s">
        <v>216</v>
      </c>
      <c r="F60" s="6" t="s">
        <v>217</v>
      </c>
    </row>
  </sheetData>
  <mergeCells count="23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38:R38"/>
    <mergeCell ref="A44:R44"/>
    <mergeCell ref="A49:R49"/>
    <mergeCell ref="B3:B4"/>
    <mergeCell ref="A8:R8"/>
    <mergeCell ref="A11:R11"/>
    <mergeCell ref="A15:R15"/>
    <mergeCell ref="A18:R18"/>
    <mergeCell ref="A22:R22"/>
    <mergeCell ref="A30:R30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2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3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1.832031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3.6640625" style="5" customWidth="1"/>
    <col min="14" max="16384" width="9.1640625" style="3"/>
  </cols>
  <sheetData>
    <row r="1" spans="1:13" s="2" customFormat="1" ht="29" customHeight="1">
      <c r="A1" s="62" t="s">
        <v>1270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3" s="1" customFormat="1" ht="12.75" customHeight="1">
      <c r="A3" s="70" t="s">
        <v>1458</v>
      </c>
      <c r="B3" s="59" t="s">
        <v>0</v>
      </c>
      <c r="C3" s="72" t="s">
        <v>5</v>
      </c>
      <c r="D3" s="72" t="s">
        <v>8</v>
      </c>
      <c r="E3" s="74" t="s">
        <v>1009</v>
      </c>
      <c r="F3" s="74" t="s">
        <v>10</v>
      </c>
      <c r="G3" s="74" t="s">
        <v>12</v>
      </c>
      <c r="H3" s="74"/>
      <c r="I3" s="74"/>
      <c r="J3" s="74"/>
      <c r="K3" s="74" t="s">
        <v>601</v>
      </c>
      <c r="L3" s="74" t="s">
        <v>3</v>
      </c>
      <c r="M3" s="77" t="s">
        <v>2</v>
      </c>
    </row>
    <row r="4" spans="1:13" s="1" customFormat="1" ht="21" customHeight="1" thickBot="1">
      <c r="A4" s="71"/>
      <c r="B4" s="60"/>
      <c r="C4" s="73"/>
      <c r="D4" s="73"/>
      <c r="E4" s="73"/>
      <c r="F4" s="73"/>
      <c r="G4" s="4">
        <v>1</v>
      </c>
      <c r="H4" s="4">
        <v>2</v>
      </c>
      <c r="I4" s="4">
        <v>3</v>
      </c>
      <c r="J4" s="4" t="s">
        <v>4</v>
      </c>
      <c r="K4" s="73"/>
      <c r="L4" s="73"/>
      <c r="M4" s="78"/>
    </row>
    <row r="5" spans="1:13" ht="16">
      <c r="A5" s="57" t="s">
        <v>35</v>
      </c>
      <c r="B5" s="57"/>
      <c r="C5" s="58"/>
      <c r="D5" s="58"/>
      <c r="E5" s="58"/>
      <c r="F5" s="58"/>
      <c r="G5" s="58"/>
      <c r="H5" s="58"/>
      <c r="I5" s="58"/>
      <c r="J5" s="58"/>
    </row>
    <row r="6" spans="1:13">
      <c r="A6" s="17" t="s">
        <v>33</v>
      </c>
      <c r="B6" s="16" t="s">
        <v>1231</v>
      </c>
      <c r="C6" s="16" t="s">
        <v>1232</v>
      </c>
      <c r="D6" s="16" t="s">
        <v>1233</v>
      </c>
      <c r="E6" s="16" t="str">
        <f>"0,5652"</f>
        <v>0,5652</v>
      </c>
      <c r="F6" s="16" t="s">
        <v>1462</v>
      </c>
      <c r="G6" s="23" t="s">
        <v>193</v>
      </c>
      <c r="H6" s="22" t="s">
        <v>868</v>
      </c>
      <c r="I6" s="22" t="s">
        <v>868</v>
      </c>
      <c r="J6" s="17"/>
      <c r="K6" s="17" t="str">
        <f>"360,0"</f>
        <v>360,0</v>
      </c>
      <c r="L6" s="17" t="str">
        <f>"203,4720"</f>
        <v>203,4720</v>
      </c>
      <c r="M6" s="16"/>
    </row>
    <row r="7" spans="1:13">
      <c r="A7" s="19" t="s">
        <v>33</v>
      </c>
      <c r="B7" s="18" t="s">
        <v>1231</v>
      </c>
      <c r="C7" s="18" t="s">
        <v>1396</v>
      </c>
      <c r="D7" s="18" t="s">
        <v>1233</v>
      </c>
      <c r="E7" s="18" t="str">
        <f>"0,5652"</f>
        <v>0,5652</v>
      </c>
      <c r="F7" s="18" t="s">
        <v>1462</v>
      </c>
      <c r="G7" s="25" t="s">
        <v>193</v>
      </c>
      <c r="H7" s="24" t="s">
        <v>868</v>
      </c>
      <c r="I7" s="24" t="s">
        <v>868</v>
      </c>
      <c r="J7" s="19"/>
      <c r="K7" s="19" t="str">
        <f>"360,0"</f>
        <v>360,0</v>
      </c>
      <c r="L7" s="19" t="str">
        <f>"217,3081"</f>
        <v>217,3081</v>
      </c>
      <c r="M7" s="18"/>
    </row>
    <row r="8" spans="1:13">
      <c r="B8" s="5" t="s">
        <v>34</v>
      </c>
    </row>
    <row r="9" spans="1:13" ht="16">
      <c r="A9" s="61" t="s">
        <v>184</v>
      </c>
      <c r="B9" s="61"/>
      <c r="C9" s="61"/>
      <c r="D9" s="61"/>
      <c r="E9" s="61"/>
      <c r="F9" s="61"/>
      <c r="G9" s="61"/>
      <c r="H9" s="61"/>
      <c r="I9" s="61"/>
      <c r="J9" s="61"/>
    </row>
    <row r="10" spans="1:13">
      <c r="A10" s="17" t="s">
        <v>33</v>
      </c>
      <c r="B10" s="16" t="s">
        <v>1237</v>
      </c>
      <c r="C10" s="16" t="s">
        <v>1238</v>
      </c>
      <c r="D10" s="16" t="s">
        <v>1239</v>
      </c>
      <c r="E10" s="16" t="str">
        <f>"0,5538"</f>
        <v>0,5538</v>
      </c>
      <c r="F10" s="16" t="s">
        <v>1462</v>
      </c>
      <c r="G10" s="23" t="s">
        <v>1240</v>
      </c>
      <c r="H10" s="23" t="s">
        <v>1241</v>
      </c>
      <c r="I10" s="22" t="s">
        <v>398</v>
      </c>
      <c r="J10" s="17"/>
      <c r="K10" s="17" t="str">
        <f>"370,0"</f>
        <v>370,0</v>
      </c>
      <c r="L10" s="17" t="str">
        <f>"204,9245"</f>
        <v>204,9245</v>
      </c>
      <c r="M10" s="16"/>
    </row>
    <row r="11" spans="1:13">
      <c r="A11" s="19" t="s">
        <v>33</v>
      </c>
      <c r="B11" s="18" t="s">
        <v>1237</v>
      </c>
      <c r="C11" s="18" t="s">
        <v>1397</v>
      </c>
      <c r="D11" s="18" t="s">
        <v>1239</v>
      </c>
      <c r="E11" s="18" t="str">
        <f>"0,5538"</f>
        <v>0,5538</v>
      </c>
      <c r="F11" s="18" t="s">
        <v>1462</v>
      </c>
      <c r="G11" s="25" t="s">
        <v>1240</v>
      </c>
      <c r="H11" s="25" t="s">
        <v>1241</v>
      </c>
      <c r="I11" s="24" t="s">
        <v>398</v>
      </c>
      <c r="J11" s="19"/>
      <c r="K11" s="19" t="str">
        <f>"370,0"</f>
        <v>370,0</v>
      </c>
      <c r="L11" s="19" t="str">
        <f>"216,1953"</f>
        <v>216,1953</v>
      </c>
      <c r="M11" s="18"/>
    </row>
    <row r="12" spans="1:13">
      <c r="B12" s="5" t="s">
        <v>34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9:J9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3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8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3.1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.5" style="5" customWidth="1"/>
    <col min="14" max="16384" width="9.1640625" style="3"/>
  </cols>
  <sheetData>
    <row r="1" spans="1:13" s="2" customFormat="1" ht="29" customHeight="1">
      <c r="A1" s="62" t="s">
        <v>1271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3" s="1" customFormat="1" ht="12.75" customHeight="1">
      <c r="A3" s="70" t="s">
        <v>1458</v>
      </c>
      <c r="B3" s="59" t="s">
        <v>0</v>
      </c>
      <c r="C3" s="72" t="s">
        <v>5</v>
      </c>
      <c r="D3" s="72" t="s">
        <v>8</v>
      </c>
      <c r="E3" s="74" t="s">
        <v>1009</v>
      </c>
      <c r="F3" s="74" t="s">
        <v>10</v>
      </c>
      <c r="G3" s="74" t="s">
        <v>12</v>
      </c>
      <c r="H3" s="74"/>
      <c r="I3" s="74"/>
      <c r="J3" s="74"/>
      <c r="K3" s="74" t="s">
        <v>601</v>
      </c>
      <c r="L3" s="74" t="s">
        <v>3</v>
      </c>
      <c r="M3" s="77" t="s">
        <v>2</v>
      </c>
    </row>
    <row r="4" spans="1:13" s="1" customFormat="1" ht="21" customHeight="1" thickBot="1">
      <c r="A4" s="71"/>
      <c r="B4" s="60"/>
      <c r="C4" s="73"/>
      <c r="D4" s="73"/>
      <c r="E4" s="73"/>
      <c r="F4" s="73"/>
      <c r="G4" s="4">
        <v>1</v>
      </c>
      <c r="H4" s="4">
        <v>2</v>
      </c>
      <c r="I4" s="4">
        <v>3</v>
      </c>
      <c r="J4" s="4" t="s">
        <v>4</v>
      </c>
      <c r="K4" s="73"/>
      <c r="L4" s="73"/>
      <c r="M4" s="78"/>
    </row>
    <row r="5" spans="1:13" ht="16">
      <c r="A5" s="57" t="s">
        <v>51</v>
      </c>
      <c r="B5" s="57"/>
      <c r="C5" s="58"/>
      <c r="D5" s="58"/>
      <c r="E5" s="58"/>
      <c r="F5" s="58"/>
      <c r="G5" s="58"/>
      <c r="H5" s="58"/>
      <c r="I5" s="58"/>
      <c r="J5" s="58"/>
    </row>
    <row r="6" spans="1:13">
      <c r="A6" s="8" t="s">
        <v>33</v>
      </c>
      <c r="B6" s="7" t="s">
        <v>1224</v>
      </c>
      <c r="C6" s="7" t="s">
        <v>1225</v>
      </c>
      <c r="D6" s="7" t="s">
        <v>484</v>
      </c>
      <c r="E6" s="7" t="str">
        <f>"0,9060"</f>
        <v>0,9060</v>
      </c>
      <c r="F6" s="7" t="s">
        <v>1481</v>
      </c>
      <c r="G6" s="15" t="s">
        <v>41</v>
      </c>
      <c r="H6" s="15" t="s">
        <v>187</v>
      </c>
      <c r="I6" s="14" t="s">
        <v>1226</v>
      </c>
      <c r="J6" s="8"/>
      <c r="K6" s="8" t="str">
        <f>"175,0"</f>
        <v>175,0</v>
      </c>
      <c r="L6" s="8" t="str">
        <f>"158,5413"</f>
        <v>158,5413</v>
      </c>
      <c r="M6" s="7" t="s">
        <v>1227</v>
      </c>
    </row>
    <row r="7" spans="1:13">
      <c r="B7" s="5" t="s">
        <v>34</v>
      </c>
    </row>
    <row r="8" spans="1:13" ht="16">
      <c r="A8" s="61" t="s">
        <v>73</v>
      </c>
      <c r="B8" s="61"/>
      <c r="C8" s="61"/>
      <c r="D8" s="61"/>
      <c r="E8" s="61"/>
      <c r="F8" s="61"/>
      <c r="G8" s="61"/>
      <c r="H8" s="61"/>
      <c r="I8" s="61"/>
      <c r="J8" s="61"/>
    </row>
    <row r="9" spans="1:13">
      <c r="A9" s="8" t="s">
        <v>33</v>
      </c>
      <c r="B9" s="7" t="s">
        <v>1228</v>
      </c>
      <c r="C9" s="7" t="s">
        <v>1229</v>
      </c>
      <c r="D9" s="7" t="s">
        <v>408</v>
      </c>
      <c r="E9" s="7" t="str">
        <f>"0,8515"</f>
        <v>0,8515</v>
      </c>
      <c r="F9" s="7" t="s">
        <v>1481</v>
      </c>
      <c r="G9" s="15" t="s">
        <v>79</v>
      </c>
      <c r="H9" s="15" t="s">
        <v>80</v>
      </c>
      <c r="I9" s="14" t="s">
        <v>49</v>
      </c>
      <c r="J9" s="8"/>
      <c r="K9" s="8" t="str">
        <f>"125,0"</f>
        <v>125,0</v>
      </c>
      <c r="L9" s="8" t="str">
        <f>"106,4375"</f>
        <v>106,4375</v>
      </c>
      <c r="M9" s="7" t="s">
        <v>1230</v>
      </c>
    </row>
    <row r="10" spans="1:13">
      <c r="B10" s="5" t="s">
        <v>34</v>
      </c>
    </row>
    <row r="11" spans="1:13" ht="16">
      <c r="A11" s="61" t="s">
        <v>130</v>
      </c>
      <c r="B11" s="61"/>
      <c r="C11" s="61"/>
      <c r="D11" s="61"/>
      <c r="E11" s="61"/>
      <c r="F11" s="61"/>
      <c r="G11" s="61"/>
      <c r="H11" s="61"/>
      <c r="I11" s="61"/>
      <c r="J11" s="61"/>
    </row>
    <row r="12" spans="1:13">
      <c r="A12" s="8" t="s">
        <v>33</v>
      </c>
      <c r="B12" s="7" t="s">
        <v>1154</v>
      </c>
      <c r="C12" s="7" t="s">
        <v>1155</v>
      </c>
      <c r="D12" s="7" t="s">
        <v>1156</v>
      </c>
      <c r="E12" s="7" t="str">
        <f>"0,5911"</f>
        <v>0,5911</v>
      </c>
      <c r="F12" s="7" t="s">
        <v>1472</v>
      </c>
      <c r="G12" s="14" t="s">
        <v>137</v>
      </c>
      <c r="H12" s="14" t="s">
        <v>137</v>
      </c>
      <c r="I12" s="15" t="s">
        <v>137</v>
      </c>
      <c r="J12" s="8"/>
      <c r="K12" s="8" t="str">
        <f>"330,0"</f>
        <v>330,0</v>
      </c>
      <c r="L12" s="8" t="str">
        <f>"195,0630"</f>
        <v>195,0630</v>
      </c>
      <c r="M12" s="7" t="s">
        <v>1158</v>
      </c>
    </row>
    <row r="13" spans="1:13">
      <c r="B13" s="5" t="s">
        <v>34</v>
      </c>
    </row>
    <row r="14" spans="1:13" ht="16">
      <c r="A14" s="61" t="s">
        <v>35</v>
      </c>
      <c r="B14" s="61"/>
      <c r="C14" s="61"/>
      <c r="D14" s="61"/>
      <c r="E14" s="61"/>
      <c r="F14" s="61"/>
      <c r="G14" s="61"/>
      <c r="H14" s="61"/>
      <c r="I14" s="61"/>
      <c r="J14" s="61"/>
    </row>
    <row r="15" spans="1:13">
      <c r="A15" s="17" t="s">
        <v>33</v>
      </c>
      <c r="B15" s="16" t="s">
        <v>1231</v>
      </c>
      <c r="C15" s="16" t="s">
        <v>1232</v>
      </c>
      <c r="D15" s="16" t="s">
        <v>1233</v>
      </c>
      <c r="E15" s="16" t="str">
        <f>"0,5652"</f>
        <v>0,5652</v>
      </c>
      <c r="F15" s="16" t="s">
        <v>1462</v>
      </c>
      <c r="G15" s="23" t="s">
        <v>193</v>
      </c>
      <c r="H15" s="22" t="s">
        <v>868</v>
      </c>
      <c r="I15" s="22" t="s">
        <v>868</v>
      </c>
      <c r="J15" s="17"/>
      <c r="K15" s="17" t="str">
        <f>"360,0"</f>
        <v>360,0</v>
      </c>
      <c r="L15" s="17" t="str">
        <f>"203,4720"</f>
        <v>203,4720</v>
      </c>
      <c r="M15" s="16"/>
    </row>
    <row r="16" spans="1:13">
      <c r="A16" s="21" t="s">
        <v>219</v>
      </c>
      <c r="B16" s="20" t="s">
        <v>1234</v>
      </c>
      <c r="C16" s="20" t="s">
        <v>1235</v>
      </c>
      <c r="D16" s="20" t="s">
        <v>549</v>
      </c>
      <c r="E16" s="20" t="str">
        <f>"0,5644"</f>
        <v>0,5644</v>
      </c>
      <c r="F16" s="20" t="s">
        <v>1557</v>
      </c>
      <c r="G16" s="26" t="s">
        <v>138</v>
      </c>
      <c r="H16" s="27" t="s">
        <v>192</v>
      </c>
      <c r="I16" s="26" t="s">
        <v>192</v>
      </c>
      <c r="J16" s="21"/>
      <c r="K16" s="21" t="str">
        <f>"350,0"</f>
        <v>350,0</v>
      </c>
      <c r="L16" s="21" t="str">
        <f>"197,5400"</f>
        <v>197,5400</v>
      </c>
      <c r="M16" s="20" t="s">
        <v>1236</v>
      </c>
    </row>
    <row r="17" spans="1:13">
      <c r="A17" s="21" t="s">
        <v>220</v>
      </c>
      <c r="B17" s="20" t="s">
        <v>1159</v>
      </c>
      <c r="C17" s="20" t="s">
        <v>1160</v>
      </c>
      <c r="D17" s="20" t="s">
        <v>37</v>
      </c>
      <c r="E17" s="20" t="str">
        <f>"0,5710"</f>
        <v>0,5710</v>
      </c>
      <c r="F17" s="20" t="s">
        <v>1479</v>
      </c>
      <c r="G17" s="26" t="s">
        <v>1168</v>
      </c>
      <c r="H17" s="26" t="s">
        <v>152</v>
      </c>
      <c r="I17" s="27" t="s">
        <v>192</v>
      </c>
      <c r="J17" s="21"/>
      <c r="K17" s="21" t="str">
        <f>"335,0"</f>
        <v>335,0</v>
      </c>
      <c r="L17" s="21" t="str">
        <f>"191,3017"</f>
        <v>191,3017</v>
      </c>
      <c r="M17" s="20" t="s">
        <v>1158</v>
      </c>
    </row>
    <row r="18" spans="1:13">
      <c r="A18" s="19" t="s">
        <v>33</v>
      </c>
      <c r="B18" s="18" t="s">
        <v>1159</v>
      </c>
      <c r="C18" s="18" t="s">
        <v>1389</v>
      </c>
      <c r="D18" s="18" t="s">
        <v>37</v>
      </c>
      <c r="E18" s="18" t="str">
        <f>"0,5710"</f>
        <v>0,5710</v>
      </c>
      <c r="F18" s="18" t="s">
        <v>1479</v>
      </c>
      <c r="G18" s="25" t="s">
        <v>1168</v>
      </c>
      <c r="H18" s="25" t="s">
        <v>152</v>
      </c>
      <c r="I18" s="24" t="s">
        <v>192</v>
      </c>
      <c r="J18" s="19"/>
      <c r="K18" s="19" t="str">
        <f>"335,0"</f>
        <v>335,0</v>
      </c>
      <c r="L18" s="19" t="str">
        <f>"191,3017"</f>
        <v>191,3017</v>
      </c>
      <c r="M18" s="18" t="s">
        <v>1158</v>
      </c>
    </row>
    <row r="19" spans="1:13">
      <c r="B19" s="5" t="s">
        <v>34</v>
      </c>
    </row>
    <row r="20" spans="1:13" ht="16">
      <c r="A20" s="61" t="s">
        <v>184</v>
      </c>
      <c r="B20" s="61"/>
      <c r="C20" s="61"/>
      <c r="D20" s="61"/>
      <c r="E20" s="61"/>
      <c r="F20" s="61"/>
      <c r="G20" s="61"/>
      <c r="H20" s="61"/>
      <c r="I20" s="61"/>
      <c r="J20" s="61"/>
    </row>
    <row r="21" spans="1:13">
      <c r="A21" s="17" t="s">
        <v>33</v>
      </c>
      <c r="B21" s="16" t="s">
        <v>1165</v>
      </c>
      <c r="C21" s="16" t="s">
        <v>1166</v>
      </c>
      <c r="D21" s="16" t="s">
        <v>1167</v>
      </c>
      <c r="E21" s="16" t="str">
        <f>"0,5526"</f>
        <v>0,5526</v>
      </c>
      <c r="F21" s="16" t="s">
        <v>1560</v>
      </c>
      <c r="G21" s="23" t="s">
        <v>1168</v>
      </c>
      <c r="H21" s="23" t="s">
        <v>152</v>
      </c>
      <c r="I21" s="23" t="s">
        <v>192</v>
      </c>
      <c r="J21" s="17"/>
      <c r="K21" s="17" t="str">
        <f>"350,0"</f>
        <v>350,0</v>
      </c>
      <c r="L21" s="17" t="str">
        <f>"193,4100"</f>
        <v>193,4100</v>
      </c>
      <c r="M21" s="16" t="s">
        <v>1169</v>
      </c>
    </row>
    <row r="22" spans="1:13">
      <c r="A22" s="19" t="s">
        <v>33</v>
      </c>
      <c r="B22" s="18" t="s">
        <v>1165</v>
      </c>
      <c r="C22" s="18" t="s">
        <v>1393</v>
      </c>
      <c r="D22" s="18" t="s">
        <v>1167</v>
      </c>
      <c r="E22" s="18" t="str">
        <f>"0,5526"</f>
        <v>0,5526</v>
      </c>
      <c r="F22" s="18" t="s">
        <v>1560</v>
      </c>
      <c r="G22" s="25" t="s">
        <v>1168</v>
      </c>
      <c r="H22" s="25" t="s">
        <v>152</v>
      </c>
      <c r="I22" s="25" t="s">
        <v>192</v>
      </c>
      <c r="J22" s="19"/>
      <c r="K22" s="19" t="str">
        <f>"350,0"</f>
        <v>350,0</v>
      </c>
      <c r="L22" s="19" t="str">
        <f>"195,3441"</f>
        <v>195,3441</v>
      </c>
      <c r="M22" s="18" t="s">
        <v>1169</v>
      </c>
    </row>
    <row r="23" spans="1:13">
      <c r="B23" s="5" t="s">
        <v>34</v>
      </c>
    </row>
  </sheetData>
  <mergeCells count="1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4:J14"/>
    <mergeCell ref="A20:J20"/>
    <mergeCell ref="B3:B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M35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.8320312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0.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.5" style="5" customWidth="1"/>
    <col min="14" max="16384" width="9.1640625" style="3"/>
  </cols>
  <sheetData>
    <row r="1" spans="1:13" s="2" customFormat="1" ht="29" customHeight="1">
      <c r="A1" s="62" t="s">
        <v>1272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3" s="1" customFormat="1" ht="12.75" customHeight="1">
      <c r="A3" s="70" t="s">
        <v>1458</v>
      </c>
      <c r="B3" s="59" t="s">
        <v>0</v>
      </c>
      <c r="C3" s="72" t="s">
        <v>5</v>
      </c>
      <c r="D3" s="72" t="s">
        <v>8</v>
      </c>
      <c r="E3" s="74" t="s">
        <v>1009</v>
      </c>
      <c r="F3" s="74" t="s">
        <v>10</v>
      </c>
      <c r="G3" s="74" t="s">
        <v>12</v>
      </c>
      <c r="H3" s="74"/>
      <c r="I3" s="74"/>
      <c r="J3" s="74"/>
      <c r="K3" s="74" t="s">
        <v>601</v>
      </c>
      <c r="L3" s="74" t="s">
        <v>3</v>
      </c>
      <c r="M3" s="77" t="s">
        <v>2</v>
      </c>
    </row>
    <row r="4" spans="1:13" s="1" customFormat="1" ht="21" customHeight="1" thickBot="1">
      <c r="A4" s="71"/>
      <c r="B4" s="60"/>
      <c r="C4" s="73"/>
      <c r="D4" s="73"/>
      <c r="E4" s="73"/>
      <c r="F4" s="73"/>
      <c r="G4" s="4">
        <v>1</v>
      </c>
      <c r="H4" s="4">
        <v>2</v>
      </c>
      <c r="I4" s="4">
        <v>3</v>
      </c>
      <c r="J4" s="4" t="s">
        <v>4</v>
      </c>
      <c r="K4" s="73"/>
      <c r="L4" s="73"/>
      <c r="M4" s="78"/>
    </row>
    <row r="5" spans="1:13" ht="16">
      <c r="A5" s="57" t="s">
        <v>51</v>
      </c>
      <c r="B5" s="57"/>
      <c r="C5" s="58"/>
      <c r="D5" s="58"/>
      <c r="E5" s="58"/>
      <c r="F5" s="58"/>
      <c r="G5" s="58"/>
      <c r="H5" s="58"/>
      <c r="I5" s="58"/>
      <c r="J5" s="58"/>
    </row>
    <row r="6" spans="1:13">
      <c r="A6" s="8" t="s">
        <v>33</v>
      </c>
      <c r="B6" s="7" t="s">
        <v>1085</v>
      </c>
      <c r="C6" s="7" t="s">
        <v>1086</v>
      </c>
      <c r="D6" s="7" t="s">
        <v>1087</v>
      </c>
      <c r="E6" s="7" t="str">
        <f>"0,9334"</f>
        <v>0,9334</v>
      </c>
      <c r="F6" s="7" t="s">
        <v>1563</v>
      </c>
      <c r="G6" s="15" t="s">
        <v>228</v>
      </c>
      <c r="H6" s="15" t="s">
        <v>235</v>
      </c>
      <c r="I6" s="14" t="s">
        <v>229</v>
      </c>
      <c r="J6" s="8"/>
      <c r="K6" s="8" t="str">
        <f>"42,5"</f>
        <v>42,5</v>
      </c>
      <c r="L6" s="8" t="str">
        <f>"53,1600"</f>
        <v>53,1600</v>
      </c>
      <c r="M6" s="7" t="s">
        <v>532</v>
      </c>
    </row>
    <row r="7" spans="1:13">
      <c r="B7" s="5" t="s">
        <v>34</v>
      </c>
    </row>
    <row r="8" spans="1:13" ht="16">
      <c r="A8" s="61" t="s">
        <v>73</v>
      </c>
      <c r="B8" s="61"/>
      <c r="C8" s="61"/>
      <c r="D8" s="61"/>
      <c r="E8" s="61"/>
      <c r="F8" s="61"/>
      <c r="G8" s="61"/>
      <c r="H8" s="61"/>
      <c r="I8" s="61"/>
      <c r="J8" s="61"/>
    </row>
    <row r="9" spans="1:13">
      <c r="A9" s="8" t="s">
        <v>33</v>
      </c>
      <c r="B9" s="7" t="s">
        <v>1088</v>
      </c>
      <c r="C9" s="7" t="s">
        <v>1089</v>
      </c>
      <c r="D9" s="7" t="s">
        <v>1090</v>
      </c>
      <c r="E9" s="7" t="str">
        <f>"0,8881"</f>
        <v>0,8881</v>
      </c>
      <c r="F9" s="7" t="s">
        <v>1563</v>
      </c>
      <c r="G9" s="15" t="s">
        <v>48</v>
      </c>
      <c r="H9" s="15" t="s">
        <v>269</v>
      </c>
      <c r="I9" s="15" t="s">
        <v>271</v>
      </c>
      <c r="J9" s="8"/>
      <c r="K9" s="8" t="str">
        <f>"62,5"</f>
        <v>62,5</v>
      </c>
      <c r="L9" s="8" t="str">
        <f>"69,1569"</f>
        <v>69,1569</v>
      </c>
      <c r="M9" s="7" t="s">
        <v>1091</v>
      </c>
    </row>
    <row r="10" spans="1:13">
      <c r="B10" s="5" t="s">
        <v>34</v>
      </c>
    </row>
    <row r="11" spans="1:13" ht="16">
      <c r="A11" s="61" t="s">
        <v>63</v>
      </c>
      <c r="B11" s="61"/>
      <c r="C11" s="61"/>
      <c r="D11" s="61"/>
      <c r="E11" s="61"/>
      <c r="F11" s="61"/>
      <c r="G11" s="61"/>
      <c r="H11" s="61"/>
      <c r="I11" s="61"/>
      <c r="J11" s="61"/>
    </row>
    <row r="12" spans="1:13">
      <c r="A12" s="8" t="s">
        <v>33</v>
      </c>
      <c r="B12" s="7" t="s">
        <v>1092</v>
      </c>
      <c r="C12" s="7" t="s">
        <v>1093</v>
      </c>
      <c r="D12" s="7" t="s">
        <v>668</v>
      </c>
      <c r="E12" s="7" t="str">
        <f>"0,7931"</f>
        <v>0,7931</v>
      </c>
      <c r="F12" s="7" t="s">
        <v>1564</v>
      </c>
      <c r="G12" s="15" t="s">
        <v>229</v>
      </c>
      <c r="H12" s="15" t="s">
        <v>254</v>
      </c>
      <c r="I12" s="15" t="s">
        <v>48</v>
      </c>
      <c r="J12" s="8"/>
      <c r="K12" s="8" t="str">
        <f>"55,0"</f>
        <v>55,0</v>
      </c>
      <c r="L12" s="8" t="str">
        <f>"76,5976"</f>
        <v>76,5976</v>
      </c>
      <c r="M12" s="7" t="s">
        <v>1091</v>
      </c>
    </row>
    <row r="13" spans="1:13">
      <c r="B13" s="5" t="s">
        <v>34</v>
      </c>
    </row>
    <row r="14" spans="1:13" ht="16">
      <c r="A14" s="61" t="s">
        <v>243</v>
      </c>
      <c r="B14" s="61"/>
      <c r="C14" s="61"/>
      <c r="D14" s="61"/>
      <c r="E14" s="61"/>
      <c r="F14" s="61"/>
      <c r="G14" s="61"/>
      <c r="H14" s="61"/>
      <c r="I14" s="61"/>
      <c r="J14" s="61"/>
    </row>
    <row r="15" spans="1:13">
      <c r="A15" s="8" t="s">
        <v>33</v>
      </c>
      <c r="B15" s="7" t="s">
        <v>1094</v>
      </c>
      <c r="C15" s="7" t="s">
        <v>1398</v>
      </c>
      <c r="D15" s="7" t="s">
        <v>1095</v>
      </c>
      <c r="E15" s="7" t="str">
        <f>"0,9875"</f>
        <v>0,9875</v>
      </c>
      <c r="F15" s="7" t="s">
        <v>1565</v>
      </c>
      <c r="G15" s="15" t="s">
        <v>254</v>
      </c>
      <c r="H15" s="15" t="s">
        <v>255</v>
      </c>
      <c r="I15" s="15" t="s">
        <v>48</v>
      </c>
      <c r="J15" s="8"/>
      <c r="K15" s="8" t="str">
        <f>"55,0"</f>
        <v>55,0</v>
      </c>
      <c r="L15" s="8" t="str">
        <f>"54,3125"</f>
        <v>54,3125</v>
      </c>
      <c r="M15" s="7" t="s">
        <v>1096</v>
      </c>
    </row>
    <row r="16" spans="1:13">
      <c r="B16" s="5" t="s">
        <v>34</v>
      </c>
    </row>
    <row r="17" spans="1:13" ht="16">
      <c r="A17" s="61" t="s">
        <v>43</v>
      </c>
      <c r="B17" s="61"/>
      <c r="C17" s="61"/>
      <c r="D17" s="61"/>
      <c r="E17" s="61"/>
      <c r="F17" s="61"/>
      <c r="G17" s="61"/>
      <c r="H17" s="61"/>
      <c r="I17" s="61"/>
      <c r="J17" s="61"/>
    </row>
    <row r="18" spans="1:13">
      <c r="A18" s="8" t="s">
        <v>33</v>
      </c>
      <c r="B18" s="7" t="s">
        <v>1097</v>
      </c>
      <c r="C18" s="7" t="s">
        <v>1098</v>
      </c>
      <c r="D18" s="7" t="s">
        <v>1099</v>
      </c>
      <c r="E18" s="7" t="str">
        <f>"0,8976"</f>
        <v>0,8976</v>
      </c>
      <c r="F18" s="7" t="s">
        <v>1477</v>
      </c>
      <c r="G18" s="15" t="s">
        <v>59</v>
      </c>
      <c r="H18" s="14" t="s">
        <v>98</v>
      </c>
      <c r="I18" s="14" t="s">
        <v>98</v>
      </c>
      <c r="J18" s="8"/>
      <c r="K18" s="8" t="str">
        <f>"95,0"</f>
        <v>95,0</v>
      </c>
      <c r="L18" s="8" t="str">
        <f>"85,2720"</f>
        <v>85,2720</v>
      </c>
      <c r="M18" s="7" t="s">
        <v>983</v>
      </c>
    </row>
    <row r="19" spans="1:13">
      <c r="B19" s="5" t="s">
        <v>34</v>
      </c>
    </row>
    <row r="20" spans="1:13" ht="16">
      <c r="A20" s="61" t="s">
        <v>51</v>
      </c>
      <c r="B20" s="61"/>
      <c r="C20" s="61"/>
      <c r="D20" s="61"/>
      <c r="E20" s="61"/>
      <c r="F20" s="61"/>
      <c r="G20" s="61"/>
      <c r="H20" s="61"/>
      <c r="I20" s="61"/>
      <c r="J20" s="61"/>
    </row>
    <row r="21" spans="1:13">
      <c r="A21" s="8" t="s">
        <v>33</v>
      </c>
      <c r="B21" s="7" t="s">
        <v>1100</v>
      </c>
      <c r="C21" s="7" t="s">
        <v>1101</v>
      </c>
      <c r="D21" s="7" t="s">
        <v>1102</v>
      </c>
      <c r="E21" s="7" t="str">
        <f>"0,7808"</f>
        <v>0,7808</v>
      </c>
      <c r="F21" s="7" t="s">
        <v>1475</v>
      </c>
      <c r="G21" s="15" t="s">
        <v>98</v>
      </c>
      <c r="H21" s="14" t="s">
        <v>47</v>
      </c>
      <c r="I21" s="14" t="s">
        <v>47</v>
      </c>
      <c r="J21" s="8"/>
      <c r="K21" s="8" t="str">
        <f>"100,0"</f>
        <v>100,0</v>
      </c>
      <c r="L21" s="8" t="str">
        <f>"104,6272"</f>
        <v>104,6272</v>
      </c>
      <c r="M21" s="7" t="s">
        <v>532</v>
      </c>
    </row>
    <row r="22" spans="1:13">
      <c r="B22" s="5" t="s">
        <v>34</v>
      </c>
    </row>
    <row r="23" spans="1:13" ht="16">
      <c r="A23" s="61" t="s">
        <v>63</v>
      </c>
      <c r="B23" s="61"/>
      <c r="C23" s="61"/>
      <c r="D23" s="61"/>
      <c r="E23" s="61"/>
      <c r="F23" s="61"/>
      <c r="G23" s="61"/>
      <c r="H23" s="61"/>
      <c r="I23" s="61"/>
      <c r="J23" s="61"/>
    </row>
    <row r="24" spans="1:13">
      <c r="A24" s="8" t="s">
        <v>33</v>
      </c>
      <c r="B24" s="7" t="s">
        <v>1103</v>
      </c>
      <c r="C24" s="7" t="s">
        <v>1104</v>
      </c>
      <c r="D24" s="7" t="s">
        <v>1105</v>
      </c>
      <c r="E24" s="7" t="str">
        <f>"0,6768"</f>
        <v>0,6768</v>
      </c>
      <c r="F24" s="7" t="s">
        <v>1564</v>
      </c>
      <c r="G24" s="15" t="s">
        <v>1079</v>
      </c>
      <c r="H24" s="15" t="s">
        <v>1080</v>
      </c>
      <c r="I24" s="15" t="s">
        <v>1077</v>
      </c>
      <c r="J24" s="8"/>
      <c r="K24" s="8" t="str">
        <f>"30,0"</f>
        <v>30,0</v>
      </c>
      <c r="L24" s="8" t="str">
        <f>"41,6201"</f>
        <v>41,6201</v>
      </c>
      <c r="M24" s="7" t="s">
        <v>1243</v>
      </c>
    </row>
    <row r="25" spans="1:13">
      <c r="B25" s="5" t="s">
        <v>34</v>
      </c>
    </row>
    <row r="26" spans="1:13" ht="16">
      <c r="A26" s="61" t="s">
        <v>14</v>
      </c>
      <c r="B26" s="61"/>
      <c r="C26" s="61"/>
      <c r="D26" s="61"/>
      <c r="E26" s="61"/>
      <c r="F26" s="61"/>
      <c r="G26" s="61"/>
      <c r="H26" s="61"/>
      <c r="I26" s="61"/>
      <c r="J26" s="61"/>
    </row>
    <row r="27" spans="1:13">
      <c r="A27" s="17" t="s">
        <v>33</v>
      </c>
      <c r="B27" s="16" t="s">
        <v>1106</v>
      </c>
      <c r="C27" s="16" t="s">
        <v>1107</v>
      </c>
      <c r="D27" s="16" t="s">
        <v>121</v>
      </c>
      <c r="E27" s="16" t="str">
        <f>"0,6238"</f>
        <v>0,6238</v>
      </c>
      <c r="F27" s="16" t="s">
        <v>1459</v>
      </c>
      <c r="G27" s="23" t="s">
        <v>67</v>
      </c>
      <c r="H27" s="23" t="s">
        <v>286</v>
      </c>
      <c r="I27" s="22" t="s">
        <v>99</v>
      </c>
      <c r="J27" s="17"/>
      <c r="K27" s="17" t="str">
        <f>"107,5"</f>
        <v>107,5</v>
      </c>
      <c r="L27" s="17" t="str">
        <f>"67,0639"</f>
        <v>67,0639</v>
      </c>
      <c r="M27" s="16"/>
    </row>
    <row r="28" spans="1:13">
      <c r="A28" s="19" t="s">
        <v>33</v>
      </c>
      <c r="B28" s="18" t="s">
        <v>1106</v>
      </c>
      <c r="C28" s="18" t="s">
        <v>1108</v>
      </c>
      <c r="D28" s="18" t="s">
        <v>121</v>
      </c>
      <c r="E28" s="18" t="str">
        <f>"0,6238"</f>
        <v>0,6238</v>
      </c>
      <c r="F28" s="18" t="s">
        <v>1459</v>
      </c>
      <c r="G28" s="25" t="s">
        <v>67</v>
      </c>
      <c r="H28" s="25" t="s">
        <v>286</v>
      </c>
      <c r="I28" s="24" t="s">
        <v>99</v>
      </c>
      <c r="J28" s="19"/>
      <c r="K28" s="19" t="str">
        <f>"107,5"</f>
        <v>107,5</v>
      </c>
      <c r="L28" s="19" t="str">
        <f>"67,7345"</f>
        <v>67,7345</v>
      </c>
      <c r="M28" s="18"/>
    </row>
    <row r="29" spans="1:13">
      <c r="B29" s="5" t="s">
        <v>34</v>
      </c>
    </row>
    <row r="30" spans="1:13" ht="16">
      <c r="A30" s="61" t="s">
        <v>130</v>
      </c>
      <c r="B30" s="61"/>
      <c r="C30" s="61"/>
      <c r="D30" s="61"/>
      <c r="E30" s="61"/>
      <c r="F30" s="61"/>
      <c r="G30" s="61"/>
      <c r="H30" s="61"/>
      <c r="I30" s="61"/>
      <c r="J30" s="61"/>
    </row>
    <row r="31" spans="1:13">
      <c r="A31" s="17" t="s">
        <v>33</v>
      </c>
      <c r="B31" s="16" t="s">
        <v>1109</v>
      </c>
      <c r="C31" s="16" t="s">
        <v>1110</v>
      </c>
      <c r="D31" s="16" t="s">
        <v>1111</v>
      </c>
      <c r="E31" s="16" t="str">
        <f>"0,5821"</f>
        <v>0,5821</v>
      </c>
      <c r="F31" s="16" t="s">
        <v>1564</v>
      </c>
      <c r="G31" s="23" t="s">
        <v>58</v>
      </c>
      <c r="H31" s="22" t="s">
        <v>59</v>
      </c>
      <c r="I31" s="22" t="s">
        <v>59</v>
      </c>
      <c r="J31" s="17"/>
      <c r="K31" s="17" t="str">
        <f>"90,0"</f>
        <v>90,0</v>
      </c>
      <c r="L31" s="17" t="str">
        <f>"52,3845"</f>
        <v>52,3845</v>
      </c>
      <c r="M31" s="16" t="s">
        <v>1091</v>
      </c>
    </row>
    <row r="32" spans="1:13">
      <c r="A32" s="21" t="s">
        <v>33</v>
      </c>
      <c r="B32" s="20" t="s">
        <v>1112</v>
      </c>
      <c r="C32" s="20" t="s">
        <v>1113</v>
      </c>
      <c r="D32" s="20" t="s">
        <v>384</v>
      </c>
      <c r="E32" s="20" t="str">
        <f>"0,5880"</f>
        <v>0,5880</v>
      </c>
      <c r="F32" s="20" t="s">
        <v>1564</v>
      </c>
      <c r="G32" s="26" t="s">
        <v>56</v>
      </c>
      <c r="H32" s="27" t="s">
        <v>60</v>
      </c>
      <c r="I32" s="26" t="s">
        <v>60</v>
      </c>
      <c r="J32" s="21"/>
      <c r="K32" s="21" t="str">
        <f>"145,0"</f>
        <v>145,0</v>
      </c>
      <c r="L32" s="21" t="str">
        <f>"97,7932"</f>
        <v>97,7932</v>
      </c>
      <c r="M32" s="20"/>
    </row>
    <row r="33" spans="1:13">
      <c r="A33" s="21" t="s">
        <v>33</v>
      </c>
      <c r="B33" s="20" t="s">
        <v>1114</v>
      </c>
      <c r="C33" s="20" t="s">
        <v>1115</v>
      </c>
      <c r="D33" s="20" t="s">
        <v>1116</v>
      </c>
      <c r="E33" s="20" t="str">
        <f>"0,5900"</f>
        <v>0,5900</v>
      </c>
      <c r="F33" s="20" t="s">
        <v>1566</v>
      </c>
      <c r="G33" s="26" t="s">
        <v>182</v>
      </c>
      <c r="H33" s="26" t="s">
        <v>79</v>
      </c>
      <c r="I33" s="26" t="s">
        <v>298</v>
      </c>
      <c r="J33" s="21"/>
      <c r="K33" s="21" t="str">
        <f>"122,5"</f>
        <v>122,5</v>
      </c>
      <c r="L33" s="21" t="str">
        <f>"109,1983"</f>
        <v>109,1983</v>
      </c>
      <c r="M33" s="20" t="s">
        <v>532</v>
      </c>
    </row>
    <row r="34" spans="1:13">
      <c r="A34" s="19" t="s">
        <v>33</v>
      </c>
      <c r="B34" s="18" t="s">
        <v>1117</v>
      </c>
      <c r="C34" s="18" t="s">
        <v>1118</v>
      </c>
      <c r="D34" s="18" t="s">
        <v>1119</v>
      </c>
      <c r="E34" s="18" t="str">
        <f>"0,5902"</f>
        <v>0,5902</v>
      </c>
      <c r="F34" s="18" t="s">
        <v>1564</v>
      </c>
      <c r="G34" s="25" t="s">
        <v>260</v>
      </c>
      <c r="H34" s="25" t="s">
        <v>261</v>
      </c>
      <c r="I34" s="24" t="s">
        <v>262</v>
      </c>
      <c r="J34" s="19"/>
      <c r="K34" s="19" t="str">
        <f>"70,0"</f>
        <v>70,0</v>
      </c>
      <c r="L34" s="19" t="str">
        <f>"77,5051"</f>
        <v>77,5051</v>
      </c>
      <c r="M34" s="18" t="s">
        <v>1091</v>
      </c>
    </row>
    <row r="35" spans="1:13">
      <c r="B35" s="5" t="s">
        <v>34</v>
      </c>
    </row>
  </sheetData>
  <mergeCells count="20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26:J26"/>
    <mergeCell ref="A30:J30"/>
    <mergeCell ref="B3:B4"/>
    <mergeCell ref="A8:J8"/>
    <mergeCell ref="A11:J11"/>
    <mergeCell ref="A14:J14"/>
    <mergeCell ref="A17:J17"/>
    <mergeCell ref="A20:J20"/>
    <mergeCell ref="A23:J2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M88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" style="5" bestFit="1" customWidth="1"/>
    <col min="3" max="3" width="29" style="5" bestFit="1" customWidth="1"/>
    <col min="4" max="4" width="21.5" style="5" bestFit="1" customWidth="1"/>
    <col min="5" max="5" width="16.6640625" style="5" customWidth="1"/>
    <col min="6" max="6" width="20.5" style="5" bestFit="1" customWidth="1"/>
    <col min="7" max="10" width="5.5" style="6" customWidth="1"/>
    <col min="11" max="11" width="10.5" style="28" bestFit="1" customWidth="1"/>
    <col min="12" max="12" width="8.5" style="6" bestFit="1" customWidth="1"/>
    <col min="13" max="13" width="24.6640625" style="5" bestFit="1" customWidth="1"/>
    <col min="14" max="16384" width="9.1640625" style="3"/>
  </cols>
  <sheetData>
    <row r="1" spans="1:13" s="2" customFormat="1" ht="29" customHeight="1">
      <c r="A1" s="62" t="s">
        <v>1273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3" s="1" customFormat="1" ht="12.75" customHeight="1">
      <c r="A3" s="70" t="s">
        <v>1458</v>
      </c>
      <c r="B3" s="59" t="s">
        <v>0</v>
      </c>
      <c r="C3" s="72" t="s">
        <v>5</v>
      </c>
      <c r="D3" s="72" t="s">
        <v>8</v>
      </c>
      <c r="E3" s="74" t="s">
        <v>9</v>
      </c>
      <c r="F3" s="74" t="s">
        <v>10</v>
      </c>
      <c r="G3" s="74" t="s">
        <v>13</v>
      </c>
      <c r="H3" s="74"/>
      <c r="I3" s="74"/>
      <c r="J3" s="74"/>
      <c r="K3" s="75" t="s">
        <v>601</v>
      </c>
      <c r="L3" s="74" t="s">
        <v>3</v>
      </c>
      <c r="M3" s="77" t="s">
        <v>2</v>
      </c>
    </row>
    <row r="4" spans="1:13" s="1" customFormat="1" ht="21" customHeight="1" thickBot="1">
      <c r="A4" s="71"/>
      <c r="B4" s="60"/>
      <c r="C4" s="73"/>
      <c r="D4" s="73"/>
      <c r="E4" s="73"/>
      <c r="F4" s="73"/>
      <c r="G4" s="4">
        <v>1</v>
      </c>
      <c r="H4" s="4">
        <v>2</v>
      </c>
      <c r="I4" s="4">
        <v>3</v>
      </c>
      <c r="J4" s="4" t="s">
        <v>4</v>
      </c>
      <c r="K4" s="76"/>
      <c r="L4" s="73"/>
      <c r="M4" s="78"/>
    </row>
    <row r="5" spans="1:13" ht="16">
      <c r="A5" s="57" t="s">
        <v>222</v>
      </c>
      <c r="B5" s="57"/>
      <c r="C5" s="58"/>
      <c r="D5" s="58"/>
      <c r="E5" s="58"/>
      <c r="F5" s="58"/>
      <c r="G5" s="58"/>
      <c r="H5" s="58"/>
      <c r="I5" s="58"/>
      <c r="J5" s="58"/>
    </row>
    <row r="6" spans="1:13">
      <c r="A6" s="8" t="s">
        <v>33</v>
      </c>
      <c r="B6" s="7" t="s">
        <v>223</v>
      </c>
      <c r="C6" s="7" t="s">
        <v>224</v>
      </c>
      <c r="D6" s="7" t="s">
        <v>225</v>
      </c>
      <c r="E6" s="7" t="str">
        <f>"1,3346"</f>
        <v>1,3346</v>
      </c>
      <c r="F6" s="7" t="s">
        <v>1459</v>
      </c>
      <c r="G6" s="14" t="s">
        <v>98</v>
      </c>
      <c r="H6" s="15" t="s">
        <v>47</v>
      </c>
      <c r="I6" s="14" t="s">
        <v>99</v>
      </c>
      <c r="J6" s="8"/>
      <c r="K6" s="32" t="str">
        <f>"105,0"</f>
        <v>105,0</v>
      </c>
      <c r="L6" s="8" t="str">
        <f>"140,1330"</f>
        <v>140,1330</v>
      </c>
      <c r="M6" s="7" t="s">
        <v>230</v>
      </c>
    </row>
    <row r="7" spans="1:13">
      <c r="B7" s="5" t="s">
        <v>34</v>
      </c>
    </row>
    <row r="8" spans="1:13" ht="16">
      <c r="A8" s="61" t="s">
        <v>243</v>
      </c>
      <c r="B8" s="61"/>
      <c r="C8" s="61"/>
      <c r="D8" s="61"/>
      <c r="E8" s="61"/>
      <c r="F8" s="61"/>
      <c r="G8" s="61"/>
      <c r="H8" s="61"/>
      <c r="I8" s="61"/>
      <c r="J8" s="61"/>
    </row>
    <row r="9" spans="1:13">
      <c r="A9" s="17" t="s">
        <v>33</v>
      </c>
      <c r="B9" s="16" t="s">
        <v>882</v>
      </c>
      <c r="C9" s="16" t="s">
        <v>883</v>
      </c>
      <c r="D9" s="16" t="s">
        <v>468</v>
      </c>
      <c r="E9" s="16" t="str">
        <f>"1,2466"</f>
        <v>1,2466</v>
      </c>
      <c r="F9" s="16" t="s">
        <v>1459</v>
      </c>
      <c r="G9" s="22" t="s">
        <v>182</v>
      </c>
      <c r="H9" s="23" t="s">
        <v>79</v>
      </c>
      <c r="I9" s="22" t="s">
        <v>49</v>
      </c>
      <c r="J9" s="17"/>
      <c r="K9" s="29" t="str">
        <f>"120,0"</f>
        <v>120,0</v>
      </c>
      <c r="L9" s="17" t="str">
        <f>"149,5920"</f>
        <v>149,5920</v>
      </c>
      <c r="M9" s="16" t="s">
        <v>884</v>
      </c>
    </row>
    <row r="10" spans="1:13">
      <c r="A10" s="19" t="s">
        <v>219</v>
      </c>
      <c r="B10" s="18" t="s">
        <v>885</v>
      </c>
      <c r="C10" s="18" t="s">
        <v>886</v>
      </c>
      <c r="D10" s="18" t="s">
        <v>609</v>
      </c>
      <c r="E10" s="18" t="str">
        <f>"1,2522"</f>
        <v>1,2522</v>
      </c>
      <c r="F10" s="18" t="s">
        <v>1512</v>
      </c>
      <c r="G10" s="25" t="s">
        <v>47</v>
      </c>
      <c r="H10" s="24" t="s">
        <v>100</v>
      </c>
      <c r="I10" s="25" t="s">
        <v>100</v>
      </c>
      <c r="J10" s="19"/>
      <c r="K10" s="31" t="str">
        <f>"112,5"</f>
        <v>112,5</v>
      </c>
      <c r="L10" s="19" t="str">
        <f>"140,8725"</f>
        <v>140,8725</v>
      </c>
      <c r="M10" s="18" t="s">
        <v>887</v>
      </c>
    </row>
    <row r="11" spans="1:13">
      <c r="B11" s="5" t="s">
        <v>34</v>
      </c>
    </row>
    <row r="12" spans="1:13" ht="16">
      <c r="A12" s="61" t="s">
        <v>43</v>
      </c>
      <c r="B12" s="61"/>
      <c r="C12" s="61"/>
      <c r="D12" s="61"/>
      <c r="E12" s="61"/>
      <c r="F12" s="61"/>
      <c r="G12" s="61"/>
      <c r="H12" s="61"/>
      <c r="I12" s="61"/>
      <c r="J12" s="61"/>
    </row>
    <row r="13" spans="1:13">
      <c r="A13" s="17" t="s">
        <v>33</v>
      </c>
      <c r="B13" s="16" t="s">
        <v>888</v>
      </c>
      <c r="C13" s="16" t="s">
        <v>1399</v>
      </c>
      <c r="D13" s="16" t="s">
        <v>281</v>
      </c>
      <c r="E13" s="16" t="str">
        <f>"1,1916"</f>
        <v>1,1916</v>
      </c>
      <c r="F13" s="16" t="s">
        <v>1459</v>
      </c>
      <c r="G13" s="23" t="s">
        <v>99</v>
      </c>
      <c r="H13" s="23" t="s">
        <v>80</v>
      </c>
      <c r="I13" s="23" t="s">
        <v>49</v>
      </c>
      <c r="J13" s="17"/>
      <c r="K13" s="29" t="str">
        <f>"130,0"</f>
        <v>130,0</v>
      </c>
      <c r="L13" s="17" t="str">
        <f>"154,9080"</f>
        <v>154,9080</v>
      </c>
      <c r="M13" s="16" t="s">
        <v>889</v>
      </c>
    </row>
    <row r="14" spans="1:13">
      <c r="A14" s="21" t="s">
        <v>33</v>
      </c>
      <c r="B14" s="20" t="s">
        <v>266</v>
      </c>
      <c r="C14" s="20" t="s">
        <v>267</v>
      </c>
      <c r="D14" s="20" t="s">
        <v>268</v>
      </c>
      <c r="E14" s="20" t="str">
        <f>"1,2194"</f>
        <v>1,2194</v>
      </c>
      <c r="F14" s="20" t="s">
        <v>1459</v>
      </c>
      <c r="G14" s="26" t="s">
        <v>61</v>
      </c>
      <c r="H14" s="27" t="s">
        <v>40</v>
      </c>
      <c r="I14" s="26" t="s">
        <v>113</v>
      </c>
      <c r="J14" s="21"/>
      <c r="K14" s="30" t="str">
        <f>"157,5"</f>
        <v>157,5</v>
      </c>
      <c r="L14" s="21" t="str">
        <f>"192,0555"</f>
        <v>192,0555</v>
      </c>
      <c r="M14" s="20" t="s">
        <v>272</v>
      </c>
    </row>
    <row r="15" spans="1:13">
      <c r="A15" s="21" t="s">
        <v>219</v>
      </c>
      <c r="B15" s="20" t="s">
        <v>890</v>
      </c>
      <c r="C15" s="20" t="s">
        <v>891</v>
      </c>
      <c r="D15" s="20" t="s">
        <v>892</v>
      </c>
      <c r="E15" s="20" t="str">
        <f>"1,1832"</f>
        <v>1,1832</v>
      </c>
      <c r="F15" s="20" t="s">
        <v>1491</v>
      </c>
      <c r="G15" s="26" t="s">
        <v>61</v>
      </c>
      <c r="H15" s="27" t="s">
        <v>128</v>
      </c>
      <c r="I15" s="27" t="s">
        <v>128</v>
      </c>
      <c r="J15" s="21"/>
      <c r="K15" s="30" t="str">
        <f>"150,0"</f>
        <v>150,0</v>
      </c>
      <c r="L15" s="21" t="str">
        <f>"177,4800"</f>
        <v>177,4800</v>
      </c>
      <c r="M15" s="20" t="s">
        <v>893</v>
      </c>
    </row>
    <row r="16" spans="1:13">
      <c r="A16" s="19" t="s">
        <v>218</v>
      </c>
      <c r="B16" s="18" t="s">
        <v>894</v>
      </c>
      <c r="C16" s="18" t="s">
        <v>895</v>
      </c>
      <c r="D16" s="18" t="s">
        <v>896</v>
      </c>
      <c r="E16" s="18" t="str">
        <f>"1,1866"</f>
        <v>1,1866</v>
      </c>
      <c r="F16" s="18" t="s">
        <v>1459</v>
      </c>
      <c r="G16" s="24" t="s">
        <v>99</v>
      </c>
      <c r="H16" s="24" t="s">
        <v>328</v>
      </c>
      <c r="I16" s="24" t="s">
        <v>328</v>
      </c>
      <c r="J16" s="19"/>
      <c r="K16" s="31">
        <v>0</v>
      </c>
      <c r="L16" s="19" t="str">
        <f>"0,0000"</f>
        <v>0,0000</v>
      </c>
      <c r="M16" s="18" t="s">
        <v>897</v>
      </c>
    </row>
    <row r="17" spans="1:13">
      <c r="B17" s="5" t="s">
        <v>34</v>
      </c>
    </row>
    <row r="18" spans="1:13" ht="16">
      <c r="A18" s="61" t="s">
        <v>283</v>
      </c>
      <c r="B18" s="61"/>
      <c r="C18" s="61"/>
      <c r="D18" s="61"/>
      <c r="E18" s="61"/>
      <c r="F18" s="61"/>
      <c r="G18" s="61"/>
      <c r="H18" s="61"/>
      <c r="I18" s="61"/>
      <c r="J18" s="61"/>
    </row>
    <row r="19" spans="1:13">
      <c r="A19" s="17" t="s">
        <v>33</v>
      </c>
      <c r="B19" s="16" t="s">
        <v>898</v>
      </c>
      <c r="C19" s="16" t="s">
        <v>899</v>
      </c>
      <c r="D19" s="16" t="s">
        <v>900</v>
      </c>
      <c r="E19" s="16" t="str">
        <f>"1,1149"</f>
        <v>1,1149</v>
      </c>
      <c r="F19" s="16" t="s">
        <v>1567</v>
      </c>
      <c r="G19" s="23" t="s">
        <v>47</v>
      </c>
      <c r="H19" s="23" t="s">
        <v>99</v>
      </c>
      <c r="I19" s="22" t="s">
        <v>182</v>
      </c>
      <c r="J19" s="17"/>
      <c r="K19" s="29" t="str">
        <f>"110,0"</f>
        <v>110,0</v>
      </c>
      <c r="L19" s="17" t="str">
        <f>"122,6390"</f>
        <v>122,6390</v>
      </c>
      <c r="M19" s="16" t="s">
        <v>901</v>
      </c>
    </row>
    <row r="20" spans="1:13">
      <c r="A20" s="19" t="s">
        <v>33</v>
      </c>
      <c r="B20" s="18" t="s">
        <v>296</v>
      </c>
      <c r="C20" s="18" t="s">
        <v>1298</v>
      </c>
      <c r="D20" s="18" t="s">
        <v>297</v>
      </c>
      <c r="E20" s="18" t="str">
        <f>"1,1541"</f>
        <v>1,1541</v>
      </c>
      <c r="F20" s="18" t="s">
        <v>1579</v>
      </c>
      <c r="G20" s="24" t="s">
        <v>123</v>
      </c>
      <c r="H20" s="25" t="s">
        <v>61</v>
      </c>
      <c r="I20" s="25" t="s">
        <v>124</v>
      </c>
      <c r="J20" s="19"/>
      <c r="K20" s="31" t="str">
        <f>"152,5"</f>
        <v>152,5</v>
      </c>
      <c r="L20" s="19" t="str">
        <f>"176,0002"</f>
        <v>176,0002</v>
      </c>
      <c r="M20" s="18"/>
    </row>
    <row r="21" spans="1:13">
      <c r="B21" s="5" t="s">
        <v>34</v>
      </c>
    </row>
    <row r="22" spans="1:13" ht="16">
      <c r="A22" s="61" t="s">
        <v>51</v>
      </c>
      <c r="B22" s="61"/>
      <c r="C22" s="61"/>
      <c r="D22" s="61"/>
      <c r="E22" s="61"/>
      <c r="F22" s="61"/>
      <c r="G22" s="61"/>
      <c r="H22" s="61"/>
      <c r="I22" s="61"/>
      <c r="J22" s="61"/>
    </row>
    <row r="23" spans="1:13">
      <c r="A23" s="8" t="s">
        <v>33</v>
      </c>
      <c r="B23" s="7" t="s">
        <v>902</v>
      </c>
      <c r="C23" s="7" t="s">
        <v>1400</v>
      </c>
      <c r="D23" s="7" t="s">
        <v>903</v>
      </c>
      <c r="E23" s="7" t="str">
        <f>"1,0455"</f>
        <v>1,0455</v>
      </c>
      <c r="F23" s="7" t="s">
        <v>1459</v>
      </c>
      <c r="G23" s="15" t="s">
        <v>260</v>
      </c>
      <c r="H23" s="15" t="s">
        <v>261</v>
      </c>
      <c r="I23" s="14" t="s">
        <v>262</v>
      </c>
      <c r="J23" s="8"/>
      <c r="K23" s="32" t="str">
        <f>"70,0"</f>
        <v>70,0</v>
      </c>
      <c r="L23" s="8" t="str">
        <f>"82,8454"</f>
        <v>82,8454</v>
      </c>
      <c r="M23" s="7" t="s">
        <v>904</v>
      </c>
    </row>
    <row r="24" spans="1:13">
      <c r="B24" s="5" t="s">
        <v>34</v>
      </c>
    </row>
    <row r="25" spans="1:13" ht="16">
      <c r="A25" s="61" t="s">
        <v>73</v>
      </c>
      <c r="B25" s="61"/>
      <c r="C25" s="61"/>
      <c r="D25" s="61"/>
      <c r="E25" s="61"/>
      <c r="F25" s="61"/>
      <c r="G25" s="61"/>
      <c r="H25" s="61"/>
      <c r="I25" s="61"/>
      <c r="J25" s="61"/>
    </row>
    <row r="26" spans="1:13">
      <c r="A26" s="8" t="s">
        <v>33</v>
      </c>
      <c r="B26" s="7" t="s">
        <v>905</v>
      </c>
      <c r="C26" s="7" t="s">
        <v>906</v>
      </c>
      <c r="D26" s="7" t="s">
        <v>907</v>
      </c>
      <c r="E26" s="7" t="str">
        <f>"0,9555"</f>
        <v>0,9555</v>
      </c>
      <c r="F26" s="7" t="s">
        <v>1459</v>
      </c>
      <c r="G26" s="15" t="s">
        <v>61</v>
      </c>
      <c r="H26" s="15" t="s">
        <v>128</v>
      </c>
      <c r="I26" s="15" t="s">
        <v>908</v>
      </c>
      <c r="J26" s="8"/>
      <c r="K26" s="32" t="str">
        <f>"171,0"</f>
        <v>171,0</v>
      </c>
      <c r="L26" s="8" t="str">
        <f>"163,3905"</f>
        <v>163,3905</v>
      </c>
      <c r="M26" s="7" t="s">
        <v>893</v>
      </c>
    </row>
    <row r="27" spans="1:13">
      <c r="B27" s="5" t="s">
        <v>34</v>
      </c>
    </row>
    <row r="28" spans="1:13" ht="16">
      <c r="A28" s="61" t="s">
        <v>51</v>
      </c>
      <c r="B28" s="61"/>
      <c r="C28" s="61"/>
      <c r="D28" s="61"/>
      <c r="E28" s="61"/>
      <c r="F28" s="61"/>
      <c r="G28" s="61"/>
      <c r="H28" s="61"/>
      <c r="I28" s="61"/>
      <c r="J28" s="61"/>
    </row>
    <row r="29" spans="1:13">
      <c r="A29" s="17" t="s">
        <v>33</v>
      </c>
      <c r="B29" s="16" t="s">
        <v>909</v>
      </c>
      <c r="C29" s="16" t="s">
        <v>910</v>
      </c>
      <c r="D29" s="16" t="s">
        <v>911</v>
      </c>
      <c r="E29" s="16" t="str">
        <f>"0,8281"</f>
        <v>0,8281</v>
      </c>
      <c r="F29" s="16" t="s">
        <v>1491</v>
      </c>
      <c r="G29" s="23" t="s">
        <v>356</v>
      </c>
      <c r="H29" s="22" t="s">
        <v>61</v>
      </c>
      <c r="I29" s="22" t="s">
        <v>61</v>
      </c>
      <c r="J29" s="17"/>
      <c r="K29" s="29" t="str">
        <f>"137,5"</f>
        <v>137,5</v>
      </c>
      <c r="L29" s="17" t="str">
        <f>"113,8638"</f>
        <v>113,8638</v>
      </c>
      <c r="M29" s="16" t="s">
        <v>912</v>
      </c>
    </row>
    <row r="30" spans="1:13">
      <c r="A30" s="19" t="s">
        <v>33</v>
      </c>
      <c r="B30" s="18" t="s">
        <v>913</v>
      </c>
      <c r="C30" s="18" t="s">
        <v>914</v>
      </c>
      <c r="D30" s="18" t="s">
        <v>915</v>
      </c>
      <c r="E30" s="18" t="str">
        <f>"0,7932"</f>
        <v>0,7932</v>
      </c>
      <c r="F30" s="18" t="s">
        <v>1512</v>
      </c>
      <c r="G30" s="25" t="s">
        <v>87</v>
      </c>
      <c r="H30" s="24" t="s">
        <v>104</v>
      </c>
      <c r="I30" s="25" t="s">
        <v>104</v>
      </c>
      <c r="J30" s="19"/>
      <c r="K30" s="31" t="str">
        <f>"210,0"</f>
        <v>210,0</v>
      </c>
      <c r="L30" s="19" t="str">
        <f>"166,5720"</f>
        <v>166,5720</v>
      </c>
      <c r="M30" s="18"/>
    </row>
    <row r="31" spans="1:13">
      <c r="B31" s="5" t="s">
        <v>34</v>
      </c>
    </row>
    <row r="32" spans="1:13" ht="16">
      <c r="A32" s="61" t="s">
        <v>63</v>
      </c>
      <c r="B32" s="61"/>
      <c r="C32" s="61"/>
      <c r="D32" s="61"/>
      <c r="E32" s="61"/>
      <c r="F32" s="61"/>
      <c r="G32" s="61"/>
      <c r="H32" s="61"/>
      <c r="I32" s="61"/>
      <c r="J32" s="61"/>
    </row>
    <row r="33" spans="1:13">
      <c r="A33" s="17" t="s">
        <v>33</v>
      </c>
      <c r="B33" s="16" t="s">
        <v>660</v>
      </c>
      <c r="C33" s="16" t="s">
        <v>661</v>
      </c>
      <c r="D33" s="16" t="s">
        <v>662</v>
      </c>
      <c r="E33" s="16" t="str">
        <f>"0,6811"</f>
        <v>0,6811</v>
      </c>
      <c r="F33" s="16" t="s">
        <v>1584</v>
      </c>
      <c r="G33" s="23" t="s">
        <v>56</v>
      </c>
      <c r="H33" s="23" t="s">
        <v>40</v>
      </c>
      <c r="I33" s="23" t="s">
        <v>41</v>
      </c>
      <c r="J33" s="17"/>
      <c r="K33" s="29" t="str">
        <f>"165,0"</f>
        <v>165,0</v>
      </c>
      <c r="L33" s="17" t="str">
        <f>"112,3815"</f>
        <v>112,3815</v>
      </c>
      <c r="M33" s="16" t="s">
        <v>1245</v>
      </c>
    </row>
    <row r="34" spans="1:13">
      <c r="A34" s="21" t="s">
        <v>33</v>
      </c>
      <c r="B34" s="20" t="s">
        <v>916</v>
      </c>
      <c r="C34" s="20" t="s">
        <v>917</v>
      </c>
      <c r="D34" s="20" t="s">
        <v>918</v>
      </c>
      <c r="E34" s="20" t="str">
        <f>"0,6795"</f>
        <v>0,6795</v>
      </c>
      <c r="F34" s="20" t="s">
        <v>1586</v>
      </c>
      <c r="G34" s="26" t="s">
        <v>17</v>
      </c>
      <c r="H34" s="26" t="s">
        <v>39</v>
      </c>
      <c r="I34" s="26" t="s">
        <v>21</v>
      </c>
      <c r="J34" s="21"/>
      <c r="K34" s="30" t="str">
        <f>"255,0"</f>
        <v>255,0</v>
      </c>
      <c r="L34" s="21" t="str">
        <f>"173,2725"</f>
        <v>173,2725</v>
      </c>
      <c r="M34" s="20"/>
    </row>
    <row r="35" spans="1:13">
      <c r="A35" s="21" t="s">
        <v>219</v>
      </c>
      <c r="B35" s="20" t="s">
        <v>448</v>
      </c>
      <c r="C35" s="20" t="s">
        <v>449</v>
      </c>
      <c r="D35" s="20" t="s">
        <v>450</v>
      </c>
      <c r="E35" s="20" t="str">
        <f>"0,6764"</f>
        <v>0,6764</v>
      </c>
      <c r="F35" s="20" t="s">
        <v>1588</v>
      </c>
      <c r="G35" s="26" t="s">
        <v>104</v>
      </c>
      <c r="H35" s="26" t="s">
        <v>105</v>
      </c>
      <c r="I35" s="26" t="s">
        <v>106</v>
      </c>
      <c r="J35" s="21"/>
      <c r="K35" s="30" t="str">
        <f>"225,0"</f>
        <v>225,0</v>
      </c>
      <c r="L35" s="21" t="str">
        <f>"152,1900"</f>
        <v>152,1900</v>
      </c>
      <c r="M35" s="20"/>
    </row>
    <row r="36" spans="1:13">
      <c r="A36" s="21" t="s">
        <v>220</v>
      </c>
      <c r="B36" s="20" t="s">
        <v>919</v>
      </c>
      <c r="C36" s="20" t="s">
        <v>920</v>
      </c>
      <c r="D36" s="20" t="s">
        <v>921</v>
      </c>
      <c r="E36" s="20" t="str">
        <f>"0,6838"</f>
        <v>0,6838</v>
      </c>
      <c r="F36" s="20" t="s">
        <v>1459</v>
      </c>
      <c r="G36" s="26" t="s">
        <v>19</v>
      </c>
      <c r="H36" s="27" t="s">
        <v>69</v>
      </c>
      <c r="I36" s="27" t="s">
        <v>69</v>
      </c>
      <c r="J36" s="21"/>
      <c r="K36" s="30" t="str">
        <f>"170,0"</f>
        <v>170,0</v>
      </c>
      <c r="L36" s="21" t="str">
        <f>"116,2460"</f>
        <v>116,2460</v>
      </c>
      <c r="M36" s="20" t="s">
        <v>946</v>
      </c>
    </row>
    <row r="37" spans="1:13">
      <c r="A37" s="19" t="s">
        <v>33</v>
      </c>
      <c r="B37" s="18" t="s">
        <v>922</v>
      </c>
      <c r="C37" s="18" t="s">
        <v>1401</v>
      </c>
      <c r="D37" s="18" t="s">
        <v>447</v>
      </c>
      <c r="E37" s="18" t="str">
        <f>"0,6822"</f>
        <v>0,6822</v>
      </c>
      <c r="F37" s="18" t="s">
        <v>1506</v>
      </c>
      <c r="G37" s="25" t="s">
        <v>69</v>
      </c>
      <c r="H37" s="25" t="s">
        <v>87</v>
      </c>
      <c r="I37" s="25" t="s">
        <v>88</v>
      </c>
      <c r="J37" s="19"/>
      <c r="K37" s="31" t="str">
        <f>"205,0"</f>
        <v>205,0</v>
      </c>
      <c r="L37" s="19" t="str">
        <f>"140,5503"</f>
        <v>140,5503</v>
      </c>
      <c r="M37" s="18"/>
    </row>
    <row r="38" spans="1:13">
      <c r="B38" s="5" t="s">
        <v>34</v>
      </c>
    </row>
    <row r="39" spans="1:13" ht="16">
      <c r="A39" s="61" t="s">
        <v>14</v>
      </c>
      <c r="B39" s="61"/>
      <c r="C39" s="61"/>
      <c r="D39" s="61"/>
      <c r="E39" s="61"/>
      <c r="F39" s="61"/>
      <c r="G39" s="61"/>
      <c r="H39" s="61"/>
      <c r="I39" s="61"/>
      <c r="J39" s="61"/>
    </row>
    <row r="40" spans="1:13">
      <c r="A40" s="17" t="s">
        <v>33</v>
      </c>
      <c r="B40" s="16" t="s">
        <v>923</v>
      </c>
      <c r="C40" s="16" t="s">
        <v>924</v>
      </c>
      <c r="D40" s="16" t="s">
        <v>121</v>
      </c>
      <c r="E40" s="16" t="str">
        <f>"0,6499"</f>
        <v>0,6499</v>
      </c>
      <c r="F40" s="16" t="s">
        <v>1549</v>
      </c>
      <c r="G40" s="22" t="s">
        <v>114</v>
      </c>
      <c r="H40" s="23" t="s">
        <v>114</v>
      </c>
      <c r="I40" s="22" t="s">
        <v>108</v>
      </c>
      <c r="J40" s="17"/>
      <c r="K40" s="29" t="str">
        <f>"245,0"</f>
        <v>245,0</v>
      </c>
      <c r="L40" s="17" t="str">
        <f>"159,2255"</f>
        <v>159,2255</v>
      </c>
      <c r="M40" s="16" t="s">
        <v>925</v>
      </c>
    </row>
    <row r="41" spans="1:13">
      <c r="A41" s="21" t="s">
        <v>219</v>
      </c>
      <c r="B41" s="20" t="s">
        <v>364</v>
      </c>
      <c r="C41" s="20" t="s">
        <v>365</v>
      </c>
      <c r="D41" s="20" t="s">
        <v>366</v>
      </c>
      <c r="E41" s="20" t="str">
        <f>"0,6410"</f>
        <v>0,6410</v>
      </c>
      <c r="F41" s="20" t="s">
        <v>1473</v>
      </c>
      <c r="G41" s="26" t="s">
        <v>105</v>
      </c>
      <c r="H41" s="27" t="s">
        <v>17</v>
      </c>
      <c r="I41" s="26" t="s">
        <v>17</v>
      </c>
      <c r="J41" s="21"/>
      <c r="K41" s="30" t="str">
        <f>"240,0"</f>
        <v>240,0</v>
      </c>
      <c r="L41" s="21" t="str">
        <f>"153,8400"</f>
        <v>153,8400</v>
      </c>
      <c r="M41" s="20"/>
    </row>
    <row r="42" spans="1:13">
      <c r="A42" s="21" t="s">
        <v>220</v>
      </c>
      <c r="B42" s="20" t="s">
        <v>371</v>
      </c>
      <c r="C42" s="20" t="s">
        <v>372</v>
      </c>
      <c r="D42" s="20" t="s">
        <v>373</v>
      </c>
      <c r="E42" s="20" t="str">
        <f>"0,6463"</f>
        <v>0,6463</v>
      </c>
      <c r="F42" s="20" t="s">
        <v>1475</v>
      </c>
      <c r="G42" s="26" t="s">
        <v>105</v>
      </c>
      <c r="H42" s="27" t="s">
        <v>94</v>
      </c>
      <c r="I42" s="27" t="s">
        <v>94</v>
      </c>
      <c r="J42" s="21"/>
      <c r="K42" s="30" t="str">
        <f>"220,0"</f>
        <v>220,0</v>
      </c>
      <c r="L42" s="21" t="str">
        <f>"142,1860"</f>
        <v>142,1860</v>
      </c>
      <c r="M42" s="20"/>
    </row>
    <row r="43" spans="1:13">
      <c r="A43" s="21" t="s">
        <v>33</v>
      </c>
      <c r="B43" s="20" t="s">
        <v>926</v>
      </c>
      <c r="C43" s="20" t="s">
        <v>1402</v>
      </c>
      <c r="D43" s="20" t="s">
        <v>713</v>
      </c>
      <c r="E43" s="20" t="str">
        <f>"0,6471"</f>
        <v>0,6471</v>
      </c>
      <c r="F43" s="20" t="s">
        <v>1529</v>
      </c>
      <c r="G43" s="26" t="s">
        <v>90</v>
      </c>
      <c r="H43" s="26" t="s">
        <v>105</v>
      </c>
      <c r="I43" s="27" t="s">
        <v>38</v>
      </c>
      <c r="J43" s="21"/>
      <c r="K43" s="30" t="str">
        <f>"220,0"</f>
        <v>220,0</v>
      </c>
      <c r="L43" s="21" t="str">
        <f>"150,9037"</f>
        <v>150,9037</v>
      </c>
      <c r="M43" s="20" t="s">
        <v>440</v>
      </c>
    </row>
    <row r="44" spans="1:13">
      <c r="A44" s="21" t="s">
        <v>33</v>
      </c>
      <c r="B44" s="20" t="s">
        <v>927</v>
      </c>
      <c r="C44" s="20" t="s">
        <v>1403</v>
      </c>
      <c r="D44" s="20" t="s">
        <v>928</v>
      </c>
      <c r="E44" s="20" t="str">
        <f>"0,6519"</f>
        <v>0,6519</v>
      </c>
      <c r="F44" s="20" t="s">
        <v>1506</v>
      </c>
      <c r="G44" s="26" t="s">
        <v>87</v>
      </c>
      <c r="H44" s="26" t="s">
        <v>127</v>
      </c>
      <c r="I44" s="26" t="s">
        <v>38</v>
      </c>
      <c r="J44" s="21"/>
      <c r="K44" s="30" t="str">
        <f>"230,0"</f>
        <v>230,0</v>
      </c>
      <c r="L44" s="21" t="str">
        <f>"206,9131"</f>
        <v>206,9131</v>
      </c>
      <c r="M44" s="20"/>
    </row>
    <row r="45" spans="1:13">
      <c r="A45" s="19" t="s">
        <v>219</v>
      </c>
      <c r="B45" s="18" t="s">
        <v>929</v>
      </c>
      <c r="C45" s="18" t="s">
        <v>1404</v>
      </c>
      <c r="D45" s="18" t="s">
        <v>928</v>
      </c>
      <c r="E45" s="18" t="str">
        <f>"0,6519"</f>
        <v>0,6519</v>
      </c>
      <c r="F45" s="18" t="s">
        <v>1528</v>
      </c>
      <c r="G45" s="25" t="s">
        <v>69</v>
      </c>
      <c r="H45" s="24" t="s">
        <v>88</v>
      </c>
      <c r="I45" s="24" t="s">
        <v>88</v>
      </c>
      <c r="J45" s="19"/>
      <c r="K45" s="31" t="str">
        <f>"190,0"</f>
        <v>190,0</v>
      </c>
      <c r="L45" s="19" t="str">
        <f>"182,0757"</f>
        <v>182,0757</v>
      </c>
      <c r="M45" s="18"/>
    </row>
    <row r="46" spans="1:13">
      <c r="B46" s="5" t="s">
        <v>34</v>
      </c>
    </row>
    <row r="47" spans="1:13" ht="16">
      <c r="A47" s="61" t="s">
        <v>130</v>
      </c>
      <c r="B47" s="61"/>
      <c r="C47" s="61"/>
      <c r="D47" s="61"/>
      <c r="E47" s="61"/>
      <c r="F47" s="61"/>
      <c r="G47" s="61"/>
      <c r="H47" s="61"/>
      <c r="I47" s="61"/>
      <c r="J47" s="61"/>
    </row>
    <row r="48" spans="1:13">
      <c r="A48" s="17" t="s">
        <v>33</v>
      </c>
      <c r="B48" s="16" t="s">
        <v>930</v>
      </c>
      <c r="C48" s="16" t="s">
        <v>931</v>
      </c>
      <c r="D48" s="16" t="s">
        <v>932</v>
      </c>
      <c r="E48" s="16" t="str">
        <f>"0,6155"</f>
        <v>0,6155</v>
      </c>
      <c r="F48" s="16" t="s">
        <v>1581</v>
      </c>
      <c r="G48" s="23" t="s">
        <v>169</v>
      </c>
      <c r="H48" s="22" t="s">
        <v>933</v>
      </c>
      <c r="I48" s="22" t="s">
        <v>933</v>
      </c>
      <c r="J48" s="17"/>
      <c r="K48" s="29" t="str">
        <f>"305,0"</f>
        <v>305,0</v>
      </c>
      <c r="L48" s="17" t="str">
        <f>"187,7275"</f>
        <v>187,7275</v>
      </c>
      <c r="M48" s="16"/>
    </row>
    <row r="49" spans="1:13">
      <c r="A49" s="21" t="s">
        <v>219</v>
      </c>
      <c r="B49" s="20" t="s">
        <v>934</v>
      </c>
      <c r="C49" s="20" t="s">
        <v>935</v>
      </c>
      <c r="D49" s="20" t="s">
        <v>936</v>
      </c>
      <c r="E49" s="20" t="str">
        <f>"0,6158"</f>
        <v>0,6158</v>
      </c>
      <c r="F49" s="20" t="s">
        <v>1459</v>
      </c>
      <c r="G49" s="26" t="s">
        <v>105</v>
      </c>
      <c r="H49" s="26" t="s">
        <v>17</v>
      </c>
      <c r="I49" s="27" t="s">
        <v>39</v>
      </c>
      <c r="J49" s="21"/>
      <c r="K49" s="30" t="str">
        <f>"240,0"</f>
        <v>240,0</v>
      </c>
      <c r="L49" s="21" t="str">
        <f>"147,7920"</f>
        <v>147,7920</v>
      </c>
      <c r="M49" s="20"/>
    </row>
    <row r="50" spans="1:13">
      <c r="A50" s="21" t="s">
        <v>33</v>
      </c>
      <c r="B50" s="20" t="s">
        <v>937</v>
      </c>
      <c r="C50" s="20" t="s">
        <v>1405</v>
      </c>
      <c r="D50" s="20" t="s">
        <v>938</v>
      </c>
      <c r="E50" s="20" t="str">
        <f>"0,6292"</f>
        <v>0,6292</v>
      </c>
      <c r="F50" s="20" t="s">
        <v>1558</v>
      </c>
      <c r="G50" s="26" t="s">
        <v>127</v>
      </c>
      <c r="H50" s="27" t="s">
        <v>106</v>
      </c>
      <c r="I50" s="26" t="s">
        <v>106</v>
      </c>
      <c r="J50" s="21"/>
      <c r="K50" s="30" t="str">
        <f>"225,0"</f>
        <v>225,0</v>
      </c>
      <c r="L50" s="21" t="str">
        <f>"173,8480"</f>
        <v>173,8480</v>
      </c>
      <c r="M50" s="20" t="s">
        <v>939</v>
      </c>
    </row>
    <row r="51" spans="1:13">
      <c r="A51" s="19" t="s">
        <v>33</v>
      </c>
      <c r="B51" s="18" t="s">
        <v>872</v>
      </c>
      <c r="C51" s="18" t="s">
        <v>1406</v>
      </c>
      <c r="D51" s="18" t="s">
        <v>873</v>
      </c>
      <c r="E51" s="18" t="str">
        <f>"0,6272"</f>
        <v>0,6272</v>
      </c>
      <c r="F51" s="18" t="s">
        <v>1552</v>
      </c>
      <c r="G51" s="25" t="s">
        <v>40</v>
      </c>
      <c r="H51" s="25" t="s">
        <v>41</v>
      </c>
      <c r="I51" s="25" t="s">
        <v>19</v>
      </c>
      <c r="J51" s="25" t="s">
        <v>187</v>
      </c>
      <c r="K51" s="31" t="str">
        <f>"170,0"</f>
        <v>170,0</v>
      </c>
      <c r="L51" s="19" t="str">
        <f>"198,3206"</f>
        <v>198,3206</v>
      </c>
      <c r="M51" s="18"/>
    </row>
    <row r="52" spans="1:13">
      <c r="B52" s="5" t="s">
        <v>34</v>
      </c>
    </row>
    <row r="53" spans="1:13" ht="16">
      <c r="A53" s="61" t="s">
        <v>35</v>
      </c>
      <c r="B53" s="61"/>
      <c r="C53" s="61"/>
      <c r="D53" s="61"/>
      <c r="E53" s="61"/>
      <c r="F53" s="61"/>
      <c r="G53" s="61"/>
      <c r="H53" s="61"/>
      <c r="I53" s="61"/>
      <c r="J53" s="61"/>
    </row>
    <row r="54" spans="1:13">
      <c r="A54" s="17" t="s">
        <v>33</v>
      </c>
      <c r="B54" s="16" t="s">
        <v>940</v>
      </c>
      <c r="C54" s="16" t="s">
        <v>1407</v>
      </c>
      <c r="D54" s="16" t="s">
        <v>173</v>
      </c>
      <c r="E54" s="16" t="str">
        <f>"0,5897"</f>
        <v>0,5897</v>
      </c>
      <c r="F54" s="16" t="s">
        <v>1459</v>
      </c>
      <c r="G54" s="22" t="s">
        <v>144</v>
      </c>
      <c r="H54" s="23" t="s">
        <v>144</v>
      </c>
      <c r="I54" s="22" t="s">
        <v>941</v>
      </c>
      <c r="J54" s="17"/>
      <c r="K54" s="29" t="str">
        <f>"285,0"</f>
        <v>285,0</v>
      </c>
      <c r="L54" s="17" t="str">
        <f>"168,0645"</f>
        <v>168,0645</v>
      </c>
      <c r="M54" s="16" t="s">
        <v>575</v>
      </c>
    </row>
    <row r="55" spans="1:13">
      <c r="A55" s="21" t="s">
        <v>33</v>
      </c>
      <c r="B55" s="20" t="s">
        <v>940</v>
      </c>
      <c r="C55" s="20" t="s">
        <v>942</v>
      </c>
      <c r="D55" s="20" t="s">
        <v>173</v>
      </c>
      <c r="E55" s="20" t="str">
        <f>"0,5897"</f>
        <v>0,5897</v>
      </c>
      <c r="F55" s="20" t="s">
        <v>1459</v>
      </c>
      <c r="G55" s="27" t="s">
        <v>144</v>
      </c>
      <c r="H55" s="26" t="s">
        <v>144</v>
      </c>
      <c r="I55" s="27" t="s">
        <v>941</v>
      </c>
      <c r="J55" s="21"/>
      <c r="K55" s="30" t="str">
        <f>"285,0"</f>
        <v>285,0</v>
      </c>
      <c r="L55" s="21" t="str">
        <f>"168,0645"</f>
        <v>168,0645</v>
      </c>
      <c r="M55" s="20" t="s">
        <v>575</v>
      </c>
    </row>
    <row r="56" spans="1:13">
      <c r="A56" s="21" t="s">
        <v>219</v>
      </c>
      <c r="B56" s="20" t="s">
        <v>943</v>
      </c>
      <c r="C56" s="20" t="s">
        <v>944</v>
      </c>
      <c r="D56" s="20" t="s">
        <v>945</v>
      </c>
      <c r="E56" s="20" t="str">
        <f>"0,5930"</f>
        <v>0,5930</v>
      </c>
      <c r="F56" s="20" t="s">
        <v>1459</v>
      </c>
      <c r="G56" s="26" t="s">
        <v>82</v>
      </c>
      <c r="H56" s="26" t="s">
        <v>196</v>
      </c>
      <c r="I56" s="27" t="s">
        <v>145</v>
      </c>
      <c r="J56" s="21"/>
      <c r="K56" s="30" t="str">
        <f>"282,5"</f>
        <v>282,5</v>
      </c>
      <c r="L56" s="21" t="str">
        <f>"167,5225"</f>
        <v>167,5225</v>
      </c>
      <c r="M56" s="20" t="s">
        <v>946</v>
      </c>
    </row>
    <row r="57" spans="1:13">
      <c r="A57" s="19" t="s">
        <v>33</v>
      </c>
      <c r="B57" s="18" t="s">
        <v>180</v>
      </c>
      <c r="C57" s="18" t="s">
        <v>1309</v>
      </c>
      <c r="D57" s="18" t="s">
        <v>181</v>
      </c>
      <c r="E57" s="18" t="str">
        <f>"0,6044"</f>
        <v>0,6044</v>
      </c>
      <c r="F57" s="18" t="s">
        <v>1587</v>
      </c>
      <c r="G57" s="25" t="s">
        <v>56</v>
      </c>
      <c r="H57" s="25" t="s">
        <v>61</v>
      </c>
      <c r="I57" s="24" t="s">
        <v>19</v>
      </c>
      <c r="J57" s="19"/>
      <c r="K57" s="31" t="str">
        <f>"150,0"</f>
        <v>150,0</v>
      </c>
      <c r="L57" s="19" t="str">
        <f>"104,2590"</f>
        <v>104,2590</v>
      </c>
      <c r="M57" s="18" t="s">
        <v>183</v>
      </c>
    </row>
    <row r="58" spans="1:13">
      <c r="B58" s="5" t="s">
        <v>34</v>
      </c>
    </row>
    <row r="59" spans="1:13" ht="16">
      <c r="A59" s="61" t="s">
        <v>184</v>
      </c>
      <c r="B59" s="61"/>
      <c r="C59" s="61"/>
      <c r="D59" s="61"/>
      <c r="E59" s="61"/>
      <c r="F59" s="61"/>
      <c r="G59" s="61"/>
      <c r="H59" s="61"/>
      <c r="I59" s="61"/>
      <c r="J59" s="61"/>
    </row>
    <row r="60" spans="1:13">
      <c r="A60" s="17" t="s">
        <v>33</v>
      </c>
      <c r="B60" s="16" t="s">
        <v>386</v>
      </c>
      <c r="C60" s="16" t="s">
        <v>1305</v>
      </c>
      <c r="D60" s="16" t="s">
        <v>387</v>
      </c>
      <c r="E60" s="16" t="str">
        <f>"0,5772"</f>
        <v>0,5772</v>
      </c>
      <c r="F60" s="16" t="s">
        <v>1477</v>
      </c>
      <c r="G60" s="22" t="s">
        <v>106</v>
      </c>
      <c r="H60" s="23" t="s">
        <v>947</v>
      </c>
      <c r="I60" s="22" t="s">
        <v>941</v>
      </c>
      <c r="J60" s="17"/>
      <c r="K60" s="29" t="str">
        <f>"257,5"</f>
        <v>257,5</v>
      </c>
      <c r="L60" s="17" t="str">
        <f>"148,6290"</f>
        <v>148,6290</v>
      </c>
      <c r="M60" s="16" t="s">
        <v>1441</v>
      </c>
    </row>
    <row r="61" spans="1:13">
      <c r="A61" s="19" t="s">
        <v>33</v>
      </c>
      <c r="B61" s="18" t="s">
        <v>948</v>
      </c>
      <c r="C61" s="18" t="s">
        <v>949</v>
      </c>
      <c r="D61" s="18" t="s">
        <v>950</v>
      </c>
      <c r="E61" s="18" t="str">
        <f>"0,5738"</f>
        <v>0,5738</v>
      </c>
      <c r="F61" s="18" t="s">
        <v>1459</v>
      </c>
      <c r="G61" s="25" t="s">
        <v>106</v>
      </c>
      <c r="H61" s="25" t="s">
        <v>39</v>
      </c>
      <c r="I61" s="25" t="s">
        <v>82</v>
      </c>
      <c r="J61" s="19"/>
      <c r="K61" s="31" t="str">
        <f>"260,0"</f>
        <v>260,0</v>
      </c>
      <c r="L61" s="19" t="str">
        <f>"149,1880"</f>
        <v>149,1880</v>
      </c>
      <c r="M61" s="18" t="s">
        <v>115</v>
      </c>
    </row>
    <row r="62" spans="1:13">
      <c r="B62" s="5" t="s">
        <v>34</v>
      </c>
    </row>
    <row r="63" spans="1:13" ht="16">
      <c r="A63" s="61" t="s">
        <v>198</v>
      </c>
      <c r="B63" s="61"/>
      <c r="C63" s="61"/>
      <c r="D63" s="61"/>
      <c r="E63" s="61"/>
      <c r="F63" s="61"/>
      <c r="G63" s="61"/>
      <c r="H63" s="61"/>
      <c r="I63" s="61"/>
      <c r="J63" s="61"/>
    </row>
    <row r="64" spans="1:13">
      <c r="A64" s="8" t="s">
        <v>33</v>
      </c>
      <c r="B64" s="7" t="s">
        <v>951</v>
      </c>
      <c r="C64" s="7" t="s">
        <v>1408</v>
      </c>
      <c r="D64" s="7" t="s">
        <v>952</v>
      </c>
      <c r="E64" s="7" t="str">
        <f>"0,5687"</f>
        <v>0,5687</v>
      </c>
      <c r="F64" s="7" t="s">
        <v>1535</v>
      </c>
      <c r="G64" s="15" t="s">
        <v>142</v>
      </c>
      <c r="H64" s="15" t="s">
        <v>953</v>
      </c>
      <c r="I64" s="14" t="s">
        <v>145</v>
      </c>
      <c r="J64" s="8"/>
      <c r="K64" s="32" t="str">
        <f>"277,5"</f>
        <v>277,5</v>
      </c>
      <c r="L64" s="8" t="str">
        <f>"170,1238"</f>
        <v>170,1238</v>
      </c>
      <c r="M64" s="7"/>
    </row>
    <row r="65" spans="2:6">
      <c r="B65" s="5" t="s">
        <v>34</v>
      </c>
    </row>
    <row r="68" spans="2:6" ht="18">
      <c r="B68" s="9" t="s">
        <v>24</v>
      </c>
      <c r="C68" s="9"/>
    </row>
    <row r="69" spans="2:6" ht="16">
      <c r="B69" s="10" t="s">
        <v>205</v>
      </c>
      <c r="C69" s="10"/>
    </row>
    <row r="70" spans="2:6" ht="14">
      <c r="B70" s="11"/>
      <c r="C70" s="12" t="s">
        <v>207</v>
      </c>
    </row>
    <row r="71" spans="2:6" ht="14">
      <c r="B71" s="13" t="s">
        <v>27</v>
      </c>
      <c r="C71" s="13" t="s">
        <v>28</v>
      </c>
      <c r="D71" s="13" t="s">
        <v>1437</v>
      </c>
      <c r="E71" s="13" t="s">
        <v>593</v>
      </c>
      <c r="F71" s="13" t="s">
        <v>31</v>
      </c>
    </row>
    <row r="72" spans="2:6">
      <c r="B72" s="5" t="s">
        <v>266</v>
      </c>
      <c r="C72" s="5" t="s">
        <v>207</v>
      </c>
      <c r="D72" s="6" t="s">
        <v>391</v>
      </c>
      <c r="E72" s="6" t="s">
        <v>113</v>
      </c>
      <c r="F72" s="6" t="s">
        <v>954</v>
      </c>
    </row>
    <row r="73" spans="2:6">
      <c r="B73" s="5" t="s">
        <v>890</v>
      </c>
      <c r="C73" s="5" t="s">
        <v>207</v>
      </c>
      <c r="D73" s="6" t="s">
        <v>391</v>
      </c>
      <c r="E73" s="6" t="s">
        <v>61</v>
      </c>
      <c r="F73" s="6" t="s">
        <v>955</v>
      </c>
    </row>
    <row r="74" spans="2:6">
      <c r="B74" s="5" t="s">
        <v>905</v>
      </c>
      <c r="C74" s="5" t="s">
        <v>207</v>
      </c>
      <c r="D74" s="6" t="s">
        <v>395</v>
      </c>
      <c r="E74" s="6" t="s">
        <v>908</v>
      </c>
      <c r="F74" s="6" t="s">
        <v>956</v>
      </c>
    </row>
    <row r="75" spans="2:6">
      <c r="D75" s="6"/>
      <c r="E75" s="6"/>
      <c r="F75" s="6"/>
    </row>
    <row r="76" spans="2:6" ht="16">
      <c r="B76" s="10" t="s">
        <v>25</v>
      </c>
      <c r="C76" s="10"/>
    </row>
    <row r="77" spans="2:6" ht="14">
      <c r="B77" s="11"/>
      <c r="C77" s="12" t="s">
        <v>207</v>
      </c>
    </row>
    <row r="78" spans="2:6" ht="14">
      <c r="B78" s="13" t="s">
        <v>27</v>
      </c>
      <c r="C78" s="13" t="s">
        <v>28</v>
      </c>
      <c r="D78" s="13" t="s">
        <v>1437</v>
      </c>
      <c r="E78" s="13" t="s">
        <v>593</v>
      </c>
      <c r="F78" s="13" t="s">
        <v>31</v>
      </c>
    </row>
    <row r="79" spans="2:6">
      <c r="B79" s="5" t="s">
        <v>930</v>
      </c>
      <c r="C79" s="5" t="s">
        <v>207</v>
      </c>
      <c r="D79" s="6" t="s">
        <v>209</v>
      </c>
      <c r="E79" s="6" t="s">
        <v>169</v>
      </c>
      <c r="F79" s="6" t="s">
        <v>958</v>
      </c>
    </row>
    <row r="80" spans="2:6">
      <c r="B80" s="5" t="s">
        <v>916</v>
      </c>
      <c r="C80" s="5" t="s">
        <v>207</v>
      </c>
      <c r="D80" s="6" t="s">
        <v>206</v>
      </c>
      <c r="E80" s="6" t="s">
        <v>21</v>
      </c>
      <c r="F80" s="6" t="s">
        <v>959</v>
      </c>
    </row>
    <row r="81" spans="2:6">
      <c r="B81" s="5" t="s">
        <v>940</v>
      </c>
      <c r="C81" s="5" t="s">
        <v>207</v>
      </c>
      <c r="D81" s="6" t="s">
        <v>42</v>
      </c>
      <c r="E81" s="6" t="s">
        <v>144</v>
      </c>
      <c r="F81" s="6" t="s">
        <v>957</v>
      </c>
    </row>
    <row r="83" spans="2:6" ht="14">
      <c r="B83" s="11"/>
      <c r="C83" s="12" t="s">
        <v>26</v>
      </c>
    </row>
    <row r="84" spans="2:6" ht="14">
      <c r="B84" s="13" t="s">
        <v>27</v>
      </c>
      <c r="C84" s="13" t="s">
        <v>28</v>
      </c>
      <c r="D84" s="13" t="s">
        <v>1437</v>
      </c>
      <c r="E84" s="13" t="s">
        <v>593</v>
      </c>
      <c r="F84" s="13" t="s">
        <v>31</v>
      </c>
    </row>
    <row r="85" spans="2:6">
      <c r="B85" s="5" t="s">
        <v>927</v>
      </c>
      <c r="C85" s="5" t="s">
        <v>1409</v>
      </c>
      <c r="D85" s="6" t="s">
        <v>32</v>
      </c>
      <c r="E85" s="6" t="s">
        <v>38</v>
      </c>
      <c r="F85" s="6" t="s">
        <v>960</v>
      </c>
    </row>
    <row r="86" spans="2:6">
      <c r="B86" s="5" t="s">
        <v>872</v>
      </c>
      <c r="C86" s="5" t="s">
        <v>1359</v>
      </c>
      <c r="D86" s="6" t="s">
        <v>209</v>
      </c>
      <c r="E86" s="6" t="s">
        <v>19</v>
      </c>
      <c r="F86" s="6" t="s">
        <v>881</v>
      </c>
    </row>
    <row r="87" spans="2:6">
      <c r="B87" s="5" t="s">
        <v>929</v>
      </c>
      <c r="C87" s="5" t="s">
        <v>1409</v>
      </c>
      <c r="D87" s="6" t="s">
        <v>32</v>
      </c>
      <c r="E87" s="6" t="s">
        <v>69</v>
      </c>
      <c r="F87" s="6" t="s">
        <v>961</v>
      </c>
    </row>
    <row r="88" spans="2:6">
      <c r="B88" s="5" t="s">
        <v>34</v>
      </c>
    </row>
  </sheetData>
  <mergeCells count="24"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  <mergeCell ref="A5:J5"/>
    <mergeCell ref="B3:B4"/>
    <mergeCell ref="A63:J63"/>
    <mergeCell ref="A8:J8"/>
    <mergeCell ref="A12:J12"/>
    <mergeCell ref="A18:J18"/>
    <mergeCell ref="A22:J22"/>
    <mergeCell ref="A25:J25"/>
    <mergeCell ref="A28:J28"/>
    <mergeCell ref="A32:J32"/>
    <mergeCell ref="A39:J39"/>
    <mergeCell ref="A47:J47"/>
    <mergeCell ref="A53:J53"/>
    <mergeCell ref="A59:J59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M4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8.5" style="5" bestFit="1" customWidth="1"/>
    <col min="4" max="4" width="21.5" style="5" bestFit="1" customWidth="1"/>
    <col min="5" max="5" width="13" style="5" customWidth="1"/>
    <col min="6" max="6" width="22.6640625" style="5" bestFit="1" customWidth="1"/>
    <col min="7" max="10" width="5.5" style="6" customWidth="1"/>
    <col min="11" max="11" width="10.5" style="6" bestFit="1" customWidth="1"/>
    <col min="12" max="12" width="8.5" style="6" bestFit="1" customWidth="1"/>
    <col min="13" max="13" width="18.1640625" style="5" bestFit="1" customWidth="1"/>
    <col min="14" max="16384" width="9.1640625" style="3"/>
  </cols>
  <sheetData>
    <row r="1" spans="1:13" s="2" customFormat="1" ht="29" customHeight="1">
      <c r="A1" s="62" t="s">
        <v>1274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3" s="1" customFormat="1" ht="12.75" customHeight="1">
      <c r="A3" s="70" t="s">
        <v>1458</v>
      </c>
      <c r="B3" s="59" t="s">
        <v>0</v>
      </c>
      <c r="C3" s="72" t="s">
        <v>5</v>
      </c>
      <c r="D3" s="72" t="s">
        <v>8</v>
      </c>
      <c r="E3" s="74" t="s">
        <v>9</v>
      </c>
      <c r="F3" s="74" t="s">
        <v>10</v>
      </c>
      <c r="G3" s="74" t="s">
        <v>13</v>
      </c>
      <c r="H3" s="74"/>
      <c r="I3" s="74"/>
      <c r="J3" s="74"/>
      <c r="K3" s="74" t="s">
        <v>601</v>
      </c>
      <c r="L3" s="74" t="s">
        <v>3</v>
      </c>
      <c r="M3" s="77" t="s">
        <v>2</v>
      </c>
    </row>
    <row r="4" spans="1:13" s="1" customFormat="1" ht="21" customHeight="1" thickBot="1">
      <c r="A4" s="71"/>
      <c r="B4" s="60"/>
      <c r="C4" s="73"/>
      <c r="D4" s="73"/>
      <c r="E4" s="73"/>
      <c r="F4" s="73"/>
      <c r="G4" s="4">
        <v>1</v>
      </c>
      <c r="H4" s="4">
        <v>2</v>
      </c>
      <c r="I4" s="4">
        <v>3</v>
      </c>
      <c r="J4" s="4" t="s">
        <v>4</v>
      </c>
      <c r="K4" s="73"/>
      <c r="L4" s="73"/>
      <c r="M4" s="78"/>
    </row>
    <row r="5" spans="1:13" ht="16">
      <c r="A5" s="57" t="s">
        <v>222</v>
      </c>
      <c r="B5" s="57"/>
      <c r="C5" s="58"/>
      <c r="D5" s="58"/>
      <c r="E5" s="58"/>
      <c r="F5" s="58"/>
      <c r="G5" s="58"/>
      <c r="H5" s="58"/>
      <c r="I5" s="58"/>
      <c r="J5" s="58"/>
    </row>
    <row r="6" spans="1:13">
      <c r="A6" s="8" t="s">
        <v>33</v>
      </c>
      <c r="B6" s="7" t="s">
        <v>856</v>
      </c>
      <c r="C6" s="7" t="s">
        <v>857</v>
      </c>
      <c r="D6" s="7" t="s">
        <v>858</v>
      </c>
      <c r="E6" s="7" t="str">
        <f>"1,3470"</f>
        <v>1,3470</v>
      </c>
      <c r="F6" s="7" t="s">
        <v>1543</v>
      </c>
      <c r="G6" s="15" t="s">
        <v>98</v>
      </c>
      <c r="H6" s="14" t="s">
        <v>100</v>
      </c>
      <c r="I6" s="14" t="s">
        <v>100</v>
      </c>
      <c r="J6" s="8"/>
      <c r="K6" s="8" t="str">
        <f>"100,0"</f>
        <v>100,0</v>
      </c>
      <c r="L6" s="8" t="str">
        <f>"134,7000"</f>
        <v>134,7000</v>
      </c>
      <c r="M6" s="7" t="s">
        <v>511</v>
      </c>
    </row>
    <row r="7" spans="1:13">
      <c r="B7" s="5" t="s">
        <v>34</v>
      </c>
    </row>
    <row r="8" spans="1:13" ht="16">
      <c r="A8" s="61" t="s">
        <v>73</v>
      </c>
      <c r="B8" s="61"/>
      <c r="C8" s="61"/>
      <c r="D8" s="61"/>
      <c r="E8" s="61"/>
      <c r="F8" s="61"/>
      <c r="G8" s="61"/>
      <c r="H8" s="61"/>
      <c r="I8" s="61"/>
      <c r="J8" s="61"/>
    </row>
    <row r="9" spans="1:13">
      <c r="A9" s="17" t="s">
        <v>33</v>
      </c>
      <c r="B9" s="16" t="s">
        <v>74</v>
      </c>
      <c r="C9" s="16" t="s">
        <v>75</v>
      </c>
      <c r="D9" s="16" t="s">
        <v>76</v>
      </c>
      <c r="E9" s="16" t="str">
        <f>"0,7139"</f>
        <v>0,7139</v>
      </c>
      <c r="F9" s="16" t="s">
        <v>1479</v>
      </c>
      <c r="G9" s="23" t="s">
        <v>17</v>
      </c>
      <c r="H9" s="23" t="s">
        <v>82</v>
      </c>
      <c r="I9" s="22" t="s">
        <v>83</v>
      </c>
      <c r="J9" s="17"/>
      <c r="K9" s="17" t="str">
        <f>"260,0"</f>
        <v>260,0</v>
      </c>
      <c r="L9" s="17" t="str">
        <f>"185,6140"</f>
        <v>185,6140</v>
      </c>
      <c r="M9" s="16"/>
    </row>
    <row r="10" spans="1:13">
      <c r="A10" s="19" t="s">
        <v>219</v>
      </c>
      <c r="B10" s="18" t="s">
        <v>859</v>
      </c>
      <c r="C10" s="18" t="s">
        <v>860</v>
      </c>
      <c r="D10" s="18" t="s">
        <v>324</v>
      </c>
      <c r="E10" s="18" t="str">
        <f>"0,7132"</f>
        <v>0,7132</v>
      </c>
      <c r="F10" s="18" t="s">
        <v>1568</v>
      </c>
      <c r="G10" s="25" t="s">
        <v>17</v>
      </c>
      <c r="H10" s="24" t="s">
        <v>39</v>
      </c>
      <c r="I10" s="19"/>
      <c r="J10" s="19"/>
      <c r="K10" s="19" t="str">
        <f>"240,0"</f>
        <v>240,0</v>
      </c>
      <c r="L10" s="19" t="str">
        <f>"171,1680"</f>
        <v>171,1680</v>
      </c>
      <c r="M10" s="18" t="s">
        <v>861</v>
      </c>
    </row>
    <row r="11" spans="1:13">
      <c r="B11" s="5" t="s">
        <v>34</v>
      </c>
    </row>
    <row r="12" spans="1:13" ht="16">
      <c r="A12" s="61" t="s">
        <v>63</v>
      </c>
      <c r="B12" s="61"/>
      <c r="C12" s="61"/>
      <c r="D12" s="61"/>
      <c r="E12" s="61"/>
      <c r="F12" s="61"/>
      <c r="G12" s="61"/>
      <c r="H12" s="61"/>
      <c r="I12" s="61"/>
      <c r="J12" s="61"/>
    </row>
    <row r="13" spans="1:13">
      <c r="A13" s="17" t="s">
        <v>33</v>
      </c>
      <c r="B13" s="16" t="s">
        <v>92</v>
      </c>
      <c r="C13" s="16" t="s">
        <v>93</v>
      </c>
      <c r="D13" s="16" t="s">
        <v>86</v>
      </c>
      <c r="E13" s="16" t="str">
        <f>"0,6774"</f>
        <v>0,6774</v>
      </c>
      <c r="F13" s="16" t="s">
        <v>1481</v>
      </c>
      <c r="G13" s="23" t="s">
        <v>38</v>
      </c>
      <c r="H13" s="23" t="s">
        <v>17</v>
      </c>
      <c r="I13" s="22" t="s">
        <v>94</v>
      </c>
      <c r="J13" s="17"/>
      <c r="K13" s="17" t="str">
        <f>"240,0"</f>
        <v>240,0</v>
      </c>
      <c r="L13" s="17" t="str">
        <f>"162,5760"</f>
        <v>162,5760</v>
      </c>
      <c r="M13" s="16"/>
    </row>
    <row r="14" spans="1:13">
      <c r="A14" s="19" t="s">
        <v>219</v>
      </c>
      <c r="B14" s="18" t="s">
        <v>414</v>
      </c>
      <c r="C14" s="18" t="s">
        <v>415</v>
      </c>
      <c r="D14" s="18" t="s">
        <v>416</v>
      </c>
      <c r="E14" s="18" t="str">
        <f>"0,6779"</f>
        <v>0,6779</v>
      </c>
      <c r="F14" s="18" t="s">
        <v>1586</v>
      </c>
      <c r="G14" s="25" t="s">
        <v>105</v>
      </c>
      <c r="H14" s="25" t="s">
        <v>38</v>
      </c>
      <c r="I14" s="24" t="s">
        <v>39</v>
      </c>
      <c r="J14" s="19"/>
      <c r="K14" s="19" t="str">
        <f>"230,0"</f>
        <v>230,0</v>
      </c>
      <c r="L14" s="19" t="str">
        <f>"155,9170"</f>
        <v>155,9170</v>
      </c>
      <c r="M14" s="18" t="s">
        <v>417</v>
      </c>
    </row>
    <row r="15" spans="1:13">
      <c r="B15" s="5" t="s">
        <v>34</v>
      </c>
    </row>
    <row r="16" spans="1:13" ht="16">
      <c r="A16" s="61" t="s">
        <v>14</v>
      </c>
      <c r="B16" s="61"/>
      <c r="C16" s="61"/>
      <c r="D16" s="61"/>
      <c r="E16" s="61"/>
      <c r="F16" s="61"/>
      <c r="G16" s="61"/>
      <c r="H16" s="61"/>
      <c r="I16" s="61"/>
      <c r="J16" s="61"/>
    </row>
    <row r="17" spans="1:13">
      <c r="A17" s="17" t="s">
        <v>33</v>
      </c>
      <c r="B17" s="16" t="s">
        <v>862</v>
      </c>
      <c r="C17" s="16" t="s">
        <v>863</v>
      </c>
      <c r="D17" s="16" t="s">
        <v>864</v>
      </c>
      <c r="E17" s="16" t="str">
        <f>"0,6395"</f>
        <v>0,6395</v>
      </c>
      <c r="F17" s="16" t="s">
        <v>1569</v>
      </c>
      <c r="G17" s="23" t="s">
        <v>197</v>
      </c>
      <c r="H17" s="22" t="s">
        <v>168</v>
      </c>
      <c r="I17" s="23" t="s">
        <v>188</v>
      </c>
      <c r="J17" s="17"/>
      <c r="K17" s="17" t="str">
        <f>"310,0"</f>
        <v>310,0</v>
      </c>
      <c r="L17" s="17" t="str">
        <f>"198,2450"</f>
        <v>198,2450</v>
      </c>
      <c r="M17" s="16"/>
    </row>
    <row r="18" spans="1:13">
      <c r="A18" s="19" t="s">
        <v>33</v>
      </c>
      <c r="B18" s="18" t="s">
        <v>862</v>
      </c>
      <c r="C18" s="18" t="s">
        <v>1410</v>
      </c>
      <c r="D18" s="18" t="s">
        <v>864</v>
      </c>
      <c r="E18" s="18" t="str">
        <f>"0,6395"</f>
        <v>0,6395</v>
      </c>
      <c r="F18" s="18" t="s">
        <v>1569</v>
      </c>
      <c r="G18" s="25" t="s">
        <v>197</v>
      </c>
      <c r="H18" s="24" t="s">
        <v>168</v>
      </c>
      <c r="I18" s="25" t="s">
        <v>188</v>
      </c>
      <c r="J18" s="19"/>
      <c r="K18" s="19" t="str">
        <f>"310,0"</f>
        <v>310,0</v>
      </c>
      <c r="L18" s="19" t="str">
        <f>"227,9818"</f>
        <v>227,9818</v>
      </c>
      <c r="M18" s="18"/>
    </row>
    <row r="19" spans="1:13">
      <c r="B19" s="5" t="s">
        <v>34</v>
      </c>
    </row>
    <row r="20" spans="1:13" ht="16">
      <c r="A20" s="61" t="s">
        <v>130</v>
      </c>
      <c r="B20" s="61"/>
      <c r="C20" s="61"/>
      <c r="D20" s="61"/>
      <c r="E20" s="61"/>
      <c r="F20" s="61"/>
      <c r="G20" s="61"/>
      <c r="H20" s="61"/>
      <c r="I20" s="61"/>
      <c r="J20" s="61"/>
    </row>
    <row r="21" spans="1:13">
      <c r="A21" s="17" t="s">
        <v>33</v>
      </c>
      <c r="B21" s="16" t="s">
        <v>865</v>
      </c>
      <c r="C21" s="16" t="s">
        <v>866</v>
      </c>
      <c r="D21" s="16" t="s">
        <v>546</v>
      </c>
      <c r="E21" s="16" t="str">
        <f>"0,6121"</f>
        <v>0,6121</v>
      </c>
      <c r="F21" s="16" t="s">
        <v>1459</v>
      </c>
      <c r="G21" s="23" t="s">
        <v>867</v>
      </c>
      <c r="H21" s="22" t="s">
        <v>868</v>
      </c>
      <c r="I21" s="22" t="s">
        <v>868</v>
      </c>
      <c r="J21" s="17"/>
      <c r="K21" s="17" t="str">
        <f>"365,0"</f>
        <v>365,0</v>
      </c>
      <c r="L21" s="17" t="str">
        <f>"223,4165"</f>
        <v>223,4165</v>
      </c>
      <c r="M21" s="16"/>
    </row>
    <row r="22" spans="1:13">
      <c r="A22" s="21" t="s">
        <v>219</v>
      </c>
      <c r="B22" s="20" t="s">
        <v>869</v>
      </c>
      <c r="C22" s="20" t="s">
        <v>870</v>
      </c>
      <c r="D22" s="20" t="s">
        <v>871</v>
      </c>
      <c r="E22" s="20" t="str">
        <f>"0,6136"</f>
        <v>0,6136</v>
      </c>
      <c r="F22" s="20" t="s">
        <v>1570</v>
      </c>
      <c r="G22" s="26" t="s">
        <v>168</v>
      </c>
      <c r="H22" s="27" t="s">
        <v>188</v>
      </c>
      <c r="I22" s="26" t="s">
        <v>188</v>
      </c>
      <c r="J22" s="21"/>
      <c r="K22" s="21" t="str">
        <f>"310,0"</f>
        <v>310,0</v>
      </c>
      <c r="L22" s="21" t="str">
        <f>"190,2160"</f>
        <v>190,2160</v>
      </c>
      <c r="M22" s="20" t="s">
        <v>1453</v>
      </c>
    </row>
    <row r="23" spans="1:13">
      <c r="A23" s="19" t="s">
        <v>33</v>
      </c>
      <c r="B23" s="18" t="s">
        <v>872</v>
      </c>
      <c r="C23" s="18" t="s">
        <v>1406</v>
      </c>
      <c r="D23" s="18" t="s">
        <v>873</v>
      </c>
      <c r="E23" s="18" t="str">
        <f>"0,6272"</f>
        <v>0,6272</v>
      </c>
      <c r="F23" s="18" t="s">
        <v>1552</v>
      </c>
      <c r="G23" s="25" t="s">
        <v>40</v>
      </c>
      <c r="H23" s="25" t="s">
        <v>41</v>
      </c>
      <c r="I23" s="25" t="s">
        <v>19</v>
      </c>
      <c r="J23" s="25" t="s">
        <v>187</v>
      </c>
      <c r="K23" s="19" t="str">
        <f>"170,0"</f>
        <v>170,0</v>
      </c>
      <c r="L23" s="19" t="str">
        <f>"198,3206"</f>
        <v>198,3206</v>
      </c>
      <c r="M23" s="18"/>
    </row>
    <row r="24" spans="1:13">
      <c r="B24" s="5" t="s">
        <v>34</v>
      </c>
    </row>
    <row r="25" spans="1:13" ht="16">
      <c r="A25" s="61" t="s">
        <v>35</v>
      </c>
      <c r="B25" s="61"/>
      <c r="C25" s="61"/>
      <c r="D25" s="61"/>
      <c r="E25" s="61"/>
      <c r="F25" s="61"/>
      <c r="G25" s="61"/>
      <c r="H25" s="61"/>
      <c r="I25" s="61"/>
      <c r="J25" s="61"/>
    </row>
    <row r="26" spans="1:13">
      <c r="A26" s="8" t="s">
        <v>33</v>
      </c>
      <c r="B26" s="7" t="s">
        <v>874</v>
      </c>
      <c r="C26" s="7" t="s">
        <v>875</v>
      </c>
      <c r="D26" s="7" t="s">
        <v>756</v>
      </c>
      <c r="E26" s="7" t="str">
        <f>"0,5903"</f>
        <v>0,5903</v>
      </c>
      <c r="F26" s="7" t="s">
        <v>1463</v>
      </c>
      <c r="G26" s="15" t="s">
        <v>17</v>
      </c>
      <c r="H26" s="15" t="s">
        <v>82</v>
      </c>
      <c r="I26" s="14" t="s">
        <v>197</v>
      </c>
      <c r="J26" s="8"/>
      <c r="K26" s="8" t="str">
        <f>"260,0"</f>
        <v>260,0</v>
      </c>
      <c r="L26" s="8" t="str">
        <f>"153,4780"</f>
        <v>153,4780</v>
      </c>
      <c r="M26" s="7" t="s">
        <v>579</v>
      </c>
    </row>
    <row r="27" spans="1:13">
      <c r="B27" s="5" t="s">
        <v>34</v>
      </c>
    </row>
    <row r="28" spans="1:13" ht="16">
      <c r="A28" s="61" t="s">
        <v>184</v>
      </c>
      <c r="B28" s="61"/>
      <c r="C28" s="61"/>
      <c r="D28" s="61"/>
      <c r="E28" s="61"/>
      <c r="F28" s="61"/>
      <c r="G28" s="61"/>
      <c r="H28" s="61"/>
      <c r="I28" s="61"/>
      <c r="J28" s="61"/>
    </row>
    <row r="29" spans="1:13">
      <c r="A29" s="8" t="s">
        <v>33</v>
      </c>
      <c r="B29" s="7" t="s">
        <v>876</v>
      </c>
      <c r="C29" s="7" t="s">
        <v>1411</v>
      </c>
      <c r="D29" s="7" t="s">
        <v>877</v>
      </c>
      <c r="E29" s="7" t="str">
        <f>"0,5715"</f>
        <v>0,5715</v>
      </c>
      <c r="F29" s="7" t="s">
        <v>1459</v>
      </c>
      <c r="G29" s="15" t="s">
        <v>197</v>
      </c>
      <c r="H29" s="15" t="s">
        <v>149</v>
      </c>
      <c r="I29" s="14" t="s">
        <v>168</v>
      </c>
      <c r="J29" s="8"/>
      <c r="K29" s="8" t="str">
        <f>"292,5"</f>
        <v>292,5</v>
      </c>
      <c r="L29" s="8" t="str">
        <f>"186,2204"</f>
        <v>186,2204</v>
      </c>
      <c r="M29" s="7"/>
    </row>
    <row r="30" spans="1:13">
      <c r="B30" s="5" t="s">
        <v>34</v>
      </c>
    </row>
    <row r="33" spans="2:6" ht="18">
      <c r="B33" s="9" t="s">
        <v>24</v>
      </c>
      <c r="C33" s="9"/>
    </row>
    <row r="34" spans="2:6" ht="16">
      <c r="B34" s="10" t="s">
        <v>25</v>
      </c>
      <c r="C34" s="10"/>
    </row>
    <row r="35" spans="2:6" ht="14">
      <c r="B35" s="11"/>
      <c r="C35" s="12" t="s">
        <v>207</v>
      </c>
    </row>
    <row r="36" spans="2:6" ht="14">
      <c r="B36" s="13" t="s">
        <v>27</v>
      </c>
      <c r="C36" s="13" t="s">
        <v>28</v>
      </c>
      <c r="D36" s="13" t="s">
        <v>1437</v>
      </c>
      <c r="E36" s="13" t="s">
        <v>593</v>
      </c>
      <c r="F36" s="13" t="s">
        <v>31</v>
      </c>
    </row>
    <row r="37" spans="2:6">
      <c r="B37" s="5" t="s">
        <v>865</v>
      </c>
      <c r="C37" s="5" t="s">
        <v>207</v>
      </c>
      <c r="D37" s="6" t="s">
        <v>209</v>
      </c>
      <c r="E37" s="6" t="s">
        <v>867</v>
      </c>
      <c r="F37" s="6" t="s">
        <v>878</v>
      </c>
    </row>
    <row r="38" spans="2:6">
      <c r="B38" s="5" t="s">
        <v>862</v>
      </c>
      <c r="C38" s="5" t="s">
        <v>207</v>
      </c>
      <c r="D38" s="6" t="s">
        <v>32</v>
      </c>
      <c r="E38" s="6" t="s">
        <v>188</v>
      </c>
      <c r="F38" s="6" t="s">
        <v>879</v>
      </c>
    </row>
    <row r="39" spans="2:6">
      <c r="B39" s="5" t="s">
        <v>869</v>
      </c>
      <c r="C39" s="5" t="s">
        <v>207</v>
      </c>
      <c r="D39" s="6" t="s">
        <v>209</v>
      </c>
      <c r="E39" s="6" t="s">
        <v>188</v>
      </c>
      <c r="F39" s="6" t="s">
        <v>880</v>
      </c>
    </row>
    <row r="40" spans="2:6">
      <c r="B40" s="5" t="s">
        <v>34</v>
      </c>
    </row>
  </sheetData>
  <mergeCells count="18">
    <mergeCell ref="A1:M2"/>
    <mergeCell ref="A3:A4"/>
    <mergeCell ref="C3:C4"/>
    <mergeCell ref="D3:D4"/>
    <mergeCell ref="E3:E4"/>
    <mergeCell ref="F3:F4"/>
    <mergeCell ref="G3:J3"/>
    <mergeCell ref="A28:J28"/>
    <mergeCell ref="K3:K4"/>
    <mergeCell ref="L3:L4"/>
    <mergeCell ref="M3:M4"/>
    <mergeCell ref="A5:J5"/>
    <mergeCell ref="B3:B4"/>
    <mergeCell ref="A8:J8"/>
    <mergeCell ref="A12:J12"/>
    <mergeCell ref="A16:J16"/>
    <mergeCell ref="A20:J20"/>
    <mergeCell ref="A25:J2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M23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8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1.33203125" style="5" customWidth="1"/>
    <col min="7" max="10" width="5.5" style="6" customWidth="1"/>
    <col min="11" max="11" width="10.5" style="6" bestFit="1" customWidth="1"/>
    <col min="12" max="12" width="8.5" style="6" bestFit="1" customWidth="1"/>
    <col min="13" max="13" width="21" style="5" customWidth="1"/>
    <col min="14" max="16384" width="9.1640625" style="3"/>
  </cols>
  <sheetData>
    <row r="1" spans="1:13" s="2" customFormat="1" ht="29" customHeight="1">
      <c r="A1" s="62" t="s">
        <v>1275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3" s="1" customFormat="1" ht="12.75" customHeight="1">
      <c r="A3" s="70" t="s">
        <v>1458</v>
      </c>
      <c r="B3" s="59" t="s">
        <v>0</v>
      </c>
      <c r="C3" s="72" t="s">
        <v>5</v>
      </c>
      <c r="D3" s="72" t="s">
        <v>8</v>
      </c>
      <c r="E3" s="74" t="s">
        <v>9</v>
      </c>
      <c r="F3" s="74" t="s">
        <v>10</v>
      </c>
      <c r="G3" s="74" t="s">
        <v>13</v>
      </c>
      <c r="H3" s="74"/>
      <c r="I3" s="74"/>
      <c r="J3" s="74"/>
      <c r="K3" s="74" t="s">
        <v>601</v>
      </c>
      <c r="L3" s="74" t="s">
        <v>3</v>
      </c>
      <c r="M3" s="77" t="s">
        <v>2</v>
      </c>
    </row>
    <row r="4" spans="1:13" s="1" customFormat="1" ht="21" customHeight="1" thickBot="1">
      <c r="A4" s="71"/>
      <c r="B4" s="60"/>
      <c r="C4" s="73"/>
      <c r="D4" s="73"/>
      <c r="E4" s="73"/>
      <c r="F4" s="73"/>
      <c r="G4" s="4">
        <v>1</v>
      </c>
      <c r="H4" s="4">
        <v>2</v>
      </c>
      <c r="I4" s="4">
        <v>3</v>
      </c>
      <c r="J4" s="4" t="s">
        <v>4</v>
      </c>
      <c r="K4" s="73"/>
      <c r="L4" s="73"/>
      <c r="M4" s="78"/>
    </row>
    <row r="5" spans="1:13" ht="16">
      <c r="A5" s="57" t="s">
        <v>51</v>
      </c>
      <c r="B5" s="57"/>
      <c r="C5" s="58"/>
      <c r="D5" s="58"/>
      <c r="E5" s="58"/>
      <c r="F5" s="58"/>
      <c r="G5" s="58"/>
      <c r="H5" s="58"/>
      <c r="I5" s="58"/>
      <c r="J5" s="58"/>
    </row>
    <row r="6" spans="1:13">
      <c r="A6" s="8" t="s">
        <v>33</v>
      </c>
      <c r="B6" s="7" t="s">
        <v>962</v>
      </c>
      <c r="C6" s="7" t="s">
        <v>963</v>
      </c>
      <c r="D6" s="7" t="s">
        <v>964</v>
      </c>
      <c r="E6" s="7" t="str">
        <f>"1,0328"</f>
        <v>1,0328</v>
      </c>
      <c r="F6" s="7" t="s">
        <v>1571</v>
      </c>
      <c r="G6" s="15" t="s">
        <v>226</v>
      </c>
      <c r="H6" s="15" t="s">
        <v>59</v>
      </c>
      <c r="I6" s="15" t="s">
        <v>67</v>
      </c>
      <c r="J6" s="8"/>
      <c r="K6" s="8" t="str">
        <f>"102,5"</f>
        <v>102,5</v>
      </c>
      <c r="L6" s="8" t="str">
        <f>"105,8620"</f>
        <v>105,8620</v>
      </c>
      <c r="M6" s="7" t="s">
        <v>1246</v>
      </c>
    </row>
    <row r="7" spans="1:13">
      <c r="B7" s="5" t="s">
        <v>34</v>
      </c>
    </row>
    <row r="8" spans="1:13" ht="16">
      <c r="A8" s="61" t="s">
        <v>73</v>
      </c>
      <c r="B8" s="61"/>
      <c r="C8" s="61"/>
      <c r="D8" s="61"/>
      <c r="E8" s="61"/>
      <c r="F8" s="61"/>
      <c r="G8" s="61"/>
      <c r="H8" s="61"/>
      <c r="I8" s="61"/>
      <c r="J8" s="61"/>
    </row>
    <row r="9" spans="1:13">
      <c r="A9" s="8" t="s">
        <v>33</v>
      </c>
      <c r="B9" s="7" t="s">
        <v>965</v>
      </c>
      <c r="C9" s="7" t="s">
        <v>966</v>
      </c>
      <c r="D9" s="7" t="s">
        <v>967</v>
      </c>
      <c r="E9" s="7" t="str">
        <f>"0,7367"</f>
        <v>0,7367</v>
      </c>
      <c r="F9" s="7" t="s">
        <v>1571</v>
      </c>
      <c r="G9" s="15" t="s">
        <v>55</v>
      </c>
      <c r="H9" s="15" t="s">
        <v>61</v>
      </c>
      <c r="I9" s="15" t="s">
        <v>18</v>
      </c>
      <c r="J9" s="8"/>
      <c r="K9" s="8" t="str">
        <f>"160,0"</f>
        <v>160,0</v>
      </c>
      <c r="L9" s="8" t="str">
        <f>"117,8720"</f>
        <v>117,8720</v>
      </c>
      <c r="M9" s="7" t="s">
        <v>1246</v>
      </c>
    </row>
    <row r="10" spans="1:13">
      <c r="B10" s="5" t="s">
        <v>34</v>
      </c>
    </row>
    <row r="11" spans="1:13" ht="16">
      <c r="A11" s="61" t="s">
        <v>14</v>
      </c>
      <c r="B11" s="61"/>
      <c r="C11" s="61"/>
      <c r="D11" s="61"/>
      <c r="E11" s="61"/>
      <c r="F11" s="61"/>
      <c r="G11" s="61"/>
      <c r="H11" s="61"/>
      <c r="I11" s="61"/>
      <c r="J11" s="61"/>
    </row>
    <row r="12" spans="1:13">
      <c r="A12" s="8" t="s">
        <v>33</v>
      </c>
      <c r="B12" s="7" t="s">
        <v>968</v>
      </c>
      <c r="C12" s="7" t="s">
        <v>969</v>
      </c>
      <c r="D12" s="7" t="s">
        <v>353</v>
      </c>
      <c r="E12" s="7" t="str">
        <f>"0,6511"</f>
        <v>0,6511</v>
      </c>
      <c r="F12" s="7" t="s">
        <v>1571</v>
      </c>
      <c r="G12" s="15" t="s">
        <v>187</v>
      </c>
      <c r="H12" s="15" t="s">
        <v>413</v>
      </c>
      <c r="I12" s="14" t="s">
        <v>87</v>
      </c>
      <c r="J12" s="8"/>
      <c r="K12" s="8" t="str">
        <f>"187,5"</f>
        <v>187,5</v>
      </c>
      <c r="L12" s="8" t="str">
        <f>"122,0812"</f>
        <v>122,0812</v>
      </c>
      <c r="M12" s="7" t="s">
        <v>1246</v>
      </c>
    </row>
    <row r="13" spans="1:13">
      <c r="B13" s="5" t="s">
        <v>34</v>
      </c>
    </row>
    <row r="14" spans="1:13" ht="16">
      <c r="A14" s="61" t="s">
        <v>130</v>
      </c>
      <c r="B14" s="61"/>
      <c r="C14" s="61"/>
      <c r="D14" s="61"/>
      <c r="E14" s="61"/>
      <c r="F14" s="61"/>
      <c r="G14" s="61"/>
      <c r="H14" s="61"/>
      <c r="I14" s="61"/>
      <c r="J14" s="61"/>
    </row>
    <row r="15" spans="1:13">
      <c r="A15" s="8" t="s">
        <v>33</v>
      </c>
      <c r="B15" s="7" t="s">
        <v>970</v>
      </c>
      <c r="C15" s="7" t="s">
        <v>971</v>
      </c>
      <c r="D15" s="7" t="s">
        <v>148</v>
      </c>
      <c r="E15" s="7" t="str">
        <f>"0,6086"</f>
        <v>0,6086</v>
      </c>
      <c r="F15" s="7" t="s">
        <v>1571</v>
      </c>
      <c r="G15" s="14" t="s">
        <v>19</v>
      </c>
      <c r="H15" s="15" t="s">
        <v>19</v>
      </c>
      <c r="I15" s="14" t="s">
        <v>68</v>
      </c>
      <c r="J15" s="8"/>
      <c r="K15" s="8" t="str">
        <f>"170,0"</f>
        <v>170,0</v>
      </c>
      <c r="L15" s="8" t="str">
        <f>"103,4620"</f>
        <v>103,4620</v>
      </c>
      <c r="M15" s="7" t="s">
        <v>1247</v>
      </c>
    </row>
    <row r="16" spans="1:13">
      <c r="B16" s="5" t="s">
        <v>34</v>
      </c>
    </row>
    <row r="17" spans="1:13" ht="16">
      <c r="A17" s="61" t="s">
        <v>35</v>
      </c>
      <c r="B17" s="61"/>
      <c r="C17" s="61"/>
      <c r="D17" s="61"/>
      <c r="E17" s="61"/>
      <c r="F17" s="61"/>
      <c r="G17" s="61"/>
      <c r="H17" s="61"/>
      <c r="I17" s="61"/>
      <c r="J17" s="61"/>
    </row>
    <row r="18" spans="1:13">
      <c r="A18" s="17" t="s">
        <v>33</v>
      </c>
      <c r="B18" s="16" t="s">
        <v>972</v>
      </c>
      <c r="C18" s="16" t="s">
        <v>973</v>
      </c>
      <c r="D18" s="16" t="s">
        <v>753</v>
      </c>
      <c r="E18" s="16" t="str">
        <f>"0,6055"</f>
        <v>0,6055</v>
      </c>
      <c r="F18" s="16" t="s">
        <v>1571</v>
      </c>
      <c r="G18" s="22" t="s">
        <v>68</v>
      </c>
      <c r="H18" s="23" t="s">
        <v>68</v>
      </c>
      <c r="I18" s="23" t="s">
        <v>87</v>
      </c>
      <c r="J18" s="17"/>
      <c r="K18" s="17" t="str">
        <f>"200,0"</f>
        <v>200,0</v>
      </c>
      <c r="L18" s="53" t="str">
        <f>"121,1000"</f>
        <v>121,1000</v>
      </c>
      <c r="M18" s="16" t="s">
        <v>1246</v>
      </c>
    </row>
    <row r="19" spans="1:13">
      <c r="A19" s="19" t="s">
        <v>33</v>
      </c>
      <c r="B19" s="18" t="s">
        <v>831</v>
      </c>
      <c r="C19" s="18" t="s">
        <v>1380</v>
      </c>
      <c r="D19" s="18" t="s">
        <v>832</v>
      </c>
      <c r="E19" s="18" t="str">
        <f>"0,5895"</f>
        <v>0,5895</v>
      </c>
      <c r="F19" s="18" t="s">
        <v>1554</v>
      </c>
      <c r="G19" s="25" t="s">
        <v>112</v>
      </c>
      <c r="H19" s="25" t="s">
        <v>179</v>
      </c>
      <c r="I19" s="19"/>
      <c r="J19" s="19"/>
      <c r="K19" s="19" t="str">
        <f>"237,5"</f>
        <v>237,5</v>
      </c>
      <c r="L19" s="54" t="str">
        <f>"189,0084"</f>
        <v>189,0084</v>
      </c>
      <c r="M19" s="18" t="s">
        <v>1248</v>
      </c>
    </row>
    <row r="20" spans="1:13">
      <c r="B20" s="5" t="s">
        <v>34</v>
      </c>
    </row>
    <row r="21" spans="1:13" ht="16">
      <c r="A21" s="61" t="s">
        <v>184</v>
      </c>
      <c r="B21" s="61"/>
      <c r="C21" s="61"/>
      <c r="D21" s="61"/>
      <c r="E21" s="61"/>
      <c r="F21" s="61"/>
      <c r="G21" s="61"/>
      <c r="H21" s="61"/>
      <c r="I21" s="61"/>
      <c r="J21" s="61"/>
    </row>
    <row r="22" spans="1:13">
      <c r="A22" s="8" t="s">
        <v>33</v>
      </c>
      <c r="B22" s="7" t="s">
        <v>831</v>
      </c>
      <c r="C22" s="7" t="s">
        <v>1380</v>
      </c>
      <c r="D22" s="7" t="s">
        <v>839</v>
      </c>
      <c r="E22" s="7" t="str">
        <f>"0,5870"</f>
        <v>0,5870</v>
      </c>
      <c r="F22" s="7" t="s">
        <v>1554</v>
      </c>
      <c r="G22" s="15" t="s">
        <v>17</v>
      </c>
      <c r="H22" s="15" t="s">
        <v>114</v>
      </c>
      <c r="I22" s="8"/>
      <c r="J22" s="8"/>
      <c r="K22" s="8" t="str">
        <f>"245,0"</f>
        <v>245,0</v>
      </c>
      <c r="L22" s="8" t="str">
        <f>"194,1503"</f>
        <v>194,1503</v>
      </c>
      <c r="M22" s="7" t="s">
        <v>1248</v>
      </c>
    </row>
    <row r="23" spans="1:13">
      <c r="B23" s="5" t="s">
        <v>34</v>
      </c>
    </row>
  </sheetData>
  <mergeCells count="17"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  <mergeCell ref="A21:J21"/>
    <mergeCell ref="A5:J5"/>
    <mergeCell ref="A8:J8"/>
    <mergeCell ref="A11:J11"/>
    <mergeCell ref="A14:J14"/>
    <mergeCell ref="A17:J1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3320312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10" width="5.5" style="6" customWidth="1"/>
    <col min="11" max="11" width="10.5" style="6" bestFit="1" customWidth="1"/>
    <col min="12" max="12" width="9.1640625" style="6" customWidth="1"/>
    <col min="13" max="13" width="18" style="5" customWidth="1"/>
    <col min="14" max="16384" width="9.1640625" style="3"/>
  </cols>
  <sheetData>
    <row r="1" spans="1:13" s="2" customFormat="1" ht="29" customHeight="1">
      <c r="A1" s="62" t="s">
        <v>1276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3" s="1" customFormat="1" ht="12.75" customHeight="1">
      <c r="A3" s="70" t="s">
        <v>1458</v>
      </c>
      <c r="B3" s="59" t="s">
        <v>0</v>
      </c>
      <c r="C3" s="72" t="s">
        <v>5</v>
      </c>
      <c r="D3" s="72" t="s">
        <v>8</v>
      </c>
      <c r="E3" s="74" t="s">
        <v>9</v>
      </c>
      <c r="F3" s="74" t="s">
        <v>10</v>
      </c>
      <c r="G3" s="74" t="s">
        <v>13</v>
      </c>
      <c r="H3" s="74"/>
      <c r="I3" s="74"/>
      <c r="J3" s="74"/>
      <c r="K3" s="74" t="s">
        <v>601</v>
      </c>
      <c r="L3" s="74" t="s">
        <v>3</v>
      </c>
      <c r="M3" s="77" t="s">
        <v>2</v>
      </c>
    </row>
    <row r="4" spans="1:13" s="1" customFormat="1" ht="21" customHeight="1" thickBot="1">
      <c r="A4" s="71"/>
      <c r="B4" s="60"/>
      <c r="C4" s="73"/>
      <c r="D4" s="73"/>
      <c r="E4" s="73"/>
      <c r="F4" s="73"/>
      <c r="G4" s="4">
        <v>1</v>
      </c>
      <c r="H4" s="4">
        <v>2</v>
      </c>
      <c r="I4" s="4">
        <v>3</v>
      </c>
      <c r="J4" s="4" t="s">
        <v>4</v>
      </c>
      <c r="K4" s="73"/>
      <c r="L4" s="73"/>
      <c r="M4" s="78"/>
    </row>
    <row r="5" spans="1:13" ht="16">
      <c r="A5" s="57" t="s">
        <v>35</v>
      </c>
      <c r="B5" s="57"/>
      <c r="C5" s="58"/>
      <c r="D5" s="58"/>
      <c r="E5" s="58"/>
      <c r="F5" s="58"/>
      <c r="G5" s="58"/>
      <c r="H5" s="58"/>
      <c r="I5" s="58"/>
      <c r="J5" s="58"/>
    </row>
    <row r="6" spans="1:13">
      <c r="A6" s="8" t="s">
        <v>33</v>
      </c>
      <c r="B6" s="7" t="s">
        <v>831</v>
      </c>
      <c r="C6" s="7" t="s">
        <v>1380</v>
      </c>
      <c r="D6" s="7" t="s">
        <v>832</v>
      </c>
      <c r="E6" s="7" t="str">
        <f>"0,5895"</f>
        <v>0,5895</v>
      </c>
      <c r="F6" s="7" t="s">
        <v>1554</v>
      </c>
      <c r="G6" s="15" t="s">
        <v>112</v>
      </c>
      <c r="H6" s="15" t="s">
        <v>179</v>
      </c>
      <c r="I6" s="8"/>
      <c r="J6" s="8"/>
      <c r="K6" s="8" t="str">
        <f>"237,5"</f>
        <v>237,5</v>
      </c>
      <c r="L6" s="8" t="str">
        <f>"189,0084"</f>
        <v>189,0084</v>
      </c>
      <c r="M6" s="7" t="s">
        <v>1248</v>
      </c>
    </row>
    <row r="7" spans="1:13">
      <c r="B7" s="5" t="s">
        <v>34</v>
      </c>
    </row>
    <row r="8" spans="1:13" ht="16">
      <c r="A8" s="61" t="s">
        <v>184</v>
      </c>
      <c r="B8" s="61"/>
      <c r="C8" s="61"/>
      <c r="D8" s="61"/>
      <c r="E8" s="61"/>
      <c r="F8" s="61"/>
      <c r="G8" s="61"/>
      <c r="H8" s="61"/>
      <c r="I8" s="61"/>
      <c r="J8" s="61"/>
    </row>
    <row r="9" spans="1:13">
      <c r="A9" s="8" t="s">
        <v>33</v>
      </c>
      <c r="B9" s="7" t="s">
        <v>831</v>
      </c>
      <c r="C9" s="7" t="s">
        <v>1380</v>
      </c>
      <c r="D9" s="7" t="s">
        <v>839</v>
      </c>
      <c r="E9" s="7" t="str">
        <f>"0,5870"</f>
        <v>0,5870</v>
      </c>
      <c r="F9" s="7" t="s">
        <v>1554</v>
      </c>
      <c r="G9" s="15" t="s">
        <v>17</v>
      </c>
      <c r="H9" s="15" t="s">
        <v>114</v>
      </c>
      <c r="I9" s="8"/>
      <c r="J9" s="8"/>
      <c r="K9" s="8" t="str">
        <f>"245,0"</f>
        <v>245,0</v>
      </c>
      <c r="L9" s="8" t="str">
        <f>"194,1503"</f>
        <v>194,1503</v>
      </c>
      <c r="M9" s="7" t="s">
        <v>1248</v>
      </c>
    </row>
    <row r="10" spans="1:13">
      <c r="B10" s="5" t="s">
        <v>34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Q14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23.6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6.1640625" style="5" bestFit="1" customWidth="1"/>
    <col min="7" max="7" width="5.5" style="6" customWidth="1"/>
    <col min="8" max="9" width="4.5" style="6" customWidth="1"/>
    <col min="10" max="10" width="4.83203125" style="6" customWidth="1"/>
    <col min="11" max="13" width="4.5" style="6" customWidth="1"/>
    <col min="14" max="14" width="4.83203125" style="6" customWidth="1"/>
    <col min="15" max="15" width="7.83203125" style="6" bestFit="1" customWidth="1"/>
    <col min="16" max="16" width="7.5" style="6" bestFit="1" customWidth="1"/>
    <col min="17" max="17" width="15.5" style="5" bestFit="1" customWidth="1"/>
    <col min="18" max="16384" width="9.1640625" style="3"/>
  </cols>
  <sheetData>
    <row r="1" spans="1:17" s="2" customFormat="1" ht="29" customHeight="1">
      <c r="A1" s="62" t="s">
        <v>1277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5"/>
    </row>
    <row r="2" spans="1:17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9"/>
    </row>
    <row r="3" spans="1:17" s="1" customFormat="1" ht="12.75" customHeight="1">
      <c r="A3" s="70" t="s">
        <v>1458</v>
      </c>
      <c r="B3" s="59" t="s">
        <v>0</v>
      </c>
      <c r="C3" s="72" t="s">
        <v>5</v>
      </c>
      <c r="D3" s="72" t="s">
        <v>8</v>
      </c>
      <c r="E3" s="74" t="s">
        <v>1009</v>
      </c>
      <c r="F3" s="74" t="s">
        <v>10</v>
      </c>
      <c r="G3" s="74" t="s">
        <v>1589</v>
      </c>
      <c r="H3" s="74"/>
      <c r="I3" s="74"/>
      <c r="J3" s="74"/>
      <c r="K3" s="74" t="s">
        <v>1177</v>
      </c>
      <c r="L3" s="74"/>
      <c r="M3" s="74"/>
      <c r="N3" s="74"/>
      <c r="O3" s="74" t="s">
        <v>1</v>
      </c>
      <c r="P3" s="74" t="s">
        <v>3</v>
      </c>
      <c r="Q3" s="77" t="s">
        <v>2</v>
      </c>
    </row>
    <row r="4" spans="1:17" s="1" customFormat="1" ht="21" customHeight="1" thickBot="1">
      <c r="A4" s="71"/>
      <c r="B4" s="60"/>
      <c r="C4" s="73"/>
      <c r="D4" s="73"/>
      <c r="E4" s="73"/>
      <c r="F4" s="7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73"/>
      <c r="P4" s="73"/>
      <c r="Q4" s="78"/>
    </row>
    <row r="5" spans="1:17" ht="16">
      <c r="A5" s="57" t="s">
        <v>243</v>
      </c>
      <c r="B5" s="57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7">
      <c r="A6" s="17" t="s">
        <v>33</v>
      </c>
      <c r="B6" s="16" t="s">
        <v>1074</v>
      </c>
      <c r="C6" s="16" t="s">
        <v>1075</v>
      </c>
      <c r="D6" s="16" t="s">
        <v>1076</v>
      </c>
      <c r="E6" s="16" t="str">
        <f>"1,1230"</f>
        <v>1,1230</v>
      </c>
      <c r="F6" s="16" t="s">
        <v>1460</v>
      </c>
      <c r="G6" s="23" t="s">
        <v>1077</v>
      </c>
      <c r="H6" s="22" t="s">
        <v>1078</v>
      </c>
      <c r="I6" s="22" t="s">
        <v>1078</v>
      </c>
      <c r="J6" s="17"/>
      <c r="K6" s="22" t="s">
        <v>1079</v>
      </c>
      <c r="L6" s="23" t="s">
        <v>1080</v>
      </c>
      <c r="M6" s="22" t="s">
        <v>1077</v>
      </c>
      <c r="N6" s="17"/>
      <c r="O6" s="17" t="str">
        <f>"57,5"</f>
        <v>57,5</v>
      </c>
      <c r="P6" s="17" t="str">
        <f>"64,5725"</f>
        <v>64,5725</v>
      </c>
      <c r="Q6" s="16" t="s">
        <v>242</v>
      </c>
    </row>
    <row r="7" spans="1:17">
      <c r="A7" s="19" t="s">
        <v>219</v>
      </c>
      <c r="B7" s="18" t="s">
        <v>238</v>
      </c>
      <c r="C7" s="18" t="s">
        <v>239</v>
      </c>
      <c r="D7" s="18" t="s">
        <v>1081</v>
      </c>
      <c r="E7" s="18" t="str">
        <f>"1,1733"</f>
        <v>1,1733</v>
      </c>
      <c r="F7" s="18" t="s">
        <v>1460</v>
      </c>
      <c r="G7" s="25" t="s">
        <v>1079</v>
      </c>
      <c r="H7" s="24" t="s">
        <v>1080</v>
      </c>
      <c r="I7" s="24" t="s">
        <v>1080</v>
      </c>
      <c r="J7" s="19"/>
      <c r="K7" s="25" t="s">
        <v>1080</v>
      </c>
      <c r="L7" s="24" t="s">
        <v>1078</v>
      </c>
      <c r="M7" s="24" t="s">
        <v>1078</v>
      </c>
      <c r="N7" s="19"/>
      <c r="O7" s="19" t="str">
        <f>"52,5"</f>
        <v>52,5</v>
      </c>
      <c r="P7" s="19" t="str">
        <f>"61,5983"</f>
        <v>61,5983</v>
      </c>
      <c r="Q7" s="18" t="s">
        <v>242</v>
      </c>
    </row>
    <row r="8" spans="1:17">
      <c r="B8" s="5" t="s">
        <v>34</v>
      </c>
    </row>
    <row r="9" spans="1:17" ht="16">
      <c r="A9" s="61" t="s">
        <v>63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</row>
    <row r="10" spans="1:17">
      <c r="A10" s="8" t="s">
        <v>33</v>
      </c>
      <c r="B10" s="7" t="s">
        <v>1082</v>
      </c>
      <c r="C10" s="7" t="s">
        <v>1412</v>
      </c>
      <c r="D10" s="7" t="s">
        <v>1006</v>
      </c>
      <c r="E10" s="7" t="str">
        <f>"0,6618"</f>
        <v>0,6618</v>
      </c>
      <c r="F10" s="7" t="s">
        <v>1531</v>
      </c>
      <c r="G10" s="15" t="s">
        <v>271</v>
      </c>
      <c r="H10" s="15" t="s">
        <v>260</v>
      </c>
      <c r="I10" s="14" t="s">
        <v>295</v>
      </c>
      <c r="J10" s="8"/>
      <c r="K10" s="15" t="s">
        <v>254</v>
      </c>
      <c r="L10" s="15" t="s">
        <v>255</v>
      </c>
      <c r="M10" s="15" t="s">
        <v>48</v>
      </c>
      <c r="N10" s="8"/>
      <c r="O10" s="8" t="str">
        <f>"120,0"</f>
        <v>120,0</v>
      </c>
      <c r="P10" s="8" t="str">
        <f>"79,4100"</f>
        <v>79,4100</v>
      </c>
      <c r="Q10" s="7" t="s">
        <v>1083</v>
      </c>
    </row>
    <row r="11" spans="1:17">
      <c r="B11" s="5" t="s">
        <v>34</v>
      </c>
    </row>
    <row r="12" spans="1:17" ht="16">
      <c r="A12" s="61" t="s">
        <v>14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</row>
    <row r="13" spans="1:17">
      <c r="A13" s="8" t="s">
        <v>33</v>
      </c>
      <c r="B13" s="7" t="s">
        <v>1058</v>
      </c>
      <c r="C13" s="7" t="s">
        <v>1413</v>
      </c>
      <c r="D13" s="7" t="s">
        <v>1059</v>
      </c>
      <c r="E13" s="7" t="str">
        <f>"0,6149"</f>
        <v>0,6149</v>
      </c>
      <c r="F13" s="7" t="s">
        <v>1514</v>
      </c>
      <c r="G13" s="15" t="s">
        <v>275</v>
      </c>
      <c r="H13" s="14" t="s">
        <v>234</v>
      </c>
      <c r="I13" s="14" t="s">
        <v>234</v>
      </c>
      <c r="J13" s="8"/>
      <c r="K13" s="15" t="s">
        <v>48</v>
      </c>
      <c r="L13" s="15" t="s">
        <v>270</v>
      </c>
      <c r="M13" s="14" t="s">
        <v>271</v>
      </c>
      <c r="N13" s="8"/>
      <c r="O13" s="8" t="str">
        <f>"137,5"</f>
        <v>137,5</v>
      </c>
      <c r="P13" s="8" t="str">
        <f>"86,2397"</f>
        <v>86,2397</v>
      </c>
      <c r="Q13" s="7" t="s">
        <v>1060</v>
      </c>
    </row>
    <row r="14" spans="1:17">
      <c r="B14" s="5" t="s">
        <v>34</v>
      </c>
    </row>
  </sheetData>
  <mergeCells count="15"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9:N9"/>
    <mergeCell ref="A12:N12"/>
    <mergeCell ref="B3:B4"/>
    <mergeCell ref="O3:O4"/>
    <mergeCell ref="P3:P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Q32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23.6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6.1640625" style="5" bestFit="1" customWidth="1"/>
    <col min="7" max="9" width="5.5" style="6" customWidth="1"/>
    <col min="10" max="10" width="4.83203125" style="6" customWidth="1"/>
    <col min="11" max="14" width="5.5" style="6" customWidth="1"/>
    <col min="15" max="15" width="7.83203125" style="6" bestFit="1" customWidth="1"/>
    <col min="16" max="16" width="8.5" style="6" bestFit="1" customWidth="1"/>
    <col min="17" max="17" width="19.83203125" style="5" customWidth="1"/>
    <col min="18" max="16384" width="9.1640625" style="3"/>
  </cols>
  <sheetData>
    <row r="1" spans="1:17" s="2" customFormat="1" ht="29" customHeight="1">
      <c r="A1" s="62" t="s">
        <v>1278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5"/>
    </row>
    <row r="2" spans="1:17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9"/>
    </row>
    <row r="3" spans="1:17" s="1" customFormat="1" ht="12.75" customHeight="1">
      <c r="A3" s="70" t="s">
        <v>1458</v>
      </c>
      <c r="B3" s="59" t="s">
        <v>0</v>
      </c>
      <c r="C3" s="72" t="s">
        <v>5</v>
      </c>
      <c r="D3" s="72" t="s">
        <v>8</v>
      </c>
      <c r="E3" s="74" t="s">
        <v>1009</v>
      </c>
      <c r="F3" s="74" t="s">
        <v>10</v>
      </c>
      <c r="G3" s="74" t="s">
        <v>1589</v>
      </c>
      <c r="H3" s="74"/>
      <c r="I3" s="74"/>
      <c r="J3" s="74"/>
      <c r="K3" s="74" t="s">
        <v>1177</v>
      </c>
      <c r="L3" s="74"/>
      <c r="M3" s="74"/>
      <c r="N3" s="74"/>
      <c r="O3" s="74" t="s">
        <v>1</v>
      </c>
      <c r="P3" s="74" t="s">
        <v>3</v>
      </c>
      <c r="Q3" s="77" t="s">
        <v>2</v>
      </c>
    </row>
    <row r="4" spans="1:17" s="1" customFormat="1" ht="21" customHeight="1" thickBot="1">
      <c r="A4" s="71"/>
      <c r="B4" s="60"/>
      <c r="C4" s="73"/>
      <c r="D4" s="73"/>
      <c r="E4" s="73"/>
      <c r="F4" s="7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73"/>
      <c r="P4" s="73"/>
      <c r="Q4" s="78"/>
    </row>
    <row r="5" spans="1:17" ht="16">
      <c r="A5" s="57" t="s">
        <v>63</v>
      </c>
      <c r="B5" s="57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7">
      <c r="A6" s="8" t="s">
        <v>33</v>
      </c>
      <c r="B6" s="7" t="s">
        <v>1011</v>
      </c>
      <c r="C6" s="7" t="s">
        <v>1012</v>
      </c>
      <c r="D6" s="7" t="s">
        <v>1013</v>
      </c>
      <c r="E6" s="7" t="str">
        <f>"0,6557"</f>
        <v>0,6557</v>
      </c>
      <c r="F6" s="7" t="s">
        <v>1532</v>
      </c>
      <c r="G6" s="15" t="s">
        <v>98</v>
      </c>
      <c r="H6" s="15" t="s">
        <v>47</v>
      </c>
      <c r="I6" s="14" t="s">
        <v>99</v>
      </c>
      <c r="J6" s="8"/>
      <c r="K6" s="15" t="s">
        <v>269</v>
      </c>
      <c r="L6" s="15" t="s">
        <v>271</v>
      </c>
      <c r="M6" s="15" t="s">
        <v>260</v>
      </c>
      <c r="N6" s="8"/>
      <c r="O6" s="8" t="str">
        <f>"170,0"</f>
        <v>170,0</v>
      </c>
      <c r="P6" s="8" t="str">
        <f>"111,4605"</f>
        <v>111,4605</v>
      </c>
      <c r="Q6" s="7"/>
    </row>
    <row r="7" spans="1:17">
      <c r="B7" s="5" t="s">
        <v>34</v>
      </c>
    </row>
    <row r="8" spans="1:17" ht="16">
      <c r="A8" s="61" t="s">
        <v>14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</row>
    <row r="9" spans="1:17">
      <c r="A9" s="17" t="s">
        <v>33</v>
      </c>
      <c r="B9" s="16" t="s">
        <v>987</v>
      </c>
      <c r="C9" s="16" t="s">
        <v>988</v>
      </c>
      <c r="D9" s="16" t="s">
        <v>699</v>
      </c>
      <c r="E9" s="16" t="str">
        <f>"0,6165"</f>
        <v>0,6165</v>
      </c>
      <c r="F9" s="16" t="s">
        <v>1583</v>
      </c>
      <c r="G9" s="23" t="s">
        <v>182</v>
      </c>
      <c r="H9" s="22" t="s">
        <v>79</v>
      </c>
      <c r="I9" s="23" t="s">
        <v>79</v>
      </c>
      <c r="J9" s="17"/>
      <c r="K9" s="23" t="s">
        <v>260</v>
      </c>
      <c r="L9" s="23" t="s">
        <v>261</v>
      </c>
      <c r="M9" s="22" t="s">
        <v>262</v>
      </c>
      <c r="N9" s="17"/>
      <c r="O9" s="17" t="str">
        <f>"190,0"</f>
        <v>190,0</v>
      </c>
      <c r="P9" s="17" t="str">
        <f>"117,1255"</f>
        <v>117,1255</v>
      </c>
      <c r="Q9" s="16"/>
    </row>
    <row r="10" spans="1:17">
      <c r="A10" s="21" t="s">
        <v>219</v>
      </c>
      <c r="B10" s="20" t="s">
        <v>1031</v>
      </c>
      <c r="C10" s="20" t="s">
        <v>1032</v>
      </c>
      <c r="D10" s="20" t="s">
        <v>1033</v>
      </c>
      <c r="E10" s="20" t="str">
        <f>"0,6197"</f>
        <v>0,6197</v>
      </c>
      <c r="F10" s="20" t="s">
        <v>1459</v>
      </c>
      <c r="G10" s="26" t="s">
        <v>98</v>
      </c>
      <c r="H10" s="26" t="s">
        <v>47</v>
      </c>
      <c r="I10" s="26" t="s">
        <v>99</v>
      </c>
      <c r="J10" s="21"/>
      <c r="K10" s="26" t="s">
        <v>262</v>
      </c>
      <c r="L10" s="26" t="s">
        <v>275</v>
      </c>
      <c r="M10" s="27" t="s">
        <v>234</v>
      </c>
      <c r="N10" s="21"/>
      <c r="O10" s="21" t="str">
        <f>"187,5"</f>
        <v>187,5</v>
      </c>
      <c r="P10" s="21" t="str">
        <f>"116,1938"</f>
        <v>116,1938</v>
      </c>
      <c r="Q10" s="20"/>
    </row>
    <row r="11" spans="1:17">
      <c r="A11" s="19" t="s">
        <v>33</v>
      </c>
      <c r="B11" s="18" t="s">
        <v>1031</v>
      </c>
      <c r="C11" s="18" t="s">
        <v>1414</v>
      </c>
      <c r="D11" s="18" t="s">
        <v>1033</v>
      </c>
      <c r="E11" s="18" t="str">
        <f>"0,6197"</f>
        <v>0,6197</v>
      </c>
      <c r="F11" s="18" t="s">
        <v>1459</v>
      </c>
      <c r="G11" s="25" t="s">
        <v>98</v>
      </c>
      <c r="H11" s="25" t="s">
        <v>47</v>
      </c>
      <c r="I11" s="25" t="s">
        <v>99</v>
      </c>
      <c r="J11" s="19"/>
      <c r="K11" s="25" t="s">
        <v>262</v>
      </c>
      <c r="L11" s="25" t="s">
        <v>275</v>
      </c>
      <c r="M11" s="24" t="s">
        <v>234</v>
      </c>
      <c r="N11" s="19"/>
      <c r="O11" s="19" t="str">
        <f>"187,5"</f>
        <v>187,5</v>
      </c>
      <c r="P11" s="19" t="str">
        <f>"119,7958"</f>
        <v>119,7958</v>
      </c>
      <c r="Q11" s="18"/>
    </row>
    <row r="12" spans="1:17">
      <c r="B12" s="5" t="s">
        <v>34</v>
      </c>
    </row>
    <row r="13" spans="1:17" ht="16">
      <c r="A13" s="61" t="s">
        <v>130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</row>
    <row r="14" spans="1:17">
      <c r="A14" s="17" t="s">
        <v>33</v>
      </c>
      <c r="B14" s="16" t="s">
        <v>1067</v>
      </c>
      <c r="C14" s="16" t="s">
        <v>1068</v>
      </c>
      <c r="D14" s="16" t="s">
        <v>1069</v>
      </c>
      <c r="E14" s="16" t="str">
        <f>"0,6090"</f>
        <v>0,6090</v>
      </c>
      <c r="F14" s="16" t="s">
        <v>1503</v>
      </c>
      <c r="G14" s="23" t="s">
        <v>99</v>
      </c>
      <c r="H14" s="22" t="s">
        <v>328</v>
      </c>
      <c r="I14" s="22" t="s">
        <v>328</v>
      </c>
      <c r="J14" s="17"/>
      <c r="K14" s="23" t="s">
        <v>253</v>
      </c>
      <c r="L14" s="23" t="s">
        <v>247</v>
      </c>
      <c r="M14" s="23" t="s">
        <v>234</v>
      </c>
      <c r="N14" s="17"/>
      <c r="O14" s="17" t="str">
        <f>"192,5"</f>
        <v>192,5</v>
      </c>
      <c r="P14" s="17" t="str">
        <f>"117,2229"</f>
        <v>117,2229</v>
      </c>
      <c r="Q14" s="16"/>
    </row>
    <row r="15" spans="1:17">
      <c r="A15" s="19" t="s">
        <v>219</v>
      </c>
      <c r="B15" s="18" t="s">
        <v>1014</v>
      </c>
      <c r="C15" s="18" t="s">
        <v>1015</v>
      </c>
      <c r="D15" s="18" t="s">
        <v>141</v>
      </c>
      <c r="E15" s="18" t="str">
        <f>"0,5816"</f>
        <v>0,5816</v>
      </c>
      <c r="F15" s="18" t="s">
        <v>1459</v>
      </c>
      <c r="G15" s="25" t="s">
        <v>59</v>
      </c>
      <c r="H15" s="25" t="s">
        <v>98</v>
      </c>
      <c r="I15" s="24" t="s">
        <v>286</v>
      </c>
      <c r="J15" s="19"/>
      <c r="K15" s="25" t="s">
        <v>253</v>
      </c>
      <c r="L15" s="25" t="s">
        <v>247</v>
      </c>
      <c r="M15" s="25" t="s">
        <v>234</v>
      </c>
      <c r="N15" s="19"/>
      <c r="O15" s="19" t="str">
        <f>"182,5"</f>
        <v>182,5</v>
      </c>
      <c r="P15" s="19" t="str">
        <f>"106,1329"</f>
        <v>106,1329</v>
      </c>
      <c r="Q15" s="18"/>
    </row>
    <row r="16" spans="1:17">
      <c r="B16" s="5" t="s">
        <v>34</v>
      </c>
    </row>
    <row r="17" spans="1:17" ht="16">
      <c r="A17" s="61" t="s">
        <v>184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</row>
    <row r="18" spans="1:17">
      <c r="A18" s="17" t="s">
        <v>33</v>
      </c>
      <c r="B18" s="16" t="s">
        <v>1016</v>
      </c>
      <c r="C18" s="16" t="s">
        <v>1070</v>
      </c>
      <c r="D18" s="16" t="s">
        <v>1017</v>
      </c>
      <c r="E18" s="16" t="str">
        <f>"0,5605"</f>
        <v>0,5605</v>
      </c>
      <c r="F18" s="33" t="s">
        <v>1459</v>
      </c>
      <c r="G18" s="39" t="s">
        <v>100</v>
      </c>
      <c r="H18" s="39" t="s">
        <v>182</v>
      </c>
      <c r="I18" s="39" t="s">
        <v>79</v>
      </c>
      <c r="J18" s="17"/>
      <c r="K18" s="40" t="s">
        <v>261</v>
      </c>
      <c r="L18" s="40" t="s">
        <v>247</v>
      </c>
      <c r="M18" s="55" t="s">
        <v>58</v>
      </c>
      <c r="N18" s="36"/>
      <c r="O18" s="17" t="str">
        <f>"200,0"</f>
        <v>200,0</v>
      </c>
      <c r="P18" s="17" t="str">
        <f>"112,0900"</f>
        <v>112,0900</v>
      </c>
      <c r="Q18" s="16"/>
    </row>
    <row r="19" spans="1:17">
      <c r="A19" s="19" t="s">
        <v>33</v>
      </c>
      <c r="B19" s="18" t="s">
        <v>1016</v>
      </c>
      <c r="C19" s="18" t="s">
        <v>1415</v>
      </c>
      <c r="D19" s="18" t="s">
        <v>1017</v>
      </c>
      <c r="E19" s="18" t="str">
        <f>"0,5605"</f>
        <v>0,5605</v>
      </c>
      <c r="F19" s="35" t="s">
        <v>1459</v>
      </c>
      <c r="G19" s="45" t="s">
        <v>100</v>
      </c>
      <c r="H19" s="45" t="s">
        <v>182</v>
      </c>
      <c r="I19" s="45" t="s">
        <v>79</v>
      </c>
      <c r="J19" s="19"/>
      <c r="K19" s="56" t="s">
        <v>261</v>
      </c>
      <c r="L19" s="56" t="s">
        <v>247</v>
      </c>
      <c r="M19" s="46" t="s">
        <v>58</v>
      </c>
      <c r="N19" s="38"/>
      <c r="O19" s="19" t="str">
        <f>"200,0"</f>
        <v>200,0</v>
      </c>
      <c r="P19" s="19" t="str">
        <f>"112,0900"</f>
        <v>112,0900</v>
      </c>
      <c r="Q19" s="18"/>
    </row>
    <row r="20" spans="1:17">
      <c r="B20" s="5" t="s">
        <v>34</v>
      </c>
    </row>
    <row r="21" spans="1:17" ht="16">
      <c r="A21" s="61" t="s">
        <v>198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</row>
    <row r="22" spans="1:17">
      <c r="A22" s="8" t="s">
        <v>33</v>
      </c>
      <c r="B22" s="7" t="s">
        <v>1018</v>
      </c>
      <c r="C22" s="7" t="s">
        <v>1019</v>
      </c>
      <c r="D22" s="7" t="s">
        <v>1020</v>
      </c>
      <c r="E22" s="7" t="str">
        <f>"0,5428"</f>
        <v>0,5428</v>
      </c>
      <c r="F22" s="7" t="s">
        <v>1507</v>
      </c>
      <c r="G22" s="15" t="s">
        <v>49</v>
      </c>
      <c r="H22" s="15" t="s">
        <v>55</v>
      </c>
      <c r="I22" s="15" t="s">
        <v>56</v>
      </c>
      <c r="J22" s="8"/>
      <c r="K22" s="15" t="s">
        <v>67</v>
      </c>
      <c r="L22" s="15" t="s">
        <v>47</v>
      </c>
      <c r="M22" s="15" t="s">
        <v>286</v>
      </c>
      <c r="N22" s="14" t="s">
        <v>99</v>
      </c>
      <c r="O22" s="8" t="str">
        <f>"247,5"</f>
        <v>247,5</v>
      </c>
      <c r="P22" s="8" t="str">
        <f>"134,3479"</f>
        <v>134,3479</v>
      </c>
      <c r="Q22" s="7"/>
    </row>
    <row r="23" spans="1:17">
      <c r="B23" s="5" t="s">
        <v>34</v>
      </c>
    </row>
    <row r="26" spans="1:17" ht="18">
      <c r="B26" s="9" t="s">
        <v>24</v>
      </c>
      <c r="C26" s="9"/>
    </row>
    <row r="27" spans="1:17" ht="16">
      <c r="B27" s="10" t="s">
        <v>25</v>
      </c>
      <c r="C27" s="10"/>
    </row>
    <row r="28" spans="1:17" ht="14">
      <c r="B28" s="11"/>
      <c r="C28" s="12" t="s">
        <v>207</v>
      </c>
    </row>
    <row r="29" spans="1:17" ht="14">
      <c r="B29" s="13" t="s">
        <v>27</v>
      </c>
      <c r="C29" s="13" t="s">
        <v>28</v>
      </c>
      <c r="D29" s="13" t="s">
        <v>29</v>
      </c>
      <c r="E29" s="13" t="s">
        <v>30</v>
      </c>
      <c r="F29" s="13" t="s">
        <v>1021</v>
      </c>
    </row>
    <row r="30" spans="1:17">
      <c r="B30" s="5" t="s">
        <v>1018</v>
      </c>
      <c r="C30" s="5" t="s">
        <v>207</v>
      </c>
      <c r="D30" s="6" t="s">
        <v>213</v>
      </c>
      <c r="E30" s="6" t="s">
        <v>426</v>
      </c>
      <c r="F30" s="6" t="s">
        <v>1071</v>
      </c>
    </row>
    <row r="31" spans="1:17">
      <c r="B31" s="5" t="s">
        <v>1067</v>
      </c>
      <c r="C31" s="5" t="s">
        <v>207</v>
      </c>
      <c r="D31" s="6" t="s">
        <v>209</v>
      </c>
      <c r="E31" s="6" t="s">
        <v>344</v>
      </c>
      <c r="F31" s="6" t="s">
        <v>1072</v>
      </c>
    </row>
    <row r="32" spans="1:17">
      <c r="B32" s="5" t="s">
        <v>987</v>
      </c>
      <c r="C32" s="5" t="s">
        <v>207</v>
      </c>
      <c r="D32" s="6" t="s">
        <v>32</v>
      </c>
      <c r="E32" s="6" t="s">
        <v>69</v>
      </c>
      <c r="F32" s="6" t="s">
        <v>1073</v>
      </c>
    </row>
  </sheetData>
  <mergeCells count="17"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A13:N13"/>
    <mergeCell ref="A17:N17"/>
    <mergeCell ref="A21:N21"/>
    <mergeCell ref="B3:B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M1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7.8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1.332031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1.33203125" style="5" customWidth="1"/>
    <col min="14" max="16384" width="9.1640625" style="3"/>
  </cols>
  <sheetData>
    <row r="1" spans="1:13" s="2" customFormat="1" ht="29" customHeight="1">
      <c r="A1" s="62" t="s">
        <v>1279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3" s="1" customFormat="1" ht="12.75" customHeight="1">
      <c r="A3" s="70" t="s">
        <v>1458</v>
      </c>
      <c r="B3" s="59" t="s">
        <v>0</v>
      </c>
      <c r="C3" s="72" t="s">
        <v>5</v>
      </c>
      <c r="D3" s="72" t="s">
        <v>8</v>
      </c>
      <c r="E3" s="74" t="s">
        <v>1009</v>
      </c>
      <c r="F3" s="74" t="s">
        <v>10</v>
      </c>
      <c r="G3" s="74" t="s">
        <v>1010</v>
      </c>
      <c r="H3" s="74"/>
      <c r="I3" s="74"/>
      <c r="J3" s="74"/>
      <c r="K3" s="74" t="s">
        <v>601</v>
      </c>
      <c r="L3" s="74" t="s">
        <v>3</v>
      </c>
      <c r="M3" s="77" t="s">
        <v>2</v>
      </c>
    </row>
    <row r="4" spans="1:13" s="1" customFormat="1" ht="21" customHeight="1" thickBot="1">
      <c r="A4" s="71"/>
      <c r="B4" s="60"/>
      <c r="C4" s="73"/>
      <c r="D4" s="73"/>
      <c r="E4" s="73"/>
      <c r="F4" s="73"/>
      <c r="G4" s="4">
        <v>1</v>
      </c>
      <c r="H4" s="4">
        <v>2</v>
      </c>
      <c r="I4" s="4">
        <v>3</v>
      </c>
      <c r="J4" s="4" t="s">
        <v>4</v>
      </c>
      <c r="K4" s="73"/>
      <c r="L4" s="73"/>
      <c r="M4" s="78"/>
    </row>
    <row r="5" spans="1:13" ht="16">
      <c r="A5" s="57" t="s">
        <v>63</v>
      </c>
      <c r="B5" s="57"/>
      <c r="C5" s="58"/>
      <c r="D5" s="58"/>
      <c r="E5" s="58"/>
      <c r="F5" s="58"/>
      <c r="G5" s="58"/>
      <c r="H5" s="58"/>
      <c r="I5" s="58"/>
      <c r="J5" s="58"/>
    </row>
    <row r="6" spans="1:13">
      <c r="A6" s="17" t="s">
        <v>33</v>
      </c>
      <c r="B6" s="16" t="s">
        <v>1011</v>
      </c>
      <c r="C6" s="16" t="s">
        <v>1012</v>
      </c>
      <c r="D6" s="16" t="s">
        <v>1013</v>
      </c>
      <c r="E6" s="16" t="str">
        <f>"0,6557"</f>
        <v>0,6557</v>
      </c>
      <c r="F6" s="16" t="s">
        <v>1532</v>
      </c>
      <c r="G6" s="23" t="s">
        <v>98</v>
      </c>
      <c r="H6" s="23" t="s">
        <v>47</v>
      </c>
      <c r="I6" s="22" t="s">
        <v>99</v>
      </c>
      <c r="J6" s="17"/>
      <c r="K6" s="17" t="str">
        <f>"105,0"</f>
        <v>105,0</v>
      </c>
      <c r="L6" s="17" t="str">
        <f>"68,8433"</f>
        <v>68,8433</v>
      </c>
      <c r="M6" s="16"/>
    </row>
    <row r="7" spans="1:13">
      <c r="A7" s="19" t="s">
        <v>219</v>
      </c>
      <c r="B7" s="18" t="s">
        <v>506</v>
      </c>
      <c r="C7" s="18" t="s">
        <v>507</v>
      </c>
      <c r="D7" s="18" t="s">
        <v>508</v>
      </c>
      <c r="E7" s="18" t="str">
        <f>"0,6583"</f>
        <v>0,6583</v>
      </c>
      <c r="F7" s="18" t="s">
        <v>1503</v>
      </c>
      <c r="G7" s="25" t="s">
        <v>59</v>
      </c>
      <c r="H7" s="25" t="s">
        <v>67</v>
      </c>
      <c r="I7" s="24" t="s">
        <v>286</v>
      </c>
      <c r="J7" s="19"/>
      <c r="K7" s="19" t="str">
        <f>"102,5"</f>
        <v>102,5</v>
      </c>
      <c r="L7" s="19" t="str">
        <f>"67,4809"</f>
        <v>67,4809</v>
      </c>
      <c r="M7" s="18" t="s">
        <v>242</v>
      </c>
    </row>
    <row r="8" spans="1:13">
      <c r="B8" s="5" t="s">
        <v>34</v>
      </c>
    </row>
    <row r="9" spans="1:13" ht="16">
      <c r="A9" s="61" t="s">
        <v>130</v>
      </c>
      <c r="B9" s="61"/>
      <c r="C9" s="61"/>
      <c r="D9" s="61"/>
      <c r="E9" s="61"/>
      <c r="F9" s="61"/>
      <c r="G9" s="61"/>
      <c r="H9" s="61"/>
      <c r="I9" s="61"/>
      <c r="J9" s="61"/>
    </row>
    <row r="10" spans="1:13">
      <c r="A10" s="8" t="s">
        <v>33</v>
      </c>
      <c r="B10" s="7" t="s">
        <v>1014</v>
      </c>
      <c r="C10" s="7" t="s">
        <v>1015</v>
      </c>
      <c r="D10" s="7" t="s">
        <v>141</v>
      </c>
      <c r="E10" s="7" t="str">
        <f>"0,5816"</f>
        <v>0,5816</v>
      </c>
      <c r="F10" s="7" t="s">
        <v>1459</v>
      </c>
      <c r="G10" s="15" t="s">
        <v>59</v>
      </c>
      <c r="H10" s="15" t="s">
        <v>98</v>
      </c>
      <c r="I10" s="14" t="s">
        <v>286</v>
      </c>
      <c r="J10" s="8"/>
      <c r="K10" s="8" t="str">
        <f>"100,0"</f>
        <v>100,0</v>
      </c>
      <c r="L10" s="8" t="str">
        <f>"58,1550"</f>
        <v>58,1550</v>
      </c>
      <c r="M10" s="7"/>
    </row>
    <row r="11" spans="1:13">
      <c r="B11" s="5" t="s">
        <v>34</v>
      </c>
    </row>
    <row r="12" spans="1:13" ht="16">
      <c r="A12" s="61" t="s">
        <v>184</v>
      </c>
      <c r="B12" s="61"/>
      <c r="C12" s="61"/>
      <c r="D12" s="61"/>
      <c r="E12" s="61"/>
      <c r="F12" s="61"/>
      <c r="G12" s="61"/>
      <c r="H12" s="61"/>
      <c r="I12" s="61"/>
      <c r="J12" s="61"/>
    </row>
    <row r="13" spans="1:13">
      <c r="A13" s="8" t="s">
        <v>33</v>
      </c>
      <c r="B13" s="7" t="s">
        <v>1016</v>
      </c>
      <c r="C13" s="7" t="s">
        <v>1415</v>
      </c>
      <c r="D13" s="7" t="s">
        <v>1017</v>
      </c>
      <c r="E13" s="7" t="str">
        <f>"0,5605"</f>
        <v>0,5605</v>
      </c>
      <c r="F13" s="7" t="s">
        <v>1459</v>
      </c>
      <c r="G13" s="15" t="s">
        <v>100</v>
      </c>
      <c r="H13" s="15" t="s">
        <v>182</v>
      </c>
      <c r="I13" s="15" t="s">
        <v>79</v>
      </c>
      <c r="J13" s="8"/>
      <c r="K13" s="8" t="str">
        <f>"120,0"</f>
        <v>120,0</v>
      </c>
      <c r="L13" s="8" t="str">
        <f>"67,2540"</f>
        <v>67,2540</v>
      </c>
      <c r="M13" s="7"/>
    </row>
    <row r="14" spans="1:13">
      <c r="B14" s="5" t="s">
        <v>34</v>
      </c>
    </row>
    <row r="15" spans="1:13" ht="16">
      <c r="A15" s="61" t="s">
        <v>198</v>
      </c>
      <c r="B15" s="61"/>
      <c r="C15" s="61"/>
      <c r="D15" s="61"/>
      <c r="E15" s="61"/>
      <c r="F15" s="61"/>
      <c r="G15" s="61"/>
      <c r="H15" s="61"/>
      <c r="I15" s="61"/>
      <c r="J15" s="61"/>
    </row>
    <row r="16" spans="1:13">
      <c r="A16" s="8" t="s">
        <v>33</v>
      </c>
      <c r="B16" s="7" t="s">
        <v>1018</v>
      </c>
      <c r="C16" s="7" t="s">
        <v>1019</v>
      </c>
      <c r="D16" s="7" t="s">
        <v>1020</v>
      </c>
      <c r="E16" s="7" t="str">
        <f>"0,5428"</f>
        <v>0,5428</v>
      </c>
      <c r="F16" s="7" t="s">
        <v>1507</v>
      </c>
      <c r="G16" s="15" t="s">
        <v>49</v>
      </c>
      <c r="H16" s="15" t="s">
        <v>55</v>
      </c>
      <c r="I16" s="15" t="s">
        <v>56</v>
      </c>
      <c r="J16" s="8"/>
      <c r="K16" s="8" t="str">
        <f>"140,0"</f>
        <v>140,0</v>
      </c>
      <c r="L16" s="8" t="str">
        <f>"75,9948"</f>
        <v>75,9948</v>
      </c>
      <c r="M16" s="7"/>
    </row>
    <row r="17" spans="2:2">
      <c r="B17" s="5" t="s">
        <v>34</v>
      </c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9:J9"/>
    <mergeCell ref="A12:J12"/>
    <mergeCell ref="A15:J15"/>
    <mergeCell ref="B3:B4"/>
    <mergeCell ref="K3:K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U25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9.8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6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28" bestFit="1" customWidth="1"/>
    <col min="20" max="20" width="8.5" style="6" bestFit="1" customWidth="1"/>
    <col min="21" max="21" width="21.33203125" style="5" customWidth="1"/>
    <col min="22" max="16384" width="9.1640625" style="3"/>
  </cols>
  <sheetData>
    <row r="1" spans="1:21" s="2" customFormat="1" ht="29" customHeight="1">
      <c r="A1" s="62" t="s">
        <v>1253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5"/>
    </row>
    <row r="2" spans="1:21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9"/>
    </row>
    <row r="3" spans="1:21" s="1" customFormat="1" ht="12.75" customHeight="1">
      <c r="A3" s="70" t="s">
        <v>1458</v>
      </c>
      <c r="B3" s="59" t="s">
        <v>0</v>
      </c>
      <c r="C3" s="72" t="s">
        <v>5</v>
      </c>
      <c r="D3" s="72" t="s">
        <v>8</v>
      </c>
      <c r="E3" s="74" t="s">
        <v>9</v>
      </c>
      <c r="F3" s="74" t="s">
        <v>10</v>
      </c>
      <c r="G3" s="74" t="s">
        <v>11</v>
      </c>
      <c r="H3" s="74"/>
      <c r="I3" s="74"/>
      <c r="J3" s="74"/>
      <c r="K3" s="74" t="s">
        <v>12</v>
      </c>
      <c r="L3" s="74"/>
      <c r="M3" s="74"/>
      <c r="N3" s="74"/>
      <c r="O3" s="74" t="s">
        <v>13</v>
      </c>
      <c r="P3" s="74"/>
      <c r="Q3" s="74"/>
      <c r="R3" s="74"/>
      <c r="S3" s="75" t="s">
        <v>1</v>
      </c>
      <c r="T3" s="74" t="s">
        <v>3</v>
      </c>
      <c r="U3" s="77" t="s">
        <v>2</v>
      </c>
    </row>
    <row r="4" spans="1:21" s="1" customFormat="1" ht="21" customHeight="1" thickBot="1">
      <c r="A4" s="71"/>
      <c r="B4" s="60"/>
      <c r="C4" s="73"/>
      <c r="D4" s="73"/>
      <c r="E4" s="73"/>
      <c r="F4" s="7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76"/>
      <c r="T4" s="73"/>
      <c r="U4" s="78"/>
    </row>
    <row r="5" spans="1:21" ht="16">
      <c r="A5" s="57" t="s">
        <v>43</v>
      </c>
      <c r="B5" s="57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</row>
    <row r="6" spans="1:21">
      <c r="A6" s="17" t="s">
        <v>33</v>
      </c>
      <c r="B6" s="16" t="s">
        <v>436</v>
      </c>
      <c r="C6" s="16" t="s">
        <v>437</v>
      </c>
      <c r="D6" s="16" t="s">
        <v>438</v>
      </c>
      <c r="E6" s="16" t="str">
        <f>"1,2071"</f>
        <v>1,2071</v>
      </c>
      <c r="F6" s="16" t="s">
        <v>1459</v>
      </c>
      <c r="G6" s="23" t="s">
        <v>60</v>
      </c>
      <c r="H6" s="22" t="s">
        <v>124</v>
      </c>
      <c r="I6" s="22" t="s">
        <v>124</v>
      </c>
      <c r="J6" s="17"/>
      <c r="K6" s="23" t="s">
        <v>253</v>
      </c>
      <c r="L6" s="22" t="s">
        <v>247</v>
      </c>
      <c r="M6" s="22" t="s">
        <v>247</v>
      </c>
      <c r="N6" s="17"/>
      <c r="O6" s="23" t="s">
        <v>107</v>
      </c>
      <c r="P6" s="23" t="s">
        <v>160</v>
      </c>
      <c r="Q6" s="23" t="s">
        <v>439</v>
      </c>
      <c r="R6" s="17"/>
      <c r="S6" s="29" t="str">
        <f>"397,5"</f>
        <v>397,5</v>
      </c>
      <c r="T6" s="17" t="str">
        <f>"479,8223"</f>
        <v>479,8223</v>
      </c>
      <c r="U6" s="16" t="s">
        <v>440</v>
      </c>
    </row>
    <row r="7" spans="1:21">
      <c r="A7" s="19" t="s">
        <v>33</v>
      </c>
      <c r="B7" s="18" t="s">
        <v>436</v>
      </c>
      <c r="C7" s="18" t="s">
        <v>1312</v>
      </c>
      <c r="D7" s="18" t="s">
        <v>438</v>
      </c>
      <c r="E7" s="18" t="str">
        <f>"1,2071"</f>
        <v>1,2071</v>
      </c>
      <c r="F7" s="18" t="s">
        <v>1459</v>
      </c>
      <c r="G7" s="25" t="s">
        <v>60</v>
      </c>
      <c r="H7" s="24" t="s">
        <v>124</v>
      </c>
      <c r="I7" s="24" t="s">
        <v>124</v>
      </c>
      <c r="J7" s="19"/>
      <c r="K7" s="25" t="s">
        <v>253</v>
      </c>
      <c r="L7" s="24" t="s">
        <v>247</v>
      </c>
      <c r="M7" s="24" t="s">
        <v>247</v>
      </c>
      <c r="N7" s="19"/>
      <c r="O7" s="25" t="s">
        <v>107</v>
      </c>
      <c r="P7" s="25" t="s">
        <v>160</v>
      </c>
      <c r="Q7" s="25" t="s">
        <v>439</v>
      </c>
      <c r="R7" s="19"/>
      <c r="S7" s="31" t="str">
        <f>"397,5"</f>
        <v>397,5</v>
      </c>
      <c r="T7" s="19" t="str">
        <f>"493,2573"</f>
        <v>493,2573</v>
      </c>
      <c r="U7" s="18" t="s">
        <v>440</v>
      </c>
    </row>
    <row r="8" spans="1:21">
      <c r="B8" s="5" t="s">
        <v>34</v>
      </c>
    </row>
    <row r="9" spans="1:21" ht="16">
      <c r="A9" s="61" t="s">
        <v>63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</row>
    <row r="10" spans="1:21">
      <c r="A10" s="17" t="s">
        <v>33</v>
      </c>
      <c r="B10" s="16" t="s">
        <v>441</v>
      </c>
      <c r="C10" s="16" t="s">
        <v>442</v>
      </c>
      <c r="D10" s="16" t="s">
        <v>443</v>
      </c>
      <c r="E10" s="16" t="str">
        <f>"0,6975"</f>
        <v>0,6975</v>
      </c>
      <c r="F10" s="16" t="s">
        <v>1497</v>
      </c>
      <c r="G10" s="23" t="s">
        <v>187</v>
      </c>
      <c r="H10" s="23" t="s">
        <v>69</v>
      </c>
      <c r="I10" s="22" t="s">
        <v>87</v>
      </c>
      <c r="J10" s="17"/>
      <c r="K10" s="23" t="s">
        <v>49</v>
      </c>
      <c r="L10" s="23" t="s">
        <v>89</v>
      </c>
      <c r="M10" s="23" t="s">
        <v>55</v>
      </c>
      <c r="N10" s="17"/>
      <c r="O10" s="23" t="s">
        <v>439</v>
      </c>
      <c r="P10" s="23" t="s">
        <v>70</v>
      </c>
      <c r="Q10" s="22" t="s">
        <v>78</v>
      </c>
      <c r="R10" s="17"/>
      <c r="S10" s="29" t="str">
        <f>"520,0"</f>
        <v>520,0</v>
      </c>
      <c r="T10" s="17" t="str">
        <f>"362,7000"</f>
        <v>362,7000</v>
      </c>
      <c r="U10" s="16" t="s">
        <v>444</v>
      </c>
    </row>
    <row r="11" spans="1:21">
      <c r="A11" s="21" t="s">
        <v>219</v>
      </c>
      <c r="B11" s="20" t="s">
        <v>445</v>
      </c>
      <c r="C11" s="20" t="s">
        <v>446</v>
      </c>
      <c r="D11" s="20" t="s">
        <v>447</v>
      </c>
      <c r="E11" s="20" t="str">
        <f>"0,6822"</f>
        <v>0,6822</v>
      </c>
      <c r="F11" s="20" t="s">
        <v>1461</v>
      </c>
      <c r="G11" s="26" t="s">
        <v>55</v>
      </c>
      <c r="H11" s="27" t="s">
        <v>61</v>
      </c>
      <c r="I11" s="27" t="s">
        <v>61</v>
      </c>
      <c r="J11" s="21"/>
      <c r="K11" s="26" t="s">
        <v>47</v>
      </c>
      <c r="L11" s="26" t="s">
        <v>182</v>
      </c>
      <c r="M11" s="26" t="s">
        <v>79</v>
      </c>
      <c r="N11" s="21"/>
      <c r="O11" s="26" t="s">
        <v>18</v>
      </c>
      <c r="P11" s="26" t="s">
        <v>77</v>
      </c>
      <c r="Q11" s="27" t="s">
        <v>68</v>
      </c>
      <c r="R11" s="21"/>
      <c r="S11" s="30" t="str">
        <f>"435,0"</f>
        <v>435,0</v>
      </c>
      <c r="T11" s="21" t="str">
        <f>"296,7570"</f>
        <v>296,7570</v>
      </c>
      <c r="U11" s="20"/>
    </row>
    <row r="12" spans="1:21">
      <c r="A12" s="21" t="s">
        <v>218</v>
      </c>
      <c r="B12" s="20" t="s">
        <v>448</v>
      </c>
      <c r="C12" s="20" t="s">
        <v>449</v>
      </c>
      <c r="D12" s="20" t="s">
        <v>450</v>
      </c>
      <c r="E12" s="20" t="str">
        <f>"0,6764"</f>
        <v>0,6764</v>
      </c>
      <c r="F12" s="20" t="s">
        <v>1588</v>
      </c>
      <c r="G12" s="27" t="s">
        <v>105</v>
      </c>
      <c r="H12" s="27" t="s">
        <v>105</v>
      </c>
      <c r="I12" s="27" t="s">
        <v>105</v>
      </c>
      <c r="J12" s="21"/>
      <c r="K12" s="27"/>
      <c r="L12" s="21"/>
      <c r="M12" s="21"/>
      <c r="N12" s="21"/>
      <c r="O12" s="21"/>
      <c r="P12" s="21"/>
      <c r="Q12" s="21"/>
      <c r="R12" s="21"/>
      <c r="S12" s="30">
        <v>0</v>
      </c>
      <c r="T12" s="21" t="str">
        <f>"0,0000"</f>
        <v>0,0000</v>
      </c>
      <c r="U12" s="20"/>
    </row>
    <row r="13" spans="1:21">
      <c r="A13" s="19" t="s">
        <v>33</v>
      </c>
      <c r="B13" s="18" t="s">
        <v>445</v>
      </c>
      <c r="C13" s="18" t="s">
        <v>1313</v>
      </c>
      <c r="D13" s="18" t="s">
        <v>447</v>
      </c>
      <c r="E13" s="18" t="str">
        <f>"0,6822"</f>
        <v>0,6822</v>
      </c>
      <c r="F13" s="18" t="s">
        <v>1461</v>
      </c>
      <c r="G13" s="25" t="s">
        <v>55</v>
      </c>
      <c r="H13" s="24" t="s">
        <v>61</v>
      </c>
      <c r="I13" s="24" t="s">
        <v>61</v>
      </c>
      <c r="J13" s="19"/>
      <c r="K13" s="25" t="s">
        <v>47</v>
      </c>
      <c r="L13" s="25" t="s">
        <v>182</v>
      </c>
      <c r="M13" s="25" t="s">
        <v>79</v>
      </c>
      <c r="N13" s="19"/>
      <c r="O13" s="25" t="s">
        <v>18</v>
      </c>
      <c r="P13" s="25" t="s">
        <v>77</v>
      </c>
      <c r="Q13" s="24" t="s">
        <v>68</v>
      </c>
      <c r="R13" s="19"/>
      <c r="S13" s="31" t="str">
        <f>"435,0"</f>
        <v>435,0</v>
      </c>
      <c r="T13" s="19" t="str">
        <f>"400,6220"</f>
        <v>400,6220</v>
      </c>
      <c r="U13" s="18"/>
    </row>
    <row r="14" spans="1:21">
      <c r="B14" s="5" t="s">
        <v>34</v>
      </c>
    </row>
    <row r="15" spans="1:21" ht="16">
      <c r="A15" s="61" t="s">
        <v>14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</row>
    <row r="16" spans="1:21">
      <c r="A16" s="17" t="s">
        <v>33</v>
      </c>
      <c r="B16" s="16" t="s">
        <v>451</v>
      </c>
      <c r="C16" s="16" t="s">
        <v>452</v>
      </c>
      <c r="D16" s="16" t="s">
        <v>373</v>
      </c>
      <c r="E16" s="16" t="str">
        <f>"0,6463"</f>
        <v>0,6463</v>
      </c>
      <c r="F16" s="16" t="s">
        <v>1498</v>
      </c>
      <c r="G16" s="23" t="s">
        <v>87</v>
      </c>
      <c r="H16" s="23" t="s">
        <v>104</v>
      </c>
      <c r="I16" s="23" t="s">
        <v>453</v>
      </c>
      <c r="J16" s="17"/>
      <c r="K16" s="23" t="s">
        <v>47</v>
      </c>
      <c r="L16" s="23" t="s">
        <v>99</v>
      </c>
      <c r="M16" s="23" t="s">
        <v>182</v>
      </c>
      <c r="N16" s="17"/>
      <c r="O16" s="23" t="s">
        <v>87</v>
      </c>
      <c r="P16" s="23" t="s">
        <v>104</v>
      </c>
      <c r="Q16" s="23" t="s">
        <v>105</v>
      </c>
      <c r="R16" s="17"/>
      <c r="S16" s="29" t="str">
        <f>"552,5"</f>
        <v>552,5</v>
      </c>
      <c r="T16" s="17" t="str">
        <f>"357,0808"</f>
        <v>357,0808</v>
      </c>
      <c r="U16" s="16" t="s">
        <v>1442</v>
      </c>
    </row>
    <row r="17" spans="1:21">
      <c r="A17" s="21" t="s">
        <v>219</v>
      </c>
      <c r="B17" s="20" t="s">
        <v>454</v>
      </c>
      <c r="C17" s="20" t="s">
        <v>455</v>
      </c>
      <c r="D17" s="20" t="s">
        <v>456</v>
      </c>
      <c r="E17" s="20" t="str">
        <f>"0,6455"</f>
        <v>0,6455</v>
      </c>
      <c r="F17" s="20" t="s">
        <v>1486</v>
      </c>
      <c r="G17" s="26" t="s">
        <v>61</v>
      </c>
      <c r="H17" s="27" t="s">
        <v>18</v>
      </c>
      <c r="I17" s="27" t="s">
        <v>18</v>
      </c>
      <c r="J17" s="21"/>
      <c r="K17" s="26" t="s">
        <v>56</v>
      </c>
      <c r="L17" s="26" t="s">
        <v>61</v>
      </c>
      <c r="M17" s="27" t="s">
        <v>124</v>
      </c>
      <c r="N17" s="21"/>
      <c r="O17" s="26" t="s">
        <v>87</v>
      </c>
      <c r="P17" s="26" t="s">
        <v>127</v>
      </c>
      <c r="Q17" s="27" t="s">
        <v>453</v>
      </c>
      <c r="R17" s="21"/>
      <c r="S17" s="30" t="str">
        <f>"515,0"</f>
        <v>515,0</v>
      </c>
      <c r="T17" s="21" t="str">
        <f>"332,4325"</f>
        <v>332,4325</v>
      </c>
      <c r="U17" s="20"/>
    </row>
    <row r="18" spans="1:21">
      <c r="A18" s="19" t="s">
        <v>220</v>
      </c>
      <c r="B18" s="18" t="s">
        <v>457</v>
      </c>
      <c r="C18" s="18" t="s">
        <v>458</v>
      </c>
      <c r="D18" s="18" t="s">
        <v>459</v>
      </c>
      <c r="E18" s="18" t="str">
        <f>"0,6661"</f>
        <v>0,6661</v>
      </c>
      <c r="F18" s="18" t="s">
        <v>1582</v>
      </c>
      <c r="G18" s="24" t="s">
        <v>40</v>
      </c>
      <c r="H18" s="25" t="s">
        <v>18</v>
      </c>
      <c r="I18" s="24" t="s">
        <v>77</v>
      </c>
      <c r="J18" s="19"/>
      <c r="K18" s="25" t="s">
        <v>100</v>
      </c>
      <c r="L18" s="25" t="s">
        <v>328</v>
      </c>
      <c r="M18" s="25" t="s">
        <v>80</v>
      </c>
      <c r="N18" s="19"/>
      <c r="O18" s="24" t="s">
        <v>104</v>
      </c>
      <c r="P18" s="25" t="s">
        <v>105</v>
      </c>
      <c r="Q18" s="24" t="s">
        <v>38</v>
      </c>
      <c r="R18" s="19"/>
      <c r="S18" s="31" t="str">
        <f>"505,0"</f>
        <v>505,0</v>
      </c>
      <c r="T18" s="19" t="str">
        <f>"336,3805"</f>
        <v>336,3805</v>
      </c>
      <c r="U18" s="18" t="s">
        <v>409</v>
      </c>
    </row>
    <row r="19" spans="1:21">
      <c r="B19" s="5" t="s">
        <v>34</v>
      </c>
    </row>
    <row r="20" spans="1:21" ht="16">
      <c r="A20" s="61" t="s">
        <v>35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</row>
    <row r="21" spans="1:21">
      <c r="A21" s="8" t="s">
        <v>218</v>
      </c>
      <c r="B21" s="7" t="s">
        <v>460</v>
      </c>
      <c r="C21" s="7" t="s">
        <v>1314</v>
      </c>
      <c r="D21" s="7" t="s">
        <v>461</v>
      </c>
      <c r="E21" s="7" t="str">
        <f>"0,5986"</f>
        <v>0,5986</v>
      </c>
      <c r="F21" s="7" t="s">
        <v>1459</v>
      </c>
      <c r="G21" s="14" t="s">
        <v>122</v>
      </c>
      <c r="H21" s="14" t="s">
        <v>114</v>
      </c>
      <c r="I21" s="14" t="s">
        <v>21</v>
      </c>
      <c r="J21" s="8"/>
      <c r="K21" s="14"/>
      <c r="L21" s="8"/>
      <c r="M21" s="8"/>
      <c r="N21" s="8"/>
      <c r="O21" s="14"/>
      <c r="P21" s="8"/>
      <c r="Q21" s="8"/>
      <c r="R21" s="8"/>
      <c r="S21" s="32">
        <v>0</v>
      </c>
      <c r="T21" s="8" t="str">
        <f>"0,0000"</f>
        <v>0,0000</v>
      </c>
      <c r="U21" s="7"/>
    </row>
    <row r="22" spans="1:21">
      <c r="B22" s="5" t="s">
        <v>34</v>
      </c>
    </row>
    <row r="23" spans="1:21" ht="16">
      <c r="A23" s="61" t="s">
        <v>198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</row>
    <row r="24" spans="1:21">
      <c r="A24" s="8" t="s">
        <v>33</v>
      </c>
      <c r="B24" s="7" t="s">
        <v>462</v>
      </c>
      <c r="C24" s="7" t="s">
        <v>463</v>
      </c>
      <c r="D24" s="7" t="s">
        <v>464</v>
      </c>
      <c r="E24" s="7" t="str">
        <f>"0,5627"</f>
        <v>0,5627</v>
      </c>
      <c r="F24" s="7" t="s">
        <v>1459</v>
      </c>
      <c r="G24" s="14" t="s">
        <v>143</v>
      </c>
      <c r="H24" s="14" t="s">
        <v>143</v>
      </c>
      <c r="I24" s="15" t="s">
        <v>145</v>
      </c>
      <c r="J24" s="8"/>
      <c r="K24" s="14" t="s">
        <v>187</v>
      </c>
      <c r="L24" s="15" t="s">
        <v>187</v>
      </c>
      <c r="M24" s="14" t="s">
        <v>344</v>
      </c>
      <c r="N24" s="8"/>
      <c r="O24" s="14" t="s">
        <v>17</v>
      </c>
      <c r="P24" s="15" t="s">
        <v>17</v>
      </c>
      <c r="Q24" s="14" t="s">
        <v>465</v>
      </c>
      <c r="R24" s="8"/>
      <c r="S24" s="32" t="str">
        <f>"705,0"</f>
        <v>705,0</v>
      </c>
      <c r="T24" s="8" t="str">
        <f>"396,7035"</f>
        <v>396,7035</v>
      </c>
      <c r="U24" s="7"/>
    </row>
    <row r="25" spans="1:21">
      <c r="B25" s="5" t="s">
        <v>34</v>
      </c>
    </row>
  </sheetData>
  <mergeCells count="18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9:R9"/>
    <mergeCell ref="A15:R15"/>
    <mergeCell ref="A20:R20"/>
    <mergeCell ref="A23:R23"/>
    <mergeCell ref="B3:B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M41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3.6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8.6640625" style="5" bestFit="1" customWidth="1"/>
    <col min="7" max="9" width="4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1" style="5" customWidth="1"/>
    <col min="14" max="16384" width="9.1640625" style="3"/>
  </cols>
  <sheetData>
    <row r="1" spans="1:13" s="2" customFormat="1" ht="29" customHeight="1">
      <c r="A1" s="62" t="s">
        <v>1280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3" s="1" customFormat="1" ht="12.75" customHeight="1">
      <c r="A3" s="70" t="s">
        <v>1458</v>
      </c>
      <c r="B3" s="59" t="s">
        <v>0</v>
      </c>
      <c r="C3" s="72" t="s">
        <v>5</v>
      </c>
      <c r="D3" s="72" t="s">
        <v>8</v>
      </c>
      <c r="E3" s="74" t="s">
        <v>1009</v>
      </c>
      <c r="F3" s="74" t="s">
        <v>10</v>
      </c>
      <c r="G3" s="74" t="s">
        <v>1589</v>
      </c>
      <c r="H3" s="74"/>
      <c r="I3" s="74"/>
      <c r="J3" s="74"/>
      <c r="K3" s="74" t="s">
        <v>601</v>
      </c>
      <c r="L3" s="74" t="s">
        <v>3</v>
      </c>
      <c r="M3" s="77" t="s">
        <v>2</v>
      </c>
    </row>
    <row r="4" spans="1:13" s="1" customFormat="1" ht="21" customHeight="1" thickBot="1">
      <c r="A4" s="71"/>
      <c r="B4" s="60"/>
      <c r="C4" s="73"/>
      <c r="D4" s="73"/>
      <c r="E4" s="73"/>
      <c r="F4" s="73"/>
      <c r="G4" s="4">
        <v>1</v>
      </c>
      <c r="H4" s="4">
        <v>2</v>
      </c>
      <c r="I4" s="4">
        <v>3</v>
      </c>
      <c r="J4" s="4" t="s">
        <v>4</v>
      </c>
      <c r="K4" s="73"/>
      <c r="L4" s="73"/>
      <c r="M4" s="78"/>
    </row>
    <row r="5" spans="1:13" ht="16">
      <c r="A5" s="57" t="s">
        <v>51</v>
      </c>
      <c r="B5" s="57"/>
      <c r="C5" s="58"/>
      <c r="D5" s="58"/>
      <c r="E5" s="58"/>
      <c r="F5" s="58"/>
      <c r="G5" s="58"/>
      <c r="H5" s="58"/>
      <c r="I5" s="58"/>
      <c r="J5" s="58"/>
    </row>
    <row r="6" spans="1:13">
      <c r="A6" s="17" t="s">
        <v>33</v>
      </c>
      <c r="B6" s="16" t="s">
        <v>1040</v>
      </c>
      <c r="C6" s="16" t="s">
        <v>1416</v>
      </c>
      <c r="D6" s="16" t="s">
        <v>1041</v>
      </c>
      <c r="E6" s="16" t="str">
        <f>"0,7581"</f>
        <v>0,7581</v>
      </c>
      <c r="F6" s="16" t="s">
        <v>1459</v>
      </c>
      <c r="G6" s="23" t="s">
        <v>301</v>
      </c>
      <c r="H6" s="23" t="s">
        <v>235</v>
      </c>
      <c r="I6" s="23" t="s">
        <v>229</v>
      </c>
      <c r="J6" s="17"/>
      <c r="K6" s="17" t="str">
        <f>"45,0"</f>
        <v>45,0</v>
      </c>
      <c r="L6" s="17" t="str">
        <f>"34,1123"</f>
        <v>34,1123</v>
      </c>
      <c r="M6" s="16"/>
    </row>
    <row r="7" spans="1:13">
      <c r="A7" s="21" t="s">
        <v>33</v>
      </c>
      <c r="B7" s="20" t="s">
        <v>1042</v>
      </c>
      <c r="C7" s="20" t="s">
        <v>1043</v>
      </c>
      <c r="D7" s="20" t="s">
        <v>642</v>
      </c>
      <c r="E7" s="20" t="str">
        <f>"0,7786"</f>
        <v>0,7786</v>
      </c>
      <c r="F7" s="20" t="s">
        <v>1572</v>
      </c>
      <c r="G7" s="26" t="s">
        <v>254</v>
      </c>
      <c r="H7" s="26" t="s">
        <v>48</v>
      </c>
      <c r="I7" s="26" t="s">
        <v>270</v>
      </c>
      <c r="J7" s="27" t="s">
        <v>271</v>
      </c>
      <c r="K7" s="21" t="str">
        <f>"60,0"</f>
        <v>60,0</v>
      </c>
      <c r="L7" s="21" t="str">
        <f>"46,7160"</f>
        <v>46,7160</v>
      </c>
      <c r="M7" s="20"/>
    </row>
    <row r="8" spans="1:13">
      <c r="A8" s="19" t="s">
        <v>219</v>
      </c>
      <c r="B8" s="18" t="s">
        <v>997</v>
      </c>
      <c r="C8" s="18" t="s">
        <v>1044</v>
      </c>
      <c r="D8" s="18" t="s">
        <v>999</v>
      </c>
      <c r="E8" s="18" t="str">
        <f>"0,7494"</f>
        <v>0,7494</v>
      </c>
      <c r="F8" s="18" t="s">
        <v>1507</v>
      </c>
      <c r="G8" s="25" t="s">
        <v>254</v>
      </c>
      <c r="H8" s="24" t="s">
        <v>255</v>
      </c>
      <c r="I8" s="24" t="s">
        <v>48</v>
      </c>
      <c r="J8" s="19"/>
      <c r="K8" s="19" t="str">
        <f>"50,0"</f>
        <v>50,0</v>
      </c>
      <c r="L8" s="19" t="str">
        <f>"37,4675"</f>
        <v>37,4675</v>
      </c>
      <c r="M8" s="18" t="s">
        <v>1000</v>
      </c>
    </row>
    <row r="9" spans="1:13">
      <c r="B9" s="5" t="s">
        <v>34</v>
      </c>
    </row>
    <row r="10" spans="1:13" ht="16">
      <c r="A10" s="61" t="s">
        <v>73</v>
      </c>
      <c r="B10" s="61"/>
      <c r="C10" s="61"/>
      <c r="D10" s="61"/>
      <c r="E10" s="61"/>
      <c r="F10" s="61"/>
      <c r="G10" s="61"/>
      <c r="H10" s="61"/>
      <c r="I10" s="61"/>
      <c r="J10" s="61"/>
    </row>
    <row r="11" spans="1:13">
      <c r="A11" s="17" t="s">
        <v>33</v>
      </c>
      <c r="B11" s="16" t="s">
        <v>1045</v>
      </c>
      <c r="C11" s="16" t="s">
        <v>1417</v>
      </c>
      <c r="D11" s="16" t="s">
        <v>333</v>
      </c>
      <c r="E11" s="16" t="str">
        <f>"0,6934"</f>
        <v>0,6934</v>
      </c>
      <c r="F11" s="16" t="s">
        <v>1571</v>
      </c>
      <c r="G11" s="23" t="s">
        <v>48</v>
      </c>
      <c r="H11" s="22" t="s">
        <v>269</v>
      </c>
      <c r="I11" s="22" t="s">
        <v>269</v>
      </c>
      <c r="J11" s="17"/>
      <c r="K11" s="17" t="str">
        <f>"55,0"</f>
        <v>55,0</v>
      </c>
      <c r="L11" s="17" t="str">
        <f>"38,1343"</f>
        <v>38,1343</v>
      </c>
      <c r="M11" s="16" t="s">
        <v>1046</v>
      </c>
    </row>
    <row r="12" spans="1:13">
      <c r="A12" s="21" t="s">
        <v>219</v>
      </c>
      <c r="B12" s="20" t="s">
        <v>1047</v>
      </c>
      <c r="C12" s="20" t="s">
        <v>1418</v>
      </c>
      <c r="D12" s="20" t="s">
        <v>1003</v>
      </c>
      <c r="E12" s="20" t="str">
        <f>"0,7086"</f>
        <v>0,7086</v>
      </c>
      <c r="F12" s="20" t="s">
        <v>1459</v>
      </c>
      <c r="G12" s="27" t="s">
        <v>235</v>
      </c>
      <c r="H12" s="27" t="s">
        <v>235</v>
      </c>
      <c r="I12" s="26" t="s">
        <v>235</v>
      </c>
      <c r="J12" s="21"/>
      <c r="K12" s="21" t="str">
        <f>"42,5"</f>
        <v>42,5</v>
      </c>
      <c r="L12" s="21" t="str">
        <f>"30,1176"</f>
        <v>30,1176</v>
      </c>
      <c r="M12" s="20"/>
    </row>
    <row r="13" spans="1:13">
      <c r="A13" s="21" t="s">
        <v>33</v>
      </c>
      <c r="B13" s="20" t="s">
        <v>1048</v>
      </c>
      <c r="C13" s="20" t="s">
        <v>1419</v>
      </c>
      <c r="D13" s="20" t="s">
        <v>1049</v>
      </c>
      <c r="E13" s="20" t="str">
        <f>"0,6975"</f>
        <v>0,6975</v>
      </c>
      <c r="F13" s="20" t="s">
        <v>1459</v>
      </c>
      <c r="G13" s="26" t="s">
        <v>241</v>
      </c>
      <c r="H13" s="26" t="s">
        <v>48</v>
      </c>
      <c r="I13" s="26" t="s">
        <v>270</v>
      </c>
      <c r="J13" s="21"/>
      <c r="K13" s="21" t="str">
        <f>"60,0"</f>
        <v>60,0</v>
      </c>
      <c r="L13" s="21" t="str">
        <f>"41,8530"</f>
        <v>41,8530</v>
      </c>
      <c r="M13" s="20"/>
    </row>
    <row r="14" spans="1:13">
      <c r="A14" s="21" t="s">
        <v>33</v>
      </c>
      <c r="B14" s="20" t="s">
        <v>1050</v>
      </c>
      <c r="C14" s="20" t="s">
        <v>1051</v>
      </c>
      <c r="D14" s="20" t="s">
        <v>645</v>
      </c>
      <c r="E14" s="20" t="str">
        <f>"0,6983"</f>
        <v>0,6983</v>
      </c>
      <c r="F14" s="20" t="s">
        <v>1459</v>
      </c>
      <c r="G14" s="26" t="s">
        <v>253</v>
      </c>
      <c r="H14" s="26" t="s">
        <v>247</v>
      </c>
      <c r="I14" s="26" t="s">
        <v>234</v>
      </c>
      <c r="J14" s="21"/>
      <c r="K14" s="21" t="str">
        <f>"82,5"</f>
        <v>82,5</v>
      </c>
      <c r="L14" s="21" t="str">
        <f>"57,6098"</f>
        <v>57,6098</v>
      </c>
      <c r="M14" s="20"/>
    </row>
    <row r="15" spans="1:13">
      <c r="A15" s="21" t="s">
        <v>219</v>
      </c>
      <c r="B15" s="20" t="s">
        <v>648</v>
      </c>
      <c r="C15" s="20" t="s">
        <v>649</v>
      </c>
      <c r="D15" s="20" t="s">
        <v>650</v>
      </c>
      <c r="E15" s="20" t="str">
        <f>"0,6906"</f>
        <v>0,6906</v>
      </c>
      <c r="F15" s="20" t="s">
        <v>1516</v>
      </c>
      <c r="G15" s="26" t="s">
        <v>270</v>
      </c>
      <c r="H15" s="26" t="s">
        <v>271</v>
      </c>
      <c r="I15" s="26" t="s">
        <v>260</v>
      </c>
      <c r="J15" s="21"/>
      <c r="K15" s="21" t="str">
        <f>"65,0"</f>
        <v>65,0</v>
      </c>
      <c r="L15" s="21" t="str">
        <f>"44,8890"</f>
        <v>44,8890</v>
      </c>
      <c r="M15" s="20"/>
    </row>
    <row r="16" spans="1:13">
      <c r="A16" s="21" t="s">
        <v>220</v>
      </c>
      <c r="B16" s="20" t="s">
        <v>656</v>
      </c>
      <c r="C16" s="20" t="s">
        <v>657</v>
      </c>
      <c r="D16" s="20" t="s">
        <v>658</v>
      </c>
      <c r="E16" s="20" t="str">
        <f>"0,6969"</f>
        <v>0,6969</v>
      </c>
      <c r="F16" s="20" t="s">
        <v>1518</v>
      </c>
      <c r="G16" s="26" t="s">
        <v>48</v>
      </c>
      <c r="H16" s="26" t="s">
        <v>269</v>
      </c>
      <c r="I16" s="26" t="s">
        <v>270</v>
      </c>
      <c r="J16" s="21"/>
      <c r="K16" s="21" t="str">
        <f>"60,0"</f>
        <v>60,0</v>
      </c>
      <c r="L16" s="21" t="str">
        <f>"41,8110"</f>
        <v>41,8110</v>
      </c>
      <c r="M16" s="20"/>
    </row>
    <row r="17" spans="1:13">
      <c r="A17" s="19" t="s">
        <v>33</v>
      </c>
      <c r="B17" s="18" t="s">
        <v>659</v>
      </c>
      <c r="C17" s="18" t="s">
        <v>1420</v>
      </c>
      <c r="D17" s="18" t="s">
        <v>492</v>
      </c>
      <c r="E17" s="18" t="str">
        <f>"0,6940"</f>
        <v>0,6940</v>
      </c>
      <c r="F17" s="18" t="s">
        <v>1519</v>
      </c>
      <c r="G17" s="25" t="s">
        <v>241</v>
      </c>
      <c r="H17" s="25" t="s">
        <v>255</v>
      </c>
      <c r="I17" s="25" t="s">
        <v>48</v>
      </c>
      <c r="J17" s="19"/>
      <c r="K17" s="19" t="str">
        <f>"55,0"</f>
        <v>55,0</v>
      </c>
      <c r="L17" s="19" t="str">
        <f>"38,9334"</f>
        <v>38,9334</v>
      </c>
      <c r="M17" s="18"/>
    </row>
    <row r="18" spans="1:13">
      <c r="B18" s="5" t="s">
        <v>34</v>
      </c>
    </row>
    <row r="19" spans="1:13" ht="16">
      <c r="A19" s="61" t="s">
        <v>63</v>
      </c>
      <c r="B19" s="61"/>
      <c r="C19" s="61"/>
      <c r="D19" s="61"/>
      <c r="E19" s="61"/>
      <c r="F19" s="61"/>
      <c r="G19" s="61"/>
      <c r="H19" s="61"/>
      <c r="I19" s="61"/>
      <c r="J19" s="61"/>
    </row>
    <row r="20" spans="1:13">
      <c r="A20" s="17" t="s">
        <v>33</v>
      </c>
      <c r="B20" s="16" t="s">
        <v>448</v>
      </c>
      <c r="C20" s="16" t="s">
        <v>449</v>
      </c>
      <c r="D20" s="16" t="s">
        <v>450</v>
      </c>
      <c r="E20" s="16" t="str">
        <f>"0,6513"</f>
        <v>0,6513</v>
      </c>
      <c r="F20" s="16" t="s">
        <v>1588</v>
      </c>
      <c r="G20" s="23" t="s">
        <v>269</v>
      </c>
      <c r="H20" s="23" t="s">
        <v>271</v>
      </c>
      <c r="I20" s="22" t="s">
        <v>260</v>
      </c>
      <c r="J20" s="17"/>
      <c r="K20" s="17" t="str">
        <f>"62,5"</f>
        <v>62,5</v>
      </c>
      <c r="L20" s="17" t="str">
        <f>"40,7063"</f>
        <v>40,7063</v>
      </c>
      <c r="M20" s="16"/>
    </row>
    <row r="21" spans="1:13">
      <c r="A21" s="21" t="s">
        <v>219</v>
      </c>
      <c r="B21" s="20" t="s">
        <v>1052</v>
      </c>
      <c r="C21" s="20" t="s">
        <v>1053</v>
      </c>
      <c r="D21" s="20" t="s">
        <v>668</v>
      </c>
      <c r="E21" s="20" t="str">
        <f>"0,6503"</f>
        <v>0,6503</v>
      </c>
      <c r="F21" s="20" t="s">
        <v>1521</v>
      </c>
      <c r="G21" s="26" t="s">
        <v>255</v>
      </c>
      <c r="H21" s="26" t="s">
        <v>269</v>
      </c>
      <c r="I21" s="27" t="s">
        <v>260</v>
      </c>
      <c r="J21" s="21"/>
      <c r="K21" s="21" t="str">
        <f>"57,5"</f>
        <v>57,5</v>
      </c>
      <c r="L21" s="21" t="str">
        <f>"37,3894"</f>
        <v>37,3894</v>
      </c>
      <c r="M21" s="20"/>
    </row>
    <row r="22" spans="1:13">
      <c r="A22" s="21" t="s">
        <v>220</v>
      </c>
      <c r="B22" s="20" t="s">
        <v>1054</v>
      </c>
      <c r="C22" s="20" t="s">
        <v>1055</v>
      </c>
      <c r="D22" s="20" t="s">
        <v>668</v>
      </c>
      <c r="E22" s="20" t="str">
        <f>"0,6503"</f>
        <v>0,6503</v>
      </c>
      <c r="F22" s="20" t="s">
        <v>1521</v>
      </c>
      <c r="G22" s="26" t="s">
        <v>48</v>
      </c>
      <c r="H22" s="26" t="s">
        <v>269</v>
      </c>
      <c r="I22" s="27" t="s">
        <v>270</v>
      </c>
      <c r="J22" s="21"/>
      <c r="K22" s="21" t="str">
        <f>"57,5"</f>
        <v>57,5</v>
      </c>
      <c r="L22" s="21" t="str">
        <f>"37,3894"</f>
        <v>37,3894</v>
      </c>
      <c r="M22" s="20"/>
    </row>
    <row r="23" spans="1:13">
      <c r="A23" s="19" t="s">
        <v>33</v>
      </c>
      <c r="B23" s="18" t="s">
        <v>1056</v>
      </c>
      <c r="C23" s="18" t="s">
        <v>1057</v>
      </c>
      <c r="D23" s="18" t="s">
        <v>508</v>
      </c>
      <c r="E23" s="18" t="str">
        <f>"0,6583"</f>
        <v>0,6583</v>
      </c>
      <c r="F23" s="18" t="s">
        <v>1464</v>
      </c>
      <c r="G23" s="24" t="s">
        <v>254</v>
      </c>
      <c r="H23" s="25" t="s">
        <v>48</v>
      </c>
      <c r="I23" s="24" t="s">
        <v>270</v>
      </c>
      <c r="J23" s="19"/>
      <c r="K23" s="19" t="str">
        <f>"55,0"</f>
        <v>55,0</v>
      </c>
      <c r="L23" s="19" t="str">
        <f>"50,4395"</f>
        <v>50,4395</v>
      </c>
      <c r="M23" s="18"/>
    </row>
    <row r="24" spans="1:13">
      <c r="B24" s="5" t="s">
        <v>34</v>
      </c>
    </row>
    <row r="25" spans="1:13" ht="16">
      <c r="A25" s="61" t="s">
        <v>14</v>
      </c>
      <c r="B25" s="61"/>
      <c r="C25" s="61"/>
      <c r="D25" s="61"/>
      <c r="E25" s="61"/>
      <c r="F25" s="61"/>
      <c r="G25" s="61"/>
      <c r="H25" s="61"/>
      <c r="I25" s="61"/>
      <c r="J25" s="61"/>
    </row>
    <row r="26" spans="1:13">
      <c r="A26" s="8" t="s">
        <v>33</v>
      </c>
      <c r="B26" s="7" t="s">
        <v>1058</v>
      </c>
      <c r="C26" s="7" t="s">
        <v>1413</v>
      </c>
      <c r="D26" s="7" t="s">
        <v>1059</v>
      </c>
      <c r="E26" s="7" t="str">
        <f>"0,6149"</f>
        <v>0,6149</v>
      </c>
      <c r="F26" s="7" t="s">
        <v>1514</v>
      </c>
      <c r="G26" s="15" t="s">
        <v>48</v>
      </c>
      <c r="H26" s="15" t="s">
        <v>270</v>
      </c>
      <c r="I26" s="14" t="s">
        <v>271</v>
      </c>
      <c r="J26" s="8"/>
      <c r="K26" s="8" t="str">
        <f>"60,0"</f>
        <v>60,0</v>
      </c>
      <c r="L26" s="8" t="str">
        <f>"37,6319"</f>
        <v>37,6319</v>
      </c>
      <c r="M26" s="7" t="s">
        <v>1060</v>
      </c>
    </row>
    <row r="27" spans="1:13">
      <c r="B27" s="5" t="s">
        <v>34</v>
      </c>
    </row>
    <row r="28" spans="1:13" ht="16">
      <c r="A28" s="61" t="s">
        <v>130</v>
      </c>
      <c r="B28" s="61"/>
      <c r="C28" s="61"/>
      <c r="D28" s="61"/>
      <c r="E28" s="61"/>
      <c r="F28" s="61"/>
      <c r="G28" s="61"/>
      <c r="H28" s="61"/>
      <c r="I28" s="61"/>
      <c r="J28" s="61"/>
    </row>
    <row r="29" spans="1:13">
      <c r="A29" s="8" t="s">
        <v>33</v>
      </c>
      <c r="B29" s="7" t="s">
        <v>1061</v>
      </c>
      <c r="C29" s="7" t="s">
        <v>1062</v>
      </c>
      <c r="D29" s="7" t="s">
        <v>1063</v>
      </c>
      <c r="E29" s="7" t="str">
        <f>"0,6075"</f>
        <v>0,6075</v>
      </c>
      <c r="F29" s="7" t="s">
        <v>1460</v>
      </c>
      <c r="G29" s="15" t="s">
        <v>48</v>
      </c>
      <c r="H29" s="15" t="s">
        <v>270</v>
      </c>
      <c r="I29" s="14" t="s">
        <v>260</v>
      </c>
      <c r="J29" s="8"/>
      <c r="K29" s="8" t="str">
        <f>"60,0"</f>
        <v>60,0</v>
      </c>
      <c r="L29" s="8" t="str">
        <f>"36,4500"</f>
        <v>36,4500</v>
      </c>
      <c r="M29" s="7"/>
    </row>
    <row r="30" spans="1:13">
      <c r="B30" s="5" t="s">
        <v>34</v>
      </c>
    </row>
    <row r="33" spans="2:6" ht="18">
      <c r="B33" s="9" t="s">
        <v>24</v>
      </c>
      <c r="C33" s="9"/>
    </row>
    <row r="34" spans="2:6" ht="16">
      <c r="B34" s="10" t="s">
        <v>25</v>
      </c>
      <c r="C34" s="10"/>
    </row>
    <row r="35" spans="2:6" ht="14">
      <c r="B35" s="11"/>
      <c r="C35" s="12" t="s">
        <v>207</v>
      </c>
    </row>
    <row r="36" spans="2:6" ht="14">
      <c r="B36" s="13" t="s">
        <v>27</v>
      </c>
      <c r="C36" s="13" t="s">
        <v>28</v>
      </c>
      <c r="D36" s="13" t="s">
        <v>1437</v>
      </c>
      <c r="E36" s="13" t="s">
        <v>593</v>
      </c>
      <c r="F36" s="13" t="s">
        <v>1021</v>
      </c>
    </row>
    <row r="37" spans="2:6">
      <c r="B37" s="5" t="s">
        <v>1050</v>
      </c>
      <c r="C37" s="5" t="s">
        <v>207</v>
      </c>
      <c r="D37" s="6" t="s">
        <v>395</v>
      </c>
      <c r="E37" s="6" t="s">
        <v>234</v>
      </c>
      <c r="F37" s="6" t="s">
        <v>1064</v>
      </c>
    </row>
    <row r="38" spans="2:6">
      <c r="B38" s="5" t="s">
        <v>1042</v>
      </c>
      <c r="C38" s="5" t="s">
        <v>207</v>
      </c>
      <c r="D38" s="6" t="s">
        <v>208</v>
      </c>
      <c r="E38" s="6" t="s">
        <v>270</v>
      </c>
      <c r="F38" s="6" t="s">
        <v>1065</v>
      </c>
    </row>
    <row r="39" spans="2:6">
      <c r="B39" s="5" t="s">
        <v>648</v>
      </c>
      <c r="C39" s="5" t="s">
        <v>207</v>
      </c>
      <c r="D39" s="6" t="s">
        <v>395</v>
      </c>
      <c r="E39" s="6" t="s">
        <v>260</v>
      </c>
      <c r="F39" s="6" t="s">
        <v>1066</v>
      </c>
    </row>
    <row r="40" spans="2:6">
      <c r="B40" s="5" t="s">
        <v>34</v>
      </c>
    </row>
    <row r="41" spans="2:6">
      <c r="B41" s="5" t="s">
        <v>34</v>
      </c>
    </row>
  </sheetData>
  <mergeCells count="1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10:J10"/>
    <mergeCell ref="A19:J19"/>
    <mergeCell ref="A25:J25"/>
    <mergeCell ref="A28:J28"/>
    <mergeCell ref="B3:B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M2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3.6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9.1640625" style="5" bestFit="1" customWidth="1"/>
    <col min="7" max="10" width="5.5" style="6" customWidth="1"/>
    <col min="11" max="11" width="10.5" style="6" bestFit="1" customWidth="1"/>
    <col min="12" max="12" width="7.5" style="6" bestFit="1" customWidth="1"/>
    <col min="13" max="13" width="21.33203125" style="5" customWidth="1"/>
    <col min="14" max="16384" width="9.1640625" style="3"/>
  </cols>
  <sheetData>
    <row r="1" spans="1:13" s="2" customFormat="1" ht="29" customHeight="1">
      <c r="A1" s="62" t="s">
        <v>1281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3" s="1" customFormat="1" ht="12.75" customHeight="1">
      <c r="A3" s="70" t="s">
        <v>1458</v>
      </c>
      <c r="B3" s="59" t="s">
        <v>0</v>
      </c>
      <c r="C3" s="72" t="s">
        <v>5</v>
      </c>
      <c r="D3" s="72" t="s">
        <v>8</v>
      </c>
      <c r="E3" s="74" t="s">
        <v>1009</v>
      </c>
      <c r="F3" s="74" t="s">
        <v>10</v>
      </c>
      <c r="G3" s="74" t="s">
        <v>1589</v>
      </c>
      <c r="H3" s="74"/>
      <c r="I3" s="74"/>
      <c r="J3" s="74"/>
      <c r="K3" s="74" t="s">
        <v>601</v>
      </c>
      <c r="L3" s="74" t="s">
        <v>3</v>
      </c>
      <c r="M3" s="77" t="s">
        <v>2</v>
      </c>
    </row>
    <row r="4" spans="1:13" s="1" customFormat="1" ht="21" customHeight="1" thickBot="1">
      <c r="A4" s="71"/>
      <c r="B4" s="60"/>
      <c r="C4" s="73"/>
      <c r="D4" s="73"/>
      <c r="E4" s="73"/>
      <c r="F4" s="73"/>
      <c r="G4" s="4">
        <v>1</v>
      </c>
      <c r="H4" s="4">
        <v>2</v>
      </c>
      <c r="I4" s="4">
        <v>3</v>
      </c>
      <c r="J4" s="4" t="s">
        <v>4</v>
      </c>
      <c r="K4" s="73"/>
      <c r="L4" s="73"/>
      <c r="M4" s="78"/>
    </row>
    <row r="5" spans="1:13" ht="16">
      <c r="A5" s="57" t="s">
        <v>73</v>
      </c>
      <c r="B5" s="57"/>
      <c r="C5" s="58"/>
      <c r="D5" s="58"/>
      <c r="E5" s="58"/>
      <c r="F5" s="58"/>
      <c r="G5" s="58"/>
      <c r="H5" s="58"/>
      <c r="I5" s="58"/>
      <c r="J5" s="58"/>
    </row>
    <row r="6" spans="1:13">
      <c r="A6" s="17" t="s">
        <v>33</v>
      </c>
      <c r="B6" s="16" t="s">
        <v>1022</v>
      </c>
      <c r="C6" s="16" t="s">
        <v>1421</v>
      </c>
      <c r="D6" s="16" t="s">
        <v>1023</v>
      </c>
      <c r="E6" s="16" t="str">
        <f>"0,7237"</f>
        <v>0,7237</v>
      </c>
      <c r="F6" s="16" t="s">
        <v>1562</v>
      </c>
      <c r="G6" s="23" t="s">
        <v>269</v>
      </c>
      <c r="H6" s="23" t="s">
        <v>270</v>
      </c>
      <c r="I6" s="23" t="s">
        <v>260</v>
      </c>
      <c r="J6" s="22" t="s">
        <v>295</v>
      </c>
      <c r="K6" s="17" t="str">
        <f>"65,0"</f>
        <v>65,0</v>
      </c>
      <c r="L6" s="17" t="str">
        <f>"47,9813"</f>
        <v>47,9813</v>
      </c>
      <c r="M6" s="16"/>
    </row>
    <row r="7" spans="1:13">
      <c r="A7" s="19" t="s">
        <v>33</v>
      </c>
      <c r="B7" s="18" t="s">
        <v>1024</v>
      </c>
      <c r="C7" s="18" t="s">
        <v>1025</v>
      </c>
      <c r="D7" s="18" t="s">
        <v>333</v>
      </c>
      <c r="E7" s="18" t="str">
        <f>"0,6934"</f>
        <v>0,6934</v>
      </c>
      <c r="F7" s="18" t="s">
        <v>1573</v>
      </c>
      <c r="G7" s="25" t="s">
        <v>279</v>
      </c>
      <c r="H7" s="25" t="s">
        <v>228</v>
      </c>
      <c r="I7" s="24" t="s">
        <v>235</v>
      </c>
      <c r="J7" s="19"/>
      <c r="K7" s="19" t="str">
        <f>"40,0"</f>
        <v>40,0</v>
      </c>
      <c r="L7" s="19" t="str">
        <f>"47,6470"</f>
        <v>47,6470</v>
      </c>
      <c r="M7" s="18"/>
    </row>
    <row r="8" spans="1:13">
      <c r="B8" s="5" t="s">
        <v>34</v>
      </c>
    </row>
    <row r="9" spans="1:13" ht="16">
      <c r="A9" s="61" t="s">
        <v>63</v>
      </c>
      <c r="B9" s="61"/>
      <c r="C9" s="61"/>
      <c r="D9" s="61"/>
      <c r="E9" s="61"/>
      <c r="F9" s="61"/>
      <c r="G9" s="61"/>
      <c r="H9" s="61"/>
      <c r="I9" s="61"/>
      <c r="J9" s="61"/>
    </row>
    <row r="10" spans="1:13">
      <c r="A10" s="17" t="s">
        <v>33</v>
      </c>
      <c r="B10" s="16" t="s">
        <v>1026</v>
      </c>
      <c r="C10" s="16" t="s">
        <v>1027</v>
      </c>
      <c r="D10" s="16" t="s">
        <v>1028</v>
      </c>
      <c r="E10" s="16" t="str">
        <f>"0,6550"</f>
        <v>0,6550</v>
      </c>
      <c r="F10" s="16" t="s">
        <v>1460</v>
      </c>
      <c r="G10" s="23" t="s">
        <v>262</v>
      </c>
      <c r="H10" s="22" t="s">
        <v>253</v>
      </c>
      <c r="I10" s="22" t="s">
        <v>253</v>
      </c>
      <c r="J10" s="17"/>
      <c r="K10" s="17" t="str">
        <f>"72,5"</f>
        <v>72,5</v>
      </c>
      <c r="L10" s="17" t="str">
        <f>"47,4911"</f>
        <v>47,4911</v>
      </c>
      <c r="M10" s="16"/>
    </row>
    <row r="11" spans="1:13">
      <c r="A11" s="19" t="s">
        <v>33</v>
      </c>
      <c r="B11" s="18" t="s">
        <v>1029</v>
      </c>
      <c r="C11" s="18" t="s">
        <v>1422</v>
      </c>
      <c r="D11" s="18" t="s">
        <v>1030</v>
      </c>
      <c r="E11" s="18" t="str">
        <f>"0,6456"</f>
        <v>0,6456</v>
      </c>
      <c r="F11" s="18" t="s">
        <v>1459</v>
      </c>
      <c r="G11" s="25" t="s">
        <v>254</v>
      </c>
      <c r="H11" s="25" t="s">
        <v>48</v>
      </c>
      <c r="I11" s="25" t="s">
        <v>269</v>
      </c>
      <c r="J11" s="19"/>
      <c r="K11" s="19" t="str">
        <f>"57,5"</f>
        <v>57,5</v>
      </c>
      <c r="L11" s="19" t="str">
        <f>"47,9245"</f>
        <v>47,9245</v>
      </c>
      <c r="M11" s="18"/>
    </row>
    <row r="12" spans="1:13">
      <c r="B12" s="5" t="s">
        <v>34</v>
      </c>
    </row>
    <row r="13" spans="1:13" ht="16">
      <c r="A13" s="61" t="s">
        <v>14</v>
      </c>
      <c r="B13" s="61"/>
      <c r="C13" s="61"/>
      <c r="D13" s="61"/>
      <c r="E13" s="61"/>
      <c r="F13" s="61"/>
      <c r="G13" s="61"/>
      <c r="H13" s="61"/>
      <c r="I13" s="61"/>
      <c r="J13" s="61"/>
    </row>
    <row r="14" spans="1:13">
      <c r="A14" s="17" t="s">
        <v>33</v>
      </c>
      <c r="B14" s="16" t="s">
        <v>1031</v>
      </c>
      <c r="C14" s="16" t="s">
        <v>1032</v>
      </c>
      <c r="D14" s="16" t="s">
        <v>1033</v>
      </c>
      <c r="E14" s="16" t="str">
        <f>"0,6197"</f>
        <v>0,6197</v>
      </c>
      <c r="F14" s="16" t="s">
        <v>1459</v>
      </c>
      <c r="G14" s="23" t="s">
        <v>262</v>
      </c>
      <c r="H14" s="23" t="s">
        <v>275</v>
      </c>
      <c r="I14" s="22" t="s">
        <v>234</v>
      </c>
      <c r="J14" s="17"/>
      <c r="K14" s="17" t="str">
        <f>"77,5"</f>
        <v>77,5</v>
      </c>
      <c r="L14" s="17" t="str">
        <f>"48,0268"</f>
        <v>48,0268</v>
      </c>
      <c r="M14" s="16"/>
    </row>
    <row r="15" spans="1:13">
      <c r="A15" s="21" t="s">
        <v>219</v>
      </c>
      <c r="B15" s="20" t="s">
        <v>1034</v>
      </c>
      <c r="C15" s="20" t="s">
        <v>1035</v>
      </c>
      <c r="D15" s="20" t="s">
        <v>355</v>
      </c>
      <c r="E15" s="20" t="str">
        <f>"0,6133"</f>
        <v>0,6133</v>
      </c>
      <c r="F15" s="20" t="s">
        <v>1464</v>
      </c>
      <c r="G15" s="26" t="s">
        <v>1036</v>
      </c>
      <c r="H15" s="27" t="s">
        <v>1037</v>
      </c>
      <c r="I15" s="27" t="s">
        <v>1037</v>
      </c>
      <c r="J15" s="21"/>
      <c r="K15" s="21" t="str">
        <f>"76,0"</f>
        <v>76,0</v>
      </c>
      <c r="L15" s="21" t="str">
        <f>"46,6146"</f>
        <v>46,6146</v>
      </c>
      <c r="M15" s="20"/>
    </row>
    <row r="16" spans="1:13">
      <c r="A16" s="19" t="s">
        <v>33</v>
      </c>
      <c r="B16" s="18" t="s">
        <v>1031</v>
      </c>
      <c r="C16" s="18" t="s">
        <v>1414</v>
      </c>
      <c r="D16" s="18" t="s">
        <v>1033</v>
      </c>
      <c r="E16" s="18" t="str">
        <f>"0,6197"</f>
        <v>0,6197</v>
      </c>
      <c r="F16" s="18" t="s">
        <v>1459</v>
      </c>
      <c r="G16" s="25" t="s">
        <v>262</v>
      </c>
      <c r="H16" s="25" t="s">
        <v>275</v>
      </c>
      <c r="I16" s="24" t="s">
        <v>234</v>
      </c>
      <c r="J16" s="19"/>
      <c r="K16" s="19" t="str">
        <f>"77,5"</f>
        <v>77,5</v>
      </c>
      <c r="L16" s="19" t="str">
        <f>"49,5156"</f>
        <v>49,5156</v>
      </c>
      <c r="M16" s="18"/>
    </row>
    <row r="17" spans="1:13">
      <c r="B17" s="5" t="s">
        <v>34</v>
      </c>
    </row>
    <row r="18" spans="1:13" ht="16">
      <c r="A18" s="61" t="s">
        <v>130</v>
      </c>
      <c r="B18" s="61"/>
      <c r="C18" s="61"/>
      <c r="D18" s="61"/>
      <c r="E18" s="61"/>
      <c r="F18" s="61"/>
      <c r="G18" s="61"/>
      <c r="H18" s="61"/>
      <c r="I18" s="61"/>
      <c r="J18" s="61"/>
    </row>
    <row r="19" spans="1:13">
      <c r="A19" s="17" t="s">
        <v>33</v>
      </c>
      <c r="B19" s="16" t="s">
        <v>1014</v>
      </c>
      <c r="C19" s="16" t="s">
        <v>1015</v>
      </c>
      <c r="D19" s="16" t="s">
        <v>141</v>
      </c>
      <c r="E19" s="16" t="str">
        <f>"0,5816"</f>
        <v>0,5816</v>
      </c>
      <c r="F19" s="16" t="s">
        <v>1459</v>
      </c>
      <c r="G19" s="23" t="s">
        <v>253</v>
      </c>
      <c r="H19" s="23" t="s">
        <v>247</v>
      </c>
      <c r="I19" s="23" t="s">
        <v>234</v>
      </c>
      <c r="J19" s="17"/>
      <c r="K19" s="17" t="str">
        <f>"82,5"</f>
        <v>82,5</v>
      </c>
      <c r="L19" s="17" t="str">
        <f>"47,9779"</f>
        <v>47,9779</v>
      </c>
      <c r="M19" s="16"/>
    </row>
    <row r="20" spans="1:13">
      <c r="A20" s="19" t="s">
        <v>33</v>
      </c>
      <c r="B20" s="18" t="s">
        <v>1038</v>
      </c>
      <c r="C20" s="18" t="s">
        <v>1423</v>
      </c>
      <c r="D20" s="18" t="s">
        <v>1039</v>
      </c>
      <c r="E20" s="18" t="str">
        <f>"0,5867"</f>
        <v>0,5867</v>
      </c>
      <c r="F20" s="18" t="s">
        <v>1506</v>
      </c>
      <c r="G20" s="25" t="s">
        <v>247</v>
      </c>
      <c r="H20" s="24" t="s">
        <v>226</v>
      </c>
      <c r="I20" s="25" t="s">
        <v>226</v>
      </c>
      <c r="J20" s="19"/>
      <c r="K20" s="19" t="str">
        <f>"85,0"</f>
        <v>85,0</v>
      </c>
      <c r="L20" s="19" t="str">
        <f>"50,3639"</f>
        <v>50,3639</v>
      </c>
      <c r="M20" s="18"/>
    </row>
    <row r="21" spans="1:13">
      <c r="B21" s="5" t="s">
        <v>34</v>
      </c>
    </row>
    <row r="22" spans="1:13" ht="16">
      <c r="A22" s="61" t="s">
        <v>184</v>
      </c>
      <c r="B22" s="61"/>
      <c r="C22" s="61"/>
      <c r="D22" s="61"/>
      <c r="E22" s="61"/>
      <c r="F22" s="61"/>
      <c r="G22" s="61"/>
      <c r="H22" s="61"/>
      <c r="I22" s="61"/>
      <c r="J22" s="61"/>
    </row>
    <row r="23" spans="1:13">
      <c r="A23" s="8" t="s">
        <v>33</v>
      </c>
      <c r="B23" s="7" t="s">
        <v>1016</v>
      </c>
      <c r="C23" s="7" t="s">
        <v>1415</v>
      </c>
      <c r="D23" s="7" t="s">
        <v>1017</v>
      </c>
      <c r="E23" s="7" t="str">
        <f>"0,5605"</f>
        <v>0,5605</v>
      </c>
      <c r="F23" s="7" t="s">
        <v>1459</v>
      </c>
      <c r="G23" s="15" t="s">
        <v>261</v>
      </c>
      <c r="H23" s="15" t="s">
        <v>247</v>
      </c>
      <c r="I23" s="14" t="s">
        <v>58</v>
      </c>
      <c r="J23" s="8"/>
      <c r="K23" s="8" t="str">
        <f>"80,0"</f>
        <v>80,0</v>
      </c>
      <c r="L23" s="8" t="str">
        <f>"44,8360"</f>
        <v>44,8360</v>
      </c>
      <c r="M23" s="7"/>
    </row>
    <row r="24" spans="1:13">
      <c r="B24" s="5" t="s">
        <v>34</v>
      </c>
    </row>
    <row r="25" spans="1:13" ht="16">
      <c r="A25" s="61" t="s">
        <v>198</v>
      </c>
      <c r="B25" s="61"/>
      <c r="C25" s="61"/>
      <c r="D25" s="61"/>
      <c r="E25" s="61"/>
      <c r="F25" s="61"/>
      <c r="G25" s="61"/>
      <c r="H25" s="61"/>
      <c r="I25" s="61"/>
      <c r="J25" s="61"/>
    </row>
    <row r="26" spans="1:13">
      <c r="A26" s="8" t="s">
        <v>33</v>
      </c>
      <c r="B26" s="7" t="s">
        <v>1018</v>
      </c>
      <c r="C26" s="7" t="s">
        <v>1019</v>
      </c>
      <c r="D26" s="7" t="s">
        <v>1020</v>
      </c>
      <c r="E26" s="7" t="str">
        <f>"0,5428"</f>
        <v>0,5428</v>
      </c>
      <c r="F26" s="7" t="s">
        <v>1507</v>
      </c>
      <c r="G26" s="15" t="s">
        <v>67</v>
      </c>
      <c r="H26" s="15" t="s">
        <v>47</v>
      </c>
      <c r="I26" s="15" t="s">
        <v>286</v>
      </c>
      <c r="J26" s="14" t="s">
        <v>99</v>
      </c>
      <c r="K26" s="8" t="str">
        <f>"107,5"</f>
        <v>107,5</v>
      </c>
      <c r="L26" s="8" t="str">
        <f>"58,3531"</f>
        <v>58,3531</v>
      </c>
      <c r="M26" s="7"/>
    </row>
    <row r="27" spans="1:13">
      <c r="B27" s="5" t="s">
        <v>34</v>
      </c>
    </row>
  </sheetData>
  <mergeCells count="17"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  <mergeCell ref="A25:J25"/>
    <mergeCell ref="A5:J5"/>
    <mergeCell ref="A9:J9"/>
    <mergeCell ref="A13:J13"/>
    <mergeCell ref="A18:J18"/>
    <mergeCell ref="A22:J2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O11"/>
  <sheetViews>
    <sheetView workbookViewId="0">
      <selection sqref="A1:O2"/>
    </sheetView>
  </sheetViews>
  <sheetFormatPr baseColWidth="10" defaultColWidth="9.1640625" defaultRowHeight="13"/>
  <cols>
    <col min="1" max="1" width="7.5" style="5" bestFit="1" customWidth="1"/>
    <col min="2" max="2" width="17.5" style="5" bestFit="1" customWidth="1"/>
    <col min="3" max="3" width="28.5" style="5" bestFit="1" customWidth="1"/>
    <col min="4" max="4" width="21.5" style="5" bestFit="1" customWidth="1"/>
    <col min="5" max="5" width="15.1640625" style="5" bestFit="1" customWidth="1"/>
    <col min="6" max="6" width="17.5" style="5" bestFit="1" customWidth="1"/>
    <col min="7" max="9" width="5.5" style="6" customWidth="1"/>
    <col min="10" max="10" width="4.83203125" style="6" customWidth="1"/>
    <col min="11" max="11" width="12.1640625" style="6" customWidth="1"/>
    <col min="12" max="12" width="11.6640625" style="49" customWidth="1"/>
    <col min="13" max="13" width="7.83203125" style="6" bestFit="1" customWidth="1"/>
    <col min="14" max="14" width="9.5" style="6" bestFit="1" customWidth="1"/>
    <col min="15" max="15" width="22.1640625" style="5" customWidth="1"/>
    <col min="16" max="16384" width="9.1640625" style="3"/>
  </cols>
  <sheetData>
    <row r="1" spans="1:15" s="2" customFormat="1" ht="29" customHeight="1">
      <c r="A1" s="62" t="s">
        <v>1291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</row>
    <row r="2" spans="1:15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9"/>
    </row>
    <row r="3" spans="1:15" s="1" customFormat="1" ht="12.75" customHeight="1">
      <c r="A3" s="70" t="s">
        <v>1458</v>
      </c>
      <c r="B3" s="59" t="s">
        <v>0</v>
      </c>
      <c r="C3" s="72" t="s">
        <v>5</v>
      </c>
      <c r="D3" s="72" t="s">
        <v>8</v>
      </c>
      <c r="E3" s="74" t="s">
        <v>1126</v>
      </c>
      <c r="F3" s="74" t="s">
        <v>10</v>
      </c>
      <c r="G3" s="74" t="s">
        <v>12</v>
      </c>
      <c r="H3" s="74"/>
      <c r="I3" s="74"/>
      <c r="J3" s="74"/>
      <c r="K3" s="74" t="s">
        <v>1454</v>
      </c>
      <c r="L3" s="74"/>
      <c r="M3" s="74" t="s">
        <v>1</v>
      </c>
      <c r="N3" s="74" t="s">
        <v>3</v>
      </c>
      <c r="O3" s="77" t="s">
        <v>2</v>
      </c>
    </row>
    <row r="4" spans="1:15" s="1" customFormat="1" ht="21" customHeight="1" thickBot="1">
      <c r="A4" s="71"/>
      <c r="B4" s="60"/>
      <c r="C4" s="73"/>
      <c r="D4" s="73"/>
      <c r="E4" s="73"/>
      <c r="F4" s="73"/>
      <c r="G4" s="4">
        <v>1</v>
      </c>
      <c r="H4" s="4">
        <v>2</v>
      </c>
      <c r="I4" s="4">
        <v>3</v>
      </c>
      <c r="J4" s="4" t="s">
        <v>4</v>
      </c>
      <c r="K4" s="4" t="s">
        <v>6</v>
      </c>
      <c r="L4" s="47" t="s">
        <v>7</v>
      </c>
      <c r="M4" s="73"/>
      <c r="N4" s="73"/>
      <c r="O4" s="78"/>
    </row>
    <row r="5" spans="1:15" ht="16">
      <c r="A5" s="57" t="s">
        <v>1132</v>
      </c>
      <c r="B5" s="57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5">
      <c r="A6" s="8" t="s">
        <v>33</v>
      </c>
      <c r="B6" s="7" t="s">
        <v>1133</v>
      </c>
      <c r="C6" s="7" t="s">
        <v>1432</v>
      </c>
      <c r="D6" s="7" t="s">
        <v>1134</v>
      </c>
      <c r="E6" s="7" t="str">
        <f>"0,6876"</f>
        <v>0,6876</v>
      </c>
      <c r="F6" s="7" t="s">
        <v>1459</v>
      </c>
      <c r="G6" s="15" t="s">
        <v>49</v>
      </c>
      <c r="H6" s="15" t="s">
        <v>55</v>
      </c>
      <c r="I6" s="15" t="s">
        <v>56</v>
      </c>
      <c r="J6" s="8"/>
      <c r="K6" s="8" t="s">
        <v>247</v>
      </c>
      <c r="L6" s="48">
        <v>35</v>
      </c>
      <c r="M6" s="8" t="str">
        <f>"175,0"</f>
        <v>175,0</v>
      </c>
      <c r="N6" s="8" t="str">
        <f>"6931,0082"</f>
        <v>6931,0082</v>
      </c>
      <c r="O6" s="7"/>
    </row>
    <row r="7" spans="1:15">
      <c r="B7" s="5" t="s">
        <v>34</v>
      </c>
    </row>
    <row r="8" spans="1:15" ht="16">
      <c r="A8" s="61" t="s">
        <v>130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</row>
    <row r="9" spans="1:15">
      <c r="A9" s="8" t="s">
        <v>33</v>
      </c>
      <c r="B9" s="7" t="s">
        <v>741</v>
      </c>
      <c r="C9" s="7" t="s">
        <v>1341</v>
      </c>
      <c r="D9" s="7" t="s">
        <v>739</v>
      </c>
      <c r="E9" s="7" t="str">
        <f>"0,6250"</f>
        <v>0,6250</v>
      </c>
      <c r="F9" s="7" t="s">
        <v>1524</v>
      </c>
      <c r="G9" s="15" t="s">
        <v>124</v>
      </c>
      <c r="H9" s="15" t="s">
        <v>18</v>
      </c>
      <c r="I9" s="15" t="s">
        <v>128</v>
      </c>
      <c r="J9" s="8"/>
      <c r="K9" s="8" t="s">
        <v>98</v>
      </c>
      <c r="L9" s="48">
        <v>20</v>
      </c>
      <c r="M9" s="8" t="str">
        <f>"182,5"</f>
        <v>182,5</v>
      </c>
      <c r="N9" s="8" t="str">
        <f>"6578,1250"</f>
        <v>6578,1250</v>
      </c>
      <c r="O9" s="7"/>
    </row>
    <row r="10" spans="1:15">
      <c r="B10" s="5" t="s">
        <v>34</v>
      </c>
    </row>
    <row r="11" spans="1:15">
      <c r="B11" s="5" t="s">
        <v>34</v>
      </c>
    </row>
  </sheetData>
  <mergeCells count="14">
    <mergeCell ref="O3:O4"/>
    <mergeCell ref="A5:L5"/>
    <mergeCell ref="A1:O2"/>
    <mergeCell ref="A3:A4"/>
    <mergeCell ref="C3:C4"/>
    <mergeCell ref="D3:D4"/>
    <mergeCell ref="E3:E4"/>
    <mergeCell ref="F3:F4"/>
    <mergeCell ref="G3:J3"/>
    <mergeCell ref="A8:L8"/>
    <mergeCell ref="B3:B4"/>
    <mergeCell ref="K3:L3"/>
    <mergeCell ref="M3:M4"/>
    <mergeCell ref="N3:N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O12"/>
  <sheetViews>
    <sheetView workbookViewId="0">
      <selection sqref="A1:O2"/>
    </sheetView>
  </sheetViews>
  <sheetFormatPr baseColWidth="10" defaultColWidth="9.1640625" defaultRowHeight="13"/>
  <cols>
    <col min="1" max="1" width="7.5" style="5" bestFit="1" customWidth="1"/>
    <col min="2" max="2" width="20.8320312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0.5" style="5" bestFit="1" customWidth="1"/>
    <col min="7" max="9" width="5.5" style="6" customWidth="1"/>
    <col min="10" max="10" width="4.83203125" style="6" customWidth="1"/>
    <col min="11" max="11" width="11.83203125" style="6" customWidth="1"/>
    <col min="12" max="12" width="11.83203125" style="49" customWidth="1"/>
    <col min="13" max="13" width="7.83203125" style="6" bestFit="1" customWidth="1"/>
    <col min="14" max="14" width="12.1640625" style="6" customWidth="1"/>
    <col min="15" max="15" width="22.6640625" style="5" customWidth="1"/>
    <col min="16" max="16384" width="9.1640625" style="3"/>
  </cols>
  <sheetData>
    <row r="1" spans="1:15" s="2" customFormat="1" ht="29" customHeight="1">
      <c r="A1" s="62" t="s">
        <v>1294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</row>
    <row r="2" spans="1:15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9"/>
    </row>
    <row r="3" spans="1:15" s="1" customFormat="1" ht="12.75" customHeight="1">
      <c r="A3" s="70" t="s">
        <v>1458</v>
      </c>
      <c r="B3" s="59" t="s">
        <v>0</v>
      </c>
      <c r="C3" s="72" t="s">
        <v>5</v>
      </c>
      <c r="D3" s="72" t="s">
        <v>8</v>
      </c>
      <c r="E3" s="74" t="s">
        <v>1126</v>
      </c>
      <c r="F3" s="74" t="s">
        <v>10</v>
      </c>
      <c r="G3" s="74" t="s">
        <v>12</v>
      </c>
      <c r="H3" s="74"/>
      <c r="I3" s="74"/>
      <c r="J3" s="74"/>
      <c r="K3" s="74" t="s">
        <v>1455</v>
      </c>
      <c r="L3" s="74"/>
      <c r="M3" s="74" t="s">
        <v>1</v>
      </c>
      <c r="N3" s="74" t="s">
        <v>3</v>
      </c>
      <c r="O3" s="77" t="s">
        <v>2</v>
      </c>
    </row>
    <row r="4" spans="1:15" s="1" customFormat="1" ht="21" customHeight="1" thickBot="1">
      <c r="A4" s="71"/>
      <c r="B4" s="60"/>
      <c r="C4" s="73"/>
      <c r="D4" s="73"/>
      <c r="E4" s="73"/>
      <c r="F4" s="73"/>
      <c r="G4" s="4">
        <v>1</v>
      </c>
      <c r="H4" s="4">
        <v>2</v>
      </c>
      <c r="I4" s="4">
        <v>3</v>
      </c>
      <c r="J4" s="4" t="s">
        <v>4</v>
      </c>
      <c r="K4" s="4" t="s">
        <v>6</v>
      </c>
      <c r="L4" s="47" t="s">
        <v>7</v>
      </c>
      <c r="M4" s="73"/>
      <c r="N4" s="73"/>
      <c r="O4" s="78"/>
    </row>
    <row r="5" spans="1:15" ht="16">
      <c r="A5" s="57" t="s">
        <v>14</v>
      </c>
      <c r="B5" s="57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5">
      <c r="A6" s="8" t="s">
        <v>33</v>
      </c>
      <c r="B6" s="7" t="s">
        <v>1120</v>
      </c>
      <c r="C6" s="7" t="s">
        <v>1121</v>
      </c>
      <c r="D6" s="7" t="s">
        <v>366</v>
      </c>
      <c r="E6" s="7" t="str">
        <f>"0,6410"</f>
        <v>0,6410</v>
      </c>
      <c r="F6" s="7" t="s">
        <v>1574</v>
      </c>
      <c r="G6" s="15" t="s">
        <v>40</v>
      </c>
      <c r="H6" s="15" t="s">
        <v>128</v>
      </c>
      <c r="I6" s="15" t="s">
        <v>107</v>
      </c>
      <c r="J6" s="8"/>
      <c r="K6" s="8" t="s">
        <v>58</v>
      </c>
      <c r="L6" s="48">
        <v>29</v>
      </c>
      <c r="M6" s="8" t="str">
        <f>"196,5"</f>
        <v>196,5</v>
      </c>
      <c r="N6" s="8" t="str">
        <f>"7292,3362"</f>
        <v>7292,3362</v>
      </c>
      <c r="O6" s="7"/>
    </row>
    <row r="7" spans="1:15">
      <c r="B7" s="5" t="s">
        <v>34</v>
      </c>
    </row>
    <row r="8" spans="1:15" ht="16">
      <c r="A8" s="61" t="s">
        <v>130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</row>
    <row r="9" spans="1:15">
      <c r="A9" s="17" t="s">
        <v>33</v>
      </c>
      <c r="B9" s="16" t="s">
        <v>1122</v>
      </c>
      <c r="C9" s="16" t="s">
        <v>1123</v>
      </c>
      <c r="D9" s="16" t="s">
        <v>132</v>
      </c>
      <c r="E9" s="16" t="str">
        <f>"0,6101"</f>
        <v>0,6101</v>
      </c>
      <c r="F9" s="16" t="s">
        <v>1575</v>
      </c>
      <c r="G9" s="23" t="s">
        <v>55</v>
      </c>
      <c r="H9" s="23" t="s">
        <v>61</v>
      </c>
      <c r="I9" s="23" t="s">
        <v>40</v>
      </c>
      <c r="J9" s="17"/>
      <c r="K9" s="17" t="s">
        <v>98</v>
      </c>
      <c r="L9" s="50">
        <v>21</v>
      </c>
      <c r="M9" s="17" t="str">
        <f>"176,0"</f>
        <v>176,0</v>
      </c>
      <c r="N9" s="17" t="str">
        <f>"6265,7267"</f>
        <v>6265,7267</v>
      </c>
      <c r="O9" s="16"/>
    </row>
    <row r="10" spans="1:15">
      <c r="A10" s="21" t="s">
        <v>33</v>
      </c>
      <c r="B10" s="20" t="s">
        <v>1124</v>
      </c>
      <c r="C10" s="20" t="s">
        <v>1435</v>
      </c>
      <c r="D10" s="20" t="s">
        <v>1125</v>
      </c>
      <c r="E10" s="20" t="str">
        <f>"0,6142"</f>
        <v>0,6142</v>
      </c>
      <c r="F10" s="20" t="s">
        <v>1576</v>
      </c>
      <c r="G10" s="27" t="s">
        <v>41</v>
      </c>
      <c r="H10" s="26" t="s">
        <v>41</v>
      </c>
      <c r="I10" s="27" t="s">
        <v>187</v>
      </c>
      <c r="J10" s="21"/>
      <c r="K10" s="21" t="s">
        <v>98</v>
      </c>
      <c r="L10" s="51">
        <v>28</v>
      </c>
      <c r="M10" s="21" t="str">
        <f>"193,0"</f>
        <v>193,0</v>
      </c>
      <c r="N10" s="21" t="str">
        <f>"7130,8620"</f>
        <v>7130,8620</v>
      </c>
      <c r="O10" s="20"/>
    </row>
    <row r="11" spans="1:15">
      <c r="A11" s="19" t="s">
        <v>33</v>
      </c>
      <c r="B11" s="18" t="s">
        <v>1122</v>
      </c>
      <c r="C11" s="18" t="s">
        <v>1434</v>
      </c>
      <c r="D11" s="18" t="s">
        <v>132</v>
      </c>
      <c r="E11" s="18" t="str">
        <f>"0,6101"</f>
        <v>0,6101</v>
      </c>
      <c r="F11" s="18" t="s">
        <v>1575</v>
      </c>
      <c r="G11" s="25" t="s">
        <v>55</v>
      </c>
      <c r="H11" s="25" t="s">
        <v>61</v>
      </c>
      <c r="I11" s="25" t="s">
        <v>40</v>
      </c>
      <c r="J11" s="19"/>
      <c r="K11" s="19" t="s">
        <v>98</v>
      </c>
      <c r="L11" s="52">
        <v>21</v>
      </c>
      <c r="M11" s="19" t="str">
        <f>"176,0"</f>
        <v>176,0</v>
      </c>
      <c r="N11" s="19" t="str">
        <f>"6265,7267"</f>
        <v>6265,7267</v>
      </c>
      <c r="O11" s="18"/>
    </row>
    <row r="12" spans="1:15">
      <c r="B12" s="5" t="s">
        <v>34</v>
      </c>
    </row>
  </sheetData>
  <mergeCells count="14">
    <mergeCell ref="O3:O4"/>
    <mergeCell ref="A5:L5"/>
    <mergeCell ref="A1:O2"/>
    <mergeCell ref="A3:A4"/>
    <mergeCell ref="C3:C4"/>
    <mergeCell ref="D3:D4"/>
    <mergeCell ref="E3:E4"/>
    <mergeCell ref="F3:F4"/>
    <mergeCell ref="G3:J3"/>
    <mergeCell ref="A8:L8"/>
    <mergeCell ref="B3:B4"/>
    <mergeCell ref="K3:L3"/>
    <mergeCell ref="M3:M4"/>
    <mergeCell ref="N3:N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O7"/>
  <sheetViews>
    <sheetView workbookViewId="0">
      <selection sqref="A1:O2"/>
    </sheetView>
  </sheetViews>
  <sheetFormatPr baseColWidth="10" defaultColWidth="9.1640625" defaultRowHeight="13"/>
  <cols>
    <col min="1" max="1" width="7.5" style="5" bestFit="1" customWidth="1"/>
    <col min="2" max="2" width="20.1640625" style="5" bestFit="1" customWidth="1"/>
    <col min="3" max="3" width="26.33203125" style="5" bestFit="1" customWidth="1"/>
    <col min="4" max="4" width="17.5" style="5" customWidth="1"/>
    <col min="5" max="5" width="21.83203125" style="5" customWidth="1"/>
    <col min="6" max="6" width="17.5" style="5" bestFit="1" customWidth="1"/>
    <col min="7" max="10" width="5.5" style="6" customWidth="1"/>
    <col min="11" max="11" width="14.1640625" style="6" customWidth="1"/>
    <col min="12" max="12" width="14.1640625" style="49" customWidth="1"/>
    <col min="13" max="13" width="9.6640625" style="6" customWidth="1"/>
    <col min="14" max="14" width="9.5" style="6" bestFit="1" customWidth="1"/>
    <col min="15" max="15" width="23" style="5" customWidth="1"/>
    <col min="16" max="16384" width="9.1640625" style="3"/>
  </cols>
  <sheetData>
    <row r="1" spans="1:15" s="2" customFormat="1" ht="29" customHeight="1">
      <c r="A1" s="62" t="s">
        <v>1282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</row>
    <row r="2" spans="1:15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9"/>
    </row>
    <row r="3" spans="1:15" s="1" customFormat="1" ht="12.75" customHeight="1">
      <c r="A3" s="70" t="s">
        <v>1458</v>
      </c>
      <c r="B3" s="59" t="s">
        <v>0</v>
      </c>
      <c r="C3" s="72" t="s">
        <v>5</v>
      </c>
      <c r="D3" s="72" t="s">
        <v>8</v>
      </c>
      <c r="E3" s="74" t="s">
        <v>1126</v>
      </c>
      <c r="F3" s="74" t="s">
        <v>10</v>
      </c>
      <c r="G3" s="74" t="s">
        <v>1010</v>
      </c>
      <c r="H3" s="74"/>
      <c r="I3" s="74"/>
      <c r="J3" s="74"/>
      <c r="K3" s="74" t="s">
        <v>1454</v>
      </c>
      <c r="L3" s="74"/>
      <c r="M3" s="74" t="s">
        <v>601</v>
      </c>
      <c r="N3" s="74" t="s">
        <v>3</v>
      </c>
      <c r="O3" s="77" t="s">
        <v>2</v>
      </c>
    </row>
    <row r="4" spans="1:15" s="1" customFormat="1" ht="21" customHeight="1" thickBot="1">
      <c r="A4" s="71"/>
      <c r="B4" s="60"/>
      <c r="C4" s="73"/>
      <c r="D4" s="73"/>
      <c r="E4" s="73"/>
      <c r="F4" s="73"/>
      <c r="G4" s="4">
        <v>1</v>
      </c>
      <c r="H4" s="4">
        <v>2</v>
      </c>
      <c r="I4" s="4">
        <v>3</v>
      </c>
      <c r="J4" s="4" t="s">
        <v>4</v>
      </c>
      <c r="K4" s="4" t="s">
        <v>6</v>
      </c>
      <c r="L4" s="47" t="s">
        <v>7</v>
      </c>
      <c r="M4" s="73"/>
      <c r="N4" s="73"/>
      <c r="O4" s="78"/>
    </row>
    <row r="5" spans="1:15" ht="16">
      <c r="A5" s="57" t="s">
        <v>35</v>
      </c>
      <c r="B5" s="57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5">
      <c r="A6" s="8" t="s">
        <v>33</v>
      </c>
      <c r="B6" s="7" t="s">
        <v>1172</v>
      </c>
      <c r="C6" s="7" t="s">
        <v>1173</v>
      </c>
      <c r="D6" s="7" t="s">
        <v>1174</v>
      </c>
      <c r="E6" s="7" t="str">
        <f>"0,5966"</f>
        <v>0,5966</v>
      </c>
      <c r="F6" s="7" t="s">
        <v>1505</v>
      </c>
      <c r="G6" s="15" t="s">
        <v>47</v>
      </c>
      <c r="H6" s="15" t="s">
        <v>100</v>
      </c>
      <c r="I6" s="8"/>
      <c r="J6" s="8"/>
      <c r="K6" s="8" t="s">
        <v>48</v>
      </c>
      <c r="L6" s="48">
        <v>26</v>
      </c>
      <c r="M6" s="8" t="str">
        <f>"138,5"</f>
        <v>138,5</v>
      </c>
      <c r="N6" s="8" t="str">
        <f>"4422,2975"</f>
        <v>4422,2975</v>
      </c>
      <c r="O6" s="7"/>
    </row>
    <row r="7" spans="1:15">
      <c r="B7" s="5" t="s">
        <v>34</v>
      </c>
    </row>
  </sheetData>
  <mergeCells count="13">
    <mergeCell ref="A5:L5"/>
    <mergeCell ref="B3:B4"/>
    <mergeCell ref="A1:O2"/>
    <mergeCell ref="A3:A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O7"/>
  <sheetViews>
    <sheetView workbookViewId="0">
      <selection sqref="A1:O2"/>
    </sheetView>
  </sheetViews>
  <sheetFormatPr baseColWidth="10" defaultColWidth="9.1640625" defaultRowHeight="13"/>
  <cols>
    <col min="1" max="1" width="7.5" style="5" bestFit="1" customWidth="1"/>
    <col min="2" max="2" width="21" style="5" customWidth="1"/>
    <col min="3" max="3" width="28.5" style="5" bestFit="1" customWidth="1"/>
    <col min="4" max="4" width="21.5" style="5" bestFit="1" customWidth="1"/>
    <col min="5" max="5" width="15.1640625" style="5" bestFit="1" customWidth="1"/>
    <col min="6" max="6" width="17.5" style="5" bestFit="1" customWidth="1"/>
    <col min="7" max="9" width="5.5" style="6" customWidth="1"/>
    <col min="10" max="10" width="4.83203125" style="6" customWidth="1"/>
    <col min="11" max="11" width="11.1640625" style="6" customWidth="1"/>
    <col min="12" max="12" width="11.1640625" style="49" customWidth="1"/>
    <col min="13" max="13" width="7.83203125" style="6" bestFit="1" customWidth="1"/>
    <col min="14" max="14" width="9.5" style="6" bestFit="1" customWidth="1"/>
    <col min="15" max="15" width="20.6640625" style="5" customWidth="1"/>
    <col min="16" max="16384" width="9.1640625" style="3"/>
  </cols>
  <sheetData>
    <row r="1" spans="1:15" s="2" customFormat="1" ht="29" customHeight="1">
      <c r="A1" s="62" t="s">
        <v>1289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</row>
    <row r="2" spans="1:15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9"/>
    </row>
    <row r="3" spans="1:15" s="1" customFormat="1" ht="12.75" customHeight="1">
      <c r="A3" s="70" t="s">
        <v>1458</v>
      </c>
      <c r="B3" s="59" t="s">
        <v>0</v>
      </c>
      <c r="C3" s="72" t="s">
        <v>5</v>
      </c>
      <c r="D3" s="72" t="s">
        <v>8</v>
      </c>
      <c r="E3" s="74" t="s">
        <v>1126</v>
      </c>
      <c r="F3" s="74" t="s">
        <v>10</v>
      </c>
      <c r="G3" s="74" t="s">
        <v>12</v>
      </c>
      <c r="H3" s="74"/>
      <c r="I3" s="74"/>
      <c r="J3" s="74"/>
      <c r="K3" s="74" t="s">
        <v>1454</v>
      </c>
      <c r="L3" s="74"/>
      <c r="M3" s="74" t="s">
        <v>1</v>
      </c>
      <c r="N3" s="74" t="s">
        <v>3</v>
      </c>
      <c r="O3" s="77" t="s">
        <v>2</v>
      </c>
    </row>
    <row r="4" spans="1:15" s="1" customFormat="1" ht="21" customHeight="1" thickBot="1">
      <c r="A4" s="71"/>
      <c r="B4" s="60"/>
      <c r="C4" s="73"/>
      <c r="D4" s="73"/>
      <c r="E4" s="73"/>
      <c r="F4" s="73"/>
      <c r="G4" s="4">
        <v>1</v>
      </c>
      <c r="H4" s="4">
        <v>2</v>
      </c>
      <c r="I4" s="4">
        <v>3</v>
      </c>
      <c r="J4" s="4" t="s">
        <v>4</v>
      </c>
      <c r="K4" s="4" t="s">
        <v>6</v>
      </c>
      <c r="L4" s="47" t="s">
        <v>7</v>
      </c>
      <c r="M4" s="73"/>
      <c r="N4" s="73"/>
      <c r="O4" s="78"/>
    </row>
    <row r="5" spans="1:15" ht="16">
      <c r="A5" s="57" t="s">
        <v>1132</v>
      </c>
      <c r="B5" s="57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5">
      <c r="A6" s="8" t="s">
        <v>33</v>
      </c>
      <c r="B6" s="7" t="s">
        <v>679</v>
      </c>
      <c r="C6" s="7" t="s">
        <v>1334</v>
      </c>
      <c r="D6" s="7" t="s">
        <v>680</v>
      </c>
      <c r="E6" s="7" t="str">
        <f>"0,6951"</f>
        <v>0,6951</v>
      </c>
      <c r="F6" s="7" t="s">
        <v>1524</v>
      </c>
      <c r="G6" s="14" t="s">
        <v>99</v>
      </c>
      <c r="H6" s="15" t="s">
        <v>99</v>
      </c>
      <c r="I6" s="14" t="s">
        <v>100</v>
      </c>
      <c r="J6" s="8"/>
      <c r="K6" s="8" t="s">
        <v>228</v>
      </c>
      <c r="L6" s="48">
        <v>55</v>
      </c>
      <c r="M6" s="8" t="str">
        <f>"165,0"</f>
        <v>165,0</v>
      </c>
      <c r="N6" s="8" t="str">
        <f>"5505,1921"</f>
        <v>5505,1921</v>
      </c>
      <c r="O6" s="7" t="s">
        <v>681</v>
      </c>
    </row>
    <row r="7" spans="1:15">
      <c r="B7" s="5" t="s">
        <v>34</v>
      </c>
    </row>
  </sheetData>
  <mergeCells count="13">
    <mergeCell ref="A5:L5"/>
    <mergeCell ref="B3:B4"/>
    <mergeCell ref="A1:O2"/>
    <mergeCell ref="A3:A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O9"/>
  <sheetViews>
    <sheetView workbookViewId="0">
      <selection sqref="A1:O2"/>
    </sheetView>
  </sheetViews>
  <sheetFormatPr baseColWidth="10" defaultColWidth="9.1640625" defaultRowHeight="13"/>
  <cols>
    <col min="1" max="1" width="7.5" style="5" bestFit="1" customWidth="1"/>
    <col min="2" max="2" width="19.1640625" style="5" bestFit="1" customWidth="1"/>
    <col min="3" max="3" width="28.5" style="5" bestFit="1" customWidth="1"/>
    <col min="4" max="4" width="21.5" style="5" bestFit="1" customWidth="1"/>
    <col min="5" max="5" width="15.1640625" style="5" bestFit="1" customWidth="1"/>
    <col min="6" max="6" width="17.5" style="5" bestFit="1" customWidth="1"/>
    <col min="7" max="9" width="5.5" style="6" customWidth="1"/>
    <col min="10" max="10" width="4.83203125" style="6" customWidth="1"/>
    <col min="11" max="11" width="12" style="6" customWidth="1"/>
    <col min="12" max="12" width="12.1640625" style="49" customWidth="1"/>
    <col min="13" max="13" width="7.83203125" style="6" bestFit="1" customWidth="1"/>
    <col min="14" max="14" width="9.5" style="6" bestFit="1" customWidth="1"/>
    <col min="15" max="15" width="19.33203125" style="5" customWidth="1"/>
    <col min="16" max="16384" width="9.1640625" style="3"/>
  </cols>
  <sheetData>
    <row r="1" spans="1:15" s="2" customFormat="1" ht="29" customHeight="1">
      <c r="A1" s="62" t="s">
        <v>1292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</row>
    <row r="2" spans="1:15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9"/>
    </row>
    <row r="3" spans="1:15" s="1" customFormat="1" ht="12.75" customHeight="1">
      <c r="A3" s="70" t="s">
        <v>1458</v>
      </c>
      <c r="B3" s="59" t="s">
        <v>0</v>
      </c>
      <c r="C3" s="72" t="s">
        <v>5</v>
      </c>
      <c r="D3" s="72" t="s">
        <v>8</v>
      </c>
      <c r="E3" s="74" t="s">
        <v>1126</v>
      </c>
      <c r="F3" s="74" t="s">
        <v>10</v>
      </c>
      <c r="G3" s="74" t="s">
        <v>12</v>
      </c>
      <c r="H3" s="74"/>
      <c r="I3" s="74"/>
      <c r="J3" s="74"/>
      <c r="K3" s="74" t="s">
        <v>1454</v>
      </c>
      <c r="L3" s="74"/>
      <c r="M3" s="74" t="s">
        <v>1</v>
      </c>
      <c r="N3" s="74" t="s">
        <v>3</v>
      </c>
      <c r="O3" s="77" t="s">
        <v>2</v>
      </c>
    </row>
    <row r="4" spans="1:15" s="1" customFormat="1" ht="21" customHeight="1" thickBot="1">
      <c r="A4" s="71"/>
      <c r="B4" s="60"/>
      <c r="C4" s="73"/>
      <c r="D4" s="73"/>
      <c r="E4" s="73"/>
      <c r="F4" s="73"/>
      <c r="G4" s="4">
        <v>1</v>
      </c>
      <c r="H4" s="4">
        <v>2</v>
      </c>
      <c r="I4" s="4">
        <v>3</v>
      </c>
      <c r="J4" s="4" t="s">
        <v>4</v>
      </c>
      <c r="K4" s="4" t="s">
        <v>6</v>
      </c>
      <c r="L4" s="47" t="s">
        <v>7</v>
      </c>
      <c r="M4" s="73"/>
      <c r="N4" s="73"/>
      <c r="O4" s="78"/>
    </row>
    <row r="5" spans="1:15" ht="16">
      <c r="A5" s="57" t="s">
        <v>130</v>
      </c>
      <c r="B5" s="57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5">
      <c r="A6" s="17" t="s">
        <v>33</v>
      </c>
      <c r="B6" s="16" t="s">
        <v>1127</v>
      </c>
      <c r="C6" s="16" t="s">
        <v>1128</v>
      </c>
      <c r="D6" s="16" t="s">
        <v>1084</v>
      </c>
      <c r="E6" s="16" t="str">
        <f>"0,6126"</f>
        <v>0,6126</v>
      </c>
      <c r="F6" s="16" t="s">
        <v>1459</v>
      </c>
      <c r="G6" s="23" t="s">
        <v>55</v>
      </c>
      <c r="H6" s="23" t="s">
        <v>60</v>
      </c>
      <c r="I6" s="22" t="s">
        <v>124</v>
      </c>
      <c r="J6" s="17"/>
      <c r="K6" s="17" t="s">
        <v>254</v>
      </c>
      <c r="L6" s="50">
        <v>56</v>
      </c>
      <c r="M6" s="17" t="str">
        <f>"201,0"</f>
        <v>201,0</v>
      </c>
      <c r="N6" s="17" t="str">
        <f>"6499,6863"</f>
        <v>6499,6863</v>
      </c>
      <c r="O6" s="16"/>
    </row>
    <row r="7" spans="1:15">
      <c r="A7" s="21" t="s">
        <v>33</v>
      </c>
      <c r="B7" s="20" t="s">
        <v>1129</v>
      </c>
      <c r="C7" s="20" t="s">
        <v>1433</v>
      </c>
      <c r="D7" s="20" t="s">
        <v>1130</v>
      </c>
      <c r="E7" s="20" t="str">
        <f>"0,6163"</f>
        <v>0,6163</v>
      </c>
      <c r="F7" s="20" t="s">
        <v>1577</v>
      </c>
      <c r="G7" s="26" t="s">
        <v>56</v>
      </c>
      <c r="H7" s="27" t="s">
        <v>124</v>
      </c>
      <c r="I7" s="27" t="s">
        <v>124</v>
      </c>
      <c r="J7" s="21"/>
      <c r="K7" s="21" t="s">
        <v>254</v>
      </c>
      <c r="L7" s="51">
        <v>66</v>
      </c>
      <c r="M7" s="21" t="str">
        <f>"206,0"</f>
        <v>206,0</v>
      </c>
      <c r="N7" s="21" t="str">
        <f>"6754,6479"</f>
        <v>6754,6479</v>
      </c>
      <c r="O7" s="20"/>
    </row>
    <row r="8" spans="1:15">
      <c r="A8" s="19" t="s">
        <v>33</v>
      </c>
      <c r="B8" s="18" t="s">
        <v>872</v>
      </c>
      <c r="C8" s="18" t="s">
        <v>1131</v>
      </c>
      <c r="D8" s="18" t="s">
        <v>540</v>
      </c>
      <c r="E8" s="18" t="str">
        <f>"0,6180"</f>
        <v>0,6180</v>
      </c>
      <c r="F8" s="18" t="s">
        <v>1552</v>
      </c>
      <c r="G8" s="25" t="s">
        <v>226</v>
      </c>
      <c r="H8" s="25" t="s">
        <v>58</v>
      </c>
      <c r="I8" s="25" t="s">
        <v>227</v>
      </c>
      <c r="J8" s="19"/>
      <c r="K8" s="19" t="s">
        <v>254</v>
      </c>
      <c r="L8" s="52">
        <v>31</v>
      </c>
      <c r="M8" s="19" t="str">
        <f>"123,5"</f>
        <v>123,5</v>
      </c>
      <c r="N8" s="19" t="str">
        <f>"4007,7298"</f>
        <v>4007,7298</v>
      </c>
      <c r="O8" s="18"/>
    </row>
    <row r="9" spans="1:15">
      <c r="B9" s="5" t="s">
        <v>34</v>
      </c>
    </row>
  </sheetData>
  <mergeCells count="13">
    <mergeCell ref="A5:L5"/>
    <mergeCell ref="B3:B4"/>
    <mergeCell ref="A1:O2"/>
    <mergeCell ref="A3:A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O15"/>
  <sheetViews>
    <sheetView topLeftCell="A2" workbookViewId="0">
      <selection sqref="A1:O2"/>
    </sheetView>
  </sheetViews>
  <sheetFormatPr baseColWidth="10" defaultColWidth="9.1640625" defaultRowHeight="13"/>
  <cols>
    <col min="1" max="1" width="7.5" style="5" bestFit="1" customWidth="1"/>
    <col min="2" max="2" width="19.33203125" style="5" bestFit="1" customWidth="1"/>
    <col min="3" max="3" width="28.5" style="5" bestFit="1" customWidth="1"/>
    <col min="4" max="4" width="21.5" style="5" bestFit="1" customWidth="1"/>
    <col min="5" max="5" width="19.33203125" style="5" customWidth="1"/>
    <col min="6" max="6" width="19.33203125" style="5" bestFit="1" customWidth="1"/>
    <col min="7" max="9" width="5.5" style="6" customWidth="1"/>
    <col min="10" max="10" width="4.83203125" style="6" customWidth="1"/>
    <col min="11" max="11" width="13.33203125" style="6" customWidth="1"/>
    <col min="12" max="12" width="10.5" style="49" customWidth="1"/>
    <col min="13" max="13" width="7.83203125" style="6" bestFit="1" customWidth="1"/>
    <col min="14" max="14" width="10.5" style="6" bestFit="1" customWidth="1"/>
    <col min="15" max="15" width="20.83203125" style="5" customWidth="1"/>
    <col min="16" max="16384" width="9.1640625" style="3"/>
  </cols>
  <sheetData>
    <row r="1" spans="1:15" s="2" customFormat="1" ht="29" customHeight="1">
      <c r="A1" s="62" t="s">
        <v>1287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</row>
    <row r="2" spans="1:15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9"/>
    </row>
    <row r="3" spans="1:15" s="1" customFormat="1" ht="12.75" customHeight="1">
      <c r="A3" s="70" t="s">
        <v>1458</v>
      </c>
      <c r="B3" s="59" t="s">
        <v>0</v>
      </c>
      <c r="C3" s="72" t="s">
        <v>5</v>
      </c>
      <c r="D3" s="72" t="s">
        <v>8</v>
      </c>
      <c r="E3" s="74" t="s">
        <v>1126</v>
      </c>
      <c r="F3" s="74" t="s">
        <v>10</v>
      </c>
      <c r="G3" s="74" t="s">
        <v>12</v>
      </c>
      <c r="H3" s="74"/>
      <c r="I3" s="74"/>
      <c r="J3" s="74"/>
      <c r="K3" s="74" t="s">
        <v>1454</v>
      </c>
      <c r="L3" s="74"/>
      <c r="M3" s="74" t="s">
        <v>1</v>
      </c>
      <c r="N3" s="74" t="s">
        <v>3</v>
      </c>
      <c r="O3" s="77" t="s">
        <v>2</v>
      </c>
    </row>
    <row r="4" spans="1:15" s="1" customFormat="1" ht="21" customHeight="1" thickBot="1">
      <c r="A4" s="71"/>
      <c r="B4" s="60"/>
      <c r="C4" s="73"/>
      <c r="D4" s="73"/>
      <c r="E4" s="73"/>
      <c r="F4" s="73"/>
      <c r="G4" s="4">
        <v>1</v>
      </c>
      <c r="H4" s="4">
        <v>2</v>
      </c>
      <c r="I4" s="4">
        <v>3</v>
      </c>
      <c r="J4" s="4" t="s">
        <v>4</v>
      </c>
      <c r="K4" s="4" t="s">
        <v>6</v>
      </c>
      <c r="L4" s="47" t="s">
        <v>7</v>
      </c>
      <c r="M4" s="73"/>
      <c r="N4" s="73"/>
      <c r="O4" s="78"/>
    </row>
    <row r="5" spans="1:15" ht="16">
      <c r="A5" s="57" t="s">
        <v>130</v>
      </c>
      <c r="B5" s="57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5">
      <c r="A6" s="8" t="s">
        <v>33</v>
      </c>
      <c r="B6" s="7" t="s">
        <v>1137</v>
      </c>
      <c r="C6" s="7" t="s">
        <v>1138</v>
      </c>
      <c r="D6" s="7" t="s">
        <v>1139</v>
      </c>
      <c r="E6" s="7" t="str">
        <f>"0,6352"</f>
        <v>0,6352</v>
      </c>
      <c r="F6" s="7" t="s">
        <v>1549</v>
      </c>
      <c r="G6" s="15" t="s">
        <v>143</v>
      </c>
      <c r="H6" s="15" t="s">
        <v>197</v>
      </c>
      <c r="I6" s="14" t="s">
        <v>145</v>
      </c>
      <c r="J6" s="8"/>
      <c r="K6" s="8" t="s">
        <v>98</v>
      </c>
      <c r="L6" s="48">
        <v>82</v>
      </c>
      <c r="M6" s="8" t="str">
        <f>"362,0"</f>
        <v>362,0</v>
      </c>
      <c r="N6" s="8" t="str">
        <f>"15143,1686"</f>
        <v>15143,1686</v>
      </c>
      <c r="O6" s="7"/>
    </row>
    <row r="7" spans="1:15">
      <c r="B7" s="5" t="s">
        <v>34</v>
      </c>
    </row>
    <row r="8" spans="1:15" ht="16">
      <c r="A8" s="61" t="s">
        <v>35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</row>
    <row r="9" spans="1:15">
      <c r="A9" s="17" t="s">
        <v>33</v>
      </c>
      <c r="B9" s="16" t="s">
        <v>1140</v>
      </c>
      <c r="C9" s="16" t="s">
        <v>1141</v>
      </c>
      <c r="D9" s="16" t="s">
        <v>1142</v>
      </c>
      <c r="E9" s="16" t="str">
        <f>"0,5972"</f>
        <v>0,5972</v>
      </c>
      <c r="F9" s="16" t="s">
        <v>1559</v>
      </c>
      <c r="G9" s="23" t="s">
        <v>150</v>
      </c>
      <c r="H9" s="23" t="s">
        <v>202</v>
      </c>
      <c r="I9" s="22" t="s">
        <v>1143</v>
      </c>
      <c r="J9" s="17"/>
      <c r="K9" s="17" t="s">
        <v>99</v>
      </c>
      <c r="L9" s="50">
        <v>47</v>
      </c>
      <c r="M9" s="17" t="str">
        <f>"354,5"</f>
        <v>354,5</v>
      </c>
      <c r="N9" s="17" t="str">
        <f>"13041,3545"</f>
        <v>13041,3545</v>
      </c>
      <c r="O9" s="16" t="s">
        <v>1457</v>
      </c>
    </row>
    <row r="10" spans="1:15">
      <c r="A10" s="19" t="s">
        <v>33</v>
      </c>
      <c r="B10" s="18" t="s">
        <v>1144</v>
      </c>
      <c r="C10" s="18" t="s">
        <v>1430</v>
      </c>
      <c r="D10" s="18" t="s">
        <v>1145</v>
      </c>
      <c r="E10" s="18" t="str">
        <f>"0,6017"</f>
        <v>0,6017</v>
      </c>
      <c r="F10" s="18" t="s">
        <v>1475</v>
      </c>
      <c r="G10" s="25" t="s">
        <v>70</v>
      </c>
      <c r="H10" s="25" t="s">
        <v>88</v>
      </c>
      <c r="I10" s="25" t="s">
        <v>127</v>
      </c>
      <c r="J10" s="19"/>
      <c r="K10" s="19" t="s">
        <v>99</v>
      </c>
      <c r="L10" s="52">
        <v>29</v>
      </c>
      <c r="M10" s="19" t="str">
        <f>"244,0"</f>
        <v>244,0</v>
      </c>
      <c r="N10" s="19" t="str">
        <f>"8867,5539"</f>
        <v>8867,5539</v>
      </c>
      <c r="O10" s="18"/>
    </row>
    <row r="11" spans="1:15">
      <c r="B11" s="5" t="s">
        <v>34</v>
      </c>
    </row>
    <row r="12" spans="1:15" ht="16">
      <c r="A12" s="61" t="s">
        <v>1146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</row>
    <row r="13" spans="1:15">
      <c r="A13" s="8" t="s">
        <v>33</v>
      </c>
      <c r="B13" s="7" t="s">
        <v>1147</v>
      </c>
      <c r="C13" s="7" t="s">
        <v>1431</v>
      </c>
      <c r="D13" s="7" t="s">
        <v>1148</v>
      </c>
      <c r="E13" s="7" t="str">
        <f>"0,5729"</f>
        <v>0,5729</v>
      </c>
      <c r="F13" s="7" t="s">
        <v>1475</v>
      </c>
      <c r="G13" s="15" t="s">
        <v>133</v>
      </c>
      <c r="H13" s="14" t="s">
        <v>144</v>
      </c>
      <c r="I13" s="15" t="s">
        <v>144</v>
      </c>
      <c r="J13" s="8"/>
      <c r="K13" s="8" t="s">
        <v>49</v>
      </c>
      <c r="L13" s="48">
        <v>45</v>
      </c>
      <c r="M13" s="8" t="str">
        <f>"330,0"</f>
        <v>330,0</v>
      </c>
      <c r="N13" s="8" t="str">
        <f>"12688,3027"</f>
        <v>12688,3027</v>
      </c>
      <c r="O13" s="7" t="s">
        <v>1456</v>
      </c>
    </row>
    <row r="14" spans="1:15">
      <c r="B14" s="5" t="s">
        <v>34</v>
      </c>
    </row>
    <row r="15" spans="1:15">
      <c r="B15" s="5" t="s">
        <v>34</v>
      </c>
    </row>
  </sheetData>
  <mergeCells count="15">
    <mergeCell ref="N3:N4"/>
    <mergeCell ref="O3:O4"/>
    <mergeCell ref="A5:L5"/>
    <mergeCell ref="A1:O2"/>
    <mergeCell ref="A3:A4"/>
    <mergeCell ref="C3:C4"/>
    <mergeCell ref="D3:D4"/>
    <mergeCell ref="E3:E4"/>
    <mergeCell ref="F3:F4"/>
    <mergeCell ref="G3:J3"/>
    <mergeCell ref="A8:L8"/>
    <mergeCell ref="A12:L12"/>
    <mergeCell ref="B3:B4"/>
    <mergeCell ref="K3:L3"/>
    <mergeCell ref="M3:M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M10"/>
  <sheetViews>
    <sheetView zoomScaleNormal="100"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7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3" style="5" customWidth="1"/>
    <col min="14" max="16384" width="9.1640625" style="3"/>
  </cols>
  <sheetData>
    <row r="1" spans="1:13" s="2" customFormat="1" ht="29" customHeight="1">
      <c r="A1" s="62" t="s">
        <v>1290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3" s="1" customFormat="1" ht="12.75" customHeight="1">
      <c r="A3" s="70" t="s">
        <v>1458</v>
      </c>
      <c r="B3" s="59" t="s">
        <v>0</v>
      </c>
      <c r="C3" s="72" t="s">
        <v>5</v>
      </c>
      <c r="D3" s="72" t="s">
        <v>8</v>
      </c>
      <c r="E3" s="74" t="s">
        <v>9</v>
      </c>
      <c r="F3" s="74" t="s">
        <v>10</v>
      </c>
      <c r="G3" s="74" t="s">
        <v>12</v>
      </c>
      <c r="H3" s="74"/>
      <c r="I3" s="74"/>
      <c r="J3" s="74"/>
      <c r="K3" s="74" t="s">
        <v>601</v>
      </c>
      <c r="L3" s="74" t="s">
        <v>3</v>
      </c>
      <c r="M3" s="77" t="s">
        <v>2</v>
      </c>
    </row>
    <row r="4" spans="1:13" s="1" customFormat="1" ht="21" customHeight="1" thickBot="1">
      <c r="A4" s="71"/>
      <c r="B4" s="60"/>
      <c r="C4" s="73"/>
      <c r="D4" s="73"/>
      <c r="E4" s="73"/>
      <c r="F4" s="73"/>
      <c r="G4" s="4">
        <v>1</v>
      </c>
      <c r="H4" s="4">
        <v>2</v>
      </c>
      <c r="I4" s="4">
        <v>3</v>
      </c>
      <c r="J4" s="4" t="s">
        <v>4</v>
      </c>
      <c r="K4" s="73"/>
      <c r="L4" s="73"/>
      <c r="M4" s="78"/>
    </row>
    <row r="5" spans="1:13" ht="16">
      <c r="A5" s="57" t="s">
        <v>1132</v>
      </c>
      <c r="B5" s="57"/>
      <c r="C5" s="58"/>
      <c r="D5" s="58"/>
      <c r="E5" s="58"/>
      <c r="F5" s="58"/>
      <c r="G5" s="58"/>
      <c r="H5" s="58"/>
      <c r="I5" s="58"/>
      <c r="J5" s="58"/>
    </row>
    <row r="6" spans="1:13">
      <c r="A6" s="8" t="s">
        <v>33</v>
      </c>
      <c r="B6" s="7" t="s">
        <v>679</v>
      </c>
      <c r="C6" s="7" t="s">
        <v>1334</v>
      </c>
      <c r="D6" s="7" t="s">
        <v>680</v>
      </c>
      <c r="E6" s="7" t="str">
        <f>"0,6951"</f>
        <v>0,6951</v>
      </c>
      <c r="F6" s="7" t="s">
        <v>1524</v>
      </c>
      <c r="G6" s="14" t="s">
        <v>99</v>
      </c>
      <c r="H6" s="15" t="s">
        <v>99</v>
      </c>
      <c r="I6" s="14" t="s">
        <v>100</v>
      </c>
      <c r="J6" s="8"/>
      <c r="K6" s="8" t="str">
        <f>"110,0"</f>
        <v>110,0</v>
      </c>
      <c r="L6" s="8" t="str">
        <f>"76,8433"</f>
        <v>76,8433</v>
      </c>
      <c r="M6" s="7" t="s">
        <v>681</v>
      </c>
    </row>
    <row r="7" spans="1:13">
      <c r="B7" s="5" t="s">
        <v>34</v>
      </c>
    </row>
    <row r="8" spans="1:13" ht="16">
      <c r="A8" s="61" t="s">
        <v>130</v>
      </c>
      <c r="B8" s="61"/>
      <c r="C8" s="61"/>
      <c r="D8" s="61"/>
      <c r="E8" s="61"/>
      <c r="F8" s="61"/>
      <c r="G8" s="61"/>
      <c r="H8" s="61"/>
      <c r="I8" s="61"/>
      <c r="J8" s="61"/>
    </row>
    <row r="9" spans="1:13">
      <c r="A9" s="8" t="s">
        <v>33</v>
      </c>
      <c r="B9" s="7" t="s">
        <v>741</v>
      </c>
      <c r="C9" s="7" t="s">
        <v>1341</v>
      </c>
      <c r="D9" s="7" t="s">
        <v>739</v>
      </c>
      <c r="E9" s="7" t="str">
        <f>"0,6250"</f>
        <v>0,6250</v>
      </c>
      <c r="F9" s="7" t="s">
        <v>1524</v>
      </c>
      <c r="G9" s="15" t="s">
        <v>124</v>
      </c>
      <c r="H9" s="15" t="s">
        <v>18</v>
      </c>
      <c r="I9" s="15" t="s">
        <v>128</v>
      </c>
      <c r="J9" s="8"/>
      <c r="K9" s="8" t="str">
        <f>"162,5"</f>
        <v>162,5</v>
      </c>
      <c r="L9" s="8" t="str">
        <f>"104,4063"</f>
        <v>104,4063</v>
      </c>
      <c r="M9" s="7"/>
    </row>
    <row r="10" spans="1:13">
      <c r="B10" s="5" t="s">
        <v>34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  <pageSetup paperSize="9" orientation="portrait" horizontalDpi="0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6.8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9.6640625" style="5" customWidth="1"/>
    <col min="14" max="16384" width="9.1640625" style="3"/>
  </cols>
  <sheetData>
    <row r="1" spans="1:13" s="2" customFormat="1" ht="29" customHeight="1">
      <c r="A1" s="62" t="s">
        <v>1293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3" s="1" customFormat="1" ht="12.75" customHeight="1">
      <c r="A3" s="70" t="s">
        <v>1458</v>
      </c>
      <c r="B3" s="59" t="s">
        <v>0</v>
      </c>
      <c r="C3" s="72" t="s">
        <v>5</v>
      </c>
      <c r="D3" s="72" t="s">
        <v>8</v>
      </c>
      <c r="E3" s="74" t="s">
        <v>9</v>
      </c>
      <c r="F3" s="74" t="s">
        <v>10</v>
      </c>
      <c r="G3" s="74" t="s">
        <v>12</v>
      </c>
      <c r="H3" s="74"/>
      <c r="I3" s="74"/>
      <c r="J3" s="74"/>
      <c r="K3" s="74" t="s">
        <v>601</v>
      </c>
      <c r="L3" s="74" t="s">
        <v>3</v>
      </c>
      <c r="M3" s="77" t="s">
        <v>2</v>
      </c>
    </row>
    <row r="4" spans="1:13" s="1" customFormat="1" ht="21" customHeight="1" thickBot="1">
      <c r="A4" s="71"/>
      <c r="B4" s="60"/>
      <c r="C4" s="73"/>
      <c r="D4" s="73"/>
      <c r="E4" s="73"/>
      <c r="F4" s="73"/>
      <c r="G4" s="4">
        <v>1</v>
      </c>
      <c r="H4" s="4">
        <v>2</v>
      </c>
      <c r="I4" s="4">
        <v>3</v>
      </c>
      <c r="J4" s="4" t="s">
        <v>4</v>
      </c>
      <c r="K4" s="73"/>
      <c r="L4" s="73"/>
      <c r="M4" s="78"/>
    </row>
    <row r="5" spans="1:13" ht="16">
      <c r="A5" s="57" t="s">
        <v>130</v>
      </c>
      <c r="B5" s="57"/>
      <c r="C5" s="58"/>
      <c r="D5" s="58"/>
      <c r="E5" s="58"/>
      <c r="F5" s="58"/>
      <c r="G5" s="58"/>
      <c r="H5" s="58"/>
      <c r="I5" s="58"/>
      <c r="J5" s="58"/>
    </row>
    <row r="6" spans="1:13">
      <c r="A6" s="8" t="s">
        <v>33</v>
      </c>
      <c r="B6" s="7" t="s">
        <v>1122</v>
      </c>
      <c r="C6" s="7" t="s">
        <v>1434</v>
      </c>
      <c r="D6" s="7" t="s">
        <v>132</v>
      </c>
      <c r="E6" s="7" t="str">
        <f>"0,6101"</f>
        <v>0,6101</v>
      </c>
      <c r="F6" s="7" t="s">
        <v>1575</v>
      </c>
      <c r="G6" s="15" t="s">
        <v>55</v>
      </c>
      <c r="H6" s="15" t="s">
        <v>61</v>
      </c>
      <c r="I6" s="15" t="s">
        <v>40</v>
      </c>
      <c r="J6" s="8"/>
      <c r="K6" s="8" t="str">
        <f>"155,0"</f>
        <v>155,0</v>
      </c>
      <c r="L6" s="8" t="str">
        <f>"125,0156"</f>
        <v>125,0156</v>
      </c>
      <c r="M6" s="7"/>
    </row>
    <row r="7" spans="1:13">
      <c r="B7" s="5" t="s">
        <v>34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U28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8.16406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28" bestFit="1" customWidth="1"/>
    <col min="20" max="20" width="8.5" style="6" bestFit="1" customWidth="1"/>
    <col min="21" max="21" width="21.83203125" style="5" customWidth="1"/>
    <col min="22" max="16384" width="9.1640625" style="3"/>
  </cols>
  <sheetData>
    <row r="1" spans="1:21" s="2" customFormat="1" ht="29" customHeight="1">
      <c r="A1" s="62" t="s">
        <v>1254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5"/>
    </row>
    <row r="2" spans="1:21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9"/>
    </row>
    <row r="3" spans="1:21" s="1" customFormat="1" ht="12.75" customHeight="1">
      <c r="A3" s="70" t="s">
        <v>1458</v>
      </c>
      <c r="B3" s="59" t="s">
        <v>0</v>
      </c>
      <c r="C3" s="72" t="s">
        <v>5</v>
      </c>
      <c r="D3" s="72" t="s">
        <v>8</v>
      </c>
      <c r="E3" s="74" t="s">
        <v>9</v>
      </c>
      <c r="F3" s="74" t="s">
        <v>10</v>
      </c>
      <c r="G3" s="74" t="s">
        <v>11</v>
      </c>
      <c r="H3" s="74"/>
      <c r="I3" s="74"/>
      <c r="J3" s="74"/>
      <c r="K3" s="74" t="s">
        <v>12</v>
      </c>
      <c r="L3" s="74"/>
      <c r="M3" s="74"/>
      <c r="N3" s="74"/>
      <c r="O3" s="74" t="s">
        <v>13</v>
      </c>
      <c r="P3" s="74"/>
      <c r="Q3" s="74"/>
      <c r="R3" s="74"/>
      <c r="S3" s="75" t="s">
        <v>1</v>
      </c>
      <c r="T3" s="74" t="s">
        <v>3</v>
      </c>
      <c r="U3" s="77" t="s">
        <v>2</v>
      </c>
    </row>
    <row r="4" spans="1:21" s="1" customFormat="1" ht="21" customHeight="1" thickBot="1">
      <c r="A4" s="71"/>
      <c r="B4" s="60"/>
      <c r="C4" s="73"/>
      <c r="D4" s="73"/>
      <c r="E4" s="73"/>
      <c r="F4" s="7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76"/>
      <c r="T4" s="73"/>
      <c r="U4" s="78"/>
    </row>
    <row r="5" spans="1:21" ht="16">
      <c r="A5" s="57" t="s">
        <v>73</v>
      </c>
      <c r="B5" s="57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</row>
    <row r="6" spans="1:21">
      <c r="A6" s="8" t="s">
        <v>33</v>
      </c>
      <c r="B6" s="7" t="s">
        <v>407</v>
      </c>
      <c r="C6" s="7" t="s">
        <v>1315</v>
      </c>
      <c r="D6" s="7" t="s">
        <v>408</v>
      </c>
      <c r="E6" s="7" t="str">
        <f>"0,9672"</f>
        <v>0,9672</v>
      </c>
      <c r="F6" s="7" t="s">
        <v>1459</v>
      </c>
      <c r="G6" s="15" t="s">
        <v>226</v>
      </c>
      <c r="H6" s="15" t="s">
        <v>59</v>
      </c>
      <c r="I6" s="14" t="s">
        <v>98</v>
      </c>
      <c r="J6" s="8"/>
      <c r="K6" s="15" t="s">
        <v>229</v>
      </c>
      <c r="L6" s="15" t="s">
        <v>254</v>
      </c>
      <c r="M6" s="15" t="s">
        <v>48</v>
      </c>
      <c r="N6" s="8"/>
      <c r="O6" s="14" t="s">
        <v>59</v>
      </c>
      <c r="P6" s="15" t="s">
        <v>47</v>
      </c>
      <c r="Q6" s="14" t="s">
        <v>182</v>
      </c>
      <c r="R6" s="8"/>
      <c r="S6" s="32" t="str">
        <f>"255,0"</f>
        <v>255,0</v>
      </c>
      <c r="T6" s="8" t="str">
        <f>"265,8736"</f>
        <v>265,8736</v>
      </c>
      <c r="U6" s="7" t="s">
        <v>409</v>
      </c>
    </row>
    <row r="7" spans="1:21">
      <c r="B7" s="5" t="s">
        <v>34</v>
      </c>
    </row>
    <row r="8" spans="1:21" ht="16">
      <c r="A8" s="61" t="s">
        <v>63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</row>
    <row r="9" spans="1:21">
      <c r="A9" s="8" t="s">
        <v>33</v>
      </c>
      <c r="B9" s="7" t="s">
        <v>410</v>
      </c>
      <c r="C9" s="7" t="s">
        <v>411</v>
      </c>
      <c r="D9" s="7" t="s">
        <v>412</v>
      </c>
      <c r="E9" s="7" t="str">
        <f>"0,9215"</f>
        <v>0,9215</v>
      </c>
      <c r="F9" s="7" t="s">
        <v>1499</v>
      </c>
      <c r="G9" s="15" t="s">
        <v>68</v>
      </c>
      <c r="H9" s="15" t="s">
        <v>70</v>
      </c>
      <c r="I9" s="15" t="s">
        <v>78</v>
      </c>
      <c r="J9" s="8"/>
      <c r="K9" s="15" t="s">
        <v>59</v>
      </c>
      <c r="L9" s="15" t="s">
        <v>98</v>
      </c>
      <c r="M9" s="14" t="s">
        <v>67</v>
      </c>
      <c r="N9" s="8"/>
      <c r="O9" s="15" t="s">
        <v>187</v>
      </c>
      <c r="P9" s="15" t="s">
        <v>413</v>
      </c>
      <c r="Q9" s="14" t="s">
        <v>344</v>
      </c>
      <c r="R9" s="8"/>
      <c r="S9" s="32" t="str">
        <f>"490,0"</f>
        <v>490,0</v>
      </c>
      <c r="T9" s="8" t="str">
        <f>"451,5350"</f>
        <v>451,5350</v>
      </c>
      <c r="U9" s="7" t="s">
        <v>62</v>
      </c>
    </row>
    <row r="10" spans="1:21">
      <c r="B10" s="5" t="s">
        <v>34</v>
      </c>
    </row>
    <row r="11" spans="1:21" ht="16">
      <c r="A11" s="61" t="s">
        <v>63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</row>
    <row r="12" spans="1:21">
      <c r="A12" s="8" t="s">
        <v>33</v>
      </c>
      <c r="B12" s="7" t="s">
        <v>414</v>
      </c>
      <c r="C12" s="7" t="s">
        <v>415</v>
      </c>
      <c r="D12" s="7" t="s">
        <v>416</v>
      </c>
      <c r="E12" s="7" t="str">
        <f>"0,6779"</f>
        <v>0,6779</v>
      </c>
      <c r="F12" s="7" t="s">
        <v>1586</v>
      </c>
      <c r="G12" s="14" t="s">
        <v>88</v>
      </c>
      <c r="H12" s="14" t="s">
        <v>88</v>
      </c>
      <c r="I12" s="15" t="s">
        <v>88</v>
      </c>
      <c r="J12" s="8"/>
      <c r="K12" s="15" t="s">
        <v>60</v>
      </c>
      <c r="L12" s="15" t="s">
        <v>40</v>
      </c>
      <c r="M12" s="14" t="s">
        <v>128</v>
      </c>
      <c r="N12" s="8"/>
      <c r="O12" s="15" t="s">
        <v>105</v>
      </c>
      <c r="P12" s="15" t="s">
        <v>38</v>
      </c>
      <c r="Q12" s="14" t="s">
        <v>39</v>
      </c>
      <c r="R12" s="8"/>
      <c r="S12" s="32" t="str">
        <f>"590,0"</f>
        <v>590,0</v>
      </c>
      <c r="T12" s="8" t="str">
        <f>"399,9610"</f>
        <v>399,9610</v>
      </c>
      <c r="U12" s="7" t="s">
        <v>417</v>
      </c>
    </row>
    <row r="13" spans="1:21">
      <c r="B13" s="5" t="s">
        <v>34</v>
      </c>
    </row>
    <row r="14" spans="1:21" ht="16">
      <c r="A14" s="61" t="s">
        <v>14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</row>
    <row r="15" spans="1:21">
      <c r="A15" s="17" t="s">
        <v>33</v>
      </c>
      <c r="B15" s="16" t="s">
        <v>418</v>
      </c>
      <c r="C15" s="16" t="s">
        <v>1316</v>
      </c>
      <c r="D15" s="16" t="s">
        <v>419</v>
      </c>
      <c r="E15" s="16" t="str">
        <f>"0,6391"</f>
        <v>0,6391</v>
      </c>
      <c r="F15" s="16" t="s">
        <v>1500</v>
      </c>
      <c r="G15" s="22" t="s">
        <v>39</v>
      </c>
      <c r="H15" s="23" t="s">
        <v>39</v>
      </c>
      <c r="I15" s="23" t="s">
        <v>82</v>
      </c>
      <c r="J15" s="17"/>
      <c r="K15" s="22" t="s">
        <v>19</v>
      </c>
      <c r="L15" s="23" t="s">
        <v>19</v>
      </c>
      <c r="M15" s="22" t="s">
        <v>187</v>
      </c>
      <c r="N15" s="17"/>
      <c r="O15" s="23" t="s">
        <v>39</v>
      </c>
      <c r="P15" s="23" t="s">
        <v>82</v>
      </c>
      <c r="Q15" s="22" t="s">
        <v>142</v>
      </c>
      <c r="R15" s="17"/>
      <c r="S15" s="29" t="str">
        <f>"690,0"</f>
        <v>690,0</v>
      </c>
      <c r="T15" s="17" t="str">
        <f>"440,9790"</f>
        <v>440,9790</v>
      </c>
      <c r="U15" s="16"/>
    </row>
    <row r="16" spans="1:21">
      <c r="A16" s="19" t="s">
        <v>33</v>
      </c>
      <c r="B16" s="18" t="s">
        <v>418</v>
      </c>
      <c r="C16" s="18" t="s">
        <v>420</v>
      </c>
      <c r="D16" s="18" t="s">
        <v>419</v>
      </c>
      <c r="E16" s="18" t="str">
        <f>"0,6391"</f>
        <v>0,6391</v>
      </c>
      <c r="F16" s="18" t="s">
        <v>1500</v>
      </c>
      <c r="G16" s="24" t="s">
        <v>39</v>
      </c>
      <c r="H16" s="25" t="s">
        <v>39</v>
      </c>
      <c r="I16" s="25" t="s">
        <v>82</v>
      </c>
      <c r="J16" s="19"/>
      <c r="K16" s="24" t="s">
        <v>19</v>
      </c>
      <c r="L16" s="25" t="s">
        <v>19</v>
      </c>
      <c r="M16" s="24" t="s">
        <v>187</v>
      </c>
      <c r="N16" s="19"/>
      <c r="O16" s="25" t="s">
        <v>39</v>
      </c>
      <c r="P16" s="25" t="s">
        <v>82</v>
      </c>
      <c r="Q16" s="24" t="s">
        <v>142</v>
      </c>
      <c r="R16" s="19"/>
      <c r="S16" s="31" t="str">
        <f>"690,0"</f>
        <v>690,0</v>
      </c>
      <c r="T16" s="19" t="str">
        <f>"440,9790"</f>
        <v>440,9790</v>
      </c>
      <c r="U16" s="18"/>
    </row>
    <row r="17" spans="1:21">
      <c r="B17" s="5" t="s">
        <v>34</v>
      </c>
    </row>
    <row r="18" spans="1:21" ht="16">
      <c r="A18" s="61" t="s">
        <v>130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</row>
    <row r="19" spans="1:21">
      <c r="A19" s="17" t="s">
        <v>33</v>
      </c>
      <c r="B19" s="16" t="s">
        <v>421</v>
      </c>
      <c r="C19" s="16" t="s">
        <v>422</v>
      </c>
      <c r="D19" s="16" t="s">
        <v>423</v>
      </c>
      <c r="E19" s="16" t="str">
        <f>"0,6106"</f>
        <v>0,6106</v>
      </c>
      <c r="F19" s="16" t="s">
        <v>1501</v>
      </c>
      <c r="G19" s="23" t="s">
        <v>82</v>
      </c>
      <c r="H19" s="23" t="s">
        <v>144</v>
      </c>
      <c r="I19" s="23" t="s">
        <v>202</v>
      </c>
      <c r="J19" s="17"/>
      <c r="K19" s="23" t="s">
        <v>40</v>
      </c>
      <c r="L19" s="23" t="s">
        <v>19</v>
      </c>
      <c r="M19" s="22" t="s">
        <v>68</v>
      </c>
      <c r="N19" s="17"/>
      <c r="O19" s="23" t="s">
        <v>122</v>
      </c>
      <c r="P19" s="23" t="s">
        <v>82</v>
      </c>
      <c r="Q19" s="23" t="s">
        <v>133</v>
      </c>
      <c r="R19" s="17"/>
      <c r="S19" s="29" t="str">
        <f>"752,5"</f>
        <v>752,5</v>
      </c>
      <c r="T19" s="17" t="str">
        <f>"459,4765"</f>
        <v>459,4765</v>
      </c>
      <c r="U19" s="16" t="s">
        <v>115</v>
      </c>
    </row>
    <row r="20" spans="1:21">
      <c r="A20" s="19" t="s">
        <v>33</v>
      </c>
      <c r="B20" s="18" t="s">
        <v>424</v>
      </c>
      <c r="C20" s="18" t="s">
        <v>1317</v>
      </c>
      <c r="D20" s="18" t="s">
        <v>425</v>
      </c>
      <c r="E20" s="18" t="str">
        <f>"0,6096"</f>
        <v>0,6096</v>
      </c>
      <c r="F20" s="18" t="s">
        <v>1500</v>
      </c>
      <c r="G20" s="25" t="s">
        <v>17</v>
      </c>
      <c r="H20" s="25" t="s">
        <v>426</v>
      </c>
      <c r="I20" s="25" t="s">
        <v>21</v>
      </c>
      <c r="J20" s="19"/>
      <c r="K20" s="25" t="s">
        <v>56</v>
      </c>
      <c r="L20" s="25" t="s">
        <v>61</v>
      </c>
      <c r="M20" s="24" t="s">
        <v>40</v>
      </c>
      <c r="N20" s="19"/>
      <c r="O20" s="25" t="s">
        <v>17</v>
      </c>
      <c r="P20" s="25" t="s">
        <v>39</v>
      </c>
      <c r="Q20" s="25" t="s">
        <v>21</v>
      </c>
      <c r="R20" s="19"/>
      <c r="S20" s="31" t="str">
        <f>"660,0"</f>
        <v>660,0</v>
      </c>
      <c r="T20" s="19" t="str">
        <f>"426,4762"</f>
        <v>426,4762</v>
      </c>
      <c r="U20" s="18"/>
    </row>
    <row r="21" spans="1:21">
      <c r="B21" s="5" t="s">
        <v>34</v>
      </c>
    </row>
    <row r="22" spans="1:21" ht="16">
      <c r="A22" s="61" t="s">
        <v>35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</row>
    <row r="23" spans="1:21">
      <c r="A23" s="17" t="s">
        <v>33</v>
      </c>
      <c r="B23" s="16" t="s">
        <v>427</v>
      </c>
      <c r="C23" s="16" t="s">
        <v>428</v>
      </c>
      <c r="D23" s="16" t="s">
        <v>429</v>
      </c>
      <c r="E23" s="16" t="str">
        <f>"0,5946"</f>
        <v>0,5946</v>
      </c>
      <c r="F23" s="16" t="s">
        <v>1485</v>
      </c>
      <c r="G23" s="23" t="s">
        <v>143</v>
      </c>
      <c r="H23" s="23" t="s">
        <v>145</v>
      </c>
      <c r="I23" s="23" t="s">
        <v>168</v>
      </c>
      <c r="J23" s="17"/>
      <c r="K23" s="22" t="s">
        <v>61</v>
      </c>
      <c r="L23" s="23" t="s">
        <v>40</v>
      </c>
      <c r="M23" s="23" t="s">
        <v>128</v>
      </c>
      <c r="N23" s="17"/>
      <c r="O23" s="23" t="s">
        <v>82</v>
      </c>
      <c r="P23" s="23" t="s">
        <v>143</v>
      </c>
      <c r="Q23" s="22" t="s">
        <v>197</v>
      </c>
      <c r="R23" s="17"/>
      <c r="S23" s="29" t="str">
        <f>"732,5"</f>
        <v>732,5</v>
      </c>
      <c r="T23" s="17" t="str">
        <f>"435,5445"</f>
        <v>435,5445</v>
      </c>
      <c r="U23" s="16" t="s">
        <v>118</v>
      </c>
    </row>
    <row r="24" spans="1:21">
      <c r="A24" s="19" t="s">
        <v>33</v>
      </c>
      <c r="B24" s="18" t="s">
        <v>430</v>
      </c>
      <c r="C24" s="18" t="s">
        <v>1318</v>
      </c>
      <c r="D24" s="18" t="s">
        <v>431</v>
      </c>
      <c r="E24" s="18" t="str">
        <f>"0,5935"</f>
        <v>0,5935</v>
      </c>
      <c r="F24" s="18" t="s">
        <v>1502</v>
      </c>
      <c r="G24" s="24" t="s">
        <v>82</v>
      </c>
      <c r="H24" s="25" t="s">
        <v>197</v>
      </c>
      <c r="I24" s="24" t="s">
        <v>168</v>
      </c>
      <c r="J24" s="19"/>
      <c r="K24" s="25" t="s">
        <v>77</v>
      </c>
      <c r="L24" s="25" t="s">
        <v>69</v>
      </c>
      <c r="M24" s="25" t="s">
        <v>87</v>
      </c>
      <c r="N24" s="19"/>
      <c r="O24" s="25" t="s">
        <v>38</v>
      </c>
      <c r="P24" s="25" t="s">
        <v>17</v>
      </c>
      <c r="Q24" s="25" t="s">
        <v>39</v>
      </c>
      <c r="R24" s="19"/>
      <c r="S24" s="31" t="str">
        <f>"730,0"</f>
        <v>730,0</v>
      </c>
      <c r="T24" s="19" t="str">
        <f>"445,3862"</f>
        <v>445,3862</v>
      </c>
      <c r="U24" s="18"/>
    </row>
    <row r="25" spans="1:21">
      <c r="B25" s="5" t="s">
        <v>34</v>
      </c>
    </row>
    <row r="26" spans="1:21" ht="16">
      <c r="A26" s="61" t="s">
        <v>198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</row>
    <row r="27" spans="1:21">
      <c r="A27" s="8" t="s">
        <v>218</v>
      </c>
      <c r="B27" s="7" t="s">
        <v>432</v>
      </c>
      <c r="C27" s="7" t="s">
        <v>433</v>
      </c>
      <c r="D27" s="7" t="s">
        <v>434</v>
      </c>
      <c r="E27" s="7" t="str">
        <f>"0,5695"</f>
        <v>0,5695</v>
      </c>
      <c r="F27" s="7" t="s">
        <v>1503</v>
      </c>
      <c r="G27" s="14" t="s">
        <v>435</v>
      </c>
      <c r="H27" s="14" t="s">
        <v>435</v>
      </c>
      <c r="I27" s="14" t="s">
        <v>435</v>
      </c>
      <c r="J27" s="8"/>
      <c r="K27" s="14"/>
      <c r="L27" s="8"/>
      <c r="M27" s="8"/>
      <c r="N27" s="8"/>
      <c r="O27" s="14"/>
      <c r="P27" s="8"/>
      <c r="Q27" s="8"/>
      <c r="R27" s="8"/>
      <c r="S27" s="32">
        <v>0</v>
      </c>
      <c r="T27" s="8" t="str">
        <f>"0,0000"</f>
        <v>0,0000</v>
      </c>
      <c r="U27" s="7"/>
    </row>
    <row r="28" spans="1:21">
      <c r="B28" s="5" t="s">
        <v>34</v>
      </c>
    </row>
  </sheetData>
  <mergeCells count="20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26:R26"/>
    <mergeCell ref="S3:S4"/>
    <mergeCell ref="T3:T4"/>
    <mergeCell ref="U3:U4"/>
    <mergeCell ref="A5:R5"/>
    <mergeCell ref="B3:B4"/>
    <mergeCell ref="A8:R8"/>
    <mergeCell ref="A11:R11"/>
    <mergeCell ref="A14:R14"/>
    <mergeCell ref="A18:R18"/>
    <mergeCell ref="A22:R22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M11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7.8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8.1640625" style="5" bestFit="1" customWidth="1"/>
    <col min="7" max="9" width="5.5" style="6" customWidth="1"/>
    <col min="10" max="10" width="4.83203125" style="6" customWidth="1"/>
    <col min="11" max="11" width="10.5" style="28" bestFit="1" customWidth="1"/>
    <col min="12" max="12" width="8.5" style="6" bestFit="1" customWidth="1"/>
    <col min="13" max="13" width="19.1640625" style="5" customWidth="1"/>
    <col min="14" max="16384" width="9.1640625" style="3"/>
  </cols>
  <sheetData>
    <row r="1" spans="1:13" s="2" customFormat="1" ht="29" customHeight="1">
      <c r="A1" s="62" t="s">
        <v>1285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3" s="1" customFormat="1" ht="12.75" customHeight="1">
      <c r="A3" s="70" t="s">
        <v>1458</v>
      </c>
      <c r="B3" s="59" t="s">
        <v>0</v>
      </c>
      <c r="C3" s="72" t="s">
        <v>5</v>
      </c>
      <c r="D3" s="72" t="s">
        <v>8</v>
      </c>
      <c r="E3" s="74" t="s">
        <v>9</v>
      </c>
      <c r="F3" s="74" t="s">
        <v>10</v>
      </c>
      <c r="G3" s="74" t="s">
        <v>12</v>
      </c>
      <c r="H3" s="74"/>
      <c r="I3" s="74"/>
      <c r="J3" s="74"/>
      <c r="K3" s="75" t="s">
        <v>601</v>
      </c>
      <c r="L3" s="74" t="s">
        <v>3</v>
      </c>
      <c r="M3" s="77" t="s">
        <v>2</v>
      </c>
    </row>
    <row r="4" spans="1:13" s="1" customFormat="1" ht="21" customHeight="1" thickBot="1">
      <c r="A4" s="71"/>
      <c r="B4" s="60"/>
      <c r="C4" s="73"/>
      <c r="D4" s="73"/>
      <c r="E4" s="73"/>
      <c r="F4" s="73"/>
      <c r="G4" s="4">
        <v>1</v>
      </c>
      <c r="H4" s="4">
        <v>2</v>
      </c>
      <c r="I4" s="4">
        <v>3</v>
      </c>
      <c r="J4" s="4" t="s">
        <v>4</v>
      </c>
      <c r="K4" s="76"/>
      <c r="L4" s="73"/>
      <c r="M4" s="78"/>
    </row>
    <row r="5" spans="1:13" ht="16">
      <c r="A5" s="57" t="s">
        <v>130</v>
      </c>
      <c r="B5" s="57"/>
      <c r="C5" s="58"/>
      <c r="D5" s="58"/>
      <c r="E5" s="58"/>
      <c r="F5" s="58"/>
      <c r="G5" s="58"/>
      <c r="H5" s="58"/>
      <c r="I5" s="58"/>
      <c r="J5" s="58"/>
    </row>
    <row r="6" spans="1:13">
      <c r="A6" s="8" t="s">
        <v>218</v>
      </c>
      <c r="B6" s="7" t="s">
        <v>937</v>
      </c>
      <c r="C6" s="7" t="s">
        <v>1405</v>
      </c>
      <c r="D6" s="7" t="s">
        <v>938</v>
      </c>
      <c r="E6" s="7" t="str">
        <f>"0,6292"</f>
        <v>0,6292</v>
      </c>
      <c r="F6" s="7" t="s">
        <v>1558</v>
      </c>
      <c r="G6" s="14" t="s">
        <v>70</v>
      </c>
      <c r="H6" s="14" t="s">
        <v>70</v>
      </c>
      <c r="I6" s="14" t="s">
        <v>87</v>
      </c>
      <c r="J6" s="8"/>
      <c r="K6" s="32">
        <v>0</v>
      </c>
      <c r="L6" s="8" t="str">
        <f>"0,0000"</f>
        <v>0,0000</v>
      </c>
      <c r="M6" s="7" t="s">
        <v>939</v>
      </c>
    </row>
    <row r="7" spans="1:13">
      <c r="B7" s="5" t="s">
        <v>34</v>
      </c>
    </row>
    <row r="8" spans="1:13" ht="16">
      <c r="A8" s="61" t="s">
        <v>35</v>
      </c>
      <c r="B8" s="61"/>
      <c r="C8" s="61"/>
      <c r="D8" s="61"/>
      <c r="E8" s="61"/>
      <c r="F8" s="61"/>
      <c r="G8" s="61"/>
      <c r="H8" s="61"/>
      <c r="I8" s="61"/>
      <c r="J8" s="61"/>
    </row>
    <row r="9" spans="1:13">
      <c r="A9" s="8" t="s">
        <v>33</v>
      </c>
      <c r="B9" s="7" t="s">
        <v>1161</v>
      </c>
      <c r="C9" s="7" t="s">
        <v>1386</v>
      </c>
      <c r="D9" s="7" t="s">
        <v>1162</v>
      </c>
      <c r="E9" s="7" t="str">
        <f>"0,5968"</f>
        <v>0,5968</v>
      </c>
      <c r="F9" s="7" t="s">
        <v>1499</v>
      </c>
      <c r="G9" s="15" t="s">
        <v>88</v>
      </c>
      <c r="H9" s="15" t="s">
        <v>127</v>
      </c>
      <c r="I9" s="15" t="s">
        <v>203</v>
      </c>
      <c r="J9" s="8"/>
      <c r="K9" s="32" t="str">
        <f>"222,5"</f>
        <v>222,5</v>
      </c>
      <c r="L9" s="8" t="str">
        <f>"138,6307"</f>
        <v>138,6307</v>
      </c>
      <c r="M9" s="7"/>
    </row>
    <row r="10" spans="1:13">
      <c r="B10" s="5" t="s">
        <v>34</v>
      </c>
    </row>
    <row r="11" spans="1:13">
      <c r="B11" s="5" t="s">
        <v>34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M24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3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3.1640625" style="5" bestFit="1" customWidth="1"/>
    <col min="7" max="10" width="5.5" style="6" customWidth="1"/>
    <col min="11" max="11" width="11.1640625" style="6" customWidth="1"/>
    <col min="12" max="12" width="8.5" style="6" bestFit="1" customWidth="1"/>
    <col min="13" max="13" width="21.33203125" style="5" customWidth="1"/>
    <col min="14" max="16384" width="9.1640625" style="3"/>
  </cols>
  <sheetData>
    <row r="1" spans="1:13" s="2" customFormat="1" ht="29" customHeight="1">
      <c r="A1" s="62" t="s">
        <v>1286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3" s="1" customFormat="1" ht="12.75" customHeight="1">
      <c r="A3" s="70" t="s">
        <v>1458</v>
      </c>
      <c r="B3" s="59" t="s">
        <v>0</v>
      </c>
      <c r="C3" s="72" t="s">
        <v>5</v>
      </c>
      <c r="D3" s="72" t="s">
        <v>8</v>
      </c>
      <c r="E3" s="74" t="s">
        <v>9</v>
      </c>
      <c r="F3" s="74" t="s">
        <v>10</v>
      </c>
      <c r="G3" s="74" t="s">
        <v>12</v>
      </c>
      <c r="H3" s="74"/>
      <c r="I3" s="74"/>
      <c r="J3" s="74"/>
      <c r="K3" s="74" t="s">
        <v>601</v>
      </c>
      <c r="L3" s="74" t="s">
        <v>3</v>
      </c>
      <c r="M3" s="77" t="s">
        <v>2</v>
      </c>
    </row>
    <row r="4" spans="1:13" s="1" customFormat="1" ht="21" customHeight="1" thickBot="1">
      <c r="A4" s="71"/>
      <c r="B4" s="60"/>
      <c r="C4" s="73"/>
      <c r="D4" s="73"/>
      <c r="E4" s="73"/>
      <c r="F4" s="73"/>
      <c r="G4" s="4">
        <v>1</v>
      </c>
      <c r="H4" s="4">
        <v>2</v>
      </c>
      <c r="I4" s="4">
        <v>3</v>
      </c>
      <c r="J4" s="4" t="s">
        <v>4</v>
      </c>
      <c r="K4" s="73"/>
      <c r="L4" s="73"/>
      <c r="M4" s="78"/>
    </row>
    <row r="5" spans="1:13" ht="16">
      <c r="A5" s="57" t="s">
        <v>14</v>
      </c>
      <c r="B5" s="57"/>
      <c r="C5" s="58"/>
      <c r="D5" s="58"/>
      <c r="E5" s="58"/>
      <c r="F5" s="58"/>
      <c r="G5" s="58"/>
      <c r="H5" s="58"/>
      <c r="I5" s="58"/>
      <c r="J5" s="58"/>
    </row>
    <row r="6" spans="1:13">
      <c r="A6" s="17" t="s">
        <v>33</v>
      </c>
      <c r="B6" s="16" t="s">
        <v>1149</v>
      </c>
      <c r="C6" s="16" t="s">
        <v>1150</v>
      </c>
      <c r="D6" s="16" t="s">
        <v>864</v>
      </c>
      <c r="E6" s="16" t="str">
        <f>"0,6395"</f>
        <v>0,6395</v>
      </c>
      <c r="F6" s="16" t="s">
        <v>1545</v>
      </c>
      <c r="G6" s="23" t="s">
        <v>142</v>
      </c>
      <c r="H6" s="22" t="s">
        <v>133</v>
      </c>
      <c r="I6" s="22" t="s">
        <v>197</v>
      </c>
      <c r="J6" s="17"/>
      <c r="K6" s="17" t="str">
        <f>"265,0"</f>
        <v>265,0</v>
      </c>
      <c r="L6" s="17" t="str">
        <f>"169,4675"</f>
        <v>169,4675</v>
      </c>
      <c r="M6" s="16" t="s">
        <v>1151</v>
      </c>
    </row>
    <row r="7" spans="1:13">
      <c r="A7" s="19" t="s">
        <v>219</v>
      </c>
      <c r="B7" s="18" t="s">
        <v>1152</v>
      </c>
      <c r="C7" s="18" t="s">
        <v>1153</v>
      </c>
      <c r="D7" s="18" t="s">
        <v>531</v>
      </c>
      <c r="E7" s="18" t="str">
        <f>"0,6507"</f>
        <v>0,6507</v>
      </c>
      <c r="F7" s="18" t="s">
        <v>1475</v>
      </c>
      <c r="G7" s="25" t="s">
        <v>127</v>
      </c>
      <c r="H7" s="25" t="s">
        <v>203</v>
      </c>
      <c r="I7" s="24" t="s">
        <v>106</v>
      </c>
      <c r="J7" s="19"/>
      <c r="K7" s="19" t="str">
        <f>"222,5"</f>
        <v>222,5</v>
      </c>
      <c r="L7" s="19" t="str">
        <f>"144,7807"</f>
        <v>144,7807</v>
      </c>
      <c r="M7" s="18"/>
    </row>
    <row r="8" spans="1:13">
      <c r="B8" s="5" t="s">
        <v>34</v>
      </c>
    </row>
    <row r="9" spans="1:13" ht="16">
      <c r="A9" s="61" t="s">
        <v>130</v>
      </c>
      <c r="B9" s="61"/>
      <c r="C9" s="61"/>
      <c r="D9" s="61"/>
      <c r="E9" s="61"/>
      <c r="F9" s="61"/>
      <c r="G9" s="61"/>
      <c r="H9" s="61"/>
      <c r="I9" s="61"/>
      <c r="J9" s="61"/>
    </row>
    <row r="10" spans="1:13">
      <c r="A10" s="17" t="s">
        <v>33</v>
      </c>
      <c r="B10" s="16" t="s">
        <v>1154</v>
      </c>
      <c r="C10" s="16" t="s">
        <v>1155</v>
      </c>
      <c r="D10" s="16" t="s">
        <v>1156</v>
      </c>
      <c r="E10" s="16" t="str">
        <f>"0,6183"</f>
        <v>0,6183</v>
      </c>
      <c r="F10" s="16" t="s">
        <v>1472</v>
      </c>
      <c r="G10" s="23" t="s">
        <v>143</v>
      </c>
      <c r="H10" s="22" t="s">
        <v>196</v>
      </c>
      <c r="I10" s="23" t="s">
        <v>144</v>
      </c>
      <c r="J10" s="22" t="s">
        <v>1157</v>
      </c>
      <c r="K10" s="17" t="str">
        <f>"285,0"</f>
        <v>285,0</v>
      </c>
      <c r="L10" s="17" t="str">
        <f>"176,2155"</f>
        <v>176,2155</v>
      </c>
      <c r="M10" s="16" t="s">
        <v>1158</v>
      </c>
    </row>
    <row r="11" spans="1:13">
      <c r="A11" s="21" t="s">
        <v>33</v>
      </c>
      <c r="B11" s="20" t="s">
        <v>1154</v>
      </c>
      <c r="C11" s="20" t="s">
        <v>1427</v>
      </c>
      <c r="D11" s="20" t="s">
        <v>1156</v>
      </c>
      <c r="E11" s="20" t="str">
        <f>"0,6183"</f>
        <v>0,6183</v>
      </c>
      <c r="F11" s="20" t="s">
        <v>1472</v>
      </c>
      <c r="G11" s="26" t="s">
        <v>143</v>
      </c>
      <c r="H11" s="27" t="s">
        <v>196</v>
      </c>
      <c r="I11" s="26" t="s">
        <v>144</v>
      </c>
      <c r="J11" s="27" t="s">
        <v>1157</v>
      </c>
      <c r="K11" s="21" t="str">
        <f>"285,0"</f>
        <v>285,0</v>
      </c>
      <c r="L11" s="21" t="str">
        <f>"177,0966"</f>
        <v>177,0966</v>
      </c>
      <c r="M11" s="20" t="s">
        <v>1158</v>
      </c>
    </row>
    <row r="12" spans="1:13">
      <c r="A12" s="19" t="s">
        <v>33</v>
      </c>
      <c r="B12" s="18" t="s">
        <v>937</v>
      </c>
      <c r="C12" s="18" t="s">
        <v>1405</v>
      </c>
      <c r="D12" s="18" t="s">
        <v>938</v>
      </c>
      <c r="E12" s="18" t="str">
        <f>"0,6292"</f>
        <v>0,6292</v>
      </c>
      <c r="F12" s="18" t="s">
        <v>1558</v>
      </c>
      <c r="G12" s="25" t="s">
        <v>77</v>
      </c>
      <c r="H12" s="25" t="s">
        <v>69</v>
      </c>
      <c r="I12" s="25" t="s">
        <v>87</v>
      </c>
      <c r="J12" s="19"/>
      <c r="K12" s="19" t="str">
        <f>"200,0"</f>
        <v>200,0</v>
      </c>
      <c r="L12" s="19" t="str">
        <f>"154,5315"</f>
        <v>154,5315</v>
      </c>
      <c r="M12" s="18" t="s">
        <v>939</v>
      </c>
    </row>
    <row r="13" spans="1:13">
      <c r="B13" s="5" t="s">
        <v>34</v>
      </c>
    </row>
    <row r="14" spans="1:13" ht="16">
      <c r="A14" s="61" t="s">
        <v>35</v>
      </c>
      <c r="B14" s="61"/>
      <c r="C14" s="61"/>
      <c r="D14" s="61"/>
      <c r="E14" s="61"/>
      <c r="F14" s="61"/>
      <c r="G14" s="61"/>
      <c r="H14" s="61"/>
      <c r="I14" s="61"/>
      <c r="J14" s="61"/>
    </row>
    <row r="15" spans="1:13">
      <c r="A15" s="17" t="s">
        <v>33</v>
      </c>
      <c r="B15" s="16" t="s">
        <v>1159</v>
      </c>
      <c r="C15" s="16" t="s">
        <v>1160</v>
      </c>
      <c r="D15" s="16" t="s">
        <v>37</v>
      </c>
      <c r="E15" s="16" t="str">
        <f>"0,5980"</f>
        <v>0,5980</v>
      </c>
      <c r="F15" s="16" t="s">
        <v>1479</v>
      </c>
      <c r="G15" s="23" t="s">
        <v>143</v>
      </c>
      <c r="H15" s="17"/>
      <c r="I15" s="17"/>
      <c r="J15" s="17"/>
      <c r="K15" s="17" t="str">
        <f>"270,0"</f>
        <v>270,0</v>
      </c>
      <c r="L15" s="17" t="str">
        <f>"161,4600"</f>
        <v>161,4600</v>
      </c>
      <c r="M15" s="16" t="s">
        <v>1158</v>
      </c>
    </row>
    <row r="16" spans="1:13">
      <c r="A16" s="21" t="s">
        <v>33</v>
      </c>
      <c r="B16" s="20" t="s">
        <v>1159</v>
      </c>
      <c r="C16" s="20" t="s">
        <v>1425</v>
      </c>
      <c r="D16" s="20" t="s">
        <v>37</v>
      </c>
      <c r="E16" s="20" t="str">
        <f>"0,5980"</f>
        <v>0,5980</v>
      </c>
      <c r="F16" s="20" t="s">
        <v>1479</v>
      </c>
      <c r="G16" s="26" t="s">
        <v>143</v>
      </c>
      <c r="H16" s="21"/>
      <c r="I16" s="21"/>
      <c r="J16" s="21"/>
      <c r="K16" s="21" t="str">
        <f>"270,0"</f>
        <v>270,0</v>
      </c>
      <c r="L16" s="21" t="str">
        <f>"161,4600"</f>
        <v>161,4600</v>
      </c>
      <c r="M16" s="20" t="s">
        <v>1158</v>
      </c>
    </row>
    <row r="17" spans="1:13">
      <c r="A17" s="21" t="s">
        <v>219</v>
      </c>
      <c r="B17" s="20" t="s">
        <v>1161</v>
      </c>
      <c r="C17" s="20" t="s">
        <v>1386</v>
      </c>
      <c r="D17" s="20" t="s">
        <v>1162</v>
      </c>
      <c r="E17" s="20" t="str">
        <f>"0,5968"</f>
        <v>0,5968</v>
      </c>
      <c r="F17" s="20" t="s">
        <v>1499</v>
      </c>
      <c r="G17" s="26" t="s">
        <v>88</v>
      </c>
      <c r="H17" s="26" t="s">
        <v>127</v>
      </c>
      <c r="I17" s="26" t="s">
        <v>203</v>
      </c>
      <c r="J17" s="21"/>
      <c r="K17" s="21" t="str">
        <f>"222,5"</f>
        <v>222,5</v>
      </c>
      <c r="L17" s="21" t="str">
        <f>"138,6307"</f>
        <v>138,6307</v>
      </c>
      <c r="M17" s="20"/>
    </row>
    <row r="18" spans="1:13">
      <c r="A18" s="19" t="s">
        <v>33</v>
      </c>
      <c r="B18" s="18" t="s">
        <v>1163</v>
      </c>
      <c r="C18" s="18" t="s">
        <v>1428</v>
      </c>
      <c r="D18" s="18" t="s">
        <v>784</v>
      </c>
      <c r="E18" s="18" t="str">
        <f>"0,5898"</f>
        <v>0,5898</v>
      </c>
      <c r="F18" s="18" t="s">
        <v>1561</v>
      </c>
      <c r="G18" s="25" t="s">
        <v>143</v>
      </c>
      <c r="H18" s="25" t="s">
        <v>133</v>
      </c>
      <c r="I18" s="24" t="s">
        <v>197</v>
      </c>
      <c r="J18" s="19"/>
      <c r="K18" s="19" t="str">
        <f>"275,0"</f>
        <v>275,0</v>
      </c>
      <c r="L18" s="19" t="str">
        <f>"171,9267"</f>
        <v>171,9267</v>
      </c>
      <c r="M18" s="18"/>
    </row>
    <row r="19" spans="1:13">
      <c r="B19" s="5" t="s">
        <v>34</v>
      </c>
    </row>
    <row r="20" spans="1:13" ht="16">
      <c r="A20" s="61" t="s">
        <v>1164</v>
      </c>
      <c r="B20" s="61"/>
      <c r="C20" s="61"/>
      <c r="D20" s="61"/>
      <c r="E20" s="61"/>
      <c r="F20" s="61"/>
      <c r="G20" s="61"/>
      <c r="H20" s="61"/>
      <c r="I20" s="61"/>
      <c r="J20" s="61"/>
    </row>
    <row r="21" spans="1:13">
      <c r="A21" s="17" t="s">
        <v>33</v>
      </c>
      <c r="B21" s="16" t="s">
        <v>1165</v>
      </c>
      <c r="C21" s="16" t="s">
        <v>1166</v>
      </c>
      <c r="D21" s="16" t="s">
        <v>1167</v>
      </c>
      <c r="E21" s="16" t="str">
        <f>"0,5768"</f>
        <v>0,5768</v>
      </c>
      <c r="F21" s="16" t="s">
        <v>1560</v>
      </c>
      <c r="G21" s="23" t="s">
        <v>168</v>
      </c>
      <c r="H21" s="23" t="s">
        <v>933</v>
      </c>
      <c r="I21" s="23" t="s">
        <v>1168</v>
      </c>
      <c r="J21" s="17"/>
      <c r="K21" s="17" t="str">
        <f>"325,0"</f>
        <v>325,0</v>
      </c>
      <c r="L21" s="17" t="str">
        <f>"187,4600"</f>
        <v>187,4600</v>
      </c>
      <c r="M21" s="16"/>
    </row>
    <row r="22" spans="1:13">
      <c r="A22" s="21" t="s">
        <v>33</v>
      </c>
      <c r="B22" s="20" t="s">
        <v>1165</v>
      </c>
      <c r="C22" s="20" t="s">
        <v>1426</v>
      </c>
      <c r="D22" s="20" t="s">
        <v>1167</v>
      </c>
      <c r="E22" s="20" t="str">
        <f>"0,5768"</f>
        <v>0,5768</v>
      </c>
      <c r="F22" s="20" t="s">
        <v>1560</v>
      </c>
      <c r="G22" s="26" t="s">
        <v>168</v>
      </c>
      <c r="H22" s="26" t="s">
        <v>933</v>
      </c>
      <c r="I22" s="26" t="s">
        <v>1168</v>
      </c>
      <c r="J22" s="21"/>
      <c r="K22" s="21" t="str">
        <f>"325,0"</f>
        <v>325,0</v>
      </c>
      <c r="L22" s="21" t="str">
        <f>"188,3973"</f>
        <v>188,3973</v>
      </c>
      <c r="M22" s="20"/>
    </row>
    <row r="23" spans="1:13">
      <c r="A23" s="19" t="s">
        <v>33</v>
      </c>
      <c r="B23" s="18" t="s">
        <v>1170</v>
      </c>
      <c r="C23" s="18" t="s">
        <v>1429</v>
      </c>
      <c r="D23" s="18" t="s">
        <v>1171</v>
      </c>
      <c r="E23" s="18" t="str">
        <f>"0,5837"</f>
        <v>0,5837</v>
      </c>
      <c r="F23" s="18" t="s">
        <v>1578</v>
      </c>
      <c r="G23" s="25" t="s">
        <v>77</v>
      </c>
      <c r="H23" s="25" t="s">
        <v>69</v>
      </c>
      <c r="I23" s="25" t="s">
        <v>87</v>
      </c>
      <c r="J23" s="19"/>
      <c r="K23" s="19" t="str">
        <f>"200,0"</f>
        <v>200,0</v>
      </c>
      <c r="L23" s="19" t="str">
        <f>"157,5990"</f>
        <v>157,5990</v>
      </c>
      <c r="M23" s="18"/>
    </row>
    <row r="24" spans="1:13">
      <c r="B24" s="5" t="s">
        <v>34</v>
      </c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9:J9"/>
    <mergeCell ref="A14:J14"/>
    <mergeCell ref="A20:J20"/>
    <mergeCell ref="B3:B4"/>
    <mergeCell ref="K3:K4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M12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3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3.1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3" style="5" customWidth="1"/>
    <col min="14" max="16384" width="9.1640625" style="3"/>
  </cols>
  <sheetData>
    <row r="1" spans="1:13" s="2" customFormat="1" ht="29" customHeight="1">
      <c r="A1" s="62" t="s">
        <v>1284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3" s="1" customFormat="1" ht="12.75" customHeight="1">
      <c r="A3" s="70" t="s">
        <v>1458</v>
      </c>
      <c r="B3" s="59" t="s">
        <v>0</v>
      </c>
      <c r="C3" s="72" t="s">
        <v>5</v>
      </c>
      <c r="D3" s="72" t="s">
        <v>8</v>
      </c>
      <c r="E3" s="74" t="s">
        <v>9</v>
      </c>
      <c r="F3" s="74" t="s">
        <v>10</v>
      </c>
      <c r="G3" s="74" t="s">
        <v>12</v>
      </c>
      <c r="H3" s="74"/>
      <c r="I3" s="74"/>
      <c r="J3" s="74"/>
      <c r="K3" s="74" t="s">
        <v>601</v>
      </c>
      <c r="L3" s="74" t="s">
        <v>3</v>
      </c>
      <c r="M3" s="77" t="s">
        <v>2</v>
      </c>
    </row>
    <row r="4" spans="1:13" s="1" customFormat="1" ht="21" customHeight="1" thickBot="1">
      <c r="A4" s="71"/>
      <c r="B4" s="60"/>
      <c r="C4" s="73"/>
      <c r="D4" s="73"/>
      <c r="E4" s="73"/>
      <c r="F4" s="73"/>
      <c r="G4" s="4">
        <v>1</v>
      </c>
      <c r="H4" s="4">
        <v>2</v>
      </c>
      <c r="I4" s="4">
        <v>3</v>
      </c>
      <c r="J4" s="4" t="s">
        <v>4</v>
      </c>
      <c r="K4" s="73"/>
      <c r="L4" s="73"/>
      <c r="M4" s="78"/>
    </row>
    <row r="5" spans="1:13" ht="16">
      <c r="A5" s="57" t="s">
        <v>35</v>
      </c>
      <c r="B5" s="57"/>
      <c r="C5" s="58"/>
      <c r="D5" s="58"/>
      <c r="E5" s="58"/>
      <c r="F5" s="58"/>
      <c r="G5" s="58"/>
      <c r="H5" s="58"/>
      <c r="I5" s="58"/>
      <c r="J5" s="58"/>
    </row>
    <row r="6" spans="1:13">
      <c r="A6" s="17" t="s">
        <v>33</v>
      </c>
      <c r="B6" s="16" t="s">
        <v>1159</v>
      </c>
      <c r="C6" s="16" t="s">
        <v>1160</v>
      </c>
      <c r="D6" s="16" t="s">
        <v>37</v>
      </c>
      <c r="E6" s="16" t="str">
        <f>"0,5980"</f>
        <v>0,5980</v>
      </c>
      <c r="F6" s="16" t="s">
        <v>1479</v>
      </c>
      <c r="G6" s="23" t="s">
        <v>1168</v>
      </c>
      <c r="H6" s="23" t="s">
        <v>152</v>
      </c>
      <c r="I6" s="22" t="s">
        <v>192</v>
      </c>
      <c r="J6" s="17"/>
      <c r="K6" s="17" t="str">
        <f>"335,0"</f>
        <v>335,0</v>
      </c>
      <c r="L6" s="17" t="str">
        <f>"200,3300"</f>
        <v>200,3300</v>
      </c>
      <c r="M6" s="16" t="s">
        <v>1158</v>
      </c>
    </row>
    <row r="7" spans="1:13">
      <c r="A7" s="19" t="s">
        <v>33</v>
      </c>
      <c r="B7" s="18" t="s">
        <v>1159</v>
      </c>
      <c r="C7" s="18" t="s">
        <v>1425</v>
      </c>
      <c r="D7" s="18" t="s">
        <v>37</v>
      </c>
      <c r="E7" s="18" t="str">
        <f>"0,5980"</f>
        <v>0,5980</v>
      </c>
      <c r="F7" s="18" t="s">
        <v>1479</v>
      </c>
      <c r="G7" s="25" t="s">
        <v>1168</v>
      </c>
      <c r="H7" s="25" t="s">
        <v>152</v>
      </c>
      <c r="I7" s="24" t="s">
        <v>192</v>
      </c>
      <c r="J7" s="19"/>
      <c r="K7" s="19" t="str">
        <f>"335,0"</f>
        <v>335,0</v>
      </c>
      <c r="L7" s="19" t="str">
        <f>"200,3300"</f>
        <v>200,3300</v>
      </c>
      <c r="M7" s="18" t="s">
        <v>1158</v>
      </c>
    </row>
    <row r="8" spans="1:13">
      <c r="B8" s="5" t="s">
        <v>34</v>
      </c>
    </row>
    <row r="9" spans="1:13" ht="16">
      <c r="A9" s="61" t="s">
        <v>1164</v>
      </c>
      <c r="B9" s="61"/>
      <c r="C9" s="61"/>
      <c r="D9" s="61"/>
      <c r="E9" s="61"/>
      <c r="F9" s="61"/>
      <c r="G9" s="61"/>
      <c r="H9" s="61"/>
      <c r="I9" s="61"/>
      <c r="J9" s="61"/>
    </row>
    <row r="10" spans="1:13">
      <c r="A10" s="17" t="s">
        <v>33</v>
      </c>
      <c r="B10" s="16" t="s">
        <v>1165</v>
      </c>
      <c r="C10" s="16" t="s">
        <v>1166</v>
      </c>
      <c r="D10" s="16" t="s">
        <v>1167</v>
      </c>
      <c r="E10" s="16" t="str">
        <f>"0,5768"</f>
        <v>0,5768</v>
      </c>
      <c r="F10" s="16" t="s">
        <v>1560</v>
      </c>
      <c r="G10" s="23" t="s">
        <v>1168</v>
      </c>
      <c r="H10" s="23" t="s">
        <v>152</v>
      </c>
      <c r="I10" s="23" t="s">
        <v>192</v>
      </c>
      <c r="J10" s="17"/>
      <c r="K10" s="17" t="str">
        <f>"350,0"</f>
        <v>350,0</v>
      </c>
      <c r="L10" s="17" t="str">
        <f>"201,8800"</f>
        <v>201,8800</v>
      </c>
      <c r="M10" s="16" t="s">
        <v>1436</v>
      </c>
    </row>
    <row r="11" spans="1:13">
      <c r="A11" s="19" t="s">
        <v>33</v>
      </c>
      <c r="B11" s="18" t="s">
        <v>1165</v>
      </c>
      <c r="C11" s="18" t="s">
        <v>1426</v>
      </c>
      <c r="D11" s="18" t="s">
        <v>1167</v>
      </c>
      <c r="E11" s="18" t="str">
        <f>"0,5768"</f>
        <v>0,5768</v>
      </c>
      <c r="F11" s="18" t="s">
        <v>1560</v>
      </c>
      <c r="G11" s="25" t="s">
        <v>1168</v>
      </c>
      <c r="H11" s="25" t="s">
        <v>152</v>
      </c>
      <c r="I11" s="25" t="s">
        <v>192</v>
      </c>
      <c r="J11" s="19"/>
      <c r="K11" s="19" t="str">
        <f>"350,0"</f>
        <v>350,0</v>
      </c>
      <c r="L11" s="19" t="str">
        <f>"202,8894"</f>
        <v>202,8894</v>
      </c>
      <c r="M11" s="18" t="s">
        <v>1436</v>
      </c>
    </row>
    <row r="12" spans="1:13">
      <c r="B12" s="5" t="s">
        <v>34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9:J9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14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3.6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1" width="13.1640625" style="6" customWidth="1"/>
    <col min="12" max="12" width="7.5" style="6" bestFit="1" customWidth="1"/>
    <col min="13" max="13" width="21.5" style="5" customWidth="1"/>
    <col min="14" max="16384" width="9.1640625" style="3"/>
  </cols>
  <sheetData>
    <row r="1" spans="1:13" s="2" customFormat="1" ht="29" customHeight="1">
      <c r="A1" s="62" t="s">
        <v>1283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3" s="1" customFormat="1" ht="12.75" customHeight="1">
      <c r="A3" s="70" t="s">
        <v>1458</v>
      </c>
      <c r="B3" s="59" t="s">
        <v>0</v>
      </c>
      <c r="C3" s="72" t="s">
        <v>5</v>
      </c>
      <c r="D3" s="72" t="s">
        <v>8</v>
      </c>
      <c r="E3" s="74" t="s">
        <v>9</v>
      </c>
      <c r="F3" s="74" t="s">
        <v>10</v>
      </c>
      <c r="G3" s="74" t="s">
        <v>1010</v>
      </c>
      <c r="H3" s="74"/>
      <c r="I3" s="74"/>
      <c r="J3" s="74"/>
      <c r="K3" s="74" t="s">
        <v>601</v>
      </c>
      <c r="L3" s="74" t="s">
        <v>3</v>
      </c>
      <c r="M3" s="77" t="s">
        <v>2</v>
      </c>
    </row>
    <row r="4" spans="1:13" s="1" customFormat="1" ht="21" customHeight="1" thickBot="1">
      <c r="A4" s="71"/>
      <c r="B4" s="60"/>
      <c r="C4" s="73"/>
      <c r="D4" s="73"/>
      <c r="E4" s="73"/>
      <c r="F4" s="73"/>
      <c r="G4" s="4">
        <v>1</v>
      </c>
      <c r="H4" s="4">
        <v>2</v>
      </c>
      <c r="I4" s="4">
        <v>3</v>
      </c>
      <c r="J4" s="4" t="s">
        <v>4</v>
      </c>
      <c r="K4" s="73"/>
      <c r="L4" s="73"/>
      <c r="M4" s="78"/>
    </row>
    <row r="5" spans="1:13" ht="16">
      <c r="A5" s="57" t="s">
        <v>14</v>
      </c>
      <c r="B5" s="57"/>
      <c r="C5" s="58"/>
      <c r="D5" s="58"/>
      <c r="E5" s="58"/>
      <c r="F5" s="58"/>
      <c r="G5" s="58"/>
      <c r="H5" s="58"/>
      <c r="I5" s="58"/>
      <c r="J5" s="58"/>
    </row>
    <row r="6" spans="1:13">
      <c r="A6" s="17" t="s">
        <v>33</v>
      </c>
      <c r="B6" s="16" t="s">
        <v>1031</v>
      </c>
      <c r="C6" s="16" t="s">
        <v>1032</v>
      </c>
      <c r="D6" s="16" t="s">
        <v>1033</v>
      </c>
      <c r="E6" s="16" t="str">
        <f>"0,6459"</f>
        <v>0,6459</v>
      </c>
      <c r="F6" s="16" t="s">
        <v>1459</v>
      </c>
      <c r="G6" s="23" t="s">
        <v>98</v>
      </c>
      <c r="H6" s="23" t="s">
        <v>47</v>
      </c>
      <c r="I6" s="23" t="s">
        <v>99</v>
      </c>
      <c r="J6" s="17"/>
      <c r="K6" s="17" t="str">
        <f>"110,0"</f>
        <v>110,0</v>
      </c>
      <c r="L6" s="17" t="str">
        <f>"71,0490"</f>
        <v>71,0490</v>
      </c>
      <c r="M6" s="16"/>
    </row>
    <row r="7" spans="1:13">
      <c r="A7" s="19" t="s">
        <v>33</v>
      </c>
      <c r="B7" s="18" t="s">
        <v>1031</v>
      </c>
      <c r="C7" s="18" t="s">
        <v>1424</v>
      </c>
      <c r="D7" s="18" t="s">
        <v>1033</v>
      </c>
      <c r="E7" s="18" t="str">
        <f>"0,6459"</f>
        <v>0,6459</v>
      </c>
      <c r="F7" s="18" t="s">
        <v>1459</v>
      </c>
      <c r="G7" s="25" t="s">
        <v>98</v>
      </c>
      <c r="H7" s="25" t="s">
        <v>47</v>
      </c>
      <c r="I7" s="25" t="s">
        <v>99</v>
      </c>
      <c r="J7" s="19"/>
      <c r="K7" s="19" t="str">
        <f>"110,0"</f>
        <v>110,0</v>
      </c>
      <c r="L7" s="19" t="str">
        <f>"73,0384"</f>
        <v>73,0384</v>
      </c>
      <c r="M7" s="18"/>
    </row>
    <row r="8" spans="1:13">
      <c r="B8" s="5" t="s">
        <v>34</v>
      </c>
    </row>
    <row r="9" spans="1:13" ht="16">
      <c r="A9" s="61" t="s">
        <v>130</v>
      </c>
      <c r="B9" s="61"/>
      <c r="C9" s="61"/>
      <c r="D9" s="61"/>
      <c r="E9" s="61"/>
      <c r="F9" s="61"/>
      <c r="G9" s="61"/>
      <c r="H9" s="61"/>
      <c r="I9" s="61"/>
      <c r="J9" s="61"/>
    </row>
    <row r="10" spans="1:13">
      <c r="A10" s="8" t="s">
        <v>33</v>
      </c>
      <c r="B10" s="7" t="s">
        <v>1014</v>
      </c>
      <c r="C10" s="7" t="s">
        <v>1015</v>
      </c>
      <c r="D10" s="7" t="s">
        <v>141</v>
      </c>
      <c r="E10" s="7" t="str">
        <f>"0,6088"</f>
        <v>0,6088</v>
      </c>
      <c r="F10" s="7" t="s">
        <v>1459</v>
      </c>
      <c r="G10" s="15" t="s">
        <v>59</v>
      </c>
      <c r="H10" s="15" t="s">
        <v>98</v>
      </c>
      <c r="I10" s="14" t="s">
        <v>286</v>
      </c>
      <c r="J10" s="8"/>
      <c r="K10" s="8" t="str">
        <f>"100,0"</f>
        <v>100,0</v>
      </c>
      <c r="L10" s="8" t="str">
        <f>"60,8800"</f>
        <v>60,8800</v>
      </c>
      <c r="M10" s="7"/>
    </row>
    <row r="11" spans="1:13">
      <c r="B11" s="5" t="s">
        <v>34</v>
      </c>
    </row>
    <row r="12" spans="1:13" ht="16">
      <c r="A12" s="61" t="s">
        <v>1164</v>
      </c>
      <c r="B12" s="61"/>
      <c r="C12" s="61"/>
      <c r="D12" s="61"/>
      <c r="E12" s="61"/>
      <c r="F12" s="61"/>
      <c r="G12" s="61"/>
      <c r="H12" s="61"/>
      <c r="I12" s="61"/>
      <c r="J12" s="61"/>
    </row>
    <row r="13" spans="1:13">
      <c r="A13" s="8" t="s">
        <v>33</v>
      </c>
      <c r="B13" s="7" t="s">
        <v>1175</v>
      </c>
      <c r="C13" s="7" t="s">
        <v>1176</v>
      </c>
      <c r="D13" s="7" t="s">
        <v>1017</v>
      </c>
      <c r="E13" s="7" t="str">
        <f>"0,5861"</f>
        <v>0,5861</v>
      </c>
      <c r="F13" s="7" t="s">
        <v>1459</v>
      </c>
      <c r="G13" s="15" t="s">
        <v>98</v>
      </c>
      <c r="H13" s="15" t="s">
        <v>286</v>
      </c>
      <c r="I13" s="15" t="s">
        <v>100</v>
      </c>
      <c r="J13" s="8"/>
      <c r="K13" s="8" t="str">
        <f>"112,5"</f>
        <v>112,5</v>
      </c>
      <c r="L13" s="8" t="str">
        <f>"65,9362"</f>
        <v>65,9362</v>
      </c>
      <c r="M13" s="7"/>
    </row>
    <row r="14" spans="1:13">
      <c r="B14" s="5" t="s">
        <v>34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9:J9"/>
    <mergeCell ref="A12:J12"/>
    <mergeCell ref="B3:B4"/>
    <mergeCell ref="K3:K4"/>
    <mergeCell ref="L3:L4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M14"/>
  <sheetViews>
    <sheetView tabSelected="1"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3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.33203125" style="5" customWidth="1"/>
    <col min="14" max="16384" width="9.1640625" style="3"/>
  </cols>
  <sheetData>
    <row r="1" spans="1:13" s="2" customFormat="1" ht="29" customHeight="1">
      <c r="A1" s="62" t="s">
        <v>1288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3" s="1" customFormat="1" ht="12.75" customHeight="1">
      <c r="A3" s="70" t="s">
        <v>1458</v>
      </c>
      <c r="B3" s="59" t="s">
        <v>0</v>
      </c>
      <c r="C3" s="72" t="s">
        <v>5</v>
      </c>
      <c r="D3" s="72" t="s">
        <v>8</v>
      </c>
      <c r="E3" s="74" t="s">
        <v>9</v>
      </c>
      <c r="F3" s="74" t="s">
        <v>10</v>
      </c>
      <c r="G3" s="74" t="s">
        <v>12</v>
      </c>
      <c r="H3" s="74"/>
      <c r="I3" s="74"/>
      <c r="J3" s="74"/>
      <c r="K3" s="74" t="s">
        <v>601</v>
      </c>
      <c r="L3" s="74" t="s">
        <v>3</v>
      </c>
      <c r="M3" s="77" t="s">
        <v>2</v>
      </c>
    </row>
    <row r="4" spans="1:13" s="1" customFormat="1" ht="21" customHeight="1" thickBot="1">
      <c r="A4" s="71"/>
      <c r="B4" s="60"/>
      <c r="C4" s="73"/>
      <c r="D4" s="73"/>
      <c r="E4" s="73"/>
      <c r="F4" s="73"/>
      <c r="G4" s="4">
        <v>1</v>
      </c>
      <c r="H4" s="4">
        <v>2</v>
      </c>
      <c r="I4" s="4">
        <v>3</v>
      </c>
      <c r="J4" s="4" t="s">
        <v>4</v>
      </c>
      <c r="K4" s="73"/>
      <c r="L4" s="73"/>
      <c r="M4" s="78"/>
    </row>
    <row r="5" spans="1:13" ht="16">
      <c r="A5" s="57" t="s">
        <v>1132</v>
      </c>
      <c r="B5" s="57"/>
      <c r="C5" s="58"/>
      <c r="D5" s="58"/>
      <c r="E5" s="58"/>
      <c r="F5" s="58"/>
      <c r="G5" s="58"/>
      <c r="H5" s="58"/>
      <c r="I5" s="58"/>
      <c r="J5" s="58"/>
    </row>
    <row r="6" spans="1:13">
      <c r="A6" s="8" t="s">
        <v>33</v>
      </c>
      <c r="B6" s="7" t="s">
        <v>506</v>
      </c>
      <c r="C6" s="7" t="s">
        <v>507</v>
      </c>
      <c r="D6" s="7" t="s">
        <v>508</v>
      </c>
      <c r="E6" s="7" t="str">
        <f>"0,6832"</f>
        <v>0,6832</v>
      </c>
      <c r="F6" s="7" t="s">
        <v>1503</v>
      </c>
      <c r="G6" s="14" t="s">
        <v>57</v>
      </c>
      <c r="H6" s="15" t="s">
        <v>61</v>
      </c>
      <c r="I6" s="14" t="s">
        <v>18</v>
      </c>
      <c r="J6" s="8"/>
      <c r="K6" s="8" t="str">
        <f>"150,0"</f>
        <v>150,0</v>
      </c>
      <c r="L6" s="8" t="str">
        <f>"102,4800"</f>
        <v>102,4800</v>
      </c>
      <c r="M6" s="7" t="s">
        <v>242</v>
      </c>
    </row>
    <row r="7" spans="1:13">
      <c r="B7" s="5" t="s">
        <v>34</v>
      </c>
    </row>
    <row r="8" spans="1:13" ht="16">
      <c r="A8" s="61" t="s">
        <v>14</v>
      </c>
      <c r="B8" s="61"/>
      <c r="C8" s="61"/>
      <c r="D8" s="61"/>
      <c r="E8" s="61"/>
      <c r="F8" s="61"/>
      <c r="G8" s="61"/>
      <c r="H8" s="61"/>
      <c r="I8" s="61"/>
      <c r="J8" s="61"/>
    </row>
    <row r="9" spans="1:13">
      <c r="A9" s="8" t="s">
        <v>33</v>
      </c>
      <c r="B9" s="7" t="s">
        <v>523</v>
      </c>
      <c r="C9" s="7" t="s">
        <v>524</v>
      </c>
      <c r="D9" s="7" t="s">
        <v>525</v>
      </c>
      <c r="E9" s="7" t="str">
        <f>"0,6487"</f>
        <v>0,6487</v>
      </c>
      <c r="F9" s="7" t="s">
        <v>1460</v>
      </c>
      <c r="G9" s="15" t="s">
        <v>61</v>
      </c>
      <c r="H9" s="15" t="s">
        <v>113</v>
      </c>
      <c r="I9" s="15" t="s">
        <v>128</v>
      </c>
      <c r="J9" s="8"/>
      <c r="K9" s="8" t="str">
        <f>"162,5"</f>
        <v>162,5</v>
      </c>
      <c r="L9" s="8" t="str">
        <f>"105,4137"</f>
        <v>105,4137</v>
      </c>
      <c r="M9" s="7"/>
    </row>
    <row r="10" spans="1:13">
      <c r="B10" s="5" t="s">
        <v>34</v>
      </c>
    </row>
    <row r="11" spans="1:13" ht="16">
      <c r="A11" s="61" t="s">
        <v>130</v>
      </c>
      <c r="B11" s="61"/>
      <c r="C11" s="61"/>
      <c r="D11" s="61"/>
      <c r="E11" s="61"/>
      <c r="F11" s="61"/>
      <c r="G11" s="61"/>
      <c r="H11" s="61"/>
      <c r="I11" s="61"/>
      <c r="J11" s="61"/>
    </row>
    <row r="12" spans="1:13">
      <c r="A12" s="17" t="s">
        <v>33</v>
      </c>
      <c r="B12" s="16" t="s">
        <v>1135</v>
      </c>
      <c r="C12" s="16" t="s">
        <v>695</v>
      </c>
      <c r="D12" s="16" t="s">
        <v>1116</v>
      </c>
      <c r="E12" s="16" t="str">
        <f>"0,6172"</f>
        <v>0,6172</v>
      </c>
      <c r="F12" s="16" t="s">
        <v>1460</v>
      </c>
      <c r="G12" s="23" t="s">
        <v>18</v>
      </c>
      <c r="H12" s="22" t="s">
        <v>107</v>
      </c>
      <c r="I12" s="22" t="s">
        <v>107</v>
      </c>
      <c r="J12" s="17"/>
      <c r="K12" s="17" t="str">
        <f>"160,0"</f>
        <v>160,0</v>
      </c>
      <c r="L12" s="17" t="str">
        <f>"98,7520"</f>
        <v>98,7520</v>
      </c>
      <c r="M12" s="16" t="s">
        <v>1136</v>
      </c>
    </row>
    <row r="13" spans="1:13">
      <c r="A13" s="19" t="s">
        <v>219</v>
      </c>
      <c r="B13" s="18" t="s">
        <v>734</v>
      </c>
      <c r="C13" s="18" t="s">
        <v>735</v>
      </c>
      <c r="D13" s="18" t="s">
        <v>423</v>
      </c>
      <c r="E13" s="18" t="str">
        <f>"0,6106"</f>
        <v>0,6106</v>
      </c>
      <c r="F13" s="18" t="s">
        <v>1460</v>
      </c>
      <c r="G13" s="25" t="s">
        <v>18</v>
      </c>
      <c r="H13" s="24" t="s">
        <v>107</v>
      </c>
      <c r="I13" s="24" t="s">
        <v>107</v>
      </c>
      <c r="J13" s="19"/>
      <c r="K13" s="19" t="str">
        <f>"160,0"</f>
        <v>160,0</v>
      </c>
      <c r="L13" s="19" t="str">
        <f>"97,6960"</f>
        <v>97,6960</v>
      </c>
      <c r="M13" s="18" t="s">
        <v>1242</v>
      </c>
    </row>
    <row r="14" spans="1:13">
      <c r="B14" s="5" t="s">
        <v>34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B3:B4"/>
    <mergeCell ref="K3:K4"/>
    <mergeCell ref="L3:L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:U8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7.664062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5.83203125" style="5" bestFit="1" customWidth="1"/>
    <col min="7" max="9" width="5.5" style="6" customWidth="1"/>
    <col min="10" max="10" width="4.83203125" style="6" customWidth="1"/>
    <col min="11" max="12" width="5.5" style="6" customWidth="1"/>
    <col min="13" max="14" width="4.83203125" style="6" customWidth="1"/>
    <col min="15" max="16" width="5.5" style="6" customWidth="1"/>
    <col min="17" max="17" width="5.164062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9.6640625" style="5" customWidth="1"/>
    <col min="22" max="16384" width="9.1640625" style="3"/>
  </cols>
  <sheetData>
    <row r="1" spans="1:21" s="2" customFormat="1" ht="29" customHeight="1">
      <c r="A1" s="62" t="s">
        <v>1255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5"/>
    </row>
    <row r="2" spans="1:21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9"/>
    </row>
    <row r="3" spans="1:21" s="1" customFormat="1" ht="12.75" customHeight="1">
      <c r="A3" s="70" t="s">
        <v>1458</v>
      </c>
      <c r="B3" s="59" t="s">
        <v>0</v>
      </c>
      <c r="C3" s="72" t="s">
        <v>5</v>
      </c>
      <c r="D3" s="72" t="s">
        <v>8</v>
      </c>
      <c r="E3" s="74" t="s">
        <v>9</v>
      </c>
      <c r="F3" s="74" t="s">
        <v>10</v>
      </c>
      <c r="G3" s="74" t="s">
        <v>11</v>
      </c>
      <c r="H3" s="74"/>
      <c r="I3" s="74"/>
      <c r="J3" s="74"/>
      <c r="K3" s="74" t="s">
        <v>12</v>
      </c>
      <c r="L3" s="74"/>
      <c r="M3" s="74"/>
      <c r="N3" s="74"/>
      <c r="O3" s="74" t="s">
        <v>13</v>
      </c>
      <c r="P3" s="74"/>
      <c r="Q3" s="74"/>
      <c r="R3" s="74"/>
      <c r="S3" s="74" t="s">
        <v>1</v>
      </c>
      <c r="T3" s="74" t="s">
        <v>3</v>
      </c>
      <c r="U3" s="77" t="s">
        <v>2</v>
      </c>
    </row>
    <row r="4" spans="1:21" s="1" customFormat="1" ht="21" customHeight="1" thickBot="1">
      <c r="A4" s="71"/>
      <c r="B4" s="60"/>
      <c r="C4" s="73"/>
      <c r="D4" s="73"/>
      <c r="E4" s="73"/>
      <c r="F4" s="7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73"/>
      <c r="T4" s="73"/>
      <c r="U4" s="78"/>
    </row>
    <row r="5" spans="1:21" ht="16">
      <c r="A5" s="57" t="s">
        <v>35</v>
      </c>
      <c r="B5" s="57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</row>
    <row r="6" spans="1:21">
      <c r="A6" s="8" t="s">
        <v>33</v>
      </c>
      <c r="B6" s="7" t="s">
        <v>36</v>
      </c>
      <c r="C6" s="7" t="s">
        <v>1319</v>
      </c>
      <c r="D6" s="7" t="s">
        <v>37</v>
      </c>
      <c r="E6" s="7" t="str">
        <f>"0,5980"</f>
        <v>0,5980</v>
      </c>
      <c r="F6" s="7" t="s">
        <v>1504</v>
      </c>
      <c r="G6" s="15" t="s">
        <v>38</v>
      </c>
      <c r="H6" s="15" t="s">
        <v>17</v>
      </c>
      <c r="I6" s="14" t="s">
        <v>39</v>
      </c>
      <c r="J6" s="8"/>
      <c r="K6" s="15" t="s">
        <v>40</v>
      </c>
      <c r="L6" s="15" t="s">
        <v>41</v>
      </c>
      <c r="M6" s="8"/>
      <c r="N6" s="8"/>
      <c r="O6" s="15" t="s">
        <v>38</v>
      </c>
      <c r="P6" s="15" t="s">
        <v>39</v>
      </c>
      <c r="Q6" s="8"/>
      <c r="R6" s="8"/>
      <c r="S6" s="8" t="str">
        <f>"655,0"</f>
        <v>655,0</v>
      </c>
      <c r="T6" s="8" t="str">
        <f>"472,7698"</f>
        <v>472,7698</v>
      </c>
      <c r="U6" s="7"/>
    </row>
    <row r="7" spans="1:21">
      <c r="B7" s="5" t="s">
        <v>34</v>
      </c>
    </row>
    <row r="8" spans="1:21">
      <c r="B8" s="5" t="s">
        <v>34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 codeName="Лист5">
    <pageSetUpPr fitToPage="1"/>
  </sheetPr>
  <dimension ref="A1:U7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21.3320312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0.33203125" style="5" customWidth="1"/>
    <col min="22" max="16384" width="9.1640625" style="3"/>
  </cols>
  <sheetData>
    <row r="1" spans="1:21" s="2" customFormat="1" ht="29" customHeight="1">
      <c r="A1" s="62" t="s">
        <v>1256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5"/>
    </row>
    <row r="2" spans="1:21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9"/>
    </row>
    <row r="3" spans="1:21" s="1" customFormat="1" ht="12.75" customHeight="1">
      <c r="A3" s="70" t="s">
        <v>1458</v>
      </c>
      <c r="B3" s="59" t="s">
        <v>0</v>
      </c>
      <c r="C3" s="72" t="s">
        <v>5</v>
      </c>
      <c r="D3" s="72" t="s">
        <v>8</v>
      </c>
      <c r="E3" s="74" t="s">
        <v>9</v>
      </c>
      <c r="F3" s="74" t="s">
        <v>10</v>
      </c>
      <c r="G3" s="74" t="s">
        <v>11</v>
      </c>
      <c r="H3" s="74"/>
      <c r="I3" s="74"/>
      <c r="J3" s="74"/>
      <c r="K3" s="74" t="s">
        <v>12</v>
      </c>
      <c r="L3" s="74"/>
      <c r="M3" s="74"/>
      <c r="N3" s="74"/>
      <c r="O3" s="74" t="s">
        <v>13</v>
      </c>
      <c r="P3" s="74"/>
      <c r="Q3" s="74"/>
      <c r="R3" s="74"/>
      <c r="S3" s="74" t="s">
        <v>1</v>
      </c>
      <c r="T3" s="74" t="s">
        <v>3</v>
      </c>
      <c r="U3" s="77" t="s">
        <v>2</v>
      </c>
    </row>
    <row r="4" spans="1:21" s="1" customFormat="1" ht="21" customHeight="1" thickBot="1">
      <c r="A4" s="71"/>
      <c r="B4" s="60"/>
      <c r="C4" s="73"/>
      <c r="D4" s="73"/>
      <c r="E4" s="73"/>
      <c r="F4" s="7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73"/>
      <c r="T4" s="73"/>
      <c r="U4" s="78"/>
    </row>
    <row r="5" spans="1:21" ht="16">
      <c r="A5" s="57" t="s">
        <v>14</v>
      </c>
      <c r="B5" s="57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</row>
    <row r="6" spans="1:21">
      <c r="A6" s="8" t="s">
        <v>33</v>
      </c>
      <c r="B6" s="7" t="s">
        <v>15</v>
      </c>
      <c r="C6" s="7" t="s">
        <v>1320</v>
      </c>
      <c r="D6" s="7" t="s">
        <v>16</v>
      </c>
      <c r="E6" s="7" t="str">
        <f>"0,6444"</f>
        <v>0,6444</v>
      </c>
      <c r="F6" s="7" t="s">
        <v>1482</v>
      </c>
      <c r="G6" s="14" t="s">
        <v>17</v>
      </c>
      <c r="H6" s="14" t="s">
        <v>17</v>
      </c>
      <c r="I6" s="15" t="s">
        <v>17</v>
      </c>
      <c r="J6" s="8"/>
      <c r="K6" s="15" t="s">
        <v>18</v>
      </c>
      <c r="L6" s="15" t="s">
        <v>19</v>
      </c>
      <c r="M6" s="15" t="s">
        <v>20</v>
      </c>
      <c r="N6" s="8"/>
      <c r="O6" s="15" t="s">
        <v>17</v>
      </c>
      <c r="P6" s="15" t="s">
        <v>21</v>
      </c>
      <c r="Q6" s="14" t="s">
        <v>22</v>
      </c>
      <c r="R6" s="8"/>
      <c r="S6" s="8" t="str">
        <f>"677,5"</f>
        <v>677,5</v>
      </c>
      <c r="T6" s="8" t="str">
        <f>"462,7759"</f>
        <v>462,7759</v>
      </c>
      <c r="U6" s="7" t="s">
        <v>23</v>
      </c>
    </row>
    <row r="7" spans="1:21">
      <c r="B7" s="5" t="s">
        <v>34</v>
      </c>
    </row>
  </sheetData>
  <mergeCells count="14"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A5:R5"/>
    <mergeCell ref="B3:B4"/>
    <mergeCell ref="E3:E4"/>
    <mergeCell ref="S3:S4"/>
    <mergeCell ref="T3:T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Q34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9.8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9.16406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22" style="5" customWidth="1"/>
    <col min="18" max="16384" width="9.1640625" style="3"/>
  </cols>
  <sheetData>
    <row r="1" spans="1:17" s="2" customFormat="1" ht="29" customHeight="1">
      <c r="A1" s="62" t="s">
        <v>1257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5"/>
    </row>
    <row r="2" spans="1:17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9"/>
    </row>
    <row r="3" spans="1:17" s="1" customFormat="1" ht="12.75" customHeight="1">
      <c r="A3" s="70" t="s">
        <v>1458</v>
      </c>
      <c r="B3" s="59" t="s">
        <v>0</v>
      </c>
      <c r="C3" s="72" t="s">
        <v>5</v>
      </c>
      <c r="D3" s="72" t="s">
        <v>8</v>
      </c>
      <c r="E3" s="74" t="s">
        <v>9</v>
      </c>
      <c r="F3" s="74" t="s">
        <v>10</v>
      </c>
      <c r="G3" s="74" t="s">
        <v>12</v>
      </c>
      <c r="H3" s="74"/>
      <c r="I3" s="74"/>
      <c r="J3" s="74"/>
      <c r="K3" s="74" t="s">
        <v>13</v>
      </c>
      <c r="L3" s="74"/>
      <c r="M3" s="74"/>
      <c r="N3" s="74"/>
      <c r="O3" s="74" t="s">
        <v>1</v>
      </c>
      <c r="P3" s="74" t="s">
        <v>3</v>
      </c>
      <c r="Q3" s="77" t="s">
        <v>2</v>
      </c>
    </row>
    <row r="4" spans="1:17" s="1" customFormat="1" ht="21" customHeight="1" thickBot="1">
      <c r="A4" s="71"/>
      <c r="B4" s="60"/>
      <c r="C4" s="73"/>
      <c r="D4" s="73"/>
      <c r="E4" s="73"/>
      <c r="F4" s="7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73"/>
      <c r="P4" s="73"/>
      <c r="Q4" s="78"/>
    </row>
    <row r="5" spans="1:17" ht="16">
      <c r="A5" s="57" t="s">
        <v>283</v>
      </c>
      <c r="B5" s="57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7">
      <c r="A6" s="17" t="s">
        <v>33</v>
      </c>
      <c r="B6" s="16" t="s">
        <v>989</v>
      </c>
      <c r="C6" s="16" t="s">
        <v>990</v>
      </c>
      <c r="D6" s="16" t="s">
        <v>297</v>
      </c>
      <c r="E6" s="16" t="str">
        <f>"1,1541"</f>
        <v>1,1541</v>
      </c>
      <c r="F6" s="16" t="s">
        <v>1505</v>
      </c>
      <c r="G6" s="23" t="s">
        <v>241</v>
      </c>
      <c r="H6" s="23" t="s">
        <v>254</v>
      </c>
      <c r="I6" s="23" t="s">
        <v>255</v>
      </c>
      <c r="J6" s="17"/>
      <c r="K6" s="23" t="s">
        <v>98</v>
      </c>
      <c r="L6" s="22" t="s">
        <v>47</v>
      </c>
      <c r="M6" s="23" t="s">
        <v>286</v>
      </c>
      <c r="N6" s="17"/>
      <c r="O6" s="17" t="str">
        <f>"160,0"</f>
        <v>160,0</v>
      </c>
      <c r="P6" s="17" t="str">
        <f>"184,6560"</f>
        <v>184,6560</v>
      </c>
      <c r="Q6" s="16" t="s">
        <v>991</v>
      </c>
    </row>
    <row r="7" spans="1:17">
      <c r="A7" s="21" t="s">
        <v>219</v>
      </c>
      <c r="B7" s="20" t="s">
        <v>992</v>
      </c>
      <c r="C7" s="20" t="s">
        <v>993</v>
      </c>
      <c r="D7" s="20" t="s">
        <v>994</v>
      </c>
      <c r="E7" s="20" t="str">
        <f>"1,1432"</f>
        <v>1,1432</v>
      </c>
      <c r="F7" s="20" t="s">
        <v>1459</v>
      </c>
      <c r="G7" s="27" t="s">
        <v>254</v>
      </c>
      <c r="H7" s="26" t="s">
        <v>254</v>
      </c>
      <c r="I7" s="27" t="s">
        <v>255</v>
      </c>
      <c r="J7" s="21"/>
      <c r="K7" s="27" t="s">
        <v>47</v>
      </c>
      <c r="L7" s="26" t="s">
        <v>47</v>
      </c>
      <c r="M7" s="26" t="s">
        <v>99</v>
      </c>
      <c r="N7" s="21"/>
      <c r="O7" s="21" t="str">
        <f>"160,0"</f>
        <v>160,0</v>
      </c>
      <c r="P7" s="21" t="str">
        <f>"182,9120"</f>
        <v>182,9120</v>
      </c>
      <c r="Q7" s="20" t="s">
        <v>440</v>
      </c>
    </row>
    <row r="8" spans="1:17">
      <c r="A8" s="21" t="s">
        <v>33</v>
      </c>
      <c r="B8" s="20" t="s">
        <v>296</v>
      </c>
      <c r="C8" s="20" t="s">
        <v>1298</v>
      </c>
      <c r="D8" s="20" t="s">
        <v>297</v>
      </c>
      <c r="E8" s="20" t="str">
        <f>"1,1541"</f>
        <v>1,1541</v>
      </c>
      <c r="F8" s="20" t="s">
        <v>1579</v>
      </c>
      <c r="G8" s="26" t="s">
        <v>261</v>
      </c>
      <c r="H8" s="26" t="s">
        <v>262</v>
      </c>
      <c r="I8" s="27" t="s">
        <v>253</v>
      </c>
      <c r="J8" s="21"/>
      <c r="K8" s="27" t="s">
        <v>123</v>
      </c>
      <c r="L8" s="26" t="s">
        <v>61</v>
      </c>
      <c r="M8" s="26" t="s">
        <v>124</v>
      </c>
      <c r="N8" s="21"/>
      <c r="O8" s="21" t="str">
        <f>"225,0"</f>
        <v>225,0</v>
      </c>
      <c r="P8" s="21" t="str">
        <f>"259,6725"</f>
        <v>259,6725</v>
      </c>
      <c r="Q8" s="20"/>
    </row>
    <row r="9" spans="1:17">
      <c r="A9" s="19" t="s">
        <v>219</v>
      </c>
      <c r="B9" s="18" t="s">
        <v>989</v>
      </c>
      <c r="C9" s="18" t="s">
        <v>1321</v>
      </c>
      <c r="D9" s="18" t="s">
        <v>297</v>
      </c>
      <c r="E9" s="18" t="str">
        <f>"1,1541"</f>
        <v>1,1541</v>
      </c>
      <c r="F9" s="18" t="s">
        <v>1505</v>
      </c>
      <c r="G9" s="25" t="s">
        <v>241</v>
      </c>
      <c r="H9" s="25" t="s">
        <v>254</v>
      </c>
      <c r="I9" s="25" t="s">
        <v>255</v>
      </c>
      <c r="J9" s="19"/>
      <c r="K9" s="25" t="s">
        <v>98</v>
      </c>
      <c r="L9" s="24" t="s">
        <v>47</v>
      </c>
      <c r="M9" s="25" t="s">
        <v>286</v>
      </c>
      <c r="N9" s="19"/>
      <c r="O9" s="19" t="str">
        <f>"160,0"</f>
        <v>160,0</v>
      </c>
      <c r="P9" s="19" t="str">
        <f>"185,5793"</f>
        <v>185,5793</v>
      </c>
      <c r="Q9" s="18" t="s">
        <v>991</v>
      </c>
    </row>
    <row r="10" spans="1:17">
      <c r="B10" s="5" t="s">
        <v>34</v>
      </c>
    </row>
    <row r="11" spans="1:17" ht="16">
      <c r="A11" s="61" t="s">
        <v>73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</row>
    <row r="12" spans="1:17">
      <c r="A12" s="8" t="s">
        <v>33</v>
      </c>
      <c r="B12" s="7" t="s">
        <v>995</v>
      </c>
      <c r="C12" s="7" t="s">
        <v>1322</v>
      </c>
      <c r="D12" s="7" t="s">
        <v>996</v>
      </c>
      <c r="E12" s="7" t="str">
        <f>"1,0028"</f>
        <v>1,0028</v>
      </c>
      <c r="F12" s="7" t="s">
        <v>1506</v>
      </c>
      <c r="G12" s="15" t="s">
        <v>241</v>
      </c>
      <c r="H12" s="14" t="s">
        <v>254</v>
      </c>
      <c r="I12" s="14" t="s">
        <v>254</v>
      </c>
      <c r="J12" s="8"/>
      <c r="K12" s="15" t="s">
        <v>59</v>
      </c>
      <c r="L12" s="15" t="s">
        <v>67</v>
      </c>
      <c r="M12" s="14" t="s">
        <v>99</v>
      </c>
      <c r="N12" s="8"/>
      <c r="O12" s="8" t="str">
        <f>"150,0"</f>
        <v>150,0</v>
      </c>
      <c r="P12" s="8" t="str">
        <f>"188,0250"</f>
        <v>188,0250</v>
      </c>
      <c r="Q12" s="7"/>
    </row>
    <row r="13" spans="1:17">
      <c r="B13" s="5" t="s">
        <v>34</v>
      </c>
    </row>
    <row r="14" spans="1:17" ht="16">
      <c r="A14" s="61" t="s">
        <v>51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</row>
    <row r="15" spans="1:17">
      <c r="A15" s="8" t="s">
        <v>33</v>
      </c>
      <c r="B15" s="7" t="s">
        <v>997</v>
      </c>
      <c r="C15" s="7" t="s">
        <v>998</v>
      </c>
      <c r="D15" s="7" t="s">
        <v>999</v>
      </c>
      <c r="E15" s="7" t="str">
        <f>"0,7719"</f>
        <v>0,7719</v>
      </c>
      <c r="F15" s="7" t="s">
        <v>1507</v>
      </c>
      <c r="G15" s="14" t="s">
        <v>58</v>
      </c>
      <c r="H15" s="14" t="s">
        <v>58</v>
      </c>
      <c r="I15" s="15" t="s">
        <v>58</v>
      </c>
      <c r="J15" s="14" t="s">
        <v>59</v>
      </c>
      <c r="K15" s="14" t="s">
        <v>18</v>
      </c>
      <c r="L15" s="15" t="s">
        <v>18</v>
      </c>
      <c r="M15" s="14" t="s">
        <v>19</v>
      </c>
      <c r="N15" s="8"/>
      <c r="O15" s="8" t="str">
        <f>"250,0"</f>
        <v>250,0</v>
      </c>
      <c r="P15" s="8" t="str">
        <f>"192,9750"</f>
        <v>192,9750</v>
      </c>
      <c r="Q15" s="7" t="s">
        <v>1000</v>
      </c>
    </row>
    <row r="16" spans="1:17">
      <c r="B16" s="5" t="s">
        <v>34</v>
      </c>
    </row>
    <row r="17" spans="1:17" ht="16">
      <c r="A17" s="61" t="s">
        <v>73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</row>
    <row r="18" spans="1:17">
      <c r="A18" s="17" t="s">
        <v>33</v>
      </c>
      <c r="B18" s="16" t="s">
        <v>329</v>
      </c>
      <c r="C18" s="16" t="s">
        <v>330</v>
      </c>
      <c r="D18" s="16" t="s">
        <v>331</v>
      </c>
      <c r="E18" s="16" t="str">
        <f>"0,7152"</f>
        <v>0,7152</v>
      </c>
      <c r="F18" s="16" t="s">
        <v>1459</v>
      </c>
      <c r="G18" s="23" t="s">
        <v>79</v>
      </c>
      <c r="H18" s="23" t="s">
        <v>80</v>
      </c>
      <c r="I18" s="23" t="s">
        <v>49</v>
      </c>
      <c r="J18" s="17"/>
      <c r="K18" s="23" t="s">
        <v>41</v>
      </c>
      <c r="L18" s="23" t="s">
        <v>19</v>
      </c>
      <c r="M18" s="23" t="s">
        <v>187</v>
      </c>
      <c r="N18" s="17"/>
      <c r="O18" s="17" t="str">
        <f>"305,0"</f>
        <v>305,0</v>
      </c>
      <c r="P18" s="17" t="str">
        <f>"218,1360"</f>
        <v>218,1360</v>
      </c>
      <c r="Q18" s="16" t="s">
        <v>230</v>
      </c>
    </row>
    <row r="19" spans="1:17">
      <c r="A19" s="19" t="s">
        <v>219</v>
      </c>
      <c r="B19" s="18" t="s">
        <v>1001</v>
      </c>
      <c r="C19" s="18" t="s">
        <v>1002</v>
      </c>
      <c r="D19" s="18" t="s">
        <v>1003</v>
      </c>
      <c r="E19" s="18" t="str">
        <f>"0,7322"</f>
        <v>0,7322</v>
      </c>
      <c r="F19" s="18" t="s">
        <v>1459</v>
      </c>
      <c r="G19" s="25" t="s">
        <v>98</v>
      </c>
      <c r="H19" s="25" t="s">
        <v>47</v>
      </c>
      <c r="I19" s="24" t="s">
        <v>99</v>
      </c>
      <c r="J19" s="19"/>
      <c r="K19" s="25" t="s">
        <v>47</v>
      </c>
      <c r="L19" s="25" t="s">
        <v>182</v>
      </c>
      <c r="M19" s="25" t="s">
        <v>79</v>
      </c>
      <c r="N19" s="19"/>
      <c r="O19" s="19" t="str">
        <f>"225,0"</f>
        <v>225,0</v>
      </c>
      <c r="P19" s="19" t="str">
        <f>"164,7450"</f>
        <v>164,7450</v>
      </c>
      <c r="Q19" s="18" t="s">
        <v>1438</v>
      </c>
    </row>
    <row r="20" spans="1:17">
      <c r="B20" s="5" t="s">
        <v>34</v>
      </c>
    </row>
    <row r="21" spans="1:17" ht="16">
      <c r="A21" s="61" t="s">
        <v>63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</row>
    <row r="22" spans="1:17">
      <c r="A22" s="17" t="s">
        <v>33</v>
      </c>
      <c r="B22" s="16" t="s">
        <v>1004</v>
      </c>
      <c r="C22" s="16" t="s">
        <v>1005</v>
      </c>
      <c r="D22" s="16" t="s">
        <v>1006</v>
      </c>
      <c r="E22" s="16" t="str">
        <f>"0,6865"</f>
        <v>0,6865</v>
      </c>
      <c r="F22" s="16" t="s">
        <v>1508</v>
      </c>
      <c r="G22" s="22" t="s">
        <v>182</v>
      </c>
      <c r="H22" s="22" t="s">
        <v>182</v>
      </c>
      <c r="I22" s="23" t="s">
        <v>182</v>
      </c>
      <c r="J22" s="17"/>
      <c r="K22" s="23" t="s">
        <v>106</v>
      </c>
      <c r="L22" s="23" t="s">
        <v>112</v>
      </c>
      <c r="M22" s="23" t="s">
        <v>114</v>
      </c>
      <c r="N22" s="17"/>
      <c r="O22" s="17" t="str">
        <f>"360,0"</f>
        <v>360,0</v>
      </c>
      <c r="P22" s="17" t="str">
        <f>"247,1400"</f>
        <v>247,1400</v>
      </c>
      <c r="Q22" s="16"/>
    </row>
    <row r="23" spans="1:17">
      <c r="A23" s="21" t="s">
        <v>219</v>
      </c>
      <c r="B23" s="20" t="s">
        <v>1007</v>
      </c>
      <c r="C23" s="20" t="s">
        <v>1008</v>
      </c>
      <c r="D23" s="20" t="s">
        <v>86</v>
      </c>
      <c r="E23" s="20" t="str">
        <f>"0,6774"</f>
        <v>0,6774</v>
      </c>
      <c r="F23" s="20" t="s">
        <v>1464</v>
      </c>
      <c r="G23" s="26" t="s">
        <v>49</v>
      </c>
      <c r="H23" s="26" t="s">
        <v>56</v>
      </c>
      <c r="I23" s="27" t="s">
        <v>60</v>
      </c>
      <c r="J23" s="21"/>
      <c r="K23" s="26" t="s">
        <v>88</v>
      </c>
      <c r="L23" s="26" t="s">
        <v>127</v>
      </c>
      <c r="M23" s="26" t="s">
        <v>105</v>
      </c>
      <c r="N23" s="21"/>
      <c r="O23" s="21" t="str">
        <f>"360,0"</f>
        <v>360,0</v>
      </c>
      <c r="P23" s="21" t="str">
        <f>"243,8640"</f>
        <v>243,8640</v>
      </c>
      <c r="Q23" s="20" t="s">
        <v>291</v>
      </c>
    </row>
    <row r="24" spans="1:17">
      <c r="A24" s="21" t="s">
        <v>220</v>
      </c>
      <c r="B24" s="20" t="s">
        <v>448</v>
      </c>
      <c r="C24" s="20" t="s">
        <v>449</v>
      </c>
      <c r="D24" s="20" t="s">
        <v>450</v>
      </c>
      <c r="E24" s="20" t="str">
        <f>"0,6764"</f>
        <v>0,6764</v>
      </c>
      <c r="F24" s="20" t="s">
        <v>1588</v>
      </c>
      <c r="G24" s="27" t="s">
        <v>98</v>
      </c>
      <c r="H24" s="26" t="s">
        <v>98</v>
      </c>
      <c r="I24" s="26" t="s">
        <v>47</v>
      </c>
      <c r="J24" s="21"/>
      <c r="K24" s="26" t="s">
        <v>104</v>
      </c>
      <c r="L24" s="26" t="s">
        <v>105</v>
      </c>
      <c r="M24" s="26" t="s">
        <v>106</v>
      </c>
      <c r="N24" s="21"/>
      <c r="O24" s="21" t="str">
        <f>"330,0"</f>
        <v>330,0</v>
      </c>
      <c r="P24" s="21" t="str">
        <f>"223,2120"</f>
        <v>223,2120</v>
      </c>
      <c r="Q24" s="20"/>
    </row>
    <row r="25" spans="1:17">
      <c r="A25" s="19" t="s">
        <v>33</v>
      </c>
      <c r="B25" s="18" t="s">
        <v>445</v>
      </c>
      <c r="C25" s="18" t="s">
        <v>1313</v>
      </c>
      <c r="D25" s="18" t="s">
        <v>447</v>
      </c>
      <c r="E25" s="18" t="str">
        <f>"0,6822"</f>
        <v>0,6822</v>
      </c>
      <c r="F25" s="18" t="s">
        <v>1461</v>
      </c>
      <c r="G25" s="25" t="s">
        <v>47</v>
      </c>
      <c r="H25" s="25" t="s">
        <v>182</v>
      </c>
      <c r="I25" s="25" t="s">
        <v>79</v>
      </c>
      <c r="J25" s="19"/>
      <c r="K25" s="25" t="s">
        <v>18</v>
      </c>
      <c r="L25" s="25" t="s">
        <v>77</v>
      </c>
      <c r="M25" s="24" t="s">
        <v>68</v>
      </c>
      <c r="N25" s="19"/>
      <c r="O25" s="19" t="str">
        <f>"300,0"</f>
        <v>300,0</v>
      </c>
      <c r="P25" s="19" t="str">
        <f>"276,2910"</f>
        <v>276,2910</v>
      </c>
      <c r="Q25" s="18"/>
    </row>
    <row r="26" spans="1:17">
      <c r="B26" s="5" t="s">
        <v>34</v>
      </c>
    </row>
    <row r="27" spans="1:17" ht="16">
      <c r="A27" s="61" t="s">
        <v>14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</row>
    <row r="28" spans="1:17">
      <c r="A28" s="17" t="s">
        <v>33</v>
      </c>
      <c r="B28" s="16" t="s">
        <v>367</v>
      </c>
      <c r="C28" s="16" t="s">
        <v>368</v>
      </c>
      <c r="D28" s="16" t="s">
        <v>355</v>
      </c>
      <c r="E28" s="16" t="str">
        <f>"0,6398"</f>
        <v>0,6398</v>
      </c>
      <c r="F28" s="16" t="s">
        <v>1474</v>
      </c>
      <c r="G28" s="23" t="s">
        <v>18</v>
      </c>
      <c r="H28" s="22" t="s">
        <v>19</v>
      </c>
      <c r="I28" s="22" t="s">
        <v>19</v>
      </c>
      <c r="J28" s="17"/>
      <c r="K28" s="23" t="s">
        <v>105</v>
      </c>
      <c r="L28" s="23" t="s">
        <v>122</v>
      </c>
      <c r="M28" s="22" t="s">
        <v>17</v>
      </c>
      <c r="N28" s="17"/>
      <c r="O28" s="17" t="str">
        <f>"395,0"</f>
        <v>395,0</v>
      </c>
      <c r="P28" s="17" t="str">
        <f>"252,7210"</f>
        <v>252,7210</v>
      </c>
      <c r="Q28" s="16"/>
    </row>
    <row r="29" spans="1:17">
      <c r="A29" s="19" t="s">
        <v>219</v>
      </c>
      <c r="B29" s="18" t="s">
        <v>369</v>
      </c>
      <c r="C29" s="18" t="s">
        <v>370</v>
      </c>
      <c r="D29" s="18" t="s">
        <v>366</v>
      </c>
      <c r="E29" s="18" t="str">
        <f>"0,6410"</f>
        <v>0,6410</v>
      </c>
      <c r="F29" s="18" t="s">
        <v>1474</v>
      </c>
      <c r="G29" s="25" t="s">
        <v>60</v>
      </c>
      <c r="H29" s="24" t="s">
        <v>124</v>
      </c>
      <c r="I29" s="24" t="s">
        <v>124</v>
      </c>
      <c r="J29" s="19"/>
      <c r="K29" s="25" t="s">
        <v>88</v>
      </c>
      <c r="L29" s="25" t="s">
        <v>105</v>
      </c>
      <c r="M29" s="24" t="s">
        <v>38</v>
      </c>
      <c r="N29" s="19"/>
      <c r="O29" s="19" t="str">
        <f>"365,0"</f>
        <v>365,0</v>
      </c>
      <c r="P29" s="19" t="str">
        <f>"233,9650"</f>
        <v>233,9650</v>
      </c>
      <c r="Q29" s="18"/>
    </row>
    <row r="30" spans="1:17">
      <c r="B30" s="5" t="s">
        <v>34</v>
      </c>
    </row>
    <row r="31" spans="1:17" ht="16">
      <c r="A31" s="61" t="s">
        <v>35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</row>
    <row r="32" spans="1:17">
      <c r="A32" s="8" t="s">
        <v>33</v>
      </c>
      <c r="B32" s="7" t="s">
        <v>180</v>
      </c>
      <c r="C32" s="7" t="s">
        <v>1309</v>
      </c>
      <c r="D32" s="7" t="s">
        <v>181</v>
      </c>
      <c r="E32" s="7" t="str">
        <f>"0,6044"</f>
        <v>0,6044</v>
      </c>
      <c r="F32" s="7" t="s">
        <v>1587</v>
      </c>
      <c r="G32" s="15" t="s">
        <v>55</v>
      </c>
      <c r="H32" s="15" t="s">
        <v>57</v>
      </c>
      <c r="I32" s="14" t="s">
        <v>123</v>
      </c>
      <c r="J32" s="8"/>
      <c r="K32" s="15" t="s">
        <v>56</v>
      </c>
      <c r="L32" s="15" t="s">
        <v>61</v>
      </c>
      <c r="M32" s="14" t="s">
        <v>19</v>
      </c>
      <c r="N32" s="8"/>
      <c r="O32" s="8" t="str">
        <f>"292,5"</f>
        <v>292,5</v>
      </c>
      <c r="P32" s="8" t="str">
        <f>"203,3050"</f>
        <v>203,3050</v>
      </c>
      <c r="Q32" s="7" t="s">
        <v>183</v>
      </c>
    </row>
    <row r="33" spans="2:2">
      <c r="B33" s="5" t="s">
        <v>34</v>
      </c>
    </row>
    <row r="34" spans="2:2">
      <c r="B34" s="5" t="s">
        <v>34</v>
      </c>
    </row>
  </sheetData>
  <mergeCells count="19">
    <mergeCell ref="A1:Q2"/>
    <mergeCell ref="A3:A4"/>
    <mergeCell ref="C3:C4"/>
    <mergeCell ref="D3:D4"/>
    <mergeCell ref="E3:E4"/>
    <mergeCell ref="F3:F4"/>
    <mergeCell ref="G3:J3"/>
    <mergeCell ref="K3:N3"/>
    <mergeCell ref="A31:N31"/>
    <mergeCell ref="O3:O4"/>
    <mergeCell ref="P3:P4"/>
    <mergeCell ref="Q3:Q4"/>
    <mergeCell ref="A5:N5"/>
    <mergeCell ref="B3:B4"/>
    <mergeCell ref="A11:N11"/>
    <mergeCell ref="A14:N14"/>
    <mergeCell ref="A17:N17"/>
    <mergeCell ref="A21:N21"/>
    <mergeCell ref="A27:N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Q26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9.1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7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22.6640625" style="5" customWidth="1"/>
    <col min="18" max="16384" width="9.1640625" style="3"/>
  </cols>
  <sheetData>
    <row r="1" spans="1:17" s="2" customFormat="1" ht="29" customHeight="1">
      <c r="A1" s="62" t="s">
        <v>1258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5"/>
    </row>
    <row r="2" spans="1:17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9"/>
    </row>
    <row r="3" spans="1:17" s="1" customFormat="1" ht="12.75" customHeight="1">
      <c r="A3" s="70" t="s">
        <v>1458</v>
      </c>
      <c r="B3" s="59" t="s">
        <v>0</v>
      </c>
      <c r="C3" s="72" t="s">
        <v>5</v>
      </c>
      <c r="D3" s="72" t="s">
        <v>8</v>
      </c>
      <c r="E3" s="74" t="s">
        <v>9</v>
      </c>
      <c r="F3" s="74" t="s">
        <v>10</v>
      </c>
      <c r="G3" s="74" t="s">
        <v>12</v>
      </c>
      <c r="H3" s="74"/>
      <c r="I3" s="74"/>
      <c r="J3" s="74"/>
      <c r="K3" s="74" t="s">
        <v>13</v>
      </c>
      <c r="L3" s="74"/>
      <c r="M3" s="74"/>
      <c r="N3" s="74"/>
      <c r="O3" s="74" t="s">
        <v>1</v>
      </c>
      <c r="P3" s="74" t="s">
        <v>3</v>
      </c>
      <c r="Q3" s="77" t="s">
        <v>2</v>
      </c>
    </row>
    <row r="4" spans="1:17" s="1" customFormat="1" ht="21" customHeight="1" thickBot="1">
      <c r="A4" s="71"/>
      <c r="B4" s="60"/>
      <c r="C4" s="73"/>
      <c r="D4" s="73"/>
      <c r="E4" s="73"/>
      <c r="F4" s="7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73"/>
      <c r="P4" s="73"/>
      <c r="Q4" s="78"/>
    </row>
    <row r="5" spans="1:17" ht="16">
      <c r="A5" s="57" t="s">
        <v>283</v>
      </c>
      <c r="B5" s="57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7">
      <c r="A6" s="8" t="s">
        <v>33</v>
      </c>
      <c r="B6" s="7" t="s">
        <v>44</v>
      </c>
      <c r="C6" s="7" t="s">
        <v>1323</v>
      </c>
      <c r="D6" s="7" t="s">
        <v>977</v>
      </c>
      <c r="E6" s="7" t="str">
        <f>"1,1463"</f>
        <v>1,1463</v>
      </c>
      <c r="F6" s="7" t="s">
        <v>1478</v>
      </c>
      <c r="G6" s="15" t="s">
        <v>48</v>
      </c>
      <c r="H6" s="15" t="s">
        <v>270</v>
      </c>
      <c r="I6" s="15" t="s">
        <v>260</v>
      </c>
      <c r="J6" s="8"/>
      <c r="K6" s="15" t="s">
        <v>49</v>
      </c>
      <c r="L6" s="15" t="s">
        <v>55</v>
      </c>
      <c r="M6" s="15" t="s">
        <v>56</v>
      </c>
      <c r="N6" s="8"/>
      <c r="O6" s="8" t="str">
        <f>"205,0"</f>
        <v>205,0</v>
      </c>
      <c r="P6" s="8" t="str">
        <f>"261,7805"</f>
        <v>261,7805</v>
      </c>
      <c r="Q6" s="7" t="s">
        <v>50</v>
      </c>
    </row>
    <row r="7" spans="1:17">
      <c r="B7" s="5" t="s">
        <v>34</v>
      </c>
    </row>
    <row r="8" spans="1:17" ht="16">
      <c r="A8" s="61" t="s">
        <v>73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</row>
    <row r="9" spans="1:17">
      <c r="A9" s="8" t="s">
        <v>33</v>
      </c>
      <c r="B9" s="7" t="s">
        <v>978</v>
      </c>
      <c r="C9" s="7" t="s">
        <v>1324</v>
      </c>
      <c r="D9" s="7" t="s">
        <v>333</v>
      </c>
      <c r="E9" s="7" t="str">
        <f>"0,9563"</f>
        <v>0,9563</v>
      </c>
      <c r="F9" s="7" t="s">
        <v>1509</v>
      </c>
      <c r="G9" s="15" t="s">
        <v>229</v>
      </c>
      <c r="H9" s="15" t="s">
        <v>241</v>
      </c>
      <c r="I9" s="15" t="s">
        <v>254</v>
      </c>
      <c r="J9" s="8"/>
      <c r="K9" s="15" t="s">
        <v>247</v>
      </c>
      <c r="L9" s="15" t="s">
        <v>248</v>
      </c>
      <c r="M9" s="15" t="s">
        <v>227</v>
      </c>
      <c r="N9" s="8"/>
      <c r="O9" s="8" t="str">
        <f>"142,5"</f>
        <v>142,5</v>
      </c>
      <c r="P9" s="8" t="str">
        <f>"170,3409"</f>
        <v>170,3409</v>
      </c>
      <c r="Q9" s="7"/>
    </row>
    <row r="10" spans="1:17">
      <c r="B10" s="5" t="s">
        <v>34</v>
      </c>
    </row>
    <row r="11" spans="1:17" ht="16">
      <c r="A11" s="61" t="s">
        <v>63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</row>
    <row r="12" spans="1:17">
      <c r="A12" s="8" t="s">
        <v>33</v>
      </c>
      <c r="B12" s="7" t="s">
        <v>64</v>
      </c>
      <c r="C12" s="7" t="s">
        <v>72</v>
      </c>
      <c r="D12" s="7" t="s">
        <v>66</v>
      </c>
      <c r="E12" s="7" t="str">
        <f>"0,9017"</f>
        <v>0,9017</v>
      </c>
      <c r="F12" s="7" t="s">
        <v>1459</v>
      </c>
      <c r="G12" s="15" t="s">
        <v>59</v>
      </c>
      <c r="H12" s="15" t="s">
        <v>67</v>
      </c>
      <c r="I12" s="15" t="s">
        <v>47</v>
      </c>
      <c r="J12" s="8"/>
      <c r="K12" s="15" t="s">
        <v>68</v>
      </c>
      <c r="L12" s="15" t="s">
        <v>69</v>
      </c>
      <c r="M12" s="15" t="s">
        <v>70</v>
      </c>
      <c r="N12" s="8"/>
      <c r="O12" s="8" t="str">
        <f>"300,0"</f>
        <v>300,0</v>
      </c>
      <c r="P12" s="8" t="str">
        <f>"270,5100"</f>
        <v>270,5100</v>
      </c>
      <c r="Q12" s="7" t="s">
        <v>71</v>
      </c>
    </row>
    <row r="13" spans="1:17">
      <c r="B13" s="5" t="s">
        <v>34</v>
      </c>
    </row>
    <row r="14" spans="1:17" ht="16">
      <c r="A14" s="61" t="s">
        <v>73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</row>
    <row r="15" spans="1:17">
      <c r="A15" s="17" t="s">
        <v>33</v>
      </c>
      <c r="B15" s="16" t="s">
        <v>979</v>
      </c>
      <c r="C15" s="16" t="s">
        <v>980</v>
      </c>
      <c r="D15" s="16" t="s">
        <v>981</v>
      </c>
      <c r="E15" s="16" t="str">
        <f>"0,7249"</f>
        <v>0,7249</v>
      </c>
      <c r="F15" s="16" t="s">
        <v>1510</v>
      </c>
      <c r="G15" s="22" t="s">
        <v>247</v>
      </c>
      <c r="H15" s="22" t="s">
        <v>247</v>
      </c>
      <c r="I15" s="23" t="s">
        <v>247</v>
      </c>
      <c r="J15" s="17"/>
      <c r="K15" s="23" t="s">
        <v>56</v>
      </c>
      <c r="L15" s="22" t="s">
        <v>61</v>
      </c>
      <c r="M15" s="22" t="s">
        <v>61</v>
      </c>
      <c r="N15" s="17"/>
      <c r="O15" s="17" t="str">
        <f>"220,0"</f>
        <v>220,0</v>
      </c>
      <c r="P15" s="17" t="str">
        <f>"159,4780"</f>
        <v>159,4780</v>
      </c>
      <c r="Q15" s="16"/>
    </row>
    <row r="16" spans="1:17">
      <c r="A16" s="19" t="s">
        <v>33</v>
      </c>
      <c r="B16" s="18" t="s">
        <v>982</v>
      </c>
      <c r="C16" s="18" t="s">
        <v>1325</v>
      </c>
      <c r="D16" s="18" t="s">
        <v>331</v>
      </c>
      <c r="E16" s="18" t="str">
        <f>"0,7152"</f>
        <v>0,7152</v>
      </c>
      <c r="F16" s="18" t="s">
        <v>1477</v>
      </c>
      <c r="G16" s="24" t="s">
        <v>298</v>
      </c>
      <c r="H16" s="25" t="s">
        <v>298</v>
      </c>
      <c r="I16" s="24" t="s">
        <v>81</v>
      </c>
      <c r="J16" s="19"/>
      <c r="K16" s="25" t="s">
        <v>68</v>
      </c>
      <c r="L16" s="25" t="s">
        <v>344</v>
      </c>
      <c r="M16" s="25" t="s">
        <v>87</v>
      </c>
      <c r="N16" s="19"/>
      <c r="O16" s="19" t="str">
        <f>"322,5"</f>
        <v>322,5</v>
      </c>
      <c r="P16" s="19" t="str">
        <f>"261,0981"</f>
        <v>261,0981</v>
      </c>
      <c r="Q16" s="18" t="s">
        <v>983</v>
      </c>
    </row>
    <row r="17" spans="1:17">
      <c r="B17" s="5" t="s">
        <v>34</v>
      </c>
    </row>
    <row r="18" spans="1:17" ht="16">
      <c r="A18" s="61" t="s">
        <v>63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</row>
    <row r="19" spans="1:17">
      <c r="A19" s="8" t="s">
        <v>33</v>
      </c>
      <c r="B19" s="7" t="s">
        <v>984</v>
      </c>
      <c r="C19" s="7" t="s">
        <v>1326</v>
      </c>
      <c r="D19" s="7" t="s">
        <v>985</v>
      </c>
      <c r="E19" s="7" t="str">
        <f>"0,6739"</f>
        <v>0,6739</v>
      </c>
      <c r="F19" s="7" t="s">
        <v>1511</v>
      </c>
      <c r="G19" s="14" t="s">
        <v>18</v>
      </c>
      <c r="H19" s="15" t="s">
        <v>18</v>
      </c>
      <c r="I19" s="14" t="s">
        <v>19</v>
      </c>
      <c r="J19" s="8"/>
      <c r="K19" s="15" t="s">
        <v>82</v>
      </c>
      <c r="L19" s="15" t="s">
        <v>133</v>
      </c>
      <c r="M19" s="8"/>
      <c r="N19" s="8"/>
      <c r="O19" s="8" t="str">
        <f>"435,0"</f>
        <v>435,0</v>
      </c>
      <c r="P19" s="8" t="str">
        <f>"293,1465"</f>
        <v>293,1465</v>
      </c>
      <c r="Q19" s="7" t="s">
        <v>986</v>
      </c>
    </row>
    <row r="20" spans="1:17">
      <c r="B20" s="5" t="s">
        <v>34</v>
      </c>
    </row>
    <row r="21" spans="1:17" ht="16">
      <c r="A21" s="61" t="s">
        <v>14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</row>
    <row r="22" spans="1:17">
      <c r="A22" s="8" t="s">
        <v>33</v>
      </c>
      <c r="B22" s="7" t="s">
        <v>987</v>
      </c>
      <c r="C22" s="7" t="s">
        <v>988</v>
      </c>
      <c r="D22" s="7" t="s">
        <v>699</v>
      </c>
      <c r="E22" s="7" t="str">
        <f>"0,6428"</f>
        <v>0,6428</v>
      </c>
      <c r="F22" s="7" t="s">
        <v>1583</v>
      </c>
      <c r="G22" s="15" t="s">
        <v>19</v>
      </c>
      <c r="H22" s="15" t="s">
        <v>439</v>
      </c>
      <c r="I22" s="14" t="s">
        <v>20</v>
      </c>
      <c r="J22" s="8"/>
      <c r="K22" s="14" t="s">
        <v>145</v>
      </c>
      <c r="L22" s="15" t="s">
        <v>145</v>
      </c>
      <c r="M22" s="14" t="s">
        <v>168</v>
      </c>
      <c r="N22" s="8"/>
      <c r="O22" s="8" t="str">
        <f>"467,5"</f>
        <v>467,5</v>
      </c>
      <c r="P22" s="8" t="str">
        <f>"300,5090"</f>
        <v>300,5090</v>
      </c>
      <c r="Q22" s="7"/>
    </row>
    <row r="23" spans="1:17">
      <c r="B23" s="5" t="s">
        <v>34</v>
      </c>
    </row>
    <row r="24" spans="1:17" ht="16">
      <c r="A24" s="61" t="s">
        <v>35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</row>
    <row r="25" spans="1:17">
      <c r="A25" s="8" t="s">
        <v>33</v>
      </c>
      <c r="B25" s="7" t="s">
        <v>180</v>
      </c>
      <c r="C25" s="7" t="s">
        <v>385</v>
      </c>
      <c r="D25" s="7" t="s">
        <v>181</v>
      </c>
      <c r="E25" s="7" t="str">
        <f>"0,6044"</f>
        <v>0,6044</v>
      </c>
      <c r="F25" s="7" t="s">
        <v>1587</v>
      </c>
      <c r="G25" s="15" t="s">
        <v>55</v>
      </c>
      <c r="H25" s="15" t="s">
        <v>57</v>
      </c>
      <c r="I25" s="14" t="s">
        <v>123</v>
      </c>
      <c r="J25" s="8"/>
      <c r="K25" s="15" t="s">
        <v>56</v>
      </c>
      <c r="L25" s="15" t="s">
        <v>61</v>
      </c>
      <c r="M25" s="14" t="s">
        <v>19</v>
      </c>
      <c r="N25" s="8"/>
      <c r="O25" s="8" t="str">
        <f>"292,5"</f>
        <v>292,5</v>
      </c>
      <c r="P25" s="8" t="str">
        <f>"176,7870"</f>
        <v>176,7870</v>
      </c>
      <c r="Q25" s="7" t="s">
        <v>183</v>
      </c>
    </row>
    <row r="26" spans="1:17">
      <c r="B26" s="5" t="s">
        <v>34</v>
      </c>
    </row>
  </sheetData>
  <mergeCells count="19">
    <mergeCell ref="A1:Q2"/>
    <mergeCell ref="A3:A4"/>
    <mergeCell ref="C3:C4"/>
    <mergeCell ref="D3:D4"/>
    <mergeCell ref="E3:E4"/>
    <mergeCell ref="F3:F4"/>
    <mergeCell ref="G3:J3"/>
    <mergeCell ref="K3:N3"/>
    <mergeCell ref="A24:N24"/>
    <mergeCell ref="O3:O4"/>
    <mergeCell ref="P3:P4"/>
    <mergeCell ref="Q3:Q4"/>
    <mergeCell ref="A5:N5"/>
    <mergeCell ref="B3:B4"/>
    <mergeCell ref="A8:N8"/>
    <mergeCell ref="A11:N11"/>
    <mergeCell ref="A14:N14"/>
    <mergeCell ref="A18:N18"/>
    <mergeCell ref="A21:N2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M24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1" width="10.5" style="28" bestFit="1" customWidth="1"/>
    <col min="12" max="12" width="8.5" style="6" bestFit="1" customWidth="1"/>
    <col min="13" max="13" width="22.83203125" style="5" bestFit="1" customWidth="1"/>
    <col min="14" max="16384" width="9.1640625" style="3"/>
  </cols>
  <sheetData>
    <row r="1" spans="1:13" s="2" customFormat="1" ht="29" customHeight="1">
      <c r="A1" s="62" t="s">
        <v>1259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s="2" customFormat="1" ht="62" customHeight="1" thickBot="1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3" s="1" customFormat="1" ht="12.75" customHeight="1">
      <c r="A3" s="70" t="s">
        <v>1458</v>
      </c>
      <c r="B3" s="59" t="s">
        <v>0</v>
      </c>
      <c r="C3" s="72" t="s">
        <v>5</v>
      </c>
      <c r="D3" s="72" t="s">
        <v>8</v>
      </c>
      <c r="E3" s="74" t="s">
        <v>9</v>
      </c>
      <c r="F3" s="74" t="s">
        <v>10</v>
      </c>
      <c r="G3" s="74" t="s">
        <v>11</v>
      </c>
      <c r="H3" s="74"/>
      <c r="I3" s="74"/>
      <c r="J3" s="74"/>
      <c r="K3" s="75" t="s">
        <v>601</v>
      </c>
      <c r="L3" s="74" t="s">
        <v>3</v>
      </c>
      <c r="M3" s="77" t="s">
        <v>2</v>
      </c>
    </row>
    <row r="4" spans="1:13" s="1" customFormat="1" ht="21" customHeight="1" thickBot="1">
      <c r="A4" s="71"/>
      <c r="B4" s="60"/>
      <c r="C4" s="73"/>
      <c r="D4" s="73"/>
      <c r="E4" s="73"/>
      <c r="F4" s="73"/>
      <c r="G4" s="4">
        <v>1</v>
      </c>
      <c r="H4" s="4">
        <v>2</v>
      </c>
      <c r="I4" s="4">
        <v>3</v>
      </c>
      <c r="J4" s="4" t="s">
        <v>4</v>
      </c>
      <c r="K4" s="76"/>
      <c r="L4" s="73"/>
      <c r="M4" s="78"/>
    </row>
    <row r="5" spans="1:13" ht="16">
      <c r="A5" s="57" t="s">
        <v>222</v>
      </c>
      <c r="B5" s="57"/>
      <c r="C5" s="58"/>
      <c r="D5" s="58"/>
      <c r="E5" s="58"/>
      <c r="F5" s="58"/>
      <c r="G5" s="58"/>
      <c r="H5" s="58"/>
      <c r="I5" s="58"/>
      <c r="J5" s="58"/>
    </row>
    <row r="6" spans="1:13">
      <c r="A6" s="8" t="s">
        <v>33</v>
      </c>
      <c r="B6" s="7" t="s">
        <v>231</v>
      </c>
      <c r="C6" s="7" t="s">
        <v>232</v>
      </c>
      <c r="D6" s="7" t="s">
        <v>233</v>
      </c>
      <c r="E6" s="7" t="str">
        <f>"1,3305"</f>
        <v>1,3305</v>
      </c>
      <c r="F6" s="7" t="s">
        <v>1459</v>
      </c>
      <c r="G6" s="14" t="s">
        <v>234</v>
      </c>
      <c r="H6" s="15" t="s">
        <v>234</v>
      </c>
      <c r="I6" s="14" t="s">
        <v>58</v>
      </c>
      <c r="J6" s="8"/>
      <c r="K6" s="32" t="str">
        <f>"82,5"</f>
        <v>82,5</v>
      </c>
      <c r="L6" s="8" t="str">
        <f>"109,7663"</f>
        <v>109,7663</v>
      </c>
      <c r="M6" s="7" t="s">
        <v>237</v>
      </c>
    </row>
    <row r="7" spans="1:13">
      <c r="B7" s="5" t="s">
        <v>34</v>
      </c>
    </row>
    <row r="8" spans="1:13" ht="16">
      <c r="A8" s="61" t="s">
        <v>243</v>
      </c>
      <c r="B8" s="61"/>
      <c r="C8" s="61"/>
      <c r="D8" s="61"/>
      <c r="E8" s="61"/>
      <c r="F8" s="61"/>
      <c r="G8" s="61"/>
      <c r="H8" s="61"/>
      <c r="I8" s="61"/>
      <c r="J8" s="61"/>
    </row>
    <row r="9" spans="1:13">
      <c r="A9" s="8" t="s">
        <v>33</v>
      </c>
      <c r="B9" s="7" t="s">
        <v>610</v>
      </c>
      <c r="C9" s="7" t="s">
        <v>611</v>
      </c>
      <c r="D9" s="7" t="s">
        <v>265</v>
      </c>
      <c r="E9" s="7" t="str">
        <f>"1,2597"</f>
        <v>1,2597</v>
      </c>
      <c r="F9" s="7" t="s">
        <v>1512</v>
      </c>
      <c r="G9" s="15" t="s">
        <v>234</v>
      </c>
      <c r="H9" s="15" t="s">
        <v>226</v>
      </c>
      <c r="I9" s="14" t="s">
        <v>58</v>
      </c>
      <c r="J9" s="8"/>
      <c r="K9" s="32" t="str">
        <f>"85,0"</f>
        <v>85,0</v>
      </c>
      <c r="L9" s="8" t="str">
        <f>"107,0745"</f>
        <v>107,0745</v>
      </c>
      <c r="M9" s="7" t="s">
        <v>612</v>
      </c>
    </row>
    <row r="10" spans="1:13">
      <c r="B10" s="5" t="s">
        <v>34</v>
      </c>
    </row>
    <row r="11" spans="1:13" ht="16">
      <c r="A11" s="61" t="s">
        <v>283</v>
      </c>
      <c r="B11" s="61"/>
      <c r="C11" s="61"/>
      <c r="D11" s="61"/>
      <c r="E11" s="61"/>
      <c r="F11" s="61"/>
      <c r="G11" s="61"/>
      <c r="H11" s="61"/>
      <c r="I11" s="61"/>
      <c r="J11" s="61"/>
    </row>
    <row r="12" spans="1:13">
      <c r="A12" s="17" t="s">
        <v>33</v>
      </c>
      <c r="B12" s="16" t="s">
        <v>284</v>
      </c>
      <c r="C12" s="16" t="s">
        <v>1297</v>
      </c>
      <c r="D12" s="16" t="s">
        <v>285</v>
      </c>
      <c r="E12" s="16" t="str">
        <f>"1,1386"</f>
        <v>1,1386</v>
      </c>
      <c r="F12" s="16" t="s">
        <v>1460</v>
      </c>
      <c r="G12" s="23" t="s">
        <v>59</v>
      </c>
      <c r="H12" s="23" t="s">
        <v>47</v>
      </c>
      <c r="I12" s="22" t="s">
        <v>286</v>
      </c>
      <c r="J12" s="17"/>
      <c r="K12" s="29" t="str">
        <f>"105,0"</f>
        <v>105,0</v>
      </c>
      <c r="L12" s="17" t="str">
        <f>"119,5530"</f>
        <v>119,5530</v>
      </c>
      <c r="M12" s="16" t="s">
        <v>287</v>
      </c>
    </row>
    <row r="13" spans="1:13">
      <c r="A13" s="21" t="s">
        <v>33</v>
      </c>
      <c r="B13" s="20" t="s">
        <v>299</v>
      </c>
      <c r="C13" s="20" t="s">
        <v>1299</v>
      </c>
      <c r="D13" s="20" t="s">
        <v>300</v>
      </c>
      <c r="E13" s="20" t="str">
        <f>"1,1207"</f>
        <v>1,1207</v>
      </c>
      <c r="F13" s="20" t="s">
        <v>1459</v>
      </c>
      <c r="G13" s="27" t="s">
        <v>253</v>
      </c>
      <c r="H13" s="26" t="s">
        <v>247</v>
      </c>
      <c r="I13" s="27" t="s">
        <v>59</v>
      </c>
      <c r="J13" s="21"/>
      <c r="K13" s="30" t="str">
        <f>"80,0"</f>
        <v>80,0</v>
      </c>
      <c r="L13" s="21" t="str">
        <f>"96,6492"</f>
        <v>96,6492</v>
      </c>
      <c r="M13" s="20"/>
    </row>
    <row r="14" spans="1:13">
      <c r="A14" s="19" t="s">
        <v>218</v>
      </c>
      <c r="B14" s="18" t="s">
        <v>299</v>
      </c>
      <c r="C14" s="18" t="s">
        <v>1299</v>
      </c>
      <c r="D14" s="18" t="s">
        <v>300</v>
      </c>
      <c r="E14" s="18" t="str">
        <f>"1,1207"</f>
        <v>1,1207</v>
      </c>
      <c r="F14" s="18" t="s">
        <v>1459</v>
      </c>
      <c r="G14" s="24" t="s">
        <v>226</v>
      </c>
      <c r="H14" s="24" t="s">
        <v>226</v>
      </c>
      <c r="I14" s="24" t="s">
        <v>226</v>
      </c>
      <c r="J14" s="19"/>
      <c r="K14" s="31">
        <v>0</v>
      </c>
      <c r="L14" s="19" t="str">
        <f>"0,0000"</f>
        <v>0,0000</v>
      </c>
      <c r="M14" s="18"/>
    </row>
    <row r="15" spans="1:13">
      <c r="B15" s="5" t="s">
        <v>34</v>
      </c>
    </row>
    <row r="16" spans="1:13" ht="16">
      <c r="A16" s="61" t="s">
        <v>51</v>
      </c>
      <c r="B16" s="61"/>
      <c r="C16" s="61"/>
      <c r="D16" s="61"/>
      <c r="E16" s="61"/>
      <c r="F16" s="61"/>
      <c r="G16" s="61"/>
      <c r="H16" s="61"/>
      <c r="I16" s="61"/>
      <c r="J16" s="61"/>
    </row>
    <row r="17" spans="1:13">
      <c r="A17" s="8" t="s">
        <v>33</v>
      </c>
      <c r="B17" s="7" t="s">
        <v>974</v>
      </c>
      <c r="C17" s="7" t="s">
        <v>975</v>
      </c>
      <c r="D17" s="7" t="s">
        <v>976</v>
      </c>
      <c r="E17" s="7" t="str">
        <f>"1,0432"</f>
        <v>1,0432</v>
      </c>
      <c r="F17" s="7" t="s">
        <v>1502</v>
      </c>
      <c r="G17" s="14" t="s">
        <v>58</v>
      </c>
      <c r="H17" s="15" t="s">
        <v>59</v>
      </c>
      <c r="I17" s="15" t="s">
        <v>67</v>
      </c>
      <c r="J17" s="8"/>
      <c r="K17" s="32" t="str">
        <f>"102,5"</f>
        <v>102,5</v>
      </c>
      <c r="L17" s="8" t="str">
        <f>"106,9280"</f>
        <v>106,9280</v>
      </c>
      <c r="M17" s="7"/>
    </row>
    <row r="18" spans="1:13">
      <c r="B18" s="5" t="s">
        <v>34</v>
      </c>
    </row>
    <row r="19" spans="1:13" ht="16">
      <c r="A19" s="61" t="s">
        <v>63</v>
      </c>
      <c r="B19" s="61"/>
      <c r="C19" s="61"/>
      <c r="D19" s="61"/>
      <c r="E19" s="61"/>
      <c r="F19" s="61"/>
      <c r="G19" s="61"/>
      <c r="H19" s="61"/>
      <c r="I19" s="61"/>
      <c r="J19" s="61"/>
    </row>
    <row r="20" spans="1:13">
      <c r="A20" s="8" t="s">
        <v>33</v>
      </c>
      <c r="B20" s="7" t="s">
        <v>660</v>
      </c>
      <c r="C20" s="7" t="s">
        <v>661</v>
      </c>
      <c r="D20" s="7" t="s">
        <v>662</v>
      </c>
      <c r="E20" s="7" t="str">
        <f>"0,6811"</f>
        <v>0,6811</v>
      </c>
      <c r="F20" s="7" t="s">
        <v>1584</v>
      </c>
      <c r="G20" s="15" t="s">
        <v>98</v>
      </c>
      <c r="H20" s="15" t="s">
        <v>99</v>
      </c>
      <c r="I20" s="14" t="s">
        <v>328</v>
      </c>
      <c r="J20" s="8"/>
      <c r="K20" s="32" t="str">
        <f>"110,0"</f>
        <v>110,0</v>
      </c>
      <c r="L20" s="8" t="str">
        <f>"74,9210"</f>
        <v>74,9210</v>
      </c>
      <c r="M20" s="7" t="s">
        <v>1245</v>
      </c>
    </row>
    <row r="21" spans="1:13">
      <c r="B21" s="5" t="s">
        <v>34</v>
      </c>
    </row>
    <row r="22" spans="1:13" ht="16">
      <c r="A22" s="61" t="s">
        <v>35</v>
      </c>
      <c r="B22" s="61"/>
      <c r="C22" s="61"/>
      <c r="D22" s="61"/>
      <c r="E22" s="61"/>
      <c r="F22" s="61"/>
      <c r="G22" s="61"/>
      <c r="H22" s="61"/>
      <c r="I22" s="61"/>
      <c r="J22" s="61"/>
    </row>
    <row r="23" spans="1:13">
      <c r="A23" s="8" t="s">
        <v>33</v>
      </c>
      <c r="B23" s="7" t="s">
        <v>180</v>
      </c>
      <c r="C23" s="7" t="s">
        <v>1309</v>
      </c>
      <c r="D23" s="7" t="s">
        <v>181</v>
      </c>
      <c r="E23" s="7" t="str">
        <f>"0,6044"</f>
        <v>0,6044</v>
      </c>
      <c r="F23" s="7" t="s">
        <v>1587</v>
      </c>
      <c r="G23" s="14" t="s">
        <v>99</v>
      </c>
      <c r="H23" s="15" t="s">
        <v>182</v>
      </c>
      <c r="I23" s="14" t="s">
        <v>80</v>
      </c>
      <c r="J23" s="8"/>
      <c r="K23" s="32" t="str">
        <f>"115,0"</f>
        <v>115,0</v>
      </c>
      <c r="L23" s="8" t="str">
        <f>"79,9319"</f>
        <v>79,9319</v>
      </c>
      <c r="M23" s="7" t="s">
        <v>183</v>
      </c>
    </row>
    <row r="24" spans="1:13">
      <c r="B24" s="5" t="s">
        <v>34</v>
      </c>
    </row>
  </sheetData>
  <mergeCells count="17"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  <mergeCell ref="A22:J22"/>
    <mergeCell ref="A5:J5"/>
    <mergeCell ref="A8:J8"/>
    <mergeCell ref="A11:J11"/>
    <mergeCell ref="A16:J16"/>
    <mergeCell ref="A19:J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44</vt:i4>
      </vt:variant>
    </vt:vector>
  </HeadingPairs>
  <TitlesOfParts>
    <vt:vector size="44" baseType="lpstr">
      <vt:lpstr>IPL ПЛ без экипировки ДК</vt:lpstr>
      <vt:lpstr>IPL ПЛ без экипировки</vt:lpstr>
      <vt:lpstr>IPL ПЛ в бинтах ДК</vt:lpstr>
      <vt:lpstr>IPL ПЛ в бинтах</vt:lpstr>
      <vt:lpstr>IPL ПЛ однослой</vt:lpstr>
      <vt:lpstr>IPL ПЛ многослой</vt:lpstr>
      <vt:lpstr>IPL Двоеборье без экип ДК</vt:lpstr>
      <vt:lpstr>IPL Двоеборье без экип</vt:lpstr>
      <vt:lpstr>IPL Присед без экипировки ДК</vt:lpstr>
      <vt:lpstr>IPL Присед без экипировки</vt:lpstr>
      <vt:lpstr>IPL Присед в бинтах ДК</vt:lpstr>
      <vt:lpstr>IPL Присед в бинтах</vt:lpstr>
      <vt:lpstr>IPL Жим без экипировки ДК</vt:lpstr>
      <vt:lpstr>IPL Жим без экипировки</vt:lpstr>
      <vt:lpstr>IPL Жим однослой ДК</vt:lpstr>
      <vt:lpstr>IPL Жим однослой</vt:lpstr>
      <vt:lpstr>IPL Жим многослой</vt:lpstr>
      <vt:lpstr>СПР Жим софт однопетельная ДК</vt:lpstr>
      <vt:lpstr>СПР Жим софт однопетельная</vt:lpstr>
      <vt:lpstr>СПР Жим софт многопетельная ДК</vt:lpstr>
      <vt:lpstr>СПР Жим софт многопетельная</vt:lpstr>
      <vt:lpstr>СПР Жим СФО</vt:lpstr>
      <vt:lpstr>IPL Тяга без экипировки ДК</vt:lpstr>
      <vt:lpstr>IPL Тяга без экипировки</vt:lpstr>
      <vt:lpstr>IPL Тяга однослой</vt:lpstr>
      <vt:lpstr>IPL Тяга многослой</vt:lpstr>
      <vt:lpstr>СПР Пауэрспорт ДК</vt:lpstr>
      <vt:lpstr>СПР Пауэрспорт</vt:lpstr>
      <vt:lpstr>СПР Жим стоя</vt:lpstr>
      <vt:lpstr>СПР Подъем на бицепс ДК</vt:lpstr>
      <vt:lpstr>СПР Подъем на бицепс</vt:lpstr>
      <vt:lpstr>ФЖД ЖД ДК</vt:lpstr>
      <vt:lpstr>ФЖД ЖД</vt:lpstr>
      <vt:lpstr>ФЖД ЖД Армейский жим</vt:lpstr>
      <vt:lpstr>ФЖД ЖД ДК 1_2</vt:lpstr>
      <vt:lpstr>ФЖД ЖД 1_2</vt:lpstr>
      <vt:lpstr>ФЖД ЖД Софт однослой</vt:lpstr>
      <vt:lpstr>ФЖД Жим на макс. ДК</vt:lpstr>
      <vt:lpstr>ФЖД Жим на макс.</vt:lpstr>
      <vt:lpstr>ФЖД Софт однослой жим макс ДК</vt:lpstr>
      <vt:lpstr>ФЖД Софт однослой жим на макс.</vt:lpstr>
      <vt:lpstr>ФЖД Софт многослой жим на макс.</vt:lpstr>
      <vt:lpstr>ФЖД Армейский жим на макс</vt:lpstr>
      <vt:lpstr>ФЖД Военный жим на макс.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2021-04-19T19:18:17Z</dcterms:modified>
</cp:coreProperties>
</file>